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codeName="ThisWorkbook" hidePivotFieldList="1" autoCompressPictures="0" defaultThemeVersion="124226"/>
  <mc:AlternateContent xmlns:mc="http://schemas.openxmlformats.org/markup-compatibility/2006">
    <mc:Choice Requires="x15">
      <x15ac:absPath xmlns:x15ac="http://schemas.microsoft.com/office/spreadsheetml/2010/11/ac" url="/Users/bmb73/Library/CloudStorage/Box-Box/lasting_aim_3/model development/data_final/in/ENVIRONMENT PILLAR/Environmental impact/raw data/"/>
    </mc:Choice>
  </mc:AlternateContent>
  <xr:revisionPtr revIDLastSave="0" documentId="13_ncr:1_{0E25041D-51B5-C34E-82BF-7C1EC0EBB97B}" xr6:coauthVersionLast="47" xr6:coauthVersionMax="47" xr10:uidLastSave="{00000000-0000-0000-0000-000000000000}"/>
  <bookViews>
    <workbookView xWindow="0" yWindow="500" windowWidth="35840" windowHeight="20320" activeTab="1" xr2:uid="{00000000-000D-0000-FFFF-FFFF00000000}"/>
  </bookViews>
  <sheets>
    <sheet name="DESCRIPTION" sheetId="22" r:id="rId1"/>
    <sheet name="FCID linkages" sheetId="13" r:id="rId2"/>
    <sheet name="literature entries" sheetId="1" r:id="rId3"/>
    <sheet name="Pivot Table_GHG" sheetId="12" r:id="rId4"/>
    <sheet name="Pivot Table_CED" sheetId="7" r:id="rId5"/>
    <sheet name="PROXY def'ns" sheetId="21" r:id="rId6"/>
    <sheet name="MassConv" sheetId="16" r:id="rId7"/>
  </sheets>
  <externalReferences>
    <externalReference r:id="rId8"/>
  </externalReferences>
  <definedNames>
    <definedName name="_AMO_UniqueIdentifier" hidden="1">"'8f2b1bd5-ff87-412f-bc4e-9f8ed365c748'"</definedName>
    <definedName name="_xlnm._FilterDatabase" localSheetId="1" hidden="1">'FCID linkages'!$A$3:$AF$357</definedName>
    <definedName name="_xlnm._FilterDatabase" localSheetId="2" hidden="1">'literature entries'!$A$1:$BJ$1646</definedName>
    <definedName name="all_brassica">'PROXY def''ns'!$I$4:$I$20</definedName>
    <definedName name="all_fish">'PROXY def''ns'!$F$98:$F$104</definedName>
    <definedName name="almond">'PROXY def''ns'!$F$73:$F$74</definedName>
    <definedName name="apple">'PROXY def''ns'!$F$55:$F$56</definedName>
    <definedName name="apricot">'PROXY def''ns'!$F$61:$F$62</definedName>
    <definedName name="artichoke_globe">'PROXY def''ns'!$F$90:$F$91</definedName>
    <definedName name="asparagus">'PROXY def''ns'!$F$86:$F$87</definedName>
    <definedName name="banana">'PROXY def''ns'!$F$92:$F$93</definedName>
    <definedName name="bean_dry">'PROXY def''ns'!$F$26:$F$27</definedName>
    <definedName name="bean_snap_succulent">'PROXY def''ns'!$F$22:$F$23</definedName>
    <definedName name="beer">'PROXY def''ns'!$F$125:$F$126</definedName>
    <definedName name="berry">'PROXY def''ns'!$B$4:$B$13</definedName>
    <definedName name="brass_grns_E">'Pivot Table_CED'!$T$11</definedName>
    <definedName name="brass_grns_GHG">'Pivot Table_CED'!$U$11</definedName>
    <definedName name="brassica">'PROXY def''ns'!$B$22:$B$27</definedName>
    <definedName name="brassica_greens">'PROXY def''ns'!$B$28:$B$35</definedName>
    <definedName name="brassica_roots">'PROXY def''ns'!$B$36:$B$40</definedName>
    <definedName name="broccoli">'PROXY def''ns'!$F$17:$F$18</definedName>
    <definedName name="carrot">'PROXY def''ns'!$F$4:$F$5</definedName>
    <definedName name="cassava">'PROXY def''ns'!$F$6:$F$7</definedName>
    <definedName name="celery">'PROXY def''ns'!$F$88:$F$89</definedName>
    <definedName name="cherry">'PROXY def''ns'!$F$59:$F$60</definedName>
    <definedName name="Chicken">'PROXY def''ns'!$F$118:$F$119</definedName>
    <definedName name="choc_coffee_tea">'PROXY def''ns'!$I$110:$I$117</definedName>
    <definedName name="citrus">'PROXY def''ns'!$B$41:$B$52</definedName>
    <definedName name="clover_seed">'PROXY def''ns'!$B$15:$B$16</definedName>
    <definedName name="coconut_meat">'PROXY def''ns'!$F$75:$F$76</definedName>
    <definedName name="coconut_oil">'PROXY def''ns'!$I$65:$I$66</definedName>
    <definedName name="corn_flour">'PROXY def''ns'!$F$121:$F$122</definedName>
    <definedName name="corn_starch">'PROXY def''ns'!$F$123:$F$124</definedName>
    <definedName name="cucumber">'PROXY def''ns'!$F$45:$F$46</definedName>
    <definedName name="cucurbits">'PROXY def''ns'!$I$122:$I$132</definedName>
    <definedName name="dried_herbs">'PROXY def''ns'!$B$53:$B$55</definedName>
    <definedName name="endive">'PROXY def''ns'!$F$13:$F$14</definedName>
    <definedName name="Escarole">'PROXY def''ns'!$F$111:$F$112</definedName>
    <definedName name="_xlnm.Extract" localSheetId="2">'literature entries'!#REF!</definedName>
    <definedName name="flours">'PROXY def''ns'!$I$68:$I$73</definedName>
    <definedName name="Fluid_milk_cow">'PROXY def''ns'!$I$119:$I$120</definedName>
    <definedName name="Food_Form">'[1]List Names'!$C$3:$C$8</definedName>
    <definedName name="Food_Type">'[1]List Names'!$B$3:$B$16</definedName>
    <definedName name="FoodForm">#REF!</definedName>
    <definedName name="FoodTypes">#REF!</definedName>
    <definedName name="fresh_herbs">'PROXY def''ns'!$B$56:$B$65</definedName>
    <definedName name="ginger">'PROXY def''ns'!$F$11:$F$12</definedName>
    <definedName name="grains">'PROXY def''ns'!$B$66:$B$77</definedName>
    <definedName name="grape">'PROXY def''ns'!$F$69:$F$70</definedName>
    <definedName name="grape_raisin">'PROXY def''ns'!$F$67:$F$68</definedName>
    <definedName name="greens">'PROXY def''ns'!$B$78:$B$88</definedName>
    <definedName name="honey">'PROXY def''ns'!$F$109:$F$110</definedName>
    <definedName name="legume_seed">'PROXY def''ns'!$I$23:$I$32</definedName>
    <definedName name="lentil_seed">'PROXY def''ns'!$F$28:$F$29</definedName>
    <definedName name="Maple_syrup">'PROXY def''ns'!$F$115:$F$116</definedName>
    <definedName name="melon">'PROXY def''ns'!$F$40:$F$43</definedName>
    <definedName name="nightshades">'PROXY def''ns'!$F$34:$F$37</definedName>
    <definedName name="nonruminant_meat">'PROXY def''ns'!$F$139:$F$144</definedName>
    <definedName name="nut">'PROXY def''ns'!$B$89:$B$101</definedName>
    <definedName name="oat_flour">'PROXY def''ns'!$F$127:$F$128</definedName>
    <definedName name="oils">'PROXY def''ns'!$B$148:$B$161</definedName>
    <definedName name="oilseed_oil">'PROXY def''ns'!$B$140:$B$146</definedName>
    <definedName name="onion_bulb">'PROXY def''ns'!$F$15:$F$16</definedName>
    <definedName name="orange">'PROXY def''ns'!$F$53:$F$54</definedName>
    <definedName name="papaya">'PROXY def''ns'!$F$94:$F$95</definedName>
    <definedName name="Pea_pigeon_seed">'PROXY def''ns'!$F$24:$F$25</definedName>
    <definedName name="peach">'PROXY def''ns'!$F$63:$F$64</definedName>
    <definedName name="pear">'PROXY def''ns'!$F$57:$F$58</definedName>
    <definedName name="pepper_bell">'PROXY def''ns'!$F$38:$F$39</definedName>
    <definedName name="pineapple">'PROXY def''ns'!$F$96:$F$97</definedName>
    <definedName name="plum">'PROXY def''ns'!$F$65:$F$66</definedName>
    <definedName name="potato">'PROXY def''ns'!$F$8:$F$9</definedName>
    <definedName name="processed_tomato">'PROXY def''ns'!$I$34:$I$38</definedName>
    <definedName name="rice">'PROXY def''ns'!$F$81:$F$83</definedName>
    <definedName name="rice_bran">'PROXY def''ns'!$F$77:$F$78</definedName>
    <definedName name="roots">'PROXY def''ns'!$B$102:$B$109</definedName>
    <definedName name="ruminant_meat">'PROXY def''ns'!$F$134:$F$137</definedName>
    <definedName name="saltwater_finfish">'PROXY def''ns'!$F$106:$F$107</definedName>
    <definedName name="saltwater_fish">'PROXY def''ns'!$F$106:$F$107</definedName>
    <definedName name="Sheep">'PROXY def''ns'!$F$113:$F$114</definedName>
    <definedName name="Source_Type">'[1]List Names'!$E$3:$E$9</definedName>
    <definedName name="SourceType">#REF!</definedName>
    <definedName name="soybean_meal">'PROXY def''ns'!$B$19:$B$20</definedName>
    <definedName name="spices">'PROXY def''ns'!$B$110:$B$116</definedName>
    <definedName name="spinach">'PROXY def''ns'!$F$19:$F$20</definedName>
    <definedName name="squash">'PROXY def''ns'!$F$47:$F$49</definedName>
    <definedName name="strawberry">'PROXY def''ns'!$F$71:$F$72</definedName>
    <definedName name="sugarcane_molasses">'PROXY def''ns'!$F$129:$F$130</definedName>
    <definedName name="sweeteners">'PROXY def''ns'!$I$102:$I$108</definedName>
    <definedName name="tea">'PROXY def''ns'!$F$131:$F$132</definedName>
    <definedName name="tomato">'PROXY def''ns'!$F$30:$F$31</definedName>
    <definedName name="tree_fruit">'PROXY def''ns'!$B$117:$B$126</definedName>
    <definedName name="tropical_citrus">'PROXY def''ns'!$I$40:$I$63</definedName>
    <definedName name="tropical_citus">'PROXY def''ns'!$H$40</definedName>
    <definedName name="tropical_fruit">'PROXY def''ns'!$B$127:$B$139</definedName>
    <definedName name="vegetables">'PROXY def''ns'!$I$75:$I$100</definedName>
    <definedName name="wheat_flour">'PROXY def''ns'!$F$79:$F$80</definedName>
    <definedName name="Yes_No">'[1]List Names'!$D$3:$D$4</definedName>
    <definedName name="YesNo">#REF!</definedName>
    <definedName name="zucchini">'PROXY def''ns'!$F$51:$F$52</definedName>
  </definedNames>
  <calcPr calcId="191029"/>
  <pivotCaches>
    <pivotCache cacheId="2" r:id="rId9"/>
    <pivotCache cacheId="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00" i="13" l="1"/>
  <c r="H299" i="13"/>
  <c r="AF320" i="1"/>
  <c r="AF321" i="1"/>
  <c r="AF322" i="1"/>
  <c r="AF323" i="1"/>
  <c r="AF186" i="1"/>
  <c r="AG186" i="1"/>
  <c r="AH186" i="1"/>
  <c r="AI186" i="1"/>
  <c r="AF187" i="1"/>
  <c r="AG187" i="1"/>
  <c r="AH187" i="1"/>
  <c r="AI187" i="1"/>
  <c r="AF188" i="1"/>
  <c r="AG188" i="1"/>
  <c r="AH188" i="1"/>
  <c r="AI188" i="1"/>
  <c r="AF189" i="1"/>
  <c r="AG189" i="1"/>
  <c r="AH189" i="1"/>
  <c r="AI189" i="1"/>
  <c r="AF317" i="1"/>
  <c r="AG317" i="1"/>
  <c r="AH317" i="1"/>
  <c r="AF318" i="1"/>
  <c r="AG318" i="1"/>
  <c r="AH318" i="1"/>
  <c r="AI318" i="1"/>
  <c r="AF319" i="1"/>
  <c r="AG319" i="1"/>
  <c r="AH319" i="1"/>
  <c r="AI319" i="1"/>
  <c r="AS452" i="1"/>
  <c r="AF452" i="1" s="1"/>
  <c r="AG452" i="1"/>
  <c r="AF455" i="1"/>
  <c r="AH455" i="1"/>
  <c r="AF456" i="1"/>
  <c r="AG456" i="1"/>
  <c r="AH456" i="1"/>
  <c r="AI456" i="1"/>
  <c r="AF457" i="1"/>
  <c r="AH457" i="1"/>
  <c r="AF458" i="1"/>
  <c r="AG458" i="1"/>
  <c r="BF458" i="1"/>
  <c r="AH458" i="1"/>
  <c r="AI458" i="1"/>
  <c r="AF459" i="1"/>
  <c r="AG459" i="1"/>
  <c r="BF459" i="1"/>
  <c r="AH459" i="1"/>
  <c r="AI459" i="1"/>
  <c r="AF461" i="1"/>
  <c r="AG461" i="1"/>
  <c r="AH461" i="1"/>
  <c r="AI461" i="1"/>
  <c r="AF463" i="1"/>
  <c r="AG463" i="1"/>
  <c r="AH463" i="1"/>
  <c r="AI463" i="1"/>
  <c r="AF464" i="1"/>
  <c r="AG464" i="1"/>
  <c r="AH464" i="1"/>
  <c r="AI464" i="1"/>
  <c r="AF515" i="1"/>
  <c r="AG515" i="1"/>
  <c r="AH515" i="1"/>
  <c r="AI515" i="1"/>
  <c r="AF551" i="1"/>
  <c r="AG551" i="1"/>
  <c r="AH551" i="1"/>
  <c r="AI551" i="1"/>
  <c r="AF621" i="1"/>
  <c r="AH621" i="1"/>
  <c r="AI621" i="1"/>
  <c r="AF645" i="1"/>
  <c r="AG645" i="1"/>
  <c r="AH645" i="1"/>
  <c r="AW645" i="1"/>
  <c r="AI645" i="1"/>
  <c r="AS689" i="1"/>
  <c r="AF689" i="1"/>
  <c r="AG689" i="1"/>
  <c r="BF689" i="1"/>
  <c r="AH689" i="1"/>
  <c r="AI689" i="1"/>
  <c r="BF690" i="1"/>
  <c r="AH690" i="1"/>
  <c r="AI690" i="1"/>
  <c r="AF691" i="1"/>
  <c r="AG691" i="1"/>
  <c r="AH691" i="1"/>
  <c r="AI691" i="1"/>
  <c r="AF692" i="1"/>
  <c r="AG692" i="1"/>
  <c r="AH692" i="1"/>
  <c r="AI692" i="1"/>
  <c r="AG701" i="1"/>
  <c r="AI701" i="1"/>
  <c r="AG703" i="1"/>
  <c r="AI703" i="1"/>
  <c r="AF772" i="1"/>
  <c r="AG772" i="1"/>
  <c r="AH772" i="1"/>
  <c r="AI772" i="1"/>
  <c r="AF773" i="1"/>
  <c r="AG773" i="1"/>
  <c r="AH773" i="1"/>
  <c r="AI773" i="1"/>
  <c r="AF774" i="1"/>
  <c r="AG774" i="1"/>
  <c r="AH774" i="1"/>
  <c r="AI774" i="1"/>
  <c r="AF775" i="1"/>
  <c r="AG775" i="1"/>
  <c r="AH775" i="1"/>
  <c r="AI775" i="1"/>
  <c r="AF776" i="1"/>
  <c r="AG776" i="1"/>
  <c r="AH776" i="1"/>
  <c r="AI776" i="1"/>
  <c r="AF777" i="1"/>
  <c r="AG777" i="1"/>
  <c r="AH777" i="1"/>
  <c r="AI777" i="1"/>
  <c r="AF778" i="1"/>
  <c r="AG778" i="1"/>
  <c r="AH778" i="1"/>
  <c r="AI778" i="1"/>
  <c r="AF779" i="1"/>
  <c r="AG779" i="1"/>
  <c r="AH779" i="1"/>
  <c r="AI779" i="1"/>
  <c r="AF780" i="1"/>
  <c r="AG780" i="1"/>
  <c r="AH780" i="1"/>
  <c r="AI780" i="1"/>
  <c r="AF781" i="1"/>
  <c r="AG781" i="1"/>
  <c r="AH781" i="1"/>
  <c r="AI781" i="1"/>
  <c r="AF782" i="1"/>
  <c r="AG782" i="1"/>
  <c r="AF783" i="1"/>
  <c r="AG783" i="1"/>
  <c r="AF784" i="1"/>
  <c r="AG784" i="1"/>
  <c r="AF785" i="1"/>
  <c r="AG785" i="1"/>
  <c r="AF786" i="1"/>
  <c r="AG786" i="1"/>
  <c r="AF787" i="1"/>
  <c r="AG787" i="1"/>
  <c r="AH787" i="1"/>
  <c r="AI787" i="1"/>
  <c r="AF788" i="1"/>
  <c r="AG788" i="1"/>
  <c r="BF788" i="1"/>
  <c r="AH788" i="1"/>
  <c r="AI788" i="1"/>
  <c r="AF789" i="1"/>
  <c r="AG789" i="1"/>
  <c r="AW789" i="1"/>
  <c r="BF789" i="1" s="1"/>
  <c r="AH789" i="1" s="1"/>
  <c r="AY789" i="1"/>
  <c r="AF790" i="1"/>
  <c r="AG790" i="1"/>
  <c r="AW790" i="1"/>
  <c r="BF790" i="1" s="1"/>
  <c r="AH790" i="1" s="1"/>
  <c r="AY790" i="1"/>
  <c r="AS791" i="1"/>
  <c r="AF791" i="1"/>
  <c r="AG791" i="1"/>
  <c r="AS792" i="1"/>
  <c r="AF792" i="1" s="1"/>
  <c r="AG792" i="1"/>
  <c r="AS793" i="1"/>
  <c r="AF793" i="1"/>
  <c r="AG793" i="1"/>
  <c r="AF794" i="1"/>
  <c r="AG794" i="1"/>
  <c r="AF795" i="1"/>
  <c r="AG795" i="1"/>
  <c r="AF796" i="1"/>
  <c r="AG796" i="1"/>
  <c r="AF925" i="1"/>
  <c r="AH925" i="1"/>
  <c r="AI925" i="1"/>
  <c r="AF926" i="1"/>
  <c r="AH926" i="1"/>
  <c r="AI926" i="1"/>
  <c r="AF1017" i="1"/>
  <c r="AG1017" i="1"/>
  <c r="AH1017" i="1"/>
  <c r="AI1017" i="1"/>
  <c r="AF1018" i="1"/>
  <c r="AG1018" i="1"/>
  <c r="AH1018" i="1"/>
  <c r="AI1018" i="1"/>
  <c r="AF1019" i="1"/>
  <c r="AG1019" i="1"/>
  <c r="AH1019" i="1"/>
  <c r="AI1019" i="1"/>
  <c r="AF1020" i="1"/>
  <c r="AG1020" i="1"/>
  <c r="AH1020" i="1"/>
  <c r="AI1020" i="1"/>
  <c r="AF1021" i="1"/>
  <c r="AG1021" i="1"/>
  <c r="AH1021" i="1"/>
  <c r="AI1021" i="1"/>
  <c r="AF1035" i="1"/>
  <c r="AG1035" i="1"/>
  <c r="AF1036" i="1"/>
  <c r="AG1036" i="1"/>
  <c r="AF1037" i="1"/>
  <c r="AG1037" i="1"/>
  <c r="AF1038" i="1"/>
  <c r="AG1038" i="1"/>
  <c r="AF1039" i="1"/>
  <c r="AG1039" i="1"/>
  <c r="AF1040" i="1"/>
  <c r="AG1040" i="1"/>
  <c r="AF1041" i="1"/>
  <c r="AG1041" i="1"/>
  <c r="AF1042" i="1"/>
  <c r="AG1042" i="1"/>
  <c r="AF1043" i="1"/>
  <c r="AG1043" i="1"/>
  <c r="AF1044" i="1"/>
  <c r="AG1044" i="1"/>
  <c r="AF1045" i="1"/>
  <c r="AG1045" i="1"/>
  <c r="AF1046" i="1"/>
  <c r="AG1046" i="1"/>
  <c r="AF1047" i="1"/>
  <c r="AG1047" i="1"/>
  <c r="AF1082" i="1"/>
  <c r="AG1082" i="1"/>
  <c r="BF1082" i="1"/>
  <c r="AH1082" i="1"/>
  <c r="AI1082" i="1"/>
  <c r="AF1083" i="1"/>
  <c r="AG1083" i="1"/>
  <c r="BF1083" i="1"/>
  <c r="AH1083" i="1" s="1"/>
  <c r="AI1083" i="1"/>
  <c r="AF1084" i="1"/>
  <c r="AG1084" i="1"/>
  <c r="BF1084" i="1"/>
  <c r="AH1084" i="1"/>
  <c r="AI1084" i="1"/>
  <c r="AF1085" i="1"/>
  <c r="AG1085" i="1"/>
  <c r="BF1085" i="1"/>
  <c r="AH1085" i="1" s="1"/>
  <c r="AI1085" i="1"/>
  <c r="AF1086" i="1"/>
  <c r="AG1086" i="1"/>
  <c r="BF1086" i="1"/>
  <c r="AH1086" i="1"/>
  <c r="AI1086" i="1"/>
  <c r="AF1087" i="1"/>
  <c r="AG1087" i="1"/>
  <c r="BF1087" i="1"/>
  <c r="AH1087" i="1"/>
  <c r="AI1087" i="1"/>
  <c r="AF1088" i="1"/>
  <c r="AG1088" i="1"/>
  <c r="BF1088" i="1"/>
  <c r="AH1088" i="1" s="1"/>
  <c r="AI1088" i="1"/>
  <c r="AF1089" i="1"/>
  <c r="AG1089" i="1"/>
  <c r="BF1089" i="1"/>
  <c r="AH1089" i="1" s="1"/>
  <c r="AI1089" i="1"/>
  <c r="AF1090" i="1"/>
  <c r="AG1090" i="1"/>
  <c r="BF1090" i="1"/>
  <c r="AH1090" i="1"/>
  <c r="AI1090" i="1"/>
  <c r="AF1091" i="1"/>
  <c r="AG1091" i="1"/>
  <c r="BF1091" i="1"/>
  <c r="AH1091" i="1"/>
  <c r="AI1091" i="1"/>
  <c r="AF1092" i="1"/>
  <c r="AG1092" i="1"/>
  <c r="BF1092" i="1"/>
  <c r="AH1092" i="1" s="1"/>
  <c r="AI1092" i="1"/>
  <c r="AF1093" i="1"/>
  <c r="AG1093" i="1"/>
  <c r="BF1093" i="1"/>
  <c r="AH1093" i="1" s="1"/>
  <c r="AI1093" i="1"/>
  <c r="AF1094" i="1"/>
  <c r="AG1094" i="1"/>
  <c r="BF1094" i="1"/>
  <c r="AH1094" i="1"/>
  <c r="AI1094" i="1"/>
  <c r="AF1095" i="1"/>
  <c r="AG1095" i="1"/>
  <c r="BF1095" i="1"/>
  <c r="AH1095" i="1" s="1"/>
  <c r="AI1095" i="1"/>
  <c r="AF1096" i="1"/>
  <c r="AG1096" i="1"/>
  <c r="BF1096" i="1"/>
  <c r="AH1096" i="1"/>
  <c r="AI1096" i="1"/>
  <c r="AF1097" i="1"/>
  <c r="AG1097" i="1"/>
  <c r="BF1097" i="1"/>
  <c r="AH1097" i="1"/>
  <c r="AI1097" i="1"/>
  <c r="AF1098" i="1"/>
  <c r="AG1098" i="1"/>
  <c r="BF1098" i="1"/>
  <c r="AH1098" i="1"/>
  <c r="AI1098" i="1"/>
  <c r="AF1099" i="1"/>
  <c r="AG1099" i="1"/>
  <c r="BF1099" i="1"/>
  <c r="AH1099" i="1"/>
  <c r="AI1099" i="1"/>
  <c r="AF1100" i="1"/>
  <c r="AG1100" i="1"/>
  <c r="BF1100" i="1"/>
  <c r="AH1100" i="1" s="1"/>
  <c r="AI1100" i="1"/>
  <c r="AF1101" i="1"/>
  <c r="AG1101" i="1"/>
  <c r="BF1101" i="1"/>
  <c r="AH1101" i="1" s="1"/>
  <c r="AI1101" i="1"/>
  <c r="AF1102" i="1"/>
  <c r="AG1102" i="1"/>
  <c r="BF1102" i="1"/>
  <c r="AH1102" i="1"/>
  <c r="AI1102" i="1"/>
  <c r="AF1103" i="1"/>
  <c r="AG1103" i="1"/>
  <c r="BF1103" i="1"/>
  <c r="AH1103" i="1"/>
  <c r="AI1103" i="1"/>
  <c r="AF1104" i="1"/>
  <c r="AG1104" i="1"/>
  <c r="BF1104" i="1"/>
  <c r="AH1104" i="1" s="1"/>
  <c r="AI1104" i="1"/>
  <c r="AF1105" i="1"/>
  <c r="AG1105" i="1"/>
  <c r="BF1105" i="1"/>
  <c r="AH1105" i="1" s="1"/>
  <c r="AI1105" i="1"/>
  <c r="AF1106" i="1"/>
  <c r="AG1106" i="1"/>
  <c r="BF1106" i="1"/>
  <c r="AH1106" i="1"/>
  <c r="AI1106" i="1"/>
  <c r="AF1107" i="1"/>
  <c r="AG1107" i="1"/>
  <c r="BF1107" i="1"/>
  <c r="AH1107" i="1" s="1"/>
  <c r="AI1107" i="1"/>
  <c r="AF1108" i="1"/>
  <c r="AG1108" i="1"/>
  <c r="BF1108" i="1"/>
  <c r="AH1108" i="1"/>
  <c r="AI1108" i="1"/>
  <c r="AF1109" i="1"/>
  <c r="AG1109" i="1"/>
  <c r="BF1109" i="1"/>
  <c r="AH1109" i="1"/>
  <c r="AI1109" i="1"/>
  <c r="AF1110" i="1"/>
  <c r="AG1110" i="1"/>
  <c r="BF1110" i="1"/>
  <c r="AH1110" i="1"/>
  <c r="AI1110" i="1"/>
  <c r="AF1111" i="1"/>
  <c r="AG1111" i="1"/>
  <c r="BF1111" i="1"/>
  <c r="AH1111" i="1"/>
  <c r="AI1111" i="1"/>
  <c r="AF1112" i="1"/>
  <c r="AG1112" i="1"/>
  <c r="BF1112" i="1"/>
  <c r="AH1112" i="1"/>
  <c r="AI1112" i="1"/>
  <c r="AF1113" i="1"/>
  <c r="AG1113" i="1"/>
  <c r="BF1113" i="1"/>
  <c r="AH1113" i="1" s="1"/>
  <c r="AI1113" i="1"/>
  <c r="AF1114" i="1"/>
  <c r="AG1114" i="1"/>
  <c r="BF1114" i="1"/>
  <c r="AH1114" i="1"/>
  <c r="AI1114" i="1"/>
  <c r="AF1115" i="1"/>
  <c r="AG1115" i="1"/>
  <c r="BF1115" i="1"/>
  <c r="AH1115" i="1"/>
  <c r="AI1115" i="1"/>
  <c r="AF1116" i="1"/>
  <c r="AG1116" i="1"/>
  <c r="BF1116" i="1"/>
  <c r="AH1116" i="1" s="1"/>
  <c r="AI1116" i="1"/>
  <c r="AF1117" i="1"/>
  <c r="AG1117" i="1"/>
  <c r="BF1117" i="1"/>
  <c r="AH1117" i="1" s="1"/>
  <c r="AI1117" i="1"/>
  <c r="AF1118" i="1"/>
  <c r="AG1118" i="1"/>
  <c r="BF1118" i="1"/>
  <c r="AH1118" i="1"/>
  <c r="AI1118" i="1"/>
  <c r="AF1119" i="1"/>
  <c r="AG1119" i="1"/>
  <c r="BF1119" i="1"/>
  <c r="AH1119" i="1" s="1"/>
  <c r="AI1119" i="1"/>
  <c r="AF1120" i="1"/>
  <c r="AG1120" i="1"/>
  <c r="BF1120" i="1"/>
  <c r="AH1120" i="1"/>
  <c r="AI1120" i="1"/>
  <c r="AF1121" i="1"/>
  <c r="AG1121" i="1"/>
  <c r="BF1121" i="1"/>
  <c r="AH1121" i="1"/>
  <c r="AI1121" i="1"/>
  <c r="AF1122" i="1"/>
  <c r="AG1122" i="1"/>
  <c r="BF1122" i="1"/>
  <c r="AH1122" i="1"/>
  <c r="AI1122" i="1"/>
  <c r="AF1123" i="1"/>
  <c r="AG1123" i="1"/>
  <c r="BF1123" i="1"/>
  <c r="AH1123" i="1"/>
  <c r="AI1123" i="1"/>
  <c r="AF1124" i="1"/>
  <c r="AG1124" i="1"/>
  <c r="BF1124" i="1"/>
  <c r="AH1124" i="1"/>
  <c r="AI1124" i="1"/>
  <c r="AF1125" i="1"/>
  <c r="AG1125" i="1"/>
  <c r="BF1125" i="1"/>
  <c r="AH1125" i="1" s="1"/>
  <c r="AI1125" i="1"/>
  <c r="AF1126" i="1"/>
  <c r="AG1126" i="1"/>
  <c r="BF1126" i="1"/>
  <c r="AH1126" i="1"/>
  <c r="AI1126" i="1"/>
  <c r="AF1127" i="1"/>
  <c r="AG1127" i="1"/>
  <c r="BF1127" i="1"/>
  <c r="AH1127" i="1"/>
  <c r="AI1127" i="1"/>
  <c r="AF1128" i="1"/>
  <c r="AG1128" i="1"/>
  <c r="BF1128" i="1"/>
  <c r="AH1128" i="1" s="1"/>
  <c r="AI1128" i="1"/>
  <c r="AF1129" i="1"/>
  <c r="AG1129" i="1"/>
  <c r="BF1129" i="1"/>
  <c r="AH1129" i="1" s="1"/>
  <c r="AI1129" i="1"/>
  <c r="AF1130" i="1"/>
  <c r="AG1130" i="1"/>
  <c r="BF1130" i="1"/>
  <c r="AH1130" i="1"/>
  <c r="AI1130" i="1"/>
  <c r="AF1131" i="1"/>
  <c r="AG1131" i="1"/>
  <c r="BF1131" i="1"/>
  <c r="AH1131" i="1" s="1"/>
  <c r="AI1131" i="1"/>
  <c r="AF1132" i="1"/>
  <c r="AG1132" i="1"/>
  <c r="BF1132" i="1"/>
  <c r="AH1132" i="1"/>
  <c r="AI1132" i="1"/>
  <c r="AF1133" i="1"/>
  <c r="AG1133" i="1"/>
  <c r="BF1133" i="1"/>
  <c r="AH1133" i="1"/>
  <c r="AI1133" i="1"/>
  <c r="AF1134" i="1"/>
  <c r="AG1134" i="1"/>
  <c r="BF1134" i="1"/>
  <c r="AH1134" i="1"/>
  <c r="AI1134" i="1"/>
  <c r="AF1135" i="1"/>
  <c r="AG1135" i="1"/>
  <c r="BF1135" i="1"/>
  <c r="AH1135" i="1"/>
  <c r="AI1135" i="1"/>
  <c r="AF1136" i="1"/>
  <c r="AG1136" i="1"/>
  <c r="BF1136" i="1"/>
  <c r="AH1136" i="1"/>
  <c r="AI1136" i="1"/>
  <c r="AF1137" i="1"/>
  <c r="AG1137" i="1"/>
  <c r="BF1137" i="1"/>
  <c r="AH1137" i="1" s="1"/>
  <c r="AI1137" i="1"/>
  <c r="AF1138" i="1"/>
  <c r="AG1138" i="1"/>
  <c r="BF1138" i="1"/>
  <c r="AH1138" i="1"/>
  <c r="AI1138" i="1"/>
  <c r="AF1139" i="1"/>
  <c r="AG1139" i="1"/>
  <c r="BF1139" i="1"/>
  <c r="AH1139" i="1"/>
  <c r="AI1139" i="1"/>
  <c r="AF1140" i="1"/>
  <c r="AG1140" i="1"/>
  <c r="BF1140" i="1"/>
  <c r="AH1140" i="1" s="1"/>
  <c r="AI1140" i="1"/>
  <c r="AF1141" i="1"/>
  <c r="AG1141" i="1"/>
  <c r="BF1141" i="1"/>
  <c r="AH1141" i="1" s="1"/>
  <c r="AI1141" i="1"/>
  <c r="AF1142" i="1"/>
  <c r="AG1142" i="1"/>
  <c r="BF1142" i="1"/>
  <c r="AH1142" i="1"/>
  <c r="AI1142" i="1"/>
  <c r="AF1143" i="1"/>
  <c r="AG1143" i="1"/>
  <c r="BF1143" i="1"/>
  <c r="AH1143" i="1" s="1"/>
  <c r="AI1143" i="1"/>
  <c r="AF1144" i="1"/>
  <c r="AG1144" i="1"/>
  <c r="BF1144" i="1"/>
  <c r="AH1144" i="1"/>
  <c r="AI1144" i="1"/>
  <c r="AF1145" i="1"/>
  <c r="AG1145" i="1"/>
  <c r="BF1145" i="1"/>
  <c r="AH1145" i="1"/>
  <c r="AI1145" i="1"/>
  <c r="AF1146" i="1"/>
  <c r="AG1146" i="1"/>
  <c r="BF1146" i="1"/>
  <c r="AH1146" i="1"/>
  <c r="AI1146" i="1"/>
  <c r="AF1147" i="1"/>
  <c r="AG1147" i="1"/>
  <c r="BF1147" i="1"/>
  <c r="AH1147" i="1"/>
  <c r="AI1147" i="1"/>
  <c r="AF1148" i="1"/>
  <c r="AG1148" i="1"/>
  <c r="BF1148" i="1"/>
  <c r="AH1148" i="1"/>
  <c r="AI1148" i="1"/>
  <c r="AF1149" i="1"/>
  <c r="AG1149" i="1"/>
  <c r="BF1149" i="1"/>
  <c r="AH1149" i="1" s="1"/>
  <c r="AI1149" i="1"/>
  <c r="AF1150" i="1"/>
  <c r="AG1150" i="1"/>
  <c r="BF1150" i="1"/>
  <c r="AH1150" i="1"/>
  <c r="AI1150" i="1"/>
  <c r="AF1151" i="1"/>
  <c r="AG1151" i="1"/>
  <c r="BF1151" i="1"/>
  <c r="AH1151" i="1"/>
  <c r="AI1151" i="1"/>
  <c r="AF1152" i="1"/>
  <c r="AG1152" i="1"/>
  <c r="BF1152" i="1"/>
  <c r="AH1152" i="1" s="1"/>
  <c r="AI1152" i="1"/>
  <c r="AF1153" i="1"/>
  <c r="AG1153" i="1"/>
  <c r="BF1153" i="1"/>
  <c r="AH1153" i="1" s="1"/>
  <c r="AI1153" i="1"/>
  <c r="AF1154" i="1"/>
  <c r="AG1154" i="1"/>
  <c r="BF1154" i="1"/>
  <c r="AH1154" i="1"/>
  <c r="AI1154" i="1"/>
  <c r="AF1155" i="1"/>
  <c r="AG1155" i="1"/>
  <c r="BF1155" i="1"/>
  <c r="AH1155" i="1" s="1"/>
  <c r="AI1155" i="1"/>
  <c r="AF1156" i="1"/>
  <c r="AG1156" i="1"/>
  <c r="BF1156" i="1"/>
  <c r="AH1156" i="1"/>
  <c r="AI1156" i="1"/>
  <c r="AF1157" i="1"/>
  <c r="AG1157" i="1"/>
  <c r="BF1157" i="1"/>
  <c r="AH1157" i="1"/>
  <c r="AI1157" i="1"/>
  <c r="AF1158" i="1"/>
  <c r="AG1158" i="1"/>
  <c r="BF1158" i="1"/>
  <c r="AH1158" i="1"/>
  <c r="AI1158" i="1"/>
  <c r="AF1159" i="1"/>
  <c r="AG1159" i="1"/>
  <c r="BF1159" i="1"/>
  <c r="AH1159" i="1"/>
  <c r="AI1159" i="1"/>
  <c r="AF1160" i="1"/>
  <c r="AG1160" i="1"/>
  <c r="BF1160" i="1"/>
  <c r="AH1160" i="1"/>
  <c r="AI1160" i="1"/>
  <c r="AF1161" i="1"/>
  <c r="AG1161" i="1"/>
  <c r="BF1161" i="1"/>
  <c r="AH1161" i="1" s="1"/>
  <c r="AI1161" i="1"/>
  <c r="AF1162" i="1"/>
  <c r="AG1162" i="1"/>
  <c r="BF1162" i="1"/>
  <c r="AH1162" i="1"/>
  <c r="AI1162" i="1"/>
  <c r="AF1163" i="1"/>
  <c r="AG1163" i="1"/>
  <c r="BF1163" i="1"/>
  <c r="AH1163" i="1"/>
  <c r="AI1163" i="1"/>
  <c r="AF1164" i="1"/>
  <c r="AG1164" i="1"/>
  <c r="BF1164" i="1"/>
  <c r="AH1164" i="1" s="1"/>
  <c r="AI1164" i="1"/>
  <c r="AF1165" i="1"/>
  <c r="AG1165" i="1"/>
  <c r="BF1165" i="1"/>
  <c r="AH1165" i="1" s="1"/>
  <c r="AI1165" i="1"/>
  <c r="AF1166" i="1"/>
  <c r="AG1166" i="1"/>
  <c r="BF1166" i="1"/>
  <c r="AH1166" i="1"/>
  <c r="AI1166" i="1"/>
  <c r="AF1167" i="1"/>
  <c r="AG1167" i="1"/>
  <c r="BF1167" i="1"/>
  <c r="AH1167" i="1" s="1"/>
  <c r="AI1167" i="1"/>
  <c r="AF1168" i="1"/>
  <c r="AG1168" i="1"/>
  <c r="BF1168" i="1"/>
  <c r="AH1168" i="1"/>
  <c r="AI1168" i="1"/>
  <c r="AF1169" i="1"/>
  <c r="AG1169" i="1"/>
  <c r="BF1169" i="1"/>
  <c r="AH1169" i="1"/>
  <c r="AI1169" i="1"/>
  <c r="AF1170" i="1"/>
  <c r="AG1170" i="1"/>
  <c r="BF1170" i="1"/>
  <c r="AH1170" i="1"/>
  <c r="AI1170" i="1"/>
  <c r="AF1171" i="1"/>
  <c r="AG1171" i="1"/>
  <c r="BF1171" i="1"/>
  <c r="AH1171" i="1"/>
  <c r="AI1171" i="1"/>
  <c r="AF1172" i="1"/>
  <c r="AG1172" i="1"/>
  <c r="BF1172" i="1"/>
  <c r="AH1172" i="1"/>
  <c r="AI1172" i="1"/>
  <c r="AF1173" i="1"/>
  <c r="AG1173" i="1"/>
  <c r="BF1173" i="1"/>
  <c r="AH1173" i="1" s="1"/>
  <c r="AI1173" i="1"/>
  <c r="AF1174" i="1"/>
  <c r="AG1174" i="1"/>
  <c r="BF1174" i="1"/>
  <c r="AH1174" i="1"/>
  <c r="AI1174" i="1"/>
  <c r="AF1175" i="1"/>
  <c r="AG1175" i="1"/>
  <c r="BF1175" i="1"/>
  <c r="AH1175" i="1" s="1"/>
  <c r="AI1175" i="1"/>
  <c r="AF1176" i="1"/>
  <c r="AG1176" i="1"/>
  <c r="BF1176" i="1"/>
  <c r="AH1176" i="1" s="1"/>
  <c r="AI1176" i="1"/>
  <c r="AF1177" i="1"/>
  <c r="AG1177" i="1"/>
  <c r="BF1177" i="1"/>
  <c r="AH1177" i="1" s="1"/>
  <c r="AI1177" i="1"/>
  <c r="AF1178" i="1"/>
  <c r="AG1178" i="1"/>
  <c r="BF1178" i="1"/>
  <c r="AH1178" i="1"/>
  <c r="AI1178" i="1"/>
  <c r="AF1179" i="1"/>
  <c r="AG1179" i="1"/>
  <c r="BF1179" i="1"/>
  <c r="AH1179" i="1" s="1"/>
  <c r="AI1179" i="1"/>
  <c r="AF1184" i="1"/>
  <c r="AG1184" i="1"/>
  <c r="BF1184" i="1"/>
  <c r="AH1184" i="1"/>
  <c r="AI1184" i="1"/>
  <c r="AF1187" i="1"/>
  <c r="AG1187" i="1"/>
  <c r="BF1187" i="1"/>
  <c r="AH1187" i="1"/>
  <c r="AI1187" i="1"/>
  <c r="AF1188" i="1"/>
  <c r="AG1188" i="1"/>
  <c r="BF1188" i="1"/>
  <c r="AH1188" i="1" s="1"/>
  <c r="AI1188" i="1"/>
  <c r="AF1189" i="1"/>
  <c r="AG1189" i="1"/>
  <c r="BF1189" i="1"/>
  <c r="AH1189" i="1"/>
  <c r="AI1189" i="1"/>
  <c r="AF1190" i="1"/>
  <c r="AG1190" i="1"/>
  <c r="BF1190" i="1"/>
  <c r="AH1190" i="1"/>
  <c r="AI1190" i="1"/>
  <c r="AF1191" i="1"/>
  <c r="AG1191" i="1"/>
  <c r="BF1191" i="1"/>
  <c r="AH1191" i="1" s="1"/>
  <c r="AI1191" i="1"/>
  <c r="AF1192" i="1"/>
  <c r="AG1192" i="1"/>
  <c r="BF1192" i="1"/>
  <c r="AH1192" i="1"/>
  <c r="AI1192" i="1"/>
  <c r="AF1193" i="1"/>
  <c r="AG1193" i="1"/>
  <c r="BF1193" i="1"/>
  <c r="AH1193" i="1"/>
  <c r="AI1193" i="1"/>
  <c r="AF1194" i="1"/>
  <c r="AG1194" i="1"/>
  <c r="BF1194" i="1"/>
  <c r="AH1194" i="1" s="1"/>
  <c r="AI1194" i="1"/>
  <c r="AF1195" i="1"/>
  <c r="AG1195" i="1"/>
  <c r="BF1195" i="1"/>
  <c r="AH1195" i="1" s="1"/>
  <c r="AI1195" i="1"/>
  <c r="AF1196" i="1"/>
  <c r="AG1196" i="1"/>
  <c r="BF1196" i="1"/>
  <c r="AH1196" i="1"/>
  <c r="AI1196" i="1"/>
  <c r="AF1197" i="1"/>
  <c r="AG1197" i="1"/>
  <c r="BF1197" i="1"/>
  <c r="AH1197" i="1" s="1"/>
  <c r="AI1197" i="1"/>
  <c r="AF1198" i="1"/>
  <c r="AG1198" i="1"/>
  <c r="BF1198" i="1"/>
  <c r="AH1198" i="1"/>
  <c r="AI1198" i="1"/>
  <c r="AF1199" i="1"/>
  <c r="AG1199" i="1"/>
  <c r="BF1199" i="1"/>
  <c r="AH1199" i="1"/>
  <c r="AI1199" i="1"/>
  <c r="AF1200" i="1"/>
  <c r="AG1200" i="1"/>
  <c r="BF1200" i="1"/>
  <c r="AH1200" i="1"/>
  <c r="AI1200" i="1"/>
  <c r="AF1201" i="1"/>
  <c r="AG1201" i="1"/>
  <c r="BF1201" i="1"/>
  <c r="AH1201" i="1" s="1"/>
  <c r="AI1201" i="1"/>
  <c r="AF1202" i="1"/>
  <c r="AG1202" i="1"/>
  <c r="BF1202" i="1"/>
  <c r="AH1202" i="1"/>
  <c r="AI1202" i="1"/>
  <c r="AF1203" i="1"/>
  <c r="AG1203" i="1"/>
  <c r="BF1203" i="1"/>
  <c r="AH1203" i="1" s="1"/>
  <c r="AI1203" i="1"/>
  <c r="AF1204" i="1"/>
  <c r="AG1204" i="1"/>
  <c r="BF1204" i="1"/>
  <c r="AH1204" i="1"/>
  <c r="AI1204" i="1"/>
  <c r="AF1205" i="1"/>
  <c r="AG1205" i="1"/>
  <c r="BF1205" i="1"/>
  <c r="AH1205" i="1"/>
  <c r="AI1205" i="1"/>
  <c r="AF1206" i="1"/>
  <c r="AG1206" i="1"/>
  <c r="BF1206" i="1"/>
  <c r="AH1206" i="1" s="1"/>
  <c r="AI1206" i="1"/>
  <c r="AF1207" i="1"/>
  <c r="AG1207" i="1"/>
  <c r="BF1207" i="1"/>
  <c r="AH1207" i="1" s="1"/>
  <c r="AI1207" i="1"/>
  <c r="AF1208" i="1"/>
  <c r="AG1208" i="1"/>
  <c r="BF1208" i="1"/>
  <c r="AH1208" i="1"/>
  <c r="AI1208" i="1"/>
  <c r="AF1209" i="1"/>
  <c r="AG1209" i="1"/>
  <c r="BF1209" i="1"/>
  <c r="AH1209" i="1" s="1"/>
  <c r="AI1209" i="1"/>
  <c r="AF1210" i="1"/>
  <c r="AG1210" i="1"/>
  <c r="BF1210" i="1"/>
  <c r="AH1210" i="1"/>
  <c r="AI1210" i="1"/>
  <c r="AF1211" i="1"/>
  <c r="AG1211" i="1"/>
  <c r="BF1211" i="1"/>
  <c r="AH1211" i="1"/>
  <c r="AI1211" i="1"/>
  <c r="AF1212" i="1"/>
  <c r="AG1212" i="1"/>
  <c r="BF1212" i="1"/>
  <c r="AH1212" i="1"/>
  <c r="AI1212" i="1"/>
  <c r="AF1213" i="1"/>
  <c r="AG1213" i="1"/>
  <c r="BF1213" i="1"/>
  <c r="AH1213" i="1"/>
  <c r="AI1213" i="1"/>
  <c r="AF1214" i="1"/>
  <c r="AG1214" i="1"/>
  <c r="BF1214" i="1"/>
  <c r="AH1214" i="1"/>
  <c r="AI1214" i="1"/>
  <c r="AF1215" i="1"/>
  <c r="AG1215" i="1"/>
  <c r="BF1215" i="1"/>
  <c r="AH1215" i="1" s="1"/>
  <c r="AI1215" i="1"/>
  <c r="AF1216" i="1"/>
  <c r="AG1216" i="1"/>
  <c r="BF1216" i="1"/>
  <c r="AH1216" i="1"/>
  <c r="AI1216" i="1"/>
  <c r="AF1217" i="1"/>
  <c r="AG1217" i="1"/>
  <c r="BF1217" i="1"/>
  <c r="AH1217" i="1" s="1"/>
  <c r="AI1217" i="1"/>
  <c r="AF1218" i="1"/>
  <c r="AG1218" i="1"/>
  <c r="BF1218" i="1"/>
  <c r="AH1218" i="1" s="1"/>
  <c r="AI1218" i="1"/>
  <c r="AF1219" i="1"/>
  <c r="AG1219" i="1"/>
  <c r="BF1219" i="1"/>
  <c r="AH1219" i="1" s="1"/>
  <c r="AI1219" i="1"/>
  <c r="AF1220" i="1"/>
  <c r="AG1220" i="1"/>
  <c r="BF1220" i="1"/>
  <c r="AH1220" i="1"/>
  <c r="AI1220" i="1"/>
  <c r="AF1221" i="1"/>
  <c r="AG1221" i="1"/>
  <c r="BF1221" i="1"/>
  <c r="AH1221" i="1" s="1"/>
  <c r="AI1221" i="1"/>
  <c r="AF1238" i="1"/>
  <c r="AG1238" i="1"/>
  <c r="BF1238" i="1"/>
  <c r="AH1238" i="1"/>
  <c r="AI1238" i="1"/>
  <c r="AF1259" i="1"/>
  <c r="AG1259" i="1"/>
  <c r="BF1259" i="1"/>
  <c r="AH1259" i="1" s="1"/>
  <c r="AI1259" i="1"/>
  <c r="AF1260" i="1"/>
  <c r="AG1260" i="1"/>
  <c r="BF1260" i="1"/>
  <c r="AH1260" i="1"/>
  <c r="AI1260" i="1"/>
  <c r="AF1261" i="1"/>
  <c r="AG1261" i="1"/>
  <c r="BF1261" i="1"/>
  <c r="AH1261" i="1"/>
  <c r="AI1261" i="1"/>
  <c r="AF1644" i="1"/>
  <c r="AG1644" i="1"/>
  <c r="AF1645" i="1"/>
  <c r="AG1645" i="1"/>
  <c r="AF82" i="1"/>
  <c r="AG82" i="1"/>
  <c r="BF82" i="1"/>
  <c r="AH82" i="1"/>
  <c r="AI82" i="1"/>
  <c r="AF83" i="1"/>
  <c r="AG83" i="1"/>
  <c r="BF83" i="1"/>
  <c r="AH83" i="1"/>
  <c r="AI83" i="1"/>
  <c r="AF84" i="1"/>
  <c r="AG84" i="1"/>
  <c r="BF84" i="1"/>
  <c r="AH84" i="1"/>
  <c r="AI84" i="1"/>
  <c r="AF85" i="1"/>
  <c r="AG85" i="1"/>
  <c r="BF85" i="1"/>
  <c r="AH85" i="1"/>
  <c r="AI85" i="1"/>
  <c r="AF234" i="1"/>
  <c r="AG234" i="1"/>
  <c r="AH234" i="1"/>
  <c r="AI234" i="1"/>
  <c r="AF235" i="1"/>
  <c r="AG235" i="1"/>
  <c r="AH235" i="1"/>
  <c r="AI235" i="1"/>
  <c r="AF236" i="1"/>
  <c r="AH236" i="1"/>
  <c r="AF237" i="1"/>
  <c r="AH237" i="1"/>
  <c r="AF242" i="1"/>
  <c r="AG242" i="1"/>
  <c r="AH242" i="1"/>
  <c r="AI242" i="1"/>
  <c r="AF243" i="1"/>
  <c r="AG243" i="1"/>
  <c r="AH243" i="1"/>
  <c r="AI243" i="1"/>
  <c r="AF244" i="1"/>
  <c r="AG244" i="1"/>
  <c r="AH244" i="1"/>
  <c r="AI244" i="1"/>
  <c r="AF245" i="1"/>
  <c r="AG245" i="1"/>
  <c r="AH245" i="1"/>
  <c r="AI245" i="1"/>
  <c r="AF272" i="1"/>
  <c r="AG272" i="1"/>
  <c r="AH272" i="1"/>
  <c r="AI272" i="1"/>
  <c r="AF302" i="1"/>
  <c r="AG302" i="1"/>
  <c r="AH302" i="1"/>
  <c r="AI302" i="1"/>
  <c r="AF330" i="1"/>
  <c r="AG330" i="1"/>
  <c r="AH330" i="1"/>
  <c r="AI330" i="1"/>
  <c r="AF331" i="1"/>
  <c r="AG331" i="1"/>
  <c r="AH331" i="1"/>
  <c r="AI331" i="1"/>
  <c r="AF332" i="1"/>
  <c r="AG332" i="1"/>
  <c r="AH332" i="1"/>
  <c r="AI332" i="1"/>
  <c r="AF547" i="1"/>
  <c r="AG547" i="1"/>
  <c r="AH547" i="1"/>
  <c r="AI547" i="1"/>
  <c r="AF548" i="1"/>
  <c r="AG548" i="1"/>
  <c r="AH548" i="1"/>
  <c r="AI548" i="1"/>
  <c r="AF552" i="1"/>
  <c r="AG552" i="1"/>
  <c r="AH552" i="1"/>
  <c r="AI552" i="1"/>
  <c r="AF553" i="1"/>
  <c r="AG553" i="1"/>
  <c r="AH553" i="1"/>
  <c r="AI553" i="1"/>
  <c r="AF554" i="1"/>
  <c r="AG554" i="1"/>
  <c r="AH554" i="1"/>
  <c r="AI554" i="1"/>
  <c r="AF555" i="1"/>
  <c r="AG555" i="1"/>
  <c r="AH555" i="1"/>
  <c r="AI555" i="1"/>
  <c r="AF556" i="1"/>
  <c r="AG556" i="1"/>
  <c r="AH556" i="1"/>
  <c r="AI556" i="1"/>
  <c r="AF557" i="1"/>
  <c r="AG557" i="1"/>
  <c r="AH557" i="1"/>
  <c r="AI557" i="1"/>
  <c r="AF558" i="1"/>
  <c r="AG558" i="1"/>
  <c r="AF560" i="1"/>
  <c r="AG560" i="1"/>
  <c r="AH560" i="1"/>
  <c r="AI560" i="1"/>
  <c r="AF571" i="1"/>
  <c r="AG571" i="1"/>
  <c r="AH571" i="1"/>
  <c r="AI571" i="1"/>
  <c r="AF572" i="1"/>
  <c r="AG572" i="1"/>
  <c r="AH572" i="1"/>
  <c r="AI572" i="1"/>
  <c r="AF573" i="1"/>
  <c r="AG573" i="1"/>
  <c r="AH573" i="1"/>
  <c r="AI573" i="1"/>
  <c r="AF574" i="1"/>
  <c r="AG574" i="1"/>
  <c r="AH574" i="1"/>
  <c r="AI574" i="1"/>
  <c r="AF575" i="1"/>
  <c r="AG575" i="1"/>
  <c r="AH575" i="1"/>
  <c r="AI575" i="1"/>
  <c r="AF578" i="1"/>
  <c r="AG578" i="1"/>
  <c r="AH578" i="1"/>
  <c r="AI578" i="1"/>
  <c r="AF579" i="1"/>
  <c r="AG579" i="1"/>
  <c r="AH579" i="1"/>
  <c r="AI579" i="1"/>
  <c r="AF580" i="1"/>
  <c r="AG580" i="1"/>
  <c r="AI580" i="1"/>
  <c r="AF581" i="1"/>
  <c r="AG581" i="1"/>
  <c r="AI581" i="1"/>
  <c r="AF582" i="1"/>
  <c r="AG582" i="1"/>
  <c r="AF583" i="1"/>
  <c r="AG583" i="1"/>
  <c r="AF584" i="1"/>
  <c r="AG584" i="1"/>
  <c r="AF585" i="1"/>
  <c r="AG585" i="1"/>
  <c r="AF586" i="1"/>
  <c r="AG586" i="1"/>
  <c r="AF587" i="1"/>
  <c r="AG587" i="1"/>
  <c r="AF602" i="1"/>
  <c r="AG602" i="1"/>
  <c r="AH602" i="1"/>
  <c r="AI602" i="1"/>
  <c r="AF603" i="1"/>
  <c r="AG603" i="1"/>
  <c r="AH603" i="1"/>
  <c r="AI603" i="1"/>
  <c r="AF625" i="1"/>
  <c r="AG625" i="1"/>
  <c r="AH625" i="1"/>
  <c r="AI625" i="1"/>
  <c r="AF636" i="1"/>
  <c r="AG636" i="1"/>
  <c r="AH636" i="1"/>
  <c r="AI636" i="1"/>
  <c r="AF644" i="1"/>
  <c r="AG644" i="1"/>
  <c r="BF644" i="1"/>
  <c r="AH644" i="1"/>
  <c r="AI644" i="1"/>
  <c r="AF808" i="1"/>
  <c r="AG808" i="1"/>
  <c r="AH808" i="1"/>
  <c r="AI808" i="1"/>
  <c r="AF849" i="1"/>
  <c r="AG849" i="1"/>
  <c r="AH849" i="1"/>
  <c r="AI849" i="1"/>
  <c r="AF850" i="1"/>
  <c r="AG850" i="1"/>
  <c r="AH850" i="1"/>
  <c r="AI850" i="1"/>
  <c r="AF853" i="1"/>
  <c r="AH853" i="1"/>
  <c r="AF854" i="1"/>
  <c r="AH854" i="1"/>
  <c r="AF882" i="1"/>
  <c r="AG882" i="1"/>
  <c r="AH882" i="1"/>
  <c r="AI882" i="1"/>
  <c r="AF883" i="1"/>
  <c r="AG883" i="1"/>
  <c r="AH883" i="1"/>
  <c r="AI883" i="1"/>
  <c r="AF884" i="1"/>
  <c r="AG884" i="1"/>
  <c r="AH884" i="1"/>
  <c r="AI884" i="1"/>
  <c r="AF898" i="1"/>
  <c r="AG898" i="1"/>
  <c r="AH898" i="1"/>
  <c r="AI898" i="1"/>
  <c r="AF899" i="1"/>
  <c r="AG899" i="1"/>
  <c r="AH899" i="1"/>
  <c r="AI899" i="1"/>
  <c r="AF979" i="1"/>
  <c r="AG979" i="1"/>
  <c r="AH979" i="1"/>
  <c r="AI979" i="1"/>
  <c r="AF980" i="1"/>
  <c r="AG980" i="1"/>
  <c r="AH980" i="1"/>
  <c r="AI980" i="1"/>
  <c r="AF981" i="1"/>
  <c r="AG981" i="1"/>
  <c r="AH981" i="1"/>
  <c r="AI981" i="1"/>
  <c r="AF982" i="1"/>
  <c r="AG982" i="1"/>
  <c r="AH982" i="1"/>
  <c r="AI982" i="1"/>
  <c r="AF983" i="1"/>
  <c r="AG983" i="1"/>
  <c r="AH983" i="1"/>
  <c r="AI983" i="1"/>
  <c r="AF984" i="1"/>
  <c r="AG984" i="1"/>
  <c r="AH984" i="1"/>
  <c r="AI984" i="1"/>
  <c r="AF985" i="1"/>
  <c r="AG985" i="1"/>
  <c r="AH985" i="1"/>
  <c r="AI985" i="1"/>
  <c r="AF986" i="1"/>
  <c r="AG986" i="1"/>
  <c r="AH986" i="1"/>
  <c r="AI986" i="1"/>
  <c r="AF987" i="1"/>
  <c r="AG987" i="1"/>
  <c r="AH987" i="1"/>
  <c r="AI987" i="1"/>
  <c r="AF988" i="1"/>
  <c r="AG988" i="1"/>
  <c r="AH988" i="1"/>
  <c r="AI988" i="1"/>
  <c r="AF989" i="1"/>
  <c r="AG989" i="1"/>
  <c r="AH989" i="1"/>
  <c r="AI989" i="1"/>
  <c r="AF990" i="1"/>
  <c r="AG990" i="1"/>
  <c r="AH990" i="1"/>
  <c r="AI990" i="1"/>
  <c r="AF991" i="1"/>
  <c r="AG991" i="1"/>
  <c r="AH991" i="1"/>
  <c r="AI991" i="1"/>
  <c r="AF992" i="1"/>
  <c r="AG992" i="1"/>
  <c r="AH992" i="1"/>
  <c r="AI992" i="1"/>
  <c r="AF993" i="1"/>
  <c r="AG993" i="1"/>
  <c r="AH993" i="1"/>
  <c r="AI993" i="1"/>
  <c r="AF994" i="1"/>
  <c r="AG994" i="1"/>
  <c r="AH994" i="1"/>
  <c r="AI994" i="1"/>
  <c r="AF995" i="1"/>
  <c r="AG995" i="1"/>
  <c r="AH995" i="1"/>
  <c r="AI995" i="1"/>
  <c r="AF996" i="1"/>
  <c r="AG996" i="1"/>
  <c r="AH996" i="1"/>
  <c r="AI996" i="1"/>
  <c r="AF997" i="1"/>
  <c r="AG997" i="1"/>
  <c r="AH997" i="1"/>
  <c r="AI997" i="1"/>
  <c r="AF998" i="1"/>
  <c r="AG998" i="1"/>
  <c r="AH998" i="1"/>
  <c r="AI998" i="1"/>
  <c r="AF999" i="1"/>
  <c r="AG999" i="1"/>
  <c r="AH999" i="1"/>
  <c r="AI999" i="1"/>
  <c r="AF1000" i="1"/>
  <c r="AG1000" i="1"/>
  <c r="AH1000" i="1"/>
  <c r="AI1000" i="1"/>
  <c r="AF1001" i="1"/>
  <c r="AG1001" i="1"/>
  <c r="AH1001" i="1"/>
  <c r="AI1001" i="1"/>
  <c r="AF1002" i="1"/>
  <c r="AG1002" i="1"/>
  <c r="AH1002" i="1"/>
  <c r="AI1002" i="1"/>
  <c r="AF1003" i="1"/>
  <c r="AG1003" i="1"/>
  <c r="AH1003" i="1"/>
  <c r="AI1003" i="1"/>
  <c r="AF1004" i="1"/>
  <c r="AG1004" i="1"/>
  <c r="AH1004" i="1"/>
  <c r="AI1004" i="1"/>
  <c r="AF1005" i="1"/>
  <c r="AG1005" i="1"/>
  <c r="AH1005" i="1"/>
  <c r="AI1005" i="1"/>
  <c r="AF1016" i="1"/>
  <c r="AG1016" i="1"/>
  <c r="AH1016" i="1"/>
  <c r="AI1016" i="1"/>
  <c r="AF1272" i="1"/>
  <c r="AG1272" i="1"/>
  <c r="BF1272" i="1"/>
  <c r="AH1272" i="1"/>
  <c r="AI1272" i="1"/>
  <c r="AF1307" i="1"/>
  <c r="AG1307" i="1"/>
  <c r="BF1307" i="1"/>
  <c r="AH1307" i="1" s="1"/>
  <c r="AI1307" i="1"/>
  <c r="AS1368" i="1"/>
  <c r="AF1368" i="1"/>
  <c r="AG1368" i="1"/>
  <c r="BF1368" i="1"/>
  <c r="AH1368" i="1"/>
  <c r="AI1368" i="1"/>
  <c r="AS1369" i="1"/>
  <c r="AF1369" i="1"/>
  <c r="AG1369" i="1"/>
  <c r="BF1369" i="1"/>
  <c r="AH1369" i="1" s="1"/>
  <c r="AI1369" i="1"/>
  <c r="AS1370" i="1"/>
  <c r="AF1370" i="1"/>
  <c r="AG1370" i="1"/>
  <c r="BF1370" i="1"/>
  <c r="AH1370" i="1"/>
  <c r="AI1370" i="1"/>
  <c r="AF1375" i="1"/>
  <c r="AG1375" i="1"/>
  <c r="AF1474" i="1"/>
  <c r="AG1474" i="1"/>
  <c r="BF1474" i="1"/>
  <c r="AH1474" i="1"/>
  <c r="AI1474" i="1"/>
  <c r="AF1475" i="1"/>
  <c r="AG1475" i="1"/>
  <c r="BF1475" i="1"/>
  <c r="AH1475" i="1"/>
  <c r="AI1475" i="1"/>
  <c r="AF1476" i="1"/>
  <c r="AG1476" i="1"/>
  <c r="BF1476" i="1"/>
  <c r="AH1476" i="1"/>
  <c r="AI1476" i="1"/>
  <c r="AS1481" i="1"/>
  <c r="AF1481" i="1" s="1"/>
  <c r="AG1481" i="1"/>
  <c r="AW1481" i="1"/>
  <c r="AX1481" i="1"/>
  <c r="AF1512" i="1"/>
  <c r="AG1512" i="1"/>
  <c r="BF1512" i="1"/>
  <c r="AH1512" i="1"/>
  <c r="AI1512" i="1"/>
  <c r="AS1543" i="1"/>
  <c r="AF1543" i="1" s="1"/>
  <c r="AG1543" i="1"/>
  <c r="BF1543" i="1"/>
  <c r="AH1543" i="1"/>
  <c r="AI1543" i="1"/>
  <c r="AS1544" i="1"/>
  <c r="AF1544" i="1"/>
  <c r="AG1544" i="1"/>
  <c r="BF1544" i="1"/>
  <c r="AH1544" i="1"/>
  <c r="AI1544" i="1"/>
  <c r="AS1546" i="1"/>
  <c r="AF1546" i="1" s="1"/>
  <c r="AG1546" i="1"/>
  <c r="BF1546" i="1"/>
  <c r="AH1546" i="1"/>
  <c r="AI1546" i="1"/>
  <c r="AF1553" i="1"/>
  <c r="AG1553" i="1"/>
  <c r="BF1553" i="1"/>
  <c r="AH1553" i="1" s="1"/>
  <c r="AI1553" i="1"/>
  <c r="AF1554" i="1"/>
  <c r="AG1554" i="1"/>
  <c r="BF1554" i="1"/>
  <c r="AH1554" i="1"/>
  <c r="AI1554" i="1"/>
  <c r="AS1604" i="1"/>
  <c r="AF1604" i="1"/>
  <c r="AG1604" i="1"/>
  <c r="BF1604" i="1"/>
  <c r="AH1604" i="1"/>
  <c r="AI1604" i="1"/>
  <c r="AS1605" i="1"/>
  <c r="AF1605" i="1" s="1"/>
  <c r="AG1605" i="1"/>
  <c r="BF1605" i="1"/>
  <c r="AH1605" i="1"/>
  <c r="AI1605" i="1"/>
  <c r="AS1606" i="1"/>
  <c r="AF1606" i="1"/>
  <c r="AG1606" i="1"/>
  <c r="BF1606" i="1"/>
  <c r="AH1606" i="1"/>
  <c r="AI1606" i="1"/>
  <c r="AF2" i="1"/>
  <c r="AG2" i="1"/>
  <c r="AF14" i="1"/>
  <c r="AG14" i="1"/>
  <c r="AH14" i="1"/>
  <c r="AI14" i="1"/>
  <c r="AF15" i="1"/>
  <c r="AG15" i="1"/>
  <c r="AI15" i="1"/>
  <c r="AF17" i="1"/>
  <c r="AG17" i="1"/>
  <c r="AH17" i="1"/>
  <c r="AI17" i="1"/>
  <c r="AF18" i="1"/>
  <c r="AG18" i="1"/>
  <c r="AH18" i="1"/>
  <c r="AI18" i="1"/>
  <c r="AF19" i="1"/>
  <c r="AG19" i="1"/>
  <c r="AH19" i="1"/>
  <c r="AI19" i="1"/>
  <c r="AF22" i="1"/>
  <c r="AG22" i="1"/>
  <c r="AH22" i="1"/>
  <c r="AI22" i="1"/>
  <c r="AF23" i="1"/>
  <c r="AG23" i="1"/>
  <c r="AH23" i="1"/>
  <c r="AI23" i="1"/>
  <c r="AF24" i="1"/>
  <c r="AG24" i="1"/>
  <c r="AH24" i="1"/>
  <c r="AI24" i="1"/>
  <c r="AF25" i="1"/>
  <c r="AG25" i="1"/>
  <c r="AH25" i="1"/>
  <c r="AI25" i="1"/>
  <c r="AF26" i="1"/>
  <c r="AG26" i="1"/>
  <c r="AH26" i="1"/>
  <c r="AI26" i="1"/>
  <c r="AF27" i="1"/>
  <c r="AG27" i="1"/>
  <c r="AH27" i="1"/>
  <c r="AI27" i="1"/>
  <c r="AF28" i="1"/>
  <c r="AG28" i="1"/>
  <c r="AH28" i="1"/>
  <c r="AI28" i="1"/>
  <c r="AF29" i="1"/>
  <c r="AG29" i="1"/>
  <c r="AH29" i="1"/>
  <c r="AI29" i="1"/>
  <c r="AF30" i="1"/>
  <c r="AG30" i="1"/>
  <c r="AH30" i="1"/>
  <c r="AI30" i="1"/>
  <c r="AF37" i="1"/>
  <c r="AG37" i="1"/>
  <c r="AH37" i="1"/>
  <c r="AI37" i="1"/>
  <c r="AF38" i="1"/>
  <c r="AG38" i="1"/>
  <c r="AH38" i="1"/>
  <c r="AI38" i="1"/>
  <c r="AF39" i="1"/>
  <c r="AG39" i="1"/>
  <c r="AH39" i="1"/>
  <c r="AI39" i="1"/>
  <c r="AF40" i="1"/>
  <c r="AG40" i="1"/>
  <c r="AH40" i="1"/>
  <c r="AI40" i="1"/>
  <c r="AF41" i="1"/>
  <c r="AG41" i="1"/>
  <c r="AH41" i="1"/>
  <c r="AF42" i="1"/>
  <c r="AG42" i="1"/>
  <c r="AH42" i="1"/>
  <c r="AW42" i="1"/>
  <c r="AF43" i="1"/>
  <c r="AG43" i="1"/>
  <c r="AH43" i="1"/>
  <c r="AI43" i="1"/>
  <c r="AF44" i="1"/>
  <c r="AG44" i="1"/>
  <c r="AH44" i="1"/>
  <c r="AI44" i="1"/>
  <c r="AF45" i="1"/>
  <c r="AG45" i="1"/>
  <c r="AH45" i="1"/>
  <c r="AI45" i="1"/>
  <c r="AF46" i="1"/>
  <c r="AG46" i="1"/>
  <c r="AH46" i="1"/>
  <c r="AI46" i="1"/>
  <c r="AF47" i="1"/>
  <c r="AG47" i="1"/>
  <c r="AH47" i="1"/>
  <c r="AI47" i="1"/>
  <c r="AF75" i="1"/>
  <c r="AG75" i="1"/>
  <c r="AH75" i="1"/>
  <c r="AI75" i="1"/>
  <c r="AF76" i="1"/>
  <c r="AG76" i="1"/>
  <c r="AH76" i="1"/>
  <c r="AI76" i="1"/>
  <c r="AF77" i="1"/>
  <c r="AG77" i="1"/>
  <c r="AH77" i="1"/>
  <c r="AI77" i="1"/>
  <c r="AF78" i="1"/>
  <c r="AG78" i="1"/>
  <c r="AH78" i="1"/>
  <c r="AI78" i="1"/>
  <c r="AF79" i="1"/>
  <c r="AG79" i="1"/>
  <c r="AH79" i="1"/>
  <c r="AI79" i="1"/>
  <c r="AF80" i="1"/>
  <c r="AG80" i="1"/>
  <c r="AH80" i="1"/>
  <c r="AI80" i="1"/>
  <c r="AF81" i="1"/>
  <c r="AG81" i="1"/>
  <c r="AH81" i="1"/>
  <c r="AI81" i="1"/>
  <c r="AF110" i="1"/>
  <c r="AG110" i="1"/>
  <c r="AH110" i="1"/>
  <c r="AI110" i="1"/>
  <c r="AF111" i="1"/>
  <c r="AG111" i="1"/>
  <c r="AH111" i="1"/>
  <c r="AI111" i="1"/>
  <c r="AF112" i="1"/>
  <c r="AG112" i="1"/>
  <c r="AH112" i="1"/>
  <c r="AI112" i="1"/>
  <c r="AF114" i="1"/>
  <c r="AG114" i="1"/>
  <c r="AH114" i="1"/>
  <c r="AI114" i="1"/>
  <c r="AF116" i="1"/>
  <c r="AG116" i="1"/>
  <c r="AH116" i="1"/>
  <c r="AI116" i="1"/>
  <c r="AF172" i="1"/>
  <c r="AG172" i="1"/>
  <c r="AH172" i="1"/>
  <c r="AI172" i="1"/>
  <c r="AF173" i="1"/>
  <c r="AG173" i="1"/>
  <c r="AH173" i="1"/>
  <c r="AI173" i="1"/>
  <c r="AF174" i="1"/>
  <c r="AG174" i="1"/>
  <c r="AH174" i="1"/>
  <c r="AI174" i="1"/>
  <c r="AF175" i="1"/>
  <c r="AG175" i="1"/>
  <c r="AH175" i="1"/>
  <c r="AI175" i="1"/>
  <c r="AF176" i="1"/>
  <c r="AG176" i="1"/>
  <c r="AH176" i="1"/>
  <c r="AI176" i="1"/>
  <c r="AF177" i="1"/>
  <c r="AG177" i="1"/>
  <c r="AH177" i="1"/>
  <c r="AI177" i="1"/>
  <c r="AF178" i="1"/>
  <c r="AG178" i="1"/>
  <c r="AH178" i="1"/>
  <c r="AI178" i="1"/>
  <c r="AF179" i="1"/>
  <c r="AG179" i="1"/>
  <c r="AH179" i="1"/>
  <c r="AI179" i="1"/>
  <c r="AF180" i="1"/>
  <c r="AG180" i="1"/>
  <c r="AH180" i="1"/>
  <c r="AI180" i="1"/>
  <c r="AF181" i="1"/>
  <c r="AG181" i="1"/>
  <c r="AH181" i="1"/>
  <c r="AI181" i="1"/>
  <c r="AF182" i="1"/>
  <c r="AG182" i="1"/>
  <c r="AH182" i="1"/>
  <c r="AI182" i="1"/>
  <c r="AF183" i="1"/>
  <c r="AG183" i="1"/>
  <c r="AH183" i="1"/>
  <c r="AI183" i="1"/>
  <c r="AF184" i="1"/>
  <c r="AG184" i="1"/>
  <c r="AH184" i="1"/>
  <c r="AI184" i="1"/>
  <c r="AF185" i="1"/>
  <c r="AG185" i="1"/>
  <c r="AH185" i="1"/>
  <c r="AI185" i="1"/>
  <c r="AF190" i="1"/>
  <c r="AG190" i="1"/>
  <c r="AH190" i="1"/>
  <c r="AI190" i="1"/>
  <c r="AF191" i="1"/>
  <c r="AG191" i="1"/>
  <c r="AH191" i="1"/>
  <c r="AI191" i="1"/>
  <c r="AF192" i="1"/>
  <c r="AG192" i="1"/>
  <c r="AH192" i="1"/>
  <c r="AI192" i="1"/>
  <c r="AF193" i="1"/>
  <c r="AG193" i="1"/>
  <c r="AH193" i="1"/>
  <c r="AI193" i="1"/>
  <c r="AF194" i="1"/>
  <c r="AG194" i="1"/>
  <c r="AH194" i="1"/>
  <c r="AI194" i="1"/>
  <c r="AF195" i="1"/>
  <c r="AG195" i="1"/>
  <c r="AH195" i="1"/>
  <c r="AI195" i="1"/>
  <c r="AF196" i="1"/>
  <c r="AG196" i="1"/>
  <c r="AH196" i="1"/>
  <c r="AI196" i="1"/>
  <c r="AF197" i="1"/>
  <c r="AG197" i="1"/>
  <c r="AH197" i="1"/>
  <c r="AI197" i="1"/>
  <c r="AF198" i="1"/>
  <c r="AG198" i="1"/>
  <c r="AH198" i="1"/>
  <c r="AI198" i="1"/>
  <c r="AF199" i="1"/>
  <c r="AG199" i="1"/>
  <c r="AH199" i="1"/>
  <c r="AI199" i="1"/>
  <c r="AF200" i="1"/>
  <c r="AG200" i="1"/>
  <c r="AH200" i="1"/>
  <c r="AI200" i="1"/>
  <c r="AF201" i="1"/>
  <c r="AG201" i="1"/>
  <c r="AH201" i="1"/>
  <c r="AI201" i="1"/>
  <c r="AF202" i="1"/>
  <c r="AG202" i="1"/>
  <c r="AH202" i="1"/>
  <c r="AI202" i="1"/>
  <c r="AF203" i="1"/>
  <c r="AG203" i="1"/>
  <c r="AH203" i="1"/>
  <c r="AI203" i="1"/>
  <c r="AF204" i="1"/>
  <c r="AG204" i="1"/>
  <c r="AH204" i="1"/>
  <c r="AI204" i="1"/>
  <c r="AF205" i="1"/>
  <c r="AG205" i="1"/>
  <c r="AH205" i="1"/>
  <c r="AI205" i="1"/>
  <c r="AF206" i="1"/>
  <c r="AG206" i="1"/>
  <c r="AH206" i="1"/>
  <c r="AI206" i="1"/>
  <c r="AF207" i="1"/>
  <c r="AG207" i="1"/>
  <c r="AH207" i="1"/>
  <c r="AI207" i="1"/>
  <c r="AF208" i="1"/>
  <c r="AG208" i="1"/>
  <c r="AH208" i="1"/>
  <c r="AI208" i="1"/>
  <c r="AF209" i="1"/>
  <c r="AG209" i="1"/>
  <c r="AH209" i="1"/>
  <c r="AI209" i="1"/>
  <c r="AF210" i="1"/>
  <c r="AG210" i="1"/>
  <c r="AH210" i="1"/>
  <c r="AI210" i="1"/>
  <c r="AF211" i="1"/>
  <c r="AG211" i="1"/>
  <c r="AH211" i="1"/>
  <c r="AI211" i="1"/>
  <c r="AF212" i="1"/>
  <c r="AG212" i="1"/>
  <c r="AH212" i="1"/>
  <c r="AI212" i="1"/>
  <c r="AF213" i="1"/>
  <c r="AG213" i="1"/>
  <c r="AH213" i="1"/>
  <c r="AI213" i="1"/>
  <c r="AF214" i="1"/>
  <c r="AG214" i="1"/>
  <c r="AH214" i="1"/>
  <c r="AI214" i="1"/>
  <c r="AF215" i="1"/>
  <c r="AG215" i="1"/>
  <c r="AH215" i="1"/>
  <c r="AI215" i="1"/>
  <c r="AF238" i="1"/>
  <c r="AH238" i="1"/>
  <c r="AI238" i="1"/>
  <c r="AF239" i="1"/>
  <c r="AH239" i="1"/>
  <c r="AI239" i="1"/>
  <c r="AF265" i="1"/>
  <c r="AG265" i="1"/>
  <c r="AH265" i="1"/>
  <c r="AI265" i="1"/>
  <c r="AF266" i="1"/>
  <c r="AG266" i="1"/>
  <c r="AH266" i="1"/>
  <c r="AI266" i="1"/>
  <c r="AF267" i="1"/>
  <c r="AG267" i="1"/>
  <c r="AH267" i="1"/>
  <c r="AI267" i="1"/>
  <c r="AF286" i="1"/>
  <c r="AG286" i="1"/>
  <c r="AH286" i="1"/>
  <c r="AI286" i="1"/>
  <c r="AF588" i="1"/>
  <c r="AG588" i="1"/>
  <c r="AH588" i="1"/>
  <c r="AI588" i="1"/>
  <c r="AF589" i="1"/>
  <c r="AG589" i="1"/>
  <c r="AH589" i="1"/>
  <c r="AI589" i="1"/>
  <c r="AF590" i="1"/>
  <c r="AG590" i="1"/>
  <c r="AH590" i="1"/>
  <c r="AI590" i="1"/>
  <c r="AF591" i="1"/>
  <c r="AG591" i="1"/>
  <c r="AH591" i="1"/>
  <c r="AI591" i="1"/>
  <c r="AF592" i="1"/>
  <c r="AG592" i="1"/>
  <c r="AH592" i="1"/>
  <c r="AI592" i="1"/>
  <c r="AF593" i="1"/>
  <c r="AG593" i="1"/>
  <c r="AH593" i="1"/>
  <c r="AI593" i="1"/>
  <c r="AF594" i="1"/>
  <c r="AG594" i="1"/>
  <c r="AH594" i="1"/>
  <c r="AI594" i="1"/>
  <c r="AF595" i="1"/>
  <c r="AG595" i="1"/>
  <c r="AH595" i="1"/>
  <c r="AI595" i="1"/>
  <c r="AF596" i="1"/>
  <c r="AG596" i="1"/>
  <c r="AH596" i="1"/>
  <c r="AI596" i="1"/>
  <c r="AF597" i="1"/>
  <c r="AG597" i="1"/>
  <c r="AH597" i="1"/>
  <c r="AI597" i="1"/>
  <c r="AF598" i="1"/>
  <c r="AG598" i="1"/>
  <c r="AH598" i="1"/>
  <c r="AI598" i="1"/>
  <c r="AF599" i="1"/>
  <c r="AG599" i="1"/>
  <c r="AH599" i="1"/>
  <c r="AI599" i="1"/>
  <c r="AF600" i="1"/>
  <c r="AG600" i="1"/>
  <c r="AH600" i="1"/>
  <c r="AI600" i="1"/>
  <c r="AF601" i="1"/>
  <c r="AG601" i="1"/>
  <c r="AH601" i="1"/>
  <c r="AI601" i="1"/>
  <c r="AF606" i="1"/>
  <c r="AG606" i="1"/>
  <c r="AH606" i="1"/>
  <c r="AI606" i="1"/>
  <c r="AF607" i="1"/>
  <c r="AG607" i="1"/>
  <c r="AH607" i="1"/>
  <c r="AI607" i="1"/>
  <c r="AF648" i="1"/>
  <c r="AG648" i="1"/>
  <c r="AH648" i="1"/>
  <c r="AI648" i="1"/>
  <c r="AF766" i="1"/>
  <c r="AG766" i="1"/>
  <c r="AI766" i="1"/>
  <c r="AF767" i="1"/>
  <c r="AG767" i="1"/>
  <c r="AI767" i="1"/>
  <c r="AF1237" i="1"/>
  <c r="AG1237" i="1"/>
  <c r="BF1237" i="1"/>
  <c r="AH1237" i="1"/>
  <c r="AI1237" i="1"/>
  <c r="AF1239" i="1"/>
  <c r="AG1239" i="1"/>
  <c r="BF1239" i="1"/>
  <c r="AH1239" i="1" s="1"/>
  <c r="AI1239" i="1"/>
  <c r="AF1267" i="1"/>
  <c r="AG1267" i="1"/>
  <c r="BF1267" i="1"/>
  <c r="AH1267" i="1"/>
  <c r="AI1267" i="1"/>
  <c r="AF1268" i="1"/>
  <c r="AG1268" i="1"/>
  <c r="BF1268" i="1"/>
  <c r="AH1268" i="1" s="1"/>
  <c r="AI1268" i="1"/>
  <c r="AF1269" i="1"/>
  <c r="AG1269" i="1"/>
  <c r="BF1269" i="1"/>
  <c r="AH1269" i="1"/>
  <c r="AI1269" i="1"/>
  <c r="AF1274" i="1"/>
  <c r="AG1274" i="1"/>
  <c r="BF1274" i="1"/>
  <c r="AH1274" i="1" s="1"/>
  <c r="AY1274" i="1"/>
  <c r="AF1275" i="1"/>
  <c r="AG1275" i="1"/>
  <c r="AF1276" i="1"/>
  <c r="AG1276" i="1"/>
  <c r="BF1276" i="1"/>
  <c r="AH1276" i="1"/>
  <c r="AI1276" i="1"/>
  <c r="AS1277" i="1"/>
  <c r="AF1277" i="1"/>
  <c r="AG1277" i="1"/>
  <c r="BF1277" i="1"/>
  <c r="AH1277" i="1"/>
  <c r="AI1277" i="1"/>
  <c r="AS1278" i="1"/>
  <c r="AF1278" i="1" s="1"/>
  <c r="AG1278" i="1"/>
  <c r="BF1278" i="1"/>
  <c r="AH1278" i="1"/>
  <c r="AI1278" i="1"/>
  <c r="AS1279" i="1"/>
  <c r="AF1279" i="1"/>
  <c r="AG1279" i="1"/>
  <c r="BF1279" i="1"/>
  <c r="AH1279" i="1"/>
  <c r="AI1279" i="1"/>
  <c r="AS1280" i="1"/>
  <c r="AF1280" i="1" s="1"/>
  <c r="AG1280" i="1"/>
  <c r="BF1280" i="1"/>
  <c r="AH1280" i="1"/>
  <c r="AI1280" i="1"/>
  <c r="AF1322" i="1"/>
  <c r="AG1322" i="1"/>
  <c r="BF1322" i="1"/>
  <c r="AH1322" i="1" s="1"/>
  <c r="AI1322" i="1"/>
  <c r="AS1323" i="1"/>
  <c r="AF1323" i="1"/>
  <c r="AG1323" i="1"/>
  <c r="BF1323" i="1"/>
  <c r="AH1323" i="1" s="1"/>
  <c r="AI1323" i="1"/>
  <c r="AS1367" i="1"/>
  <c r="AF1367" i="1"/>
  <c r="AG1367" i="1"/>
  <c r="AF1376" i="1"/>
  <c r="AG1376" i="1"/>
  <c r="BF1376" i="1"/>
  <c r="AH1376" i="1" s="1"/>
  <c r="AI1376" i="1"/>
  <c r="AF1377" i="1"/>
  <c r="AG1377" i="1"/>
  <c r="BF1377" i="1"/>
  <c r="AH1377" i="1"/>
  <c r="AI1377" i="1"/>
  <c r="AF1378" i="1"/>
  <c r="AG1378" i="1"/>
  <c r="BF1378" i="1"/>
  <c r="AH1378" i="1" s="1"/>
  <c r="AI1378" i="1"/>
  <c r="AF1379" i="1"/>
  <c r="AG1379" i="1"/>
  <c r="BF1379" i="1"/>
  <c r="AH1379" i="1"/>
  <c r="AI1379" i="1"/>
  <c r="AF1398" i="1"/>
  <c r="AG1398" i="1"/>
  <c r="BF1398" i="1"/>
  <c r="AH1398" i="1"/>
  <c r="AI1398" i="1"/>
  <c r="BF1405" i="1"/>
  <c r="AH1405" i="1"/>
  <c r="AI1405" i="1"/>
  <c r="BF1406" i="1"/>
  <c r="AH1406" i="1" s="1"/>
  <c r="AI1406" i="1"/>
  <c r="BF1407" i="1"/>
  <c r="AH1407" i="1"/>
  <c r="AI1407" i="1"/>
  <c r="AS1426" i="1"/>
  <c r="AF1426" i="1"/>
  <c r="AG1426" i="1"/>
  <c r="BF1426" i="1"/>
  <c r="AH1426" i="1"/>
  <c r="AI1426" i="1"/>
  <c r="AS1427" i="1"/>
  <c r="AF1427" i="1" s="1"/>
  <c r="AG1427" i="1"/>
  <c r="BF1427" i="1"/>
  <c r="AH1427" i="1"/>
  <c r="AI1427" i="1"/>
  <c r="AS1428" i="1"/>
  <c r="AF1428" i="1"/>
  <c r="AG1428" i="1"/>
  <c r="BF1428" i="1"/>
  <c r="AH1428" i="1"/>
  <c r="AI1428" i="1"/>
  <c r="AS1429" i="1"/>
  <c r="AF1429" i="1" s="1"/>
  <c r="AG1429" i="1"/>
  <c r="BF1429" i="1"/>
  <c r="AH1429" i="1"/>
  <c r="AI1429" i="1"/>
  <c r="AS1430" i="1"/>
  <c r="AF1430" i="1"/>
  <c r="AG1430" i="1"/>
  <c r="BF1430" i="1"/>
  <c r="AH1430" i="1"/>
  <c r="AI1430" i="1"/>
  <c r="AS1431" i="1"/>
  <c r="AF1431" i="1" s="1"/>
  <c r="AG1431" i="1"/>
  <c r="BF1431" i="1"/>
  <c r="AH1431" i="1"/>
  <c r="AI1431" i="1"/>
  <c r="AF1436" i="1"/>
  <c r="AG1436" i="1"/>
  <c r="BF1436" i="1"/>
  <c r="AH1436" i="1" s="1"/>
  <c r="AI1436" i="1"/>
  <c r="AF1437" i="1"/>
  <c r="AG1437" i="1"/>
  <c r="BF1437" i="1"/>
  <c r="AH1437" i="1"/>
  <c r="AI1437" i="1"/>
  <c r="AF1438" i="1"/>
  <c r="AG1438" i="1"/>
  <c r="BF1438" i="1"/>
  <c r="AH1438" i="1"/>
  <c r="AI1438" i="1"/>
  <c r="AF1439" i="1"/>
  <c r="AG1439" i="1"/>
  <c r="BF1439" i="1"/>
  <c r="AH1439" i="1"/>
  <c r="AI1439" i="1"/>
  <c r="AF1440" i="1"/>
  <c r="AG1440" i="1"/>
  <c r="BF1440" i="1"/>
  <c r="AH1440" i="1"/>
  <c r="AI1440" i="1"/>
  <c r="AF1441" i="1"/>
  <c r="AG1441" i="1"/>
  <c r="BF1441" i="1"/>
  <c r="AH1441" i="1"/>
  <c r="AI1441" i="1"/>
  <c r="AF1442" i="1"/>
  <c r="AG1442" i="1"/>
  <c r="BF1442" i="1"/>
  <c r="AH1442" i="1" s="1"/>
  <c r="AI1442" i="1"/>
  <c r="AF1443" i="1"/>
  <c r="AG1443" i="1"/>
  <c r="BF1443" i="1"/>
  <c r="AH1443" i="1"/>
  <c r="AI1443" i="1"/>
  <c r="AF1444" i="1"/>
  <c r="AG1444" i="1"/>
  <c r="BF1444" i="1"/>
  <c r="AH1444" i="1" s="1"/>
  <c r="AI1444" i="1"/>
  <c r="AF1453" i="1"/>
  <c r="AG1453" i="1"/>
  <c r="AH1453" i="1"/>
  <c r="AI1453" i="1"/>
  <c r="AF1454" i="1"/>
  <c r="AG1454" i="1"/>
  <c r="AH1454" i="1"/>
  <c r="AI1454" i="1"/>
  <c r="AF1455" i="1"/>
  <c r="AG1455" i="1"/>
  <c r="AH1455" i="1"/>
  <c r="AI1455" i="1"/>
  <c r="AS1461" i="1"/>
  <c r="AF1461" i="1"/>
  <c r="AG1461" i="1"/>
  <c r="BF1461" i="1"/>
  <c r="AH1461" i="1"/>
  <c r="AI1461" i="1"/>
  <c r="AS1462" i="1"/>
  <c r="AF1462" i="1"/>
  <c r="AG1462" i="1"/>
  <c r="BF1462" i="1"/>
  <c r="AH1462" i="1" s="1"/>
  <c r="AI1462" i="1"/>
  <c r="AS1482" i="1"/>
  <c r="AF1482" i="1"/>
  <c r="AG1482" i="1"/>
  <c r="BF1482" i="1"/>
  <c r="AH1482" i="1"/>
  <c r="AI1482" i="1"/>
  <c r="AS1486" i="1"/>
  <c r="AF1486" i="1"/>
  <c r="AG1486" i="1"/>
  <c r="BF1486" i="1"/>
  <c r="AH1486" i="1" s="1"/>
  <c r="AI1486" i="1"/>
  <c r="AS1487" i="1"/>
  <c r="AF1487" i="1"/>
  <c r="AG1487" i="1"/>
  <c r="BF1487" i="1"/>
  <c r="AH1487" i="1"/>
  <c r="AI1487" i="1"/>
  <c r="AF1551" i="1"/>
  <c r="AG1551" i="1"/>
  <c r="BF1551" i="1"/>
  <c r="AH1551" i="1"/>
  <c r="AI1551" i="1"/>
  <c r="AF1552" i="1"/>
  <c r="AG1552" i="1"/>
  <c r="BF1552" i="1"/>
  <c r="AH1552" i="1"/>
  <c r="AI1552" i="1"/>
  <c r="AF1555" i="1"/>
  <c r="AG1555" i="1"/>
  <c r="BF1555" i="1"/>
  <c r="AH1555" i="1"/>
  <c r="AI1555" i="1"/>
  <c r="AF1561" i="1"/>
  <c r="AG1561" i="1"/>
  <c r="AS1563" i="1"/>
  <c r="AF1563" i="1" s="1"/>
  <c r="AG1563" i="1"/>
  <c r="BF1563" i="1"/>
  <c r="AH1563" i="1"/>
  <c r="AI1563" i="1"/>
  <c r="AS1564" i="1"/>
  <c r="AF1564" i="1" s="1"/>
  <c r="AG1564" i="1"/>
  <c r="BF1564" i="1"/>
  <c r="AH1564" i="1"/>
  <c r="AI1564" i="1"/>
  <c r="AS1565" i="1"/>
  <c r="AF1565" i="1" s="1"/>
  <c r="AG1565" i="1"/>
  <c r="BF1565" i="1"/>
  <c r="AH1565" i="1"/>
  <c r="AI1565" i="1"/>
  <c r="AS1566" i="1"/>
  <c r="AF1566" i="1" s="1"/>
  <c r="AG1566" i="1"/>
  <c r="BF1566" i="1"/>
  <c r="AH1566" i="1"/>
  <c r="AI1566" i="1"/>
  <c r="AS1567" i="1"/>
  <c r="AF1567" i="1" s="1"/>
  <c r="AG1567" i="1"/>
  <c r="BF1567" i="1"/>
  <c r="AH1567" i="1"/>
  <c r="AI1567" i="1"/>
  <c r="AS1568" i="1"/>
  <c r="AF1568" i="1" s="1"/>
  <c r="AG1568" i="1"/>
  <c r="BF1568" i="1"/>
  <c r="AH1568" i="1"/>
  <c r="AI1568" i="1"/>
  <c r="AS1569" i="1"/>
  <c r="AF1569" i="1" s="1"/>
  <c r="AG1569" i="1"/>
  <c r="BF1569" i="1"/>
  <c r="AH1569" i="1"/>
  <c r="AI1569" i="1"/>
  <c r="AS1570" i="1"/>
  <c r="AF1570" i="1" s="1"/>
  <c r="AG1570" i="1"/>
  <c r="BF1570" i="1"/>
  <c r="AH1570" i="1"/>
  <c r="AI1570" i="1"/>
  <c r="AS1571" i="1"/>
  <c r="AF1571" i="1" s="1"/>
  <c r="AG1571" i="1"/>
  <c r="BF1571" i="1"/>
  <c r="AH1571" i="1"/>
  <c r="AI1571" i="1"/>
  <c r="AS1572" i="1"/>
  <c r="AF1572" i="1" s="1"/>
  <c r="AG1572" i="1"/>
  <c r="BF1572" i="1"/>
  <c r="AH1572" i="1"/>
  <c r="AI1572" i="1"/>
  <c r="AS1573" i="1"/>
  <c r="AF1573" i="1" s="1"/>
  <c r="AG1573" i="1"/>
  <c r="BF1573" i="1"/>
  <c r="AH1573" i="1"/>
  <c r="AI1573" i="1"/>
  <c r="AS1574" i="1"/>
  <c r="AF1574" i="1" s="1"/>
  <c r="AG1574" i="1"/>
  <c r="BF1574" i="1"/>
  <c r="AH1574" i="1"/>
  <c r="AI1574" i="1"/>
  <c r="AS1575" i="1"/>
  <c r="AF1575" i="1" s="1"/>
  <c r="AG1575" i="1"/>
  <c r="BF1575" i="1"/>
  <c r="AH1575" i="1"/>
  <c r="AI1575" i="1"/>
  <c r="AS1576" i="1"/>
  <c r="AF1576" i="1" s="1"/>
  <c r="AG1576" i="1"/>
  <c r="BF1576" i="1"/>
  <c r="AH1576" i="1"/>
  <c r="AI1576" i="1"/>
  <c r="AS1577" i="1"/>
  <c r="AF1577" i="1" s="1"/>
  <c r="AG1577" i="1"/>
  <c r="BF1577" i="1"/>
  <c r="AH1577" i="1"/>
  <c r="AI1577" i="1"/>
  <c r="AS1578" i="1"/>
  <c r="AF1578" i="1" s="1"/>
  <c r="AG1578" i="1"/>
  <c r="BF1578" i="1"/>
  <c r="AH1578" i="1"/>
  <c r="AI1578" i="1"/>
  <c r="AF1584" i="1"/>
  <c r="AG1584" i="1"/>
  <c r="BF1584" i="1"/>
  <c r="AH1584" i="1"/>
  <c r="AI1584" i="1"/>
  <c r="AS1591" i="1"/>
  <c r="AF1591" i="1"/>
  <c r="AG1591" i="1"/>
  <c r="BF1591" i="1"/>
  <c r="AH1591" i="1" s="1"/>
  <c r="AI1591" i="1"/>
  <c r="AS1592" i="1"/>
  <c r="AF1592" i="1"/>
  <c r="AG1592" i="1"/>
  <c r="BF1592" i="1"/>
  <c r="AH1592" i="1"/>
  <c r="AI1592" i="1"/>
  <c r="AF1614" i="1"/>
  <c r="AG1614" i="1"/>
  <c r="BF1614" i="1"/>
  <c r="AH1614" i="1"/>
  <c r="AI1614" i="1"/>
  <c r="AF1615" i="1"/>
  <c r="AG1615" i="1"/>
  <c r="BF1615" i="1"/>
  <c r="AH1615" i="1" s="1"/>
  <c r="AI1615" i="1"/>
  <c r="AF1616" i="1"/>
  <c r="AG1616" i="1"/>
  <c r="BF1616" i="1"/>
  <c r="AH1616" i="1"/>
  <c r="AI1616" i="1"/>
  <c r="AF1617" i="1"/>
  <c r="AG1617" i="1"/>
  <c r="BF1617" i="1"/>
  <c r="AH1617" i="1"/>
  <c r="AI1617" i="1"/>
  <c r="AF1618" i="1"/>
  <c r="AG1618" i="1"/>
  <c r="BF1618" i="1"/>
  <c r="AH1618" i="1"/>
  <c r="AI1618" i="1"/>
  <c r="AF1619" i="1"/>
  <c r="AG1619" i="1"/>
  <c r="BF1619" i="1"/>
  <c r="AH1619" i="1" s="1"/>
  <c r="AI1619" i="1"/>
  <c r="AF1621" i="1"/>
  <c r="AG1621" i="1"/>
  <c r="AF1622" i="1"/>
  <c r="AG1622" i="1"/>
  <c r="AS1624" i="1"/>
  <c r="AF1624" i="1"/>
  <c r="BF1624" i="1"/>
  <c r="AH1624" i="1"/>
  <c r="AS1633" i="1"/>
  <c r="AF1633" i="1"/>
  <c r="AG1633" i="1"/>
  <c r="BF1633" i="1"/>
  <c r="AH1633" i="1"/>
  <c r="AI1633" i="1"/>
  <c r="AS1634" i="1"/>
  <c r="AF1634" i="1"/>
  <c r="AG1634" i="1"/>
  <c r="BF1634" i="1"/>
  <c r="AH1634" i="1"/>
  <c r="AI1634" i="1"/>
  <c r="AF1637" i="1"/>
  <c r="AG1637" i="1"/>
  <c r="BF1637" i="1"/>
  <c r="AH1637" i="1"/>
  <c r="AI1637" i="1"/>
  <c r="AF1638" i="1"/>
  <c r="AG1638" i="1"/>
  <c r="BF1638" i="1"/>
  <c r="AH1638" i="1"/>
  <c r="AI1638" i="1"/>
  <c r="AF1640" i="1"/>
  <c r="AG1640" i="1"/>
  <c r="BF1640" i="1"/>
  <c r="AH1640" i="1"/>
  <c r="AI1640" i="1"/>
  <c r="AF1641" i="1"/>
  <c r="AG1641" i="1"/>
  <c r="BF1641" i="1"/>
  <c r="AH1641" i="1" s="1"/>
  <c r="AI1641" i="1"/>
  <c r="AF6" i="1"/>
  <c r="AG6" i="1"/>
  <c r="AH6" i="1"/>
  <c r="AI6" i="1"/>
  <c r="AF7" i="1"/>
  <c r="AG7" i="1"/>
  <c r="AH7" i="1"/>
  <c r="AI7" i="1"/>
  <c r="AF8" i="1"/>
  <c r="AG8" i="1"/>
  <c r="AH8" i="1"/>
  <c r="AI8" i="1"/>
  <c r="AF9" i="1"/>
  <c r="AG9" i="1"/>
  <c r="AH9" i="1"/>
  <c r="AI9" i="1"/>
  <c r="AF16" i="1"/>
  <c r="AG16" i="1"/>
  <c r="AH16" i="1"/>
  <c r="AI16" i="1"/>
  <c r="AF20" i="1"/>
  <c r="AG20" i="1"/>
  <c r="AH20" i="1"/>
  <c r="AI20" i="1"/>
  <c r="AF21" i="1"/>
  <c r="AG21" i="1"/>
  <c r="AH21" i="1"/>
  <c r="AI21" i="1"/>
  <c r="AF31" i="1"/>
  <c r="AG31" i="1"/>
  <c r="BF31" i="1"/>
  <c r="AH31" i="1"/>
  <c r="AI31" i="1"/>
  <c r="AF32" i="1"/>
  <c r="AG32" i="1"/>
  <c r="AH32" i="1"/>
  <c r="AI32" i="1"/>
  <c r="AF33" i="1"/>
  <c r="AG33" i="1"/>
  <c r="AH33" i="1"/>
  <c r="AI33" i="1"/>
  <c r="AF92" i="1"/>
  <c r="AG92" i="1"/>
  <c r="AH92" i="1"/>
  <c r="AI92" i="1"/>
  <c r="AF93" i="1"/>
  <c r="AG93" i="1"/>
  <c r="AH93" i="1"/>
  <c r="AI93" i="1"/>
  <c r="AF216" i="1"/>
  <c r="AG216" i="1"/>
  <c r="AH216" i="1"/>
  <c r="AI216" i="1"/>
  <c r="AF217" i="1"/>
  <c r="AG217" i="1"/>
  <c r="AH217" i="1"/>
  <c r="AI217" i="1"/>
  <c r="AF218" i="1"/>
  <c r="AG218" i="1"/>
  <c r="AH218" i="1"/>
  <c r="AI218" i="1"/>
  <c r="AF219" i="1"/>
  <c r="AG219" i="1"/>
  <c r="AH219" i="1"/>
  <c r="AI219" i="1"/>
  <c r="AF220" i="1"/>
  <c r="AG220" i="1"/>
  <c r="AH220" i="1"/>
  <c r="AI220" i="1"/>
  <c r="AF221" i="1"/>
  <c r="AG221" i="1"/>
  <c r="AH221" i="1"/>
  <c r="AI221" i="1"/>
  <c r="AF222" i="1"/>
  <c r="AG222" i="1"/>
  <c r="AH222" i="1"/>
  <c r="AI222" i="1"/>
  <c r="AF223" i="1"/>
  <c r="AG223" i="1"/>
  <c r="AH223" i="1"/>
  <c r="AI223" i="1"/>
  <c r="AF224" i="1"/>
  <c r="AG224" i="1"/>
  <c r="AH224" i="1"/>
  <c r="AI224" i="1"/>
  <c r="AF225" i="1"/>
  <c r="AG225" i="1"/>
  <c r="AH225" i="1"/>
  <c r="AI225" i="1"/>
  <c r="AF261" i="1"/>
  <c r="AG261" i="1"/>
  <c r="AH261" i="1"/>
  <c r="AI261" i="1"/>
  <c r="AF262" i="1"/>
  <c r="AG262" i="1"/>
  <c r="AH262" i="1"/>
  <c r="AI262" i="1"/>
  <c r="AF263" i="1"/>
  <c r="AG263" i="1"/>
  <c r="AH263" i="1"/>
  <c r="AI263" i="1"/>
  <c r="AF264" i="1"/>
  <c r="AG264" i="1"/>
  <c r="AH264" i="1"/>
  <c r="AI264" i="1"/>
  <c r="AF735" i="1"/>
  <c r="AG735" i="1"/>
  <c r="AH735" i="1"/>
  <c r="AI735" i="1"/>
  <c r="AF736" i="1"/>
  <c r="AG736" i="1"/>
  <c r="AH736" i="1"/>
  <c r="AI736" i="1"/>
  <c r="AF737" i="1"/>
  <c r="AG737" i="1"/>
  <c r="AH737" i="1"/>
  <c r="AI737" i="1"/>
  <c r="AF738" i="1"/>
  <c r="AG738" i="1"/>
  <c r="AH738" i="1"/>
  <c r="AI738" i="1"/>
  <c r="AF893" i="1"/>
  <c r="AG893" i="1"/>
  <c r="AH893" i="1"/>
  <c r="AI893" i="1"/>
  <c r="AF894" i="1"/>
  <c r="AG894" i="1"/>
  <c r="AH894" i="1"/>
  <c r="AI894" i="1"/>
  <c r="AF1234" i="1"/>
  <c r="AG1234" i="1"/>
  <c r="BF1234" i="1"/>
  <c r="AH1234" i="1"/>
  <c r="AI1234" i="1"/>
  <c r="AF1273" i="1"/>
  <c r="AG1273" i="1"/>
  <c r="BF1273" i="1"/>
  <c r="AH1273" i="1"/>
  <c r="AI1273" i="1"/>
  <c r="AF1321" i="1"/>
  <c r="AG1321" i="1"/>
  <c r="BF1321" i="1"/>
  <c r="AH1321" i="1" s="1"/>
  <c r="AI1321" i="1"/>
  <c r="AF439" i="1"/>
  <c r="AG439" i="1"/>
  <c r="AH439" i="1"/>
  <c r="AI439" i="1"/>
  <c r="AG440" i="1"/>
  <c r="AI440" i="1"/>
  <c r="AG441" i="1"/>
  <c r="AI441" i="1"/>
  <c r="AF442" i="1"/>
  <c r="AG442" i="1"/>
  <c r="AH442" i="1"/>
  <c r="AW442" i="1"/>
  <c r="AX442" i="1"/>
  <c r="AF443" i="1"/>
  <c r="AG443" i="1"/>
  <c r="AH443" i="1"/>
  <c r="AW443" i="1"/>
  <c r="AX443" i="1"/>
  <c r="AF444" i="1"/>
  <c r="AG444" i="1"/>
  <c r="AH444" i="1"/>
  <c r="AW444" i="1"/>
  <c r="AX444" i="1"/>
  <c r="AF445" i="1"/>
  <c r="AG445" i="1"/>
  <c r="AH445" i="1"/>
  <c r="AI445" i="1"/>
  <c r="AF446" i="1"/>
  <c r="AG446" i="1"/>
  <c r="AH446" i="1"/>
  <c r="AI446" i="1"/>
  <c r="AF447" i="1"/>
  <c r="AG447" i="1"/>
  <c r="AH447" i="1"/>
  <c r="AI447" i="1"/>
  <c r="AF448" i="1"/>
  <c r="AG448" i="1"/>
  <c r="AH448" i="1"/>
  <c r="AI448" i="1"/>
  <c r="AF469" i="1"/>
  <c r="AG469" i="1"/>
  <c r="AH469" i="1"/>
  <c r="AI469" i="1"/>
  <c r="AF471" i="1"/>
  <c r="AG471" i="1"/>
  <c r="AH471" i="1"/>
  <c r="AI471" i="1"/>
  <c r="AF472" i="1"/>
  <c r="AG472" i="1"/>
  <c r="AH472" i="1"/>
  <c r="AI472" i="1"/>
  <c r="AF473" i="1"/>
  <c r="AG473" i="1"/>
  <c r="AH473" i="1"/>
  <c r="AI473" i="1"/>
  <c r="AF474" i="1"/>
  <c r="AG474" i="1"/>
  <c r="AH474" i="1"/>
  <c r="AI474" i="1"/>
  <c r="AF475" i="1"/>
  <c r="AG475" i="1"/>
  <c r="AH475" i="1"/>
  <c r="AI475" i="1"/>
  <c r="AF476" i="1"/>
  <c r="AG476" i="1"/>
  <c r="AH476" i="1"/>
  <c r="AI476" i="1"/>
  <c r="AF477" i="1"/>
  <c r="AG477" i="1"/>
  <c r="AH477" i="1"/>
  <c r="AI477" i="1"/>
  <c r="AF478" i="1"/>
  <c r="AG478" i="1"/>
  <c r="AH478" i="1"/>
  <c r="AI478" i="1"/>
  <c r="AF479" i="1"/>
  <c r="AG479" i="1"/>
  <c r="AH479" i="1"/>
  <c r="AI479" i="1"/>
  <c r="AF480" i="1"/>
  <c r="AG480" i="1"/>
  <c r="AH480" i="1"/>
  <c r="AI480" i="1"/>
  <c r="AF481" i="1"/>
  <c r="AG481" i="1"/>
  <c r="AH481" i="1"/>
  <c r="AI481" i="1"/>
  <c r="AF482" i="1"/>
  <c r="AG482" i="1"/>
  <c r="AH482" i="1"/>
  <c r="AI482" i="1"/>
  <c r="AF483" i="1"/>
  <c r="AG483" i="1"/>
  <c r="AH483" i="1"/>
  <c r="AI483" i="1"/>
  <c r="AF484" i="1"/>
  <c r="AG484" i="1"/>
  <c r="AH484" i="1"/>
  <c r="AI484" i="1"/>
  <c r="AF485" i="1"/>
  <c r="AG485" i="1"/>
  <c r="AH485" i="1"/>
  <c r="AI485" i="1"/>
  <c r="AF486" i="1"/>
  <c r="AG486" i="1"/>
  <c r="AH486" i="1"/>
  <c r="AI486" i="1"/>
  <c r="AF487" i="1"/>
  <c r="AG487" i="1"/>
  <c r="AH487" i="1"/>
  <c r="AI487" i="1"/>
  <c r="AF488" i="1"/>
  <c r="AG488" i="1"/>
  <c r="AH488" i="1"/>
  <c r="AI488" i="1"/>
  <c r="AF489" i="1"/>
  <c r="AG489" i="1"/>
  <c r="AH489" i="1"/>
  <c r="AI489" i="1"/>
  <c r="AF490" i="1"/>
  <c r="AG490" i="1"/>
  <c r="AH490" i="1"/>
  <c r="AI490" i="1"/>
  <c r="AF491" i="1"/>
  <c r="AG491" i="1"/>
  <c r="AH491" i="1"/>
  <c r="AI491" i="1"/>
  <c r="AF492" i="1"/>
  <c r="AG492" i="1"/>
  <c r="AH492" i="1"/>
  <c r="AI492" i="1"/>
  <c r="AF493" i="1"/>
  <c r="AG493" i="1"/>
  <c r="AH493" i="1"/>
  <c r="AI493" i="1"/>
  <c r="AF494" i="1"/>
  <c r="AG494" i="1"/>
  <c r="AH494" i="1"/>
  <c r="AI494" i="1"/>
  <c r="AF495" i="1"/>
  <c r="AG495" i="1"/>
  <c r="BF495" i="1"/>
  <c r="AH495" i="1"/>
  <c r="AI495" i="1"/>
  <c r="AF496" i="1"/>
  <c r="AG496" i="1"/>
  <c r="BF496" i="1"/>
  <c r="AH496" i="1"/>
  <c r="AI496" i="1"/>
  <c r="AF497" i="1"/>
  <c r="AG497" i="1"/>
  <c r="AH497" i="1"/>
  <c r="AI497" i="1"/>
  <c r="AF498" i="1"/>
  <c r="AG498" i="1"/>
  <c r="AH498" i="1"/>
  <c r="AI498" i="1"/>
  <c r="AF499" i="1"/>
  <c r="AG499" i="1"/>
  <c r="AH499" i="1"/>
  <c r="AI499" i="1"/>
  <c r="AF500" i="1"/>
  <c r="AG500" i="1"/>
  <c r="AH500" i="1"/>
  <c r="AI500" i="1"/>
  <c r="AF501" i="1"/>
  <c r="AG501" i="1"/>
  <c r="AH501" i="1"/>
  <c r="AI501" i="1"/>
  <c r="AG502" i="1"/>
  <c r="AI502" i="1"/>
  <c r="AG503" i="1"/>
  <c r="AI503" i="1"/>
  <c r="AG504" i="1"/>
  <c r="AI504" i="1"/>
  <c r="AG505" i="1"/>
  <c r="AI505" i="1"/>
  <c r="AG506" i="1"/>
  <c r="AI506" i="1"/>
  <c r="AG507" i="1"/>
  <c r="AI507" i="1"/>
  <c r="AG508" i="1"/>
  <c r="AI508" i="1"/>
  <c r="AG509" i="1"/>
  <c r="AI509" i="1"/>
  <c r="AG510" i="1"/>
  <c r="BF510" i="1"/>
  <c r="AH510" i="1" s="1"/>
  <c r="AI510" i="1"/>
  <c r="AG511" i="1"/>
  <c r="BF511" i="1"/>
  <c r="AH511" i="1"/>
  <c r="AI511" i="1"/>
  <c r="AF519" i="1"/>
  <c r="AG519" i="1"/>
  <c r="AH519" i="1"/>
  <c r="AI519" i="1"/>
  <c r="AF520" i="1"/>
  <c r="AG520" i="1"/>
  <c r="AH520" i="1"/>
  <c r="AI520" i="1"/>
  <c r="AF521" i="1"/>
  <c r="AG521" i="1"/>
  <c r="AH521" i="1"/>
  <c r="AI521" i="1"/>
  <c r="AF522" i="1"/>
  <c r="AG522" i="1"/>
  <c r="AH522" i="1"/>
  <c r="AI522" i="1"/>
  <c r="AF523" i="1"/>
  <c r="AG523" i="1"/>
  <c r="AH523" i="1"/>
  <c r="AF524" i="1"/>
  <c r="AG524" i="1"/>
  <c r="AH524" i="1"/>
  <c r="AI524" i="1"/>
  <c r="AG525" i="1"/>
  <c r="AI525" i="1"/>
  <c r="AG526" i="1"/>
  <c r="AI526" i="1"/>
  <c r="AH527" i="1"/>
  <c r="AI527" i="1"/>
  <c r="AF528" i="1"/>
  <c r="AG528" i="1"/>
  <c r="AH528" i="1"/>
  <c r="AF529" i="1"/>
  <c r="AG529" i="1"/>
  <c r="AH529" i="1"/>
  <c r="AI529" i="1"/>
  <c r="AG530" i="1"/>
  <c r="AI530" i="1"/>
  <c r="AG531" i="1"/>
  <c r="AI531" i="1"/>
  <c r="AS562" i="1"/>
  <c r="AF562" i="1"/>
  <c r="AG562" i="1"/>
  <c r="BF562" i="1"/>
  <c r="AH562" i="1" s="1"/>
  <c r="AI562" i="1"/>
  <c r="AF563" i="1"/>
  <c r="AG563" i="1"/>
  <c r="AH563" i="1"/>
  <c r="AI563" i="1"/>
  <c r="AF564" i="1"/>
  <c r="AG564" i="1"/>
  <c r="AH564" i="1"/>
  <c r="AI564" i="1"/>
  <c r="AG565" i="1"/>
  <c r="AI565" i="1"/>
  <c r="AG566" i="1"/>
  <c r="AI566" i="1"/>
  <c r="AJ567" i="1"/>
  <c r="AS567" i="1"/>
  <c r="AF567" i="1"/>
  <c r="AL567" i="1"/>
  <c r="AH567" i="1"/>
  <c r="AW567" i="1"/>
  <c r="AY567" i="1"/>
  <c r="AF568" i="1"/>
  <c r="AG568" i="1"/>
  <c r="AI568" i="1"/>
  <c r="AF569" i="1"/>
  <c r="AG569" i="1"/>
  <c r="AI569" i="1"/>
  <c r="AF570" i="1"/>
  <c r="AG570" i="1"/>
  <c r="AI570" i="1"/>
  <c r="AG1022" i="1"/>
  <c r="AI1022" i="1"/>
  <c r="AG1023" i="1"/>
  <c r="AI1023" i="1"/>
  <c r="AF1024" i="1"/>
  <c r="AG1024" i="1"/>
  <c r="AI1024" i="1"/>
  <c r="AF1025" i="1"/>
  <c r="AG1025" i="1"/>
  <c r="AI1025" i="1"/>
  <c r="AF1026" i="1"/>
  <c r="AG1026" i="1"/>
  <c r="AI1026" i="1"/>
  <c r="AG1027" i="1"/>
  <c r="AI1027" i="1"/>
  <c r="AG1028" i="1"/>
  <c r="AI1028" i="1"/>
  <c r="AG1029" i="1"/>
  <c r="AI1029" i="1"/>
  <c r="AG1030" i="1"/>
  <c r="AI1030" i="1"/>
  <c r="AG1031" i="1"/>
  <c r="AI1031" i="1"/>
  <c r="AG1032" i="1"/>
  <c r="AI1032" i="1"/>
  <c r="AG1033" i="1"/>
  <c r="AI1033" i="1"/>
  <c r="AG1034" i="1"/>
  <c r="AI1034" i="1"/>
  <c r="AF1240" i="1"/>
  <c r="AG1240" i="1"/>
  <c r="BF1240" i="1"/>
  <c r="AH1240" i="1"/>
  <c r="AI1240" i="1"/>
  <c r="AF1241" i="1"/>
  <c r="AG1241" i="1"/>
  <c r="BF1241" i="1"/>
  <c r="AH1241" i="1" s="1"/>
  <c r="AI1241" i="1"/>
  <c r="AF1242" i="1"/>
  <c r="AG1242" i="1"/>
  <c r="BF1242" i="1"/>
  <c r="AH1242" i="1" s="1"/>
  <c r="AI1242" i="1"/>
  <c r="AF1243" i="1"/>
  <c r="AG1243" i="1"/>
  <c r="BF1243" i="1"/>
  <c r="AH1243" i="1"/>
  <c r="AI1243" i="1"/>
  <c r="AF1244" i="1"/>
  <c r="AG1244" i="1"/>
  <c r="BF1244" i="1"/>
  <c r="AH1244" i="1" s="1"/>
  <c r="AI1244" i="1"/>
  <c r="AF1245" i="1"/>
  <c r="AG1245" i="1"/>
  <c r="BF1245" i="1"/>
  <c r="AH1245" i="1"/>
  <c r="AI1245" i="1"/>
  <c r="AF1246" i="1"/>
  <c r="AG1246" i="1"/>
  <c r="BF1246" i="1"/>
  <c r="AH1246" i="1" s="1"/>
  <c r="AI1246" i="1"/>
  <c r="AF1247" i="1"/>
  <c r="AG1247" i="1"/>
  <c r="BF1247" i="1"/>
  <c r="AH1247" i="1"/>
  <c r="AI1247" i="1"/>
  <c r="AF1362" i="1"/>
  <c r="AG1362" i="1"/>
  <c r="AF1363" i="1"/>
  <c r="AG1363" i="1"/>
  <c r="AF1365" i="1"/>
  <c r="AG1365" i="1"/>
  <c r="AF1403" i="1"/>
  <c r="AG1403" i="1"/>
  <c r="AF1450" i="1"/>
  <c r="AG1450" i="1"/>
  <c r="AF1456" i="1"/>
  <c r="AG1456" i="1"/>
  <c r="BF1456" i="1"/>
  <c r="AH1456" i="1"/>
  <c r="AI1456" i="1"/>
  <c r="AJ1472" i="1"/>
  <c r="AS1472" i="1" s="1"/>
  <c r="AF1472" i="1" s="1"/>
  <c r="AL1472" i="1"/>
  <c r="AW1472" i="1"/>
  <c r="BF1472" i="1"/>
  <c r="AH1472" i="1" s="1"/>
  <c r="AY1472" i="1"/>
  <c r="AJ1473" i="1"/>
  <c r="AS1473" i="1"/>
  <c r="AF1473" i="1"/>
  <c r="AL1473" i="1"/>
  <c r="AW1473" i="1"/>
  <c r="BF1473" i="1" s="1"/>
  <c r="AH1473" i="1" s="1"/>
  <c r="AY1473" i="1"/>
  <c r="AF1488" i="1"/>
  <c r="AG1488" i="1"/>
  <c r="AF1489" i="1"/>
  <c r="AG1489" i="1"/>
  <c r="AF1490" i="1"/>
  <c r="AG1490" i="1"/>
  <c r="AF1491" i="1"/>
  <c r="AG1491" i="1"/>
  <c r="AF1492" i="1"/>
  <c r="AG1492" i="1"/>
  <c r="AF1493" i="1"/>
  <c r="AG1493" i="1"/>
  <c r="AF1494" i="1"/>
  <c r="AG1494" i="1"/>
  <c r="AF1495" i="1"/>
  <c r="AG1495" i="1"/>
  <c r="BF1495" i="1"/>
  <c r="AH1495" i="1"/>
  <c r="AI1495" i="1"/>
  <c r="AF1496" i="1"/>
  <c r="AG1496" i="1"/>
  <c r="AF1497" i="1"/>
  <c r="AG1497" i="1"/>
  <c r="AF1498" i="1"/>
  <c r="AG1498" i="1"/>
  <c r="AF1499" i="1"/>
  <c r="AG1499" i="1"/>
  <c r="AF1500" i="1"/>
  <c r="AG1500" i="1"/>
  <c r="AF1501" i="1"/>
  <c r="AG1501" i="1"/>
  <c r="AF1502" i="1"/>
  <c r="AG1502" i="1"/>
  <c r="AF1503" i="1"/>
  <c r="AG1503" i="1"/>
  <c r="AF1504" i="1"/>
  <c r="AG1504" i="1"/>
  <c r="AF1505" i="1"/>
  <c r="AG1505" i="1"/>
  <c r="AF1506" i="1"/>
  <c r="AG1506" i="1"/>
  <c r="AF1507" i="1"/>
  <c r="AG1507" i="1"/>
  <c r="AF1508" i="1"/>
  <c r="AG1508" i="1"/>
  <c r="AF1509" i="1"/>
  <c r="AG1509" i="1"/>
  <c r="AF1513" i="1"/>
  <c r="AG1513" i="1"/>
  <c r="AF1635" i="1"/>
  <c r="AG1635" i="1"/>
  <c r="AF1636" i="1"/>
  <c r="AG1636" i="1"/>
  <c r="AF73" i="1"/>
  <c r="AG73" i="1"/>
  <c r="AH73" i="1"/>
  <c r="AI73" i="1"/>
  <c r="AF74" i="1"/>
  <c r="AG74" i="1"/>
  <c r="AH74" i="1"/>
  <c r="AI74" i="1"/>
  <c r="AF226" i="1"/>
  <c r="AG226" i="1"/>
  <c r="AF227" i="1"/>
  <c r="AG227" i="1"/>
  <c r="AH227" i="1"/>
  <c r="AF228" i="1"/>
  <c r="AG228" i="1"/>
  <c r="AH228" i="1"/>
  <c r="AI228" i="1"/>
  <c r="AF229" i="1"/>
  <c r="AG229" i="1"/>
  <c r="AH229" i="1"/>
  <c r="AI229" i="1"/>
  <c r="AF230" i="1"/>
  <c r="AG230" i="1"/>
  <c r="AH230" i="1"/>
  <c r="AI230" i="1"/>
  <c r="AF231" i="1"/>
  <c r="AG231" i="1"/>
  <c r="AH231" i="1"/>
  <c r="AI231" i="1"/>
  <c r="AF232" i="1"/>
  <c r="AG232" i="1"/>
  <c r="AH232" i="1"/>
  <c r="AI232" i="1"/>
  <c r="AF233" i="1"/>
  <c r="AG233" i="1"/>
  <c r="AH233" i="1"/>
  <c r="AI233" i="1"/>
  <c r="AF289" i="1"/>
  <c r="AG289" i="1"/>
  <c r="AH289" i="1"/>
  <c r="AI289" i="1"/>
  <c r="AF290" i="1"/>
  <c r="AG290" i="1"/>
  <c r="AH290" i="1"/>
  <c r="AI290" i="1"/>
  <c r="AF316" i="1"/>
  <c r="AG316" i="1"/>
  <c r="AH316" i="1"/>
  <c r="AG320" i="1"/>
  <c r="AH320" i="1"/>
  <c r="AI320" i="1"/>
  <c r="AG321" i="1"/>
  <c r="AI321" i="1"/>
  <c r="AG322" i="1"/>
  <c r="AH322" i="1"/>
  <c r="AI322" i="1"/>
  <c r="AG323" i="1"/>
  <c r="AH323" i="1"/>
  <c r="AI323" i="1"/>
  <c r="AF324" i="1"/>
  <c r="AG324" i="1"/>
  <c r="AH324" i="1"/>
  <c r="AI324" i="1"/>
  <c r="AF325" i="1"/>
  <c r="AG325" i="1"/>
  <c r="AI325" i="1"/>
  <c r="AF326" i="1"/>
  <c r="AG326" i="1"/>
  <c r="AH326" i="1"/>
  <c r="AI326" i="1"/>
  <c r="AF327" i="1"/>
  <c r="AG327" i="1"/>
  <c r="AH327" i="1"/>
  <c r="AI327" i="1"/>
  <c r="AF334" i="1"/>
  <c r="AG334" i="1"/>
  <c r="AH334" i="1"/>
  <c r="AI334" i="1"/>
  <c r="AF335" i="1"/>
  <c r="AG335" i="1"/>
  <c r="AH335" i="1"/>
  <c r="AI335" i="1"/>
  <c r="AF336" i="1"/>
  <c r="AG336" i="1"/>
  <c r="AH336" i="1"/>
  <c r="AI336" i="1"/>
  <c r="AF337" i="1"/>
  <c r="AG337" i="1"/>
  <c r="AH337" i="1"/>
  <c r="AI337" i="1"/>
  <c r="AF338" i="1"/>
  <c r="AG338" i="1"/>
  <c r="AH338" i="1"/>
  <c r="AI338" i="1"/>
  <c r="AF339" i="1"/>
  <c r="AG339" i="1"/>
  <c r="AH339" i="1"/>
  <c r="AI339" i="1"/>
  <c r="AF341" i="1"/>
  <c r="AG341" i="1"/>
  <c r="AH341" i="1"/>
  <c r="AI341" i="1"/>
  <c r="AF342" i="1"/>
  <c r="AG342" i="1"/>
  <c r="AH342" i="1"/>
  <c r="AI342" i="1"/>
  <c r="AF343" i="1"/>
  <c r="AG343" i="1"/>
  <c r="AH343" i="1"/>
  <c r="AI343" i="1"/>
  <c r="AF344" i="1"/>
  <c r="AG344" i="1"/>
  <c r="AH344" i="1"/>
  <c r="AI344" i="1"/>
  <c r="AF345" i="1"/>
  <c r="AG345" i="1"/>
  <c r="AH345" i="1"/>
  <c r="AI345" i="1"/>
  <c r="AF347" i="1"/>
  <c r="AG347" i="1"/>
  <c r="AH347" i="1"/>
  <c r="AI347" i="1"/>
  <c r="AF348" i="1"/>
  <c r="AG348" i="1"/>
  <c r="AH348" i="1"/>
  <c r="AI348" i="1"/>
  <c r="AF362" i="1"/>
  <c r="AG362" i="1"/>
  <c r="AH362" i="1"/>
  <c r="AI362" i="1"/>
  <c r="AF363" i="1"/>
  <c r="AG363" i="1"/>
  <c r="AH363" i="1"/>
  <c r="AI363" i="1"/>
  <c r="AF364" i="1"/>
  <c r="AG364" i="1"/>
  <c r="AH364" i="1"/>
  <c r="AI364" i="1"/>
  <c r="AF365" i="1"/>
  <c r="AG365" i="1"/>
  <c r="AH365" i="1"/>
  <c r="AI365" i="1"/>
  <c r="AF366" i="1"/>
  <c r="AG366" i="1"/>
  <c r="AH366" i="1"/>
  <c r="AI366" i="1"/>
  <c r="AF367" i="1"/>
  <c r="AG367" i="1"/>
  <c r="AH367" i="1"/>
  <c r="AI367" i="1"/>
  <c r="AF368" i="1"/>
  <c r="AG368" i="1"/>
  <c r="AH368" i="1"/>
  <c r="AI368" i="1"/>
  <c r="AF369" i="1"/>
  <c r="AG369" i="1"/>
  <c r="AH369" i="1"/>
  <c r="AI369" i="1"/>
  <c r="AF370" i="1"/>
  <c r="AG370" i="1"/>
  <c r="AH370" i="1"/>
  <c r="AI370" i="1"/>
  <c r="AF371" i="1"/>
  <c r="AG371" i="1"/>
  <c r="AH371" i="1"/>
  <c r="AI371" i="1"/>
  <c r="AF372" i="1"/>
  <c r="AG372" i="1"/>
  <c r="AH372" i="1"/>
  <c r="AI372" i="1"/>
  <c r="AF373" i="1"/>
  <c r="AG373" i="1"/>
  <c r="AH373" i="1"/>
  <c r="AI373" i="1"/>
  <c r="AF374" i="1"/>
  <c r="AG374" i="1"/>
  <c r="AH374" i="1"/>
  <c r="AI374" i="1"/>
  <c r="AF375" i="1"/>
  <c r="AG375" i="1"/>
  <c r="AH375" i="1"/>
  <c r="AI375" i="1"/>
  <c r="AF384" i="1"/>
  <c r="AG384" i="1"/>
  <c r="AH384" i="1"/>
  <c r="AI384" i="1"/>
  <c r="AF387" i="1"/>
  <c r="AG387" i="1"/>
  <c r="AH387" i="1"/>
  <c r="AI387" i="1"/>
  <c r="AF389" i="1"/>
  <c r="AG389" i="1"/>
  <c r="AH389" i="1"/>
  <c r="AI389" i="1"/>
  <c r="AF390" i="1"/>
  <c r="AG390" i="1"/>
  <c r="AH390" i="1"/>
  <c r="AI390" i="1"/>
  <c r="AF392" i="1"/>
  <c r="AG392" i="1"/>
  <c r="AH392" i="1"/>
  <c r="AI392" i="1"/>
  <c r="AF394" i="1"/>
  <c r="AG394" i="1"/>
  <c r="AH394" i="1"/>
  <c r="AI394" i="1"/>
  <c r="AF397" i="1"/>
  <c r="AG397" i="1"/>
  <c r="AH397" i="1"/>
  <c r="AI397" i="1"/>
  <c r="AF398" i="1"/>
  <c r="AG398" i="1"/>
  <c r="AH398" i="1"/>
  <c r="AI398" i="1"/>
  <c r="AF399" i="1"/>
  <c r="AG399" i="1"/>
  <c r="AH399" i="1"/>
  <c r="AI399" i="1"/>
  <c r="AF400" i="1"/>
  <c r="AG400" i="1"/>
  <c r="AH400" i="1"/>
  <c r="AI400" i="1"/>
  <c r="AF405" i="1"/>
  <c r="AG405" i="1"/>
  <c r="AH405" i="1"/>
  <c r="AI405" i="1"/>
  <c r="AF449" i="1"/>
  <c r="AG449" i="1"/>
  <c r="AH449" i="1"/>
  <c r="AI449" i="1"/>
  <c r="AF450" i="1"/>
  <c r="AG450" i="1"/>
  <c r="AH450" i="1"/>
  <c r="AI450" i="1"/>
  <c r="AF451" i="1"/>
  <c r="AG451" i="1"/>
  <c r="AH451" i="1"/>
  <c r="AI451" i="1"/>
  <c r="AF537" i="1"/>
  <c r="AG537" i="1"/>
  <c r="AH537" i="1"/>
  <c r="AI537" i="1"/>
  <c r="AF538" i="1"/>
  <c r="AG538" i="1"/>
  <c r="AH538" i="1"/>
  <c r="AI538" i="1"/>
  <c r="AF614" i="1"/>
  <c r="AG614" i="1"/>
  <c r="AH614" i="1"/>
  <c r="AI614" i="1"/>
  <c r="AF615" i="1"/>
  <c r="AG615" i="1"/>
  <c r="AH615" i="1"/>
  <c r="AI615" i="1"/>
  <c r="AF616" i="1"/>
  <c r="AG616" i="1"/>
  <c r="AH616" i="1"/>
  <c r="AI616" i="1"/>
  <c r="AF617" i="1"/>
  <c r="AG617" i="1"/>
  <c r="AH617" i="1"/>
  <c r="AI617" i="1"/>
  <c r="AF618" i="1"/>
  <c r="AG618" i="1"/>
  <c r="AI618" i="1"/>
  <c r="AF619" i="1"/>
  <c r="AG619" i="1"/>
  <c r="AI619" i="1"/>
  <c r="AF620" i="1"/>
  <c r="AG620" i="1"/>
  <c r="AI620" i="1"/>
  <c r="AF623" i="1"/>
  <c r="AG623" i="1"/>
  <c r="AH623" i="1"/>
  <c r="AI623" i="1"/>
  <c r="AF624" i="1"/>
  <c r="AG624" i="1"/>
  <c r="AH624" i="1"/>
  <c r="AI624" i="1"/>
  <c r="AF631" i="1"/>
  <c r="AG631" i="1"/>
  <c r="AH631" i="1"/>
  <c r="AI631" i="1"/>
  <c r="AF632" i="1"/>
  <c r="AG632" i="1"/>
  <c r="AH632" i="1"/>
  <c r="AI632" i="1"/>
  <c r="AF633" i="1"/>
  <c r="AG633" i="1"/>
  <c r="AH633" i="1"/>
  <c r="AI633" i="1"/>
  <c r="AF634" i="1"/>
  <c r="AG634" i="1"/>
  <c r="AH634" i="1"/>
  <c r="AI634" i="1"/>
  <c r="AF635" i="1"/>
  <c r="AG635" i="1"/>
  <c r="AH635" i="1"/>
  <c r="AI635" i="1"/>
  <c r="AF637" i="1"/>
  <c r="AG637" i="1"/>
  <c r="AH637" i="1"/>
  <c r="AI637" i="1"/>
  <c r="AF639" i="1"/>
  <c r="AG639" i="1"/>
  <c r="AH639" i="1"/>
  <c r="AI639" i="1"/>
  <c r="AF640" i="1"/>
  <c r="AG640" i="1"/>
  <c r="AH640" i="1"/>
  <c r="AI640" i="1"/>
  <c r="AF641" i="1"/>
  <c r="AG641" i="1"/>
  <c r="AH641" i="1"/>
  <c r="AI641" i="1"/>
  <c r="AF642" i="1"/>
  <c r="AG642" i="1"/>
  <c r="AH642" i="1"/>
  <c r="AI642" i="1"/>
  <c r="AF651" i="1"/>
  <c r="AG651" i="1"/>
  <c r="AH651" i="1"/>
  <c r="AI651" i="1"/>
  <c r="AF652" i="1"/>
  <c r="AG652" i="1"/>
  <c r="AH652" i="1"/>
  <c r="AI652" i="1"/>
  <c r="AG693" i="1"/>
  <c r="AI693" i="1"/>
  <c r="AG694" i="1"/>
  <c r="AI694" i="1"/>
  <c r="AF695" i="1"/>
  <c r="AG695" i="1"/>
  <c r="BF695" i="1"/>
  <c r="AH695" i="1" s="1"/>
  <c r="AI695" i="1"/>
  <c r="AF696" i="1"/>
  <c r="AG696" i="1"/>
  <c r="AH696" i="1"/>
  <c r="AI696" i="1"/>
  <c r="AF697" i="1"/>
  <c r="AG697" i="1"/>
  <c r="AH697" i="1"/>
  <c r="AF704" i="1"/>
  <c r="AG704" i="1"/>
  <c r="AH704" i="1"/>
  <c r="AI704" i="1"/>
  <c r="AF705" i="1"/>
  <c r="AG705" i="1"/>
  <c r="AH705" i="1"/>
  <c r="AI705" i="1"/>
  <c r="AF706" i="1"/>
  <c r="AG706" i="1"/>
  <c r="AH706" i="1"/>
  <c r="AI706" i="1"/>
  <c r="AF707" i="1"/>
  <c r="AG707" i="1"/>
  <c r="AH707" i="1"/>
  <c r="AI707" i="1"/>
  <c r="AF708" i="1"/>
  <c r="AG708" i="1"/>
  <c r="AH708" i="1"/>
  <c r="AI708" i="1"/>
  <c r="AF709" i="1"/>
  <c r="AG709" i="1"/>
  <c r="AH709" i="1"/>
  <c r="AI709" i="1"/>
  <c r="AF710" i="1"/>
  <c r="AG710" i="1"/>
  <c r="AH710" i="1"/>
  <c r="AI710" i="1"/>
  <c r="AF711" i="1"/>
  <c r="AG711" i="1"/>
  <c r="AH711" i="1"/>
  <c r="AI711" i="1"/>
  <c r="AF712" i="1"/>
  <c r="AG712" i="1"/>
  <c r="AH712" i="1"/>
  <c r="AI712" i="1"/>
  <c r="AF713" i="1"/>
  <c r="AG713" i="1"/>
  <c r="AH713" i="1"/>
  <c r="AI713" i="1"/>
  <c r="AF714" i="1"/>
  <c r="AG714" i="1"/>
  <c r="AH714" i="1"/>
  <c r="AI714" i="1"/>
  <c r="AF715" i="1"/>
  <c r="AG715" i="1"/>
  <c r="AH715" i="1"/>
  <c r="AI715" i="1"/>
  <c r="AF716" i="1"/>
  <c r="AG716" i="1"/>
  <c r="AH716" i="1"/>
  <c r="AI716" i="1"/>
  <c r="AF717" i="1"/>
  <c r="AG717" i="1"/>
  <c r="AH717" i="1"/>
  <c r="AI717" i="1"/>
  <c r="AF718" i="1"/>
  <c r="AG718" i="1"/>
  <c r="AH718" i="1"/>
  <c r="AI718" i="1"/>
  <c r="AF721" i="1"/>
  <c r="AG721" i="1"/>
  <c r="AH721" i="1"/>
  <c r="AI721" i="1"/>
  <c r="AF722" i="1"/>
  <c r="AG722" i="1"/>
  <c r="AH722" i="1"/>
  <c r="AI722" i="1"/>
  <c r="AF723" i="1"/>
  <c r="AG723" i="1"/>
  <c r="AH723" i="1"/>
  <c r="AI723" i="1"/>
  <c r="AF726" i="1"/>
  <c r="AG726" i="1"/>
  <c r="AH726" i="1"/>
  <c r="AI726" i="1"/>
  <c r="AF727" i="1"/>
  <c r="AG727" i="1"/>
  <c r="AH727" i="1"/>
  <c r="AI727" i="1"/>
  <c r="AF728" i="1"/>
  <c r="AG728" i="1"/>
  <c r="AH728" i="1"/>
  <c r="AI728" i="1"/>
  <c r="AF731" i="1"/>
  <c r="AG731" i="1"/>
  <c r="AH731" i="1"/>
  <c r="AI731" i="1"/>
  <c r="AF732" i="1"/>
  <c r="AG732" i="1"/>
  <c r="AH732" i="1"/>
  <c r="AI732" i="1"/>
  <c r="AF733" i="1"/>
  <c r="AG733" i="1"/>
  <c r="AH733" i="1"/>
  <c r="AI733" i="1"/>
  <c r="AF734" i="1"/>
  <c r="AG734" i="1"/>
  <c r="AH734" i="1"/>
  <c r="AI734" i="1"/>
  <c r="AF750" i="1"/>
  <c r="AG750" i="1"/>
  <c r="AH750" i="1"/>
  <c r="AI750" i="1"/>
  <c r="AF751" i="1"/>
  <c r="AG751" i="1"/>
  <c r="AH751" i="1"/>
  <c r="AI751" i="1"/>
  <c r="AF752" i="1"/>
  <c r="AG752" i="1"/>
  <c r="AH752" i="1"/>
  <c r="AI752" i="1"/>
  <c r="AF753" i="1"/>
  <c r="AG753" i="1"/>
  <c r="AH753" i="1"/>
  <c r="AI753" i="1"/>
  <c r="AF757" i="1"/>
  <c r="AG757" i="1"/>
  <c r="AH757" i="1"/>
  <c r="AI757" i="1"/>
  <c r="AF768" i="1"/>
  <c r="AH768" i="1"/>
  <c r="AI768" i="1"/>
  <c r="AF769" i="1"/>
  <c r="AH769" i="1"/>
  <c r="AI769" i="1"/>
  <c r="AF770" i="1"/>
  <c r="AH770" i="1"/>
  <c r="AI770" i="1"/>
  <c r="AF771" i="1"/>
  <c r="AH771" i="1"/>
  <c r="AI771" i="1"/>
  <c r="AF800" i="1"/>
  <c r="AG800" i="1"/>
  <c r="AH800" i="1"/>
  <c r="AI800" i="1"/>
  <c r="AF801" i="1"/>
  <c r="AG801" i="1"/>
  <c r="AH801" i="1"/>
  <c r="AI801" i="1"/>
  <c r="AF804" i="1"/>
  <c r="AG804" i="1"/>
  <c r="AH804" i="1"/>
  <c r="AI804" i="1"/>
  <c r="AF805" i="1"/>
  <c r="AG805" i="1"/>
  <c r="AH805" i="1"/>
  <c r="AI805" i="1"/>
  <c r="AF806" i="1"/>
  <c r="AG806" i="1"/>
  <c r="AH806" i="1"/>
  <c r="AI806" i="1"/>
  <c r="AF807" i="1"/>
  <c r="AG807" i="1"/>
  <c r="AH807" i="1"/>
  <c r="AI807" i="1"/>
  <c r="AF813" i="1"/>
  <c r="AG813" i="1"/>
  <c r="AH813" i="1"/>
  <c r="AI813" i="1"/>
  <c r="AF814" i="1"/>
  <c r="AG814" i="1"/>
  <c r="AH814" i="1"/>
  <c r="AI814" i="1"/>
  <c r="AF815" i="1"/>
  <c r="AG815" i="1"/>
  <c r="AH815" i="1"/>
  <c r="AI815" i="1"/>
  <c r="AF816" i="1"/>
  <c r="AG816" i="1"/>
  <c r="AH816" i="1"/>
  <c r="AI816" i="1"/>
  <c r="AF819" i="1"/>
  <c r="AG819" i="1"/>
  <c r="AH819" i="1"/>
  <c r="AI819" i="1"/>
  <c r="AF820" i="1"/>
  <c r="AG820" i="1"/>
  <c r="AH820" i="1"/>
  <c r="AI820" i="1"/>
  <c r="AF821" i="1"/>
  <c r="AG821" i="1"/>
  <c r="AH821" i="1"/>
  <c r="AI821" i="1"/>
  <c r="AF822" i="1"/>
  <c r="AG822" i="1"/>
  <c r="AH822" i="1"/>
  <c r="AI822" i="1"/>
  <c r="AF823" i="1"/>
  <c r="AG823" i="1"/>
  <c r="AH823" i="1"/>
  <c r="AI823" i="1"/>
  <c r="AF856" i="1"/>
  <c r="AG856" i="1"/>
  <c r="AH856" i="1"/>
  <c r="AI856" i="1"/>
  <c r="AG861" i="1"/>
  <c r="AH861" i="1"/>
  <c r="AI861" i="1"/>
  <c r="AF876" i="1"/>
  <c r="AG876" i="1"/>
  <c r="AH876" i="1"/>
  <c r="AI876" i="1"/>
  <c r="AF877" i="1"/>
  <c r="AG877" i="1"/>
  <c r="AH877" i="1"/>
  <c r="AI877" i="1"/>
  <c r="AF878" i="1"/>
  <c r="AG878" i="1"/>
  <c r="AH878" i="1"/>
  <c r="AI878" i="1"/>
  <c r="AF879" i="1"/>
  <c r="AG879" i="1"/>
  <c r="AH879" i="1"/>
  <c r="AI879" i="1"/>
  <c r="AF911" i="1"/>
  <c r="AG911" i="1"/>
  <c r="AH911" i="1"/>
  <c r="AI911" i="1"/>
  <c r="AF912" i="1"/>
  <c r="AG912" i="1"/>
  <c r="AH912" i="1"/>
  <c r="AI912" i="1"/>
  <c r="AF913" i="1"/>
  <c r="AG913" i="1"/>
  <c r="AH913" i="1"/>
  <c r="AI913" i="1"/>
  <c r="AF914" i="1"/>
  <c r="AG914" i="1"/>
  <c r="AH914" i="1"/>
  <c r="AI914" i="1"/>
  <c r="AF915" i="1"/>
  <c r="AG915" i="1"/>
  <c r="AH915" i="1"/>
  <c r="AI915" i="1"/>
  <c r="AF916" i="1"/>
  <c r="AG916" i="1"/>
  <c r="AH916" i="1"/>
  <c r="AI916" i="1"/>
  <c r="AF917" i="1"/>
  <c r="AG917" i="1"/>
  <c r="AH917" i="1"/>
  <c r="AI917" i="1"/>
  <c r="AF918" i="1"/>
  <c r="AG918" i="1"/>
  <c r="AH918" i="1"/>
  <c r="AI918" i="1"/>
  <c r="AF919" i="1"/>
  <c r="AG919" i="1"/>
  <c r="AH919" i="1"/>
  <c r="AI919" i="1"/>
  <c r="AF920" i="1"/>
  <c r="AG920" i="1"/>
  <c r="AH920" i="1"/>
  <c r="AI920" i="1"/>
  <c r="AF935" i="1"/>
  <c r="AG935" i="1"/>
  <c r="AH935" i="1"/>
  <c r="AI935" i="1"/>
  <c r="AF936" i="1"/>
  <c r="AG936" i="1"/>
  <c r="AH936" i="1"/>
  <c r="AI936" i="1"/>
  <c r="AF937" i="1"/>
  <c r="AG937" i="1"/>
  <c r="AH937" i="1"/>
  <c r="AI937" i="1"/>
  <c r="AF938" i="1"/>
  <c r="AG938" i="1"/>
  <c r="AH938" i="1"/>
  <c r="AI938" i="1"/>
  <c r="AF1007" i="1"/>
  <c r="AG1007" i="1"/>
  <c r="AH1007" i="1"/>
  <c r="AI1007" i="1"/>
  <c r="AG1008" i="1"/>
  <c r="AH1008" i="1"/>
  <c r="AI1008" i="1"/>
  <c r="AS1286" i="1"/>
  <c r="AF1286" i="1"/>
  <c r="AS1287" i="1"/>
  <c r="AF1287" i="1"/>
  <c r="AG1180" i="1"/>
  <c r="AH1180" i="1"/>
  <c r="AI1180" i="1"/>
  <c r="AG1181" i="1"/>
  <c r="AH1181" i="1"/>
  <c r="AI1181" i="1"/>
  <c r="AG1185" i="1"/>
  <c r="AH1185" i="1"/>
  <c r="AI1185" i="1"/>
  <c r="AG1186" i="1"/>
  <c r="AH1186" i="1"/>
  <c r="AI1186" i="1"/>
  <c r="AF1264" i="1"/>
  <c r="AG1264" i="1"/>
  <c r="BF1264" i="1"/>
  <c r="AH1264" i="1" s="1"/>
  <c r="AI1264" i="1"/>
  <c r="AF1265" i="1"/>
  <c r="AG1265" i="1"/>
  <c r="BF1265" i="1"/>
  <c r="AH1265" i="1" s="1"/>
  <c r="AI1265" i="1"/>
  <c r="AF1266" i="1"/>
  <c r="AG1266" i="1"/>
  <c r="BF1266" i="1"/>
  <c r="AH1266" i="1"/>
  <c r="AI1266" i="1"/>
  <c r="AG1286" i="1"/>
  <c r="BF1286" i="1"/>
  <c r="AH1286" i="1"/>
  <c r="AI1286" i="1"/>
  <c r="AG1287" i="1"/>
  <c r="BF1287" i="1"/>
  <c r="AH1287" i="1"/>
  <c r="AI1287" i="1"/>
  <c r="AS1290" i="1"/>
  <c r="AF1290" i="1"/>
  <c r="AG1290" i="1"/>
  <c r="BF1290" i="1"/>
  <c r="AH1290" i="1" s="1"/>
  <c r="AI1290" i="1"/>
  <c r="AS1291" i="1"/>
  <c r="AF1291" i="1" s="1"/>
  <c r="AG1291" i="1"/>
  <c r="BF1291" i="1"/>
  <c r="AH1291" i="1"/>
  <c r="AI1291" i="1"/>
  <c r="AF1311" i="1"/>
  <c r="AG1311" i="1"/>
  <c r="BF1311" i="1"/>
  <c r="AH1311" i="1"/>
  <c r="AI1311" i="1"/>
  <c r="AF1312" i="1"/>
  <c r="AG1312" i="1"/>
  <c r="BF1312" i="1"/>
  <c r="AH1312" i="1"/>
  <c r="AI1312" i="1"/>
  <c r="AF1313" i="1"/>
  <c r="AG1313" i="1"/>
  <c r="BF1313" i="1"/>
  <c r="AH1313" i="1"/>
  <c r="AI1313" i="1"/>
  <c r="AF1314" i="1"/>
  <c r="AG1314" i="1"/>
  <c r="BF1314" i="1"/>
  <c r="AH1314" i="1"/>
  <c r="AI1314" i="1"/>
  <c r="AF1315" i="1"/>
  <c r="AG1315" i="1"/>
  <c r="BF1315" i="1"/>
  <c r="AH1315" i="1"/>
  <c r="AI1315" i="1"/>
  <c r="AF1316" i="1"/>
  <c r="AG1316" i="1"/>
  <c r="BF1316" i="1"/>
  <c r="AH1316" i="1" s="1"/>
  <c r="AI1316" i="1"/>
  <c r="AF1317" i="1"/>
  <c r="AG1317" i="1"/>
  <c r="BF1317" i="1"/>
  <c r="AH1317" i="1" s="1"/>
  <c r="AI1317" i="1"/>
  <c r="AF1318" i="1"/>
  <c r="AG1318" i="1"/>
  <c r="BF1318" i="1"/>
  <c r="AH1318" i="1"/>
  <c r="AI1318" i="1"/>
  <c r="AF1380" i="1"/>
  <c r="AG1380" i="1"/>
  <c r="BF1380" i="1"/>
  <c r="AH1380" i="1" s="1"/>
  <c r="AI1380" i="1"/>
  <c r="AF1381" i="1"/>
  <c r="AG1381" i="1"/>
  <c r="BF1381" i="1"/>
  <c r="AH1381" i="1"/>
  <c r="AI1381" i="1"/>
  <c r="AF1382" i="1"/>
  <c r="AG1382" i="1"/>
  <c r="BF1382" i="1"/>
  <c r="AH1382" i="1" s="1"/>
  <c r="AI1382" i="1"/>
  <c r="AS1420" i="1"/>
  <c r="AF1420" i="1"/>
  <c r="AG1420" i="1"/>
  <c r="BF1420" i="1"/>
  <c r="AH1420" i="1"/>
  <c r="AI1420" i="1"/>
  <c r="AS1421" i="1"/>
  <c r="AF1421" i="1"/>
  <c r="AG1421" i="1"/>
  <c r="BF1421" i="1"/>
  <c r="AH1421" i="1" s="1"/>
  <c r="AI1421" i="1"/>
  <c r="AS1422" i="1"/>
  <c r="AF1422" i="1"/>
  <c r="AG1422" i="1"/>
  <c r="BF1422" i="1"/>
  <c r="AH1422" i="1"/>
  <c r="AI1422" i="1"/>
  <c r="AS1423" i="1"/>
  <c r="AF1423" i="1"/>
  <c r="AG1423" i="1"/>
  <c r="BF1423" i="1"/>
  <c r="AH1423" i="1" s="1"/>
  <c r="AI1423" i="1"/>
  <c r="AS1424" i="1"/>
  <c r="AF1424" i="1"/>
  <c r="AG1424" i="1"/>
  <c r="BF1424" i="1"/>
  <c r="AH1424" i="1"/>
  <c r="AI1424" i="1"/>
  <c r="AS1425" i="1"/>
  <c r="AF1425" i="1"/>
  <c r="AG1425" i="1"/>
  <c r="BF1425" i="1"/>
  <c r="AH1425" i="1" s="1"/>
  <c r="AI1425" i="1"/>
  <c r="AS1445" i="1"/>
  <c r="AF1445" i="1"/>
  <c r="AG1445" i="1"/>
  <c r="BF1445" i="1"/>
  <c r="AH1445" i="1"/>
  <c r="AI1445" i="1"/>
  <c r="AS1446" i="1"/>
  <c r="AF1446" i="1"/>
  <c r="AG1446" i="1"/>
  <c r="BF1446" i="1"/>
  <c r="AH1446" i="1" s="1"/>
  <c r="AI1446" i="1"/>
  <c r="AS1447" i="1"/>
  <c r="AF1447" i="1"/>
  <c r="AG1447" i="1"/>
  <c r="BF1447" i="1"/>
  <c r="AH1447" i="1"/>
  <c r="AI1447" i="1"/>
  <c r="AS1448" i="1"/>
  <c r="AF1448" i="1"/>
  <c r="AG1448" i="1"/>
  <c r="BF1448" i="1"/>
  <c r="AH1448" i="1" s="1"/>
  <c r="AI1448" i="1"/>
  <c r="AS1449" i="1"/>
  <c r="AF1449" i="1"/>
  <c r="AG1449" i="1"/>
  <c r="BF1449" i="1"/>
  <c r="AH1449" i="1"/>
  <c r="AI1449" i="1"/>
  <c r="AF1530" i="1"/>
  <c r="AG1530" i="1"/>
  <c r="BF1530" i="1"/>
  <c r="AH1530" i="1" s="1"/>
  <c r="AI1530" i="1"/>
  <c r="AF1579" i="1"/>
  <c r="AG1579" i="1"/>
  <c r="BF1579" i="1"/>
  <c r="AH1579" i="1" s="1"/>
  <c r="AI1579" i="1"/>
  <c r="AF1580" i="1"/>
  <c r="AG1580" i="1"/>
  <c r="BF1580" i="1"/>
  <c r="AH1580" i="1"/>
  <c r="AI1580" i="1"/>
  <c r="AF1581" i="1"/>
  <c r="AG1581" i="1"/>
  <c r="BF1581" i="1"/>
  <c r="AH1581" i="1" s="1"/>
  <c r="AI1581" i="1"/>
  <c r="AF1582" i="1"/>
  <c r="AG1582" i="1"/>
  <c r="BF1582" i="1"/>
  <c r="AH1582" i="1"/>
  <c r="AI1582" i="1"/>
  <c r="AF1583" i="1"/>
  <c r="AG1583" i="1"/>
  <c r="AF1607" i="1"/>
  <c r="AG1607" i="1"/>
  <c r="AF1608" i="1"/>
  <c r="AG1608" i="1"/>
  <c r="AF1609" i="1"/>
  <c r="AG1609" i="1"/>
  <c r="AH1609" i="1"/>
  <c r="AI1609" i="1"/>
  <c r="AF1625" i="1"/>
  <c r="AG1625" i="1"/>
  <c r="AF1626" i="1"/>
  <c r="AG1626" i="1"/>
  <c r="AF1627" i="1"/>
  <c r="AG1627" i="1"/>
  <c r="AF1628" i="1"/>
  <c r="AG1628" i="1"/>
  <c r="AF340" i="1"/>
  <c r="AG340" i="1"/>
  <c r="AH340" i="1"/>
  <c r="AI340" i="1"/>
  <c r="AF346" i="1"/>
  <c r="AG346" i="1"/>
  <c r="AH346" i="1"/>
  <c r="AI346" i="1"/>
  <c r="AF376" i="1"/>
  <c r="AG376" i="1"/>
  <c r="AH376" i="1"/>
  <c r="AI376" i="1"/>
  <c r="AF377" i="1"/>
  <c r="AG377" i="1"/>
  <c r="AH377" i="1"/>
  <c r="AI377" i="1"/>
  <c r="AF378" i="1"/>
  <c r="AG378" i="1"/>
  <c r="AH378" i="1"/>
  <c r="AI378" i="1"/>
  <c r="AF379" i="1"/>
  <c r="AG379" i="1"/>
  <c r="AH379" i="1"/>
  <c r="AI379" i="1"/>
  <c r="AF532" i="1"/>
  <c r="AG532" i="1"/>
  <c r="AH532" i="1"/>
  <c r="AI532" i="1"/>
  <c r="AF533" i="1"/>
  <c r="AG533" i="1"/>
  <c r="AH533" i="1"/>
  <c r="AI533" i="1"/>
  <c r="AF534" i="1"/>
  <c r="AG534" i="1"/>
  <c r="AH534" i="1"/>
  <c r="AI534" i="1"/>
  <c r="AF535" i="1"/>
  <c r="AG535" i="1"/>
  <c r="AH535" i="1"/>
  <c r="AI535" i="1"/>
  <c r="AF536" i="1"/>
  <c r="AG536" i="1"/>
  <c r="AH536" i="1"/>
  <c r="AI536" i="1"/>
  <c r="AF539" i="1"/>
  <c r="AF576" i="1"/>
  <c r="AG576" i="1"/>
  <c r="AH576" i="1"/>
  <c r="AI576" i="1"/>
  <c r="AF577" i="1"/>
  <c r="AG577" i="1"/>
  <c r="AH577" i="1"/>
  <c r="AI577" i="1"/>
  <c r="AF605" i="1"/>
  <c r="AG605" i="1"/>
  <c r="AH605" i="1"/>
  <c r="AF661" i="1"/>
  <c r="AG661" i="1"/>
  <c r="AH661" i="1"/>
  <c r="AI661" i="1"/>
  <c r="AF662" i="1"/>
  <c r="AG662" i="1"/>
  <c r="AH662" i="1"/>
  <c r="AI662" i="1"/>
  <c r="AF663" i="1"/>
  <c r="AG663" i="1"/>
  <c r="AH663" i="1"/>
  <c r="AI663" i="1"/>
  <c r="AF664" i="1"/>
  <c r="AG664" i="1"/>
  <c r="AH664" i="1"/>
  <c r="AI664" i="1"/>
  <c r="AF665" i="1"/>
  <c r="AG665" i="1"/>
  <c r="AH665" i="1"/>
  <c r="AI665" i="1"/>
  <c r="AF666" i="1"/>
  <c r="AG666" i="1"/>
  <c r="AH666" i="1"/>
  <c r="AI666" i="1"/>
  <c r="AF667" i="1"/>
  <c r="AG667" i="1"/>
  <c r="AH667" i="1"/>
  <c r="AI667" i="1"/>
  <c r="AF668" i="1"/>
  <c r="AG668" i="1"/>
  <c r="AH668" i="1"/>
  <c r="AI668" i="1"/>
  <c r="AF669" i="1"/>
  <c r="AG669" i="1"/>
  <c r="AH669" i="1"/>
  <c r="AI669" i="1"/>
  <c r="AF670" i="1"/>
  <c r="AG670" i="1"/>
  <c r="AH670" i="1"/>
  <c r="AI670" i="1"/>
  <c r="AF671" i="1"/>
  <c r="AG671" i="1"/>
  <c r="AH671" i="1"/>
  <c r="AI671" i="1"/>
  <c r="AF672" i="1"/>
  <c r="AG672" i="1"/>
  <c r="AH672" i="1"/>
  <c r="AI672" i="1"/>
  <c r="AF673" i="1"/>
  <c r="AG673" i="1"/>
  <c r="AH673" i="1"/>
  <c r="AI673" i="1"/>
  <c r="AF674" i="1"/>
  <c r="AG674" i="1"/>
  <c r="AH674" i="1"/>
  <c r="AI674" i="1"/>
  <c r="AF675" i="1"/>
  <c r="AG675" i="1"/>
  <c r="AH675" i="1"/>
  <c r="AI675" i="1"/>
  <c r="AF676" i="1"/>
  <c r="AG676" i="1"/>
  <c r="AH676" i="1"/>
  <c r="AI676" i="1"/>
  <c r="AF677" i="1"/>
  <c r="AG677" i="1"/>
  <c r="AH677" i="1"/>
  <c r="AI677" i="1"/>
  <c r="AF678" i="1"/>
  <c r="AG678" i="1"/>
  <c r="AH678" i="1"/>
  <c r="AI678" i="1"/>
  <c r="AF679" i="1"/>
  <c r="AG679" i="1"/>
  <c r="AH679" i="1"/>
  <c r="AI679" i="1"/>
  <c r="AF680" i="1"/>
  <c r="AG680" i="1"/>
  <c r="AH680" i="1"/>
  <c r="AI680" i="1"/>
  <c r="AF681" i="1"/>
  <c r="AG681" i="1"/>
  <c r="AH681" i="1"/>
  <c r="AI681" i="1"/>
  <c r="AF682" i="1"/>
  <c r="AG682" i="1"/>
  <c r="AH682" i="1"/>
  <c r="AI682" i="1"/>
  <c r="AF683" i="1"/>
  <c r="AG683" i="1"/>
  <c r="AH683" i="1"/>
  <c r="AI683" i="1"/>
  <c r="AF684" i="1"/>
  <c r="AG684" i="1"/>
  <c r="AH684" i="1"/>
  <c r="AI684" i="1"/>
  <c r="AF685" i="1"/>
  <c r="AG685" i="1"/>
  <c r="AH685" i="1"/>
  <c r="AI685" i="1"/>
  <c r="AF686" i="1"/>
  <c r="AG686" i="1"/>
  <c r="AH686" i="1"/>
  <c r="AI686" i="1"/>
  <c r="AF698" i="1"/>
  <c r="AG698" i="1"/>
  <c r="AH698" i="1"/>
  <c r="AI698" i="1"/>
  <c r="AF699" i="1"/>
  <c r="AG699" i="1"/>
  <c r="AH699" i="1"/>
  <c r="AI699" i="1"/>
  <c r="AF700" i="1"/>
  <c r="AG700" i="1"/>
  <c r="AH700" i="1"/>
  <c r="AI700" i="1"/>
  <c r="AF809" i="1"/>
  <c r="AG809" i="1"/>
  <c r="AH809" i="1"/>
  <c r="AI809" i="1"/>
  <c r="AF810" i="1"/>
  <c r="AG810" i="1"/>
  <c r="AH810" i="1"/>
  <c r="AI810" i="1"/>
  <c r="AF818" i="1"/>
  <c r="AG818" i="1"/>
  <c r="AH818" i="1"/>
  <c r="AI818" i="1"/>
  <c r="AF826" i="1"/>
  <c r="AG826" i="1"/>
  <c r="AH826" i="1"/>
  <c r="AI826" i="1"/>
  <c r="AF827" i="1"/>
  <c r="AG827" i="1"/>
  <c r="AH827" i="1"/>
  <c r="AI827" i="1"/>
  <c r="AF828" i="1"/>
  <c r="AG828" i="1"/>
  <c r="AH828" i="1"/>
  <c r="AI828" i="1"/>
  <c r="AF829" i="1"/>
  <c r="AG829" i="1"/>
  <c r="AH829" i="1"/>
  <c r="AI829" i="1"/>
  <c r="AF830" i="1"/>
  <c r="AG830" i="1"/>
  <c r="AH830" i="1"/>
  <c r="AI830" i="1"/>
  <c r="AF831" i="1"/>
  <c r="AG831" i="1"/>
  <c r="AH831" i="1"/>
  <c r="AI831" i="1"/>
  <c r="AF832" i="1"/>
  <c r="AG832" i="1"/>
  <c r="AH832" i="1"/>
  <c r="AI832" i="1"/>
  <c r="AF833" i="1"/>
  <c r="AG833" i="1"/>
  <c r="AH833" i="1"/>
  <c r="AI833" i="1"/>
  <c r="AF834" i="1"/>
  <c r="AG834" i="1"/>
  <c r="AH834" i="1"/>
  <c r="AI834" i="1"/>
  <c r="AF835" i="1"/>
  <c r="AG835" i="1"/>
  <c r="AH835" i="1"/>
  <c r="AI835" i="1"/>
  <c r="AF836" i="1"/>
  <c r="AG836" i="1"/>
  <c r="AH836" i="1"/>
  <c r="AI836" i="1"/>
  <c r="AF837" i="1"/>
  <c r="AG837" i="1"/>
  <c r="AH837" i="1"/>
  <c r="AI837" i="1"/>
  <c r="AF838" i="1"/>
  <c r="AG838" i="1"/>
  <c r="AH838" i="1"/>
  <c r="AI838" i="1"/>
  <c r="AF839" i="1"/>
  <c r="AG839" i="1"/>
  <c r="AH839" i="1"/>
  <c r="AI839" i="1"/>
  <c r="AF840" i="1"/>
  <c r="AG840" i="1"/>
  <c r="AH840" i="1"/>
  <c r="AI840" i="1"/>
  <c r="AF841" i="1"/>
  <c r="AG841" i="1"/>
  <c r="AH841" i="1"/>
  <c r="AI841" i="1"/>
  <c r="AF842" i="1"/>
  <c r="AG842" i="1"/>
  <c r="AH842" i="1"/>
  <c r="AI842" i="1"/>
  <c r="AF843" i="1"/>
  <c r="AG843" i="1"/>
  <c r="AH843" i="1"/>
  <c r="AI843" i="1"/>
  <c r="AF844" i="1"/>
  <c r="AG844" i="1"/>
  <c r="AH844" i="1"/>
  <c r="AI844" i="1"/>
  <c r="AF845" i="1"/>
  <c r="AG845" i="1"/>
  <c r="AH845" i="1"/>
  <c r="AI845" i="1"/>
  <c r="AG846" i="1"/>
  <c r="AI846" i="1"/>
  <c r="AG847" i="1"/>
  <c r="AI847" i="1"/>
  <c r="AG848" i="1"/>
  <c r="AI848" i="1"/>
  <c r="AF857" i="1"/>
  <c r="AG857" i="1"/>
  <c r="AH857" i="1"/>
  <c r="AI857" i="1"/>
  <c r="AF858" i="1"/>
  <c r="AG858" i="1"/>
  <c r="AH858" i="1"/>
  <c r="AI858" i="1"/>
  <c r="AF868" i="1"/>
  <c r="AG868" i="1"/>
  <c r="AH868" i="1"/>
  <c r="AI868" i="1"/>
  <c r="AF895" i="1"/>
  <c r="AG895" i="1"/>
  <c r="AH895" i="1"/>
  <c r="AI895" i="1"/>
  <c r="AF896" i="1"/>
  <c r="AG896" i="1"/>
  <c r="AH896" i="1"/>
  <c r="AI896" i="1"/>
  <c r="AF933" i="1"/>
  <c r="AG933" i="1"/>
  <c r="AH933" i="1"/>
  <c r="AI933" i="1"/>
  <c r="AF934" i="1"/>
  <c r="AG934" i="1"/>
  <c r="AH934" i="1"/>
  <c r="AI934" i="1"/>
  <c r="AF940" i="1"/>
  <c r="AG940" i="1"/>
  <c r="AH940" i="1"/>
  <c r="AI940" i="1"/>
  <c r="AF941" i="1"/>
  <c r="AG941" i="1"/>
  <c r="AH941" i="1"/>
  <c r="AI941" i="1"/>
  <c r="AF942" i="1"/>
  <c r="AG942" i="1"/>
  <c r="AH942" i="1"/>
  <c r="AI942" i="1"/>
  <c r="AF943" i="1"/>
  <c r="AG943" i="1"/>
  <c r="AH943" i="1"/>
  <c r="AI943" i="1"/>
  <c r="AF944" i="1"/>
  <c r="AG944" i="1"/>
  <c r="AH944" i="1"/>
  <c r="AI944" i="1"/>
  <c r="AF948" i="1"/>
  <c r="AH948" i="1"/>
  <c r="AI948" i="1"/>
  <c r="AF978" i="1"/>
  <c r="AG978" i="1"/>
  <c r="AH978" i="1"/>
  <c r="AI978" i="1"/>
  <c r="AF1233" i="1"/>
  <c r="AG1233" i="1"/>
  <c r="BF1233" i="1"/>
  <c r="AH1233" i="1" s="1"/>
  <c r="AI1233" i="1"/>
  <c r="AF1235" i="1"/>
  <c r="AG1235" i="1"/>
  <c r="BF1235" i="1"/>
  <c r="AH1235" i="1"/>
  <c r="AI1235" i="1"/>
  <c r="AF1248" i="1"/>
  <c r="AG1248" i="1"/>
  <c r="BF1248" i="1"/>
  <c r="AH1248" i="1" s="1"/>
  <c r="AI1248" i="1"/>
  <c r="AF1249" i="1"/>
  <c r="AG1249" i="1"/>
  <c r="BF1249" i="1"/>
  <c r="AH1249" i="1" s="1"/>
  <c r="AI1249" i="1"/>
  <c r="AF1250" i="1"/>
  <c r="AG1250" i="1"/>
  <c r="BF1250" i="1"/>
  <c r="AH1250" i="1"/>
  <c r="AI1250" i="1"/>
  <c r="AF1251" i="1"/>
  <c r="AG1251" i="1"/>
  <c r="BF1251" i="1"/>
  <c r="AH1251" i="1"/>
  <c r="AI1251" i="1"/>
  <c r="AF1252" i="1"/>
  <c r="AG1252" i="1"/>
  <c r="BF1252" i="1"/>
  <c r="AH1252" i="1" s="1"/>
  <c r="AI1252" i="1"/>
  <c r="AF1253" i="1"/>
  <c r="AG1253" i="1"/>
  <c r="BF1253" i="1"/>
  <c r="AH1253" i="1"/>
  <c r="AI1253" i="1"/>
  <c r="AF1254" i="1"/>
  <c r="AG1254" i="1"/>
  <c r="BF1254" i="1"/>
  <c r="AH1254" i="1" s="1"/>
  <c r="AI1254" i="1"/>
  <c r="AF1309" i="1"/>
  <c r="AG1309" i="1"/>
  <c r="BF1309" i="1"/>
  <c r="AH1309" i="1"/>
  <c r="AI1309" i="1"/>
  <c r="AF1310" i="1"/>
  <c r="AG1310" i="1"/>
  <c r="BF1310" i="1"/>
  <c r="AH1310" i="1"/>
  <c r="AI1310" i="1"/>
  <c r="AF3" i="1"/>
  <c r="AG3" i="1"/>
  <c r="AI3" i="1"/>
  <c r="AF4" i="1"/>
  <c r="AG4" i="1"/>
  <c r="AI4" i="1"/>
  <c r="AF5" i="1"/>
  <c r="AG5" i="1"/>
  <c r="AI5" i="1"/>
  <c r="AF10" i="1"/>
  <c r="AG10" i="1"/>
  <c r="AH10" i="1"/>
  <c r="AI10" i="1"/>
  <c r="AF11" i="1"/>
  <c r="AH11" i="1"/>
  <c r="AF12" i="1"/>
  <c r="AG12" i="1"/>
  <c r="AH12" i="1"/>
  <c r="AI12" i="1"/>
  <c r="AF13" i="1"/>
  <c r="AG13" i="1"/>
  <c r="AH13" i="1"/>
  <c r="AI13" i="1"/>
  <c r="AF86" i="1"/>
  <c r="AG86" i="1"/>
  <c r="AI86" i="1"/>
  <c r="AF87" i="1"/>
  <c r="AG87" i="1"/>
  <c r="AI87" i="1"/>
  <c r="AF88" i="1"/>
  <c r="AG88" i="1"/>
  <c r="AI88" i="1"/>
  <c r="AF89" i="1"/>
  <c r="AG89" i="1"/>
  <c r="AI89" i="1"/>
  <c r="AF90" i="1"/>
  <c r="AG90" i="1"/>
  <c r="AI90" i="1"/>
  <c r="AF91" i="1"/>
  <c r="AG91" i="1"/>
  <c r="AI91" i="1"/>
  <c r="AF94" i="1"/>
  <c r="AG94" i="1"/>
  <c r="AI94" i="1"/>
  <c r="AF95" i="1"/>
  <c r="AG95" i="1"/>
  <c r="AI95" i="1"/>
  <c r="AF96" i="1"/>
  <c r="AG96" i="1"/>
  <c r="AI96" i="1"/>
  <c r="AF97" i="1"/>
  <c r="AG97" i="1"/>
  <c r="AI97" i="1"/>
  <c r="AF98" i="1"/>
  <c r="AG98" i="1"/>
  <c r="AI98" i="1"/>
  <c r="AF99" i="1"/>
  <c r="AG99" i="1"/>
  <c r="AI99" i="1"/>
  <c r="AF100" i="1"/>
  <c r="AG100" i="1"/>
  <c r="AI100" i="1"/>
  <c r="AF101" i="1"/>
  <c r="AG101" i="1"/>
  <c r="AI101" i="1"/>
  <c r="AF102" i="1"/>
  <c r="AG102" i="1"/>
  <c r="AI102" i="1"/>
  <c r="AF103" i="1"/>
  <c r="AG103" i="1"/>
  <c r="AI103" i="1"/>
  <c r="AF105" i="1"/>
  <c r="AG105" i="1"/>
  <c r="AI105" i="1"/>
  <c r="AF106" i="1"/>
  <c r="AG106" i="1"/>
  <c r="AI106" i="1"/>
  <c r="AF107" i="1"/>
  <c r="AG107" i="1"/>
  <c r="AH107" i="1"/>
  <c r="AI107" i="1"/>
  <c r="AF108" i="1"/>
  <c r="AG108" i="1"/>
  <c r="AH108" i="1"/>
  <c r="AI108" i="1"/>
  <c r="AF109" i="1"/>
  <c r="AG109" i="1"/>
  <c r="AH109" i="1"/>
  <c r="AI109" i="1"/>
  <c r="AF113" i="1"/>
  <c r="AF115" i="1"/>
  <c r="AG115" i="1"/>
  <c r="AH115" i="1"/>
  <c r="AI115" i="1"/>
  <c r="AF117" i="1"/>
  <c r="AG117" i="1"/>
  <c r="AH117" i="1"/>
  <c r="AI117" i="1"/>
  <c r="AF118" i="1"/>
  <c r="AG118" i="1"/>
  <c r="AH118" i="1"/>
  <c r="AI118" i="1"/>
  <c r="AF119" i="1"/>
  <c r="AG119" i="1"/>
  <c r="AH119" i="1"/>
  <c r="AI119" i="1"/>
  <c r="AF120" i="1"/>
  <c r="AG120" i="1"/>
  <c r="AI120" i="1"/>
  <c r="AF121" i="1"/>
  <c r="AG121" i="1"/>
  <c r="AI121" i="1"/>
  <c r="AF122" i="1"/>
  <c r="AG122" i="1"/>
  <c r="AI122" i="1"/>
  <c r="AF123" i="1"/>
  <c r="AG123" i="1"/>
  <c r="AI123" i="1"/>
  <c r="AF124" i="1"/>
  <c r="AG124" i="1"/>
  <c r="AI124" i="1"/>
  <c r="AF125" i="1"/>
  <c r="AG125" i="1"/>
  <c r="AI125" i="1"/>
  <c r="AF126" i="1"/>
  <c r="AG126" i="1"/>
  <c r="AI126" i="1"/>
  <c r="AF127" i="1"/>
  <c r="AG127" i="1"/>
  <c r="AI127" i="1"/>
  <c r="AF128" i="1"/>
  <c r="AG128" i="1"/>
  <c r="AH128" i="1"/>
  <c r="AI128" i="1"/>
  <c r="AF129" i="1"/>
  <c r="AG129" i="1"/>
  <c r="AH129" i="1"/>
  <c r="AI129" i="1"/>
  <c r="AF130" i="1"/>
  <c r="AG130" i="1"/>
  <c r="AH130" i="1"/>
  <c r="AI130" i="1"/>
  <c r="AF131" i="1"/>
  <c r="AG131" i="1"/>
  <c r="AH131" i="1"/>
  <c r="AI131" i="1"/>
  <c r="AF132" i="1"/>
  <c r="AG132" i="1"/>
  <c r="AH132" i="1"/>
  <c r="AI132" i="1"/>
  <c r="AF133" i="1"/>
  <c r="AG133" i="1"/>
  <c r="AH133" i="1"/>
  <c r="AI133" i="1"/>
  <c r="AF134" i="1"/>
  <c r="AG134" i="1"/>
  <c r="AH134" i="1"/>
  <c r="AI134" i="1"/>
  <c r="AF135" i="1"/>
  <c r="AG135" i="1"/>
  <c r="AH135" i="1"/>
  <c r="AI135" i="1"/>
  <c r="AF136" i="1"/>
  <c r="AG136" i="1"/>
  <c r="AH136" i="1"/>
  <c r="AI136" i="1"/>
  <c r="AF137" i="1"/>
  <c r="AG137" i="1"/>
  <c r="AH137" i="1"/>
  <c r="AI137" i="1"/>
  <c r="AF138" i="1"/>
  <c r="AG138" i="1"/>
  <c r="AH138" i="1"/>
  <c r="AI138" i="1"/>
  <c r="AF139" i="1"/>
  <c r="AG139" i="1"/>
  <c r="AH139" i="1"/>
  <c r="AI139" i="1"/>
  <c r="AF140" i="1"/>
  <c r="AG140" i="1"/>
  <c r="AH140" i="1"/>
  <c r="AI140" i="1"/>
  <c r="AF141" i="1"/>
  <c r="AG141" i="1"/>
  <c r="AH141" i="1"/>
  <c r="AI141" i="1"/>
  <c r="AF142" i="1"/>
  <c r="AG142" i="1"/>
  <c r="AH142" i="1"/>
  <c r="AI142" i="1"/>
  <c r="AF143" i="1"/>
  <c r="AG143" i="1"/>
  <c r="AH143" i="1"/>
  <c r="AI143" i="1"/>
  <c r="AF144" i="1"/>
  <c r="AG144" i="1"/>
  <c r="AH144" i="1"/>
  <c r="AI144" i="1"/>
  <c r="AF145" i="1"/>
  <c r="AG145" i="1"/>
  <c r="AH145" i="1"/>
  <c r="AI145" i="1"/>
  <c r="AF146" i="1"/>
  <c r="AG146" i="1"/>
  <c r="AH146" i="1"/>
  <c r="AI146" i="1"/>
  <c r="AF147" i="1"/>
  <c r="AG147" i="1"/>
  <c r="AH147" i="1"/>
  <c r="AI147" i="1"/>
  <c r="AF148" i="1"/>
  <c r="AG148" i="1"/>
  <c r="AH148" i="1"/>
  <c r="AI148" i="1"/>
  <c r="AF149" i="1"/>
  <c r="AG149" i="1"/>
  <c r="AH149" i="1"/>
  <c r="AI149" i="1"/>
  <c r="AF150" i="1"/>
  <c r="AG150" i="1"/>
  <c r="AH150" i="1"/>
  <c r="AI150" i="1"/>
  <c r="AF151" i="1"/>
  <c r="AG151" i="1"/>
  <c r="AH151" i="1"/>
  <c r="AI151" i="1"/>
  <c r="AF152" i="1"/>
  <c r="AG152" i="1"/>
  <c r="AH152" i="1"/>
  <c r="AI152" i="1"/>
  <c r="AF153" i="1"/>
  <c r="AG153" i="1"/>
  <c r="AH153" i="1"/>
  <c r="AI153" i="1"/>
  <c r="AF154" i="1"/>
  <c r="AG154" i="1"/>
  <c r="AH154" i="1"/>
  <c r="AI154" i="1"/>
  <c r="AF155" i="1"/>
  <c r="AG155" i="1"/>
  <c r="AH155" i="1"/>
  <c r="AI155" i="1"/>
  <c r="AF156" i="1"/>
  <c r="AG156" i="1"/>
  <c r="AH156" i="1"/>
  <c r="AI156" i="1"/>
  <c r="AF157" i="1"/>
  <c r="AG157" i="1"/>
  <c r="AH157" i="1"/>
  <c r="AI157" i="1"/>
  <c r="AF158" i="1"/>
  <c r="AG158" i="1"/>
  <c r="AH158" i="1"/>
  <c r="AI158" i="1"/>
  <c r="AF159" i="1"/>
  <c r="AG159" i="1"/>
  <c r="AH159" i="1"/>
  <c r="AI159" i="1"/>
  <c r="AF160" i="1"/>
  <c r="AG160" i="1"/>
  <c r="AH160" i="1"/>
  <c r="AI160" i="1"/>
  <c r="AF161" i="1"/>
  <c r="AG161" i="1"/>
  <c r="AH161" i="1"/>
  <c r="AI161" i="1"/>
  <c r="AF162" i="1"/>
  <c r="AG162" i="1"/>
  <c r="AH162" i="1"/>
  <c r="AI162" i="1"/>
  <c r="AF246" i="1"/>
  <c r="AG246" i="1"/>
  <c r="AI246" i="1"/>
  <c r="AF247" i="1"/>
  <c r="AG247" i="1"/>
  <c r="AI247" i="1"/>
  <c r="AF248" i="1"/>
  <c r="AG248" i="1"/>
  <c r="AI248" i="1"/>
  <c r="AF249" i="1"/>
  <c r="AG249" i="1"/>
  <c r="AI249" i="1"/>
  <c r="AF250" i="1"/>
  <c r="AG250" i="1"/>
  <c r="AI250" i="1"/>
  <c r="AF251" i="1"/>
  <c r="AG251" i="1"/>
  <c r="AI251" i="1"/>
  <c r="AF252" i="1"/>
  <c r="AG252" i="1"/>
  <c r="AI252" i="1"/>
  <c r="AF253" i="1"/>
  <c r="AG253" i="1"/>
  <c r="AI253" i="1"/>
  <c r="AF254" i="1"/>
  <c r="AG254" i="1"/>
  <c r="AI254" i="1"/>
  <c r="AF255" i="1"/>
  <c r="AG255" i="1"/>
  <c r="AI255" i="1"/>
  <c r="AF256" i="1"/>
  <c r="AG256" i="1"/>
  <c r="AI256" i="1"/>
  <c r="AF257" i="1"/>
  <c r="AG257" i="1"/>
  <c r="AI257" i="1"/>
  <c r="AF258" i="1"/>
  <c r="AG258" i="1"/>
  <c r="AI258" i="1"/>
  <c r="AF259" i="1"/>
  <c r="AG259" i="1"/>
  <c r="AI259" i="1"/>
  <c r="AF260" i="1"/>
  <c r="AG260" i="1"/>
  <c r="AI260" i="1"/>
  <c r="AF284" i="1"/>
  <c r="AG284" i="1"/>
  <c r="AI284" i="1"/>
  <c r="AF285" i="1"/>
  <c r="AG285" i="1"/>
  <c r="AI285" i="1"/>
  <c r="AF287" i="1"/>
  <c r="AG287" i="1"/>
  <c r="AI287" i="1"/>
  <c r="AF412" i="1"/>
  <c r="AG412" i="1"/>
  <c r="AW412" i="1"/>
  <c r="AY412" i="1"/>
  <c r="AF413" i="1"/>
  <c r="AG413" i="1"/>
  <c r="AH413" i="1"/>
  <c r="AI413" i="1"/>
  <c r="AF414" i="1"/>
  <c r="AG414" i="1"/>
  <c r="AH414" i="1"/>
  <c r="AI414" i="1"/>
  <c r="AF415" i="1"/>
  <c r="AG415" i="1"/>
  <c r="AH415" i="1"/>
  <c r="AI415" i="1"/>
  <c r="AF416" i="1"/>
  <c r="AG416" i="1"/>
  <c r="AI416" i="1"/>
  <c r="AF417" i="1"/>
  <c r="AG417" i="1"/>
  <c r="AI417" i="1"/>
  <c r="AF418" i="1"/>
  <c r="AG418" i="1"/>
  <c r="AI418" i="1"/>
  <c r="AG419" i="1"/>
  <c r="AI419" i="1"/>
  <c r="AG420" i="1"/>
  <c r="AI420" i="1"/>
  <c r="AG421" i="1"/>
  <c r="AI421" i="1"/>
  <c r="AG422" i="1"/>
  <c r="AI422" i="1"/>
  <c r="AF423" i="1"/>
  <c r="AJ423" i="1"/>
  <c r="AK423" i="1"/>
  <c r="AL423" i="1"/>
  <c r="AH423" i="1"/>
  <c r="AW423" i="1"/>
  <c r="AY423" i="1"/>
  <c r="AF424" i="1"/>
  <c r="AJ424" i="1"/>
  <c r="AK424" i="1"/>
  <c r="AL424" i="1"/>
  <c r="AH424" i="1"/>
  <c r="AW424" i="1"/>
  <c r="AY424" i="1"/>
  <c r="AG425" i="1"/>
  <c r="AI425" i="1"/>
  <c r="AG426" i="1"/>
  <c r="AI426" i="1"/>
  <c r="AG427" i="1"/>
  <c r="AI427" i="1"/>
  <c r="AG428" i="1"/>
  <c r="AI428" i="1"/>
  <c r="AG429" i="1"/>
  <c r="AI429" i="1"/>
  <c r="AG430" i="1"/>
  <c r="AI430" i="1"/>
  <c r="AF431" i="1"/>
  <c r="AG431" i="1"/>
  <c r="AH431" i="1"/>
  <c r="AI431" i="1"/>
  <c r="AF432" i="1"/>
  <c r="AG432" i="1"/>
  <c r="AH432" i="1"/>
  <c r="AI432" i="1"/>
  <c r="AG433" i="1"/>
  <c r="AI433" i="1"/>
  <c r="AF434" i="1"/>
  <c r="AG434" i="1"/>
  <c r="AI434" i="1"/>
  <c r="AF435" i="1"/>
  <c r="AG435" i="1"/>
  <c r="AI435" i="1"/>
  <c r="AF436" i="1"/>
  <c r="AG436" i="1"/>
  <c r="AH436" i="1"/>
  <c r="AI436" i="1"/>
  <c r="AF437" i="1"/>
  <c r="AG437" i="1"/>
  <c r="AH437" i="1"/>
  <c r="AI437" i="1"/>
  <c r="AF438" i="1"/>
  <c r="AG438" i="1"/>
  <c r="AH438" i="1"/>
  <c r="AI438" i="1"/>
  <c r="AF627" i="1"/>
  <c r="AG627" i="1"/>
  <c r="AI627" i="1"/>
  <c r="AF628" i="1"/>
  <c r="AG628" i="1"/>
  <c r="AI628" i="1"/>
  <c r="AG629" i="1"/>
  <c r="AI629" i="1"/>
  <c r="AF630" i="1"/>
  <c r="AG630" i="1"/>
  <c r="AH630" i="1"/>
  <c r="AF649" i="1"/>
  <c r="AG649" i="1"/>
  <c r="AH649" i="1"/>
  <c r="AI649" i="1"/>
  <c r="AF886" i="1"/>
  <c r="AG886" i="1"/>
  <c r="AH886" i="1"/>
  <c r="AI886" i="1"/>
  <c r="AF887" i="1"/>
  <c r="AG887" i="1"/>
  <c r="AH887" i="1"/>
  <c r="AI887" i="1"/>
  <c r="AF888" i="1"/>
  <c r="AG888" i="1"/>
  <c r="AH888" i="1"/>
  <c r="AI888" i="1"/>
  <c r="AF889" i="1"/>
  <c r="AG889" i="1"/>
  <c r="AH889" i="1"/>
  <c r="AI889" i="1"/>
  <c r="AF890" i="1"/>
  <c r="AG890" i="1"/>
  <c r="AH890" i="1"/>
  <c r="AI890" i="1"/>
  <c r="AF891" i="1"/>
  <c r="AG891" i="1"/>
  <c r="AH891" i="1"/>
  <c r="AI891" i="1"/>
  <c r="AF892" i="1"/>
  <c r="AG892" i="1"/>
  <c r="AH892" i="1"/>
  <c r="AI892" i="1"/>
  <c r="AF1048" i="1"/>
  <c r="AG1048" i="1"/>
  <c r="BF1048" i="1"/>
  <c r="AH1048" i="1"/>
  <c r="AI1048" i="1"/>
  <c r="AF1049" i="1"/>
  <c r="AG1049" i="1"/>
  <c r="BF1049" i="1"/>
  <c r="AH1049" i="1" s="1"/>
  <c r="AI1049" i="1"/>
  <c r="AF1050" i="1"/>
  <c r="AG1050" i="1"/>
  <c r="BF1050" i="1"/>
  <c r="AH1050" i="1"/>
  <c r="AI1050" i="1"/>
  <c r="AF1051" i="1"/>
  <c r="AG1051" i="1"/>
  <c r="BF1051" i="1"/>
  <c r="AH1051" i="1" s="1"/>
  <c r="AI1051" i="1"/>
  <c r="AF1052" i="1"/>
  <c r="AG1052" i="1"/>
  <c r="BF1052" i="1"/>
  <c r="AH1052" i="1"/>
  <c r="AI1052" i="1"/>
  <c r="AF1053" i="1"/>
  <c r="AG1053" i="1"/>
  <c r="BF1053" i="1"/>
  <c r="AH1053" i="1" s="1"/>
  <c r="AI1053" i="1"/>
  <c r="AF1054" i="1"/>
  <c r="AG1054" i="1"/>
  <c r="BF1054" i="1"/>
  <c r="AH1054" i="1"/>
  <c r="AI1054" i="1"/>
  <c r="AF1055" i="1"/>
  <c r="AG1055" i="1"/>
  <c r="BF1055" i="1"/>
  <c r="AH1055" i="1" s="1"/>
  <c r="AI1055" i="1"/>
  <c r="AF1056" i="1"/>
  <c r="AG1056" i="1"/>
  <c r="BF1056" i="1"/>
  <c r="AH1056" i="1"/>
  <c r="AI1056" i="1"/>
  <c r="AF1057" i="1"/>
  <c r="AG1057" i="1"/>
  <c r="BF1057" i="1"/>
  <c r="AH1057" i="1"/>
  <c r="AI1057" i="1"/>
  <c r="AF1058" i="1"/>
  <c r="AG1058" i="1"/>
  <c r="BF1058" i="1"/>
  <c r="AH1058" i="1"/>
  <c r="AI1058" i="1"/>
  <c r="AF1059" i="1"/>
  <c r="AG1059" i="1"/>
  <c r="BF1059" i="1"/>
  <c r="AH1059" i="1" s="1"/>
  <c r="AI1059" i="1"/>
  <c r="AF1060" i="1"/>
  <c r="AG1060" i="1"/>
  <c r="BF1060" i="1"/>
  <c r="AH1060" i="1"/>
  <c r="AI1060" i="1"/>
  <c r="AF1183" i="1"/>
  <c r="AG1183" i="1"/>
  <c r="AH1183" i="1"/>
  <c r="AI1183" i="1"/>
  <c r="AF1222" i="1"/>
  <c r="AG1222" i="1"/>
  <c r="BF1222" i="1"/>
  <c r="AH1222" i="1"/>
  <c r="AI1222" i="1"/>
  <c r="AF1223" i="1"/>
  <c r="AG1223" i="1"/>
  <c r="BF1223" i="1"/>
  <c r="AH1223" i="1"/>
  <c r="AI1223" i="1"/>
  <c r="AF1224" i="1"/>
  <c r="AG1224" i="1"/>
  <c r="BF1224" i="1"/>
  <c r="AH1224" i="1" s="1"/>
  <c r="AI1224" i="1"/>
  <c r="AF1225" i="1"/>
  <c r="AG1225" i="1"/>
  <c r="BF1225" i="1"/>
  <c r="AH1225" i="1"/>
  <c r="AI1225" i="1"/>
  <c r="AF1226" i="1"/>
  <c r="AG1226" i="1"/>
  <c r="BF1226" i="1"/>
  <c r="AH1226" i="1" s="1"/>
  <c r="AI1226" i="1"/>
  <c r="AF1227" i="1"/>
  <c r="AG1227" i="1"/>
  <c r="BF1227" i="1"/>
  <c r="AH1227" i="1" s="1"/>
  <c r="AI1227" i="1"/>
  <c r="AF1228" i="1"/>
  <c r="AG1228" i="1"/>
  <c r="BF1228" i="1"/>
  <c r="AH1228" i="1"/>
  <c r="AI1228" i="1"/>
  <c r="AF1229" i="1"/>
  <c r="AG1229" i="1"/>
  <c r="BF1229" i="1"/>
  <c r="AH1229" i="1"/>
  <c r="AI1229" i="1"/>
  <c r="AF1230" i="1"/>
  <c r="AG1230" i="1"/>
  <c r="BF1230" i="1"/>
  <c r="AH1230" i="1" s="1"/>
  <c r="AI1230" i="1"/>
  <c r="AF1255" i="1"/>
  <c r="AG1255" i="1"/>
  <c r="BF1255" i="1"/>
  <c r="AH1255" i="1"/>
  <c r="AI1255" i="1"/>
  <c r="AF1256" i="1"/>
  <c r="AG1256" i="1"/>
  <c r="BF1256" i="1"/>
  <c r="AH1256" i="1" s="1"/>
  <c r="AI1256" i="1"/>
  <c r="AF1257" i="1"/>
  <c r="AG1257" i="1"/>
  <c r="BF1257" i="1"/>
  <c r="AH1257" i="1"/>
  <c r="AI1257" i="1"/>
  <c r="AF1258" i="1"/>
  <c r="AG1258" i="1"/>
  <c r="BF1258" i="1"/>
  <c r="AH1258" i="1"/>
  <c r="AI1258" i="1"/>
  <c r="AS1292" i="1"/>
  <c r="AF1292" i="1"/>
  <c r="AG1292" i="1"/>
  <c r="BF1292" i="1"/>
  <c r="AH1292" i="1" s="1"/>
  <c r="AI1292" i="1"/>
  <c r="AS1293" i="1"/>
  <c r="AF1293" i="1"/>
  <c r="AG1293" i="1"/>
  <c r="BF1293" i="1"/>
  <c r="AH1293" i="1"/>
  <c r="AI1293" i="1"/>
  <c r="AS1294" i="1"/>
  <c r="AF1294" i="1"/>
  <c r="AG1294" i="1"/>
  <c r="BF1294" i="1"/>
  <c r="AH1294" i="1" s="1"/>
  <c r="AI1294" i="1"/>
  <c r="AS1295" i="1"/>
  <c r="AF1295" i="1"/>
  <c r="AG1295" i="1"/>
  <c r="BF1295" i="1"/>
  <c r="AH1295" i="1"/>
  <c r="AI1295" i="1"/>
  <c r="AS1296" i="1"/>
  <c r="AF1296" i="1"/>
  <c r="AG1296" i="1"/>
  <c r="BF1296" i="1"/>
  <c r="AH1296" i="1" s="1"/>
  <c r="AI1296" i="1"/>
  <c r="AS1297" i="1"/>
  <c r="AF1297" i="1"/>
  <c r="AG1297" i="1"/>
  <c r="BF1297" i="1"/>
  <c r="AH1297" i="1"/>
  <c r="AI1297" i="1"/>
  <c r="AF1308" i="1"/>
  <c r="AG1308" i="1"/>
  <c r="AF1319" i="1"/>
  <c r="AG1319" i="1"/>
  <c r="BF1319" i="1"/>
  <c r="AH1319" i="1"/>
  <c r="AI1319" i="1"/>
  <c r="AF1320" i="1"/>
  <c r="AG1320" i="1"/>
  <c r="BF1320" i="1"/>
  <c r="AH1320" i="1"/>
  <c r="AI1320" i="1"/>
  <c r="AF1324" i="1"/>
  <c r="AG1324" i="1"/>
  <c r="AF1325" i="1"/>
  <c r="AG1325" i="1"/>
  <c r="AF1326" i="1"/>
  <c r="AG1326" i="1"/>
  <c r="AF1327" i="1"/>
  <c r="AG1327" i="1"/>
  <c r="AF1328" i="1"/>
  <c r="AG1328" i="1"/>
  <c r="AF1329" i="1"/>
  <c r="AG1329" i="1"/>
  <c r="AF1330" i="1"/>
  <c r="AG1330" i="1"/>
  <c r="AF1331" i="1"/>
  <c r="AG1331" i="1"/>
  <c r="AF1332" i="1"/>
  <c r="AG1332" i="1"/>
  <c r="AF1333" i="1"/>
  <c r="AG1333" i="1"/>
  <c r="AF1383" i="1"/>
  <c r="AG1383" i="1"/>
  <c r="BF1383" i="1"/>
  <c r="AH1383" i="1" s="1"/>
  <c r="AI1383" i="1"/>
  <c r="AF1384" i="1"/>
  <c r="AG1384" i="1"/>
  <c r="BF1384" i="1"/>
  <c r="AH1384" i="1" s="1"/>
  <c r="AI1384" i="1"/>
  <c r="AF1385" i="1"/>
  <c r="AG1385" i="1"/>
  <c r="BF1385" i="1"/>
  <c r="AH1385" i="1"/>
  <c r="AI1385" i="1"/>
  <c r="AF1386" i="1"/>
  <c r="AG1386" i="1"/>
  <c r="BF1386" i="1"/>
  <c r="AH1386" i="1" s="1"/>
  <c r="AI1386" i="1"/>
  <c r="AF1387" i="1"/>
  <c r="AG1387" i="1"/>
  <c r="BF1387" i="1"/>
  <c r="AH1387" i="1"/>
  <c r="AI1387" i="1"/>
  <c r="AF1388" i="1"/>
  <c r="AG1388" i="1"/>
  <c r="BF1388" i="1"/>
  <c r="AH1388" i="1" s="1"/>
  <c r="AI1388" i="1"/>
  <c r="AF1389" i="1"/>
  <c r="AG1389" i="1"/>
  <c r="BF1389" i="1"/>
  <c r="AH1389" i="1"/>
  <c r="AI1389" i="1"/>
  <c r="AF1390" i="1"/>
  <c r="AG1390" i="1"/>
  <c r="BF1390" i="1"/>
  <c r="AH1390" i="1"/>
  <c r="AI1390" i="1"/>
  <c r="AF1391" i="1"/>
  <c r="AG1391" i="1"/>
  <c r="BF1391" i="1"/>
  <c r="AH1391" i="1" s="1"/>
  <c r="AI1391" i="1"/>
  <c r="AF1392" i="1"/>
  <c r="AG1392" i="1"/>
  <c r="BF1392" i="1"/>
  <c r="AH1392" i="1" s="1"/>
  <c r="AI1392" i="1"/>
  <c r="AF1393" i="1"/>
  <c r="AG1393" i="1"/>
  <c r="BF1393" i="1"/>
  <c r="AH1393" i="1"/>
  <c r="AI1393" i="1"/>
  <c r="AF1394" i="1"/>
  <c r="AG1394" i="1"/>
  <c r="BF1394" i="1"/>
  <c r="AH1394" i="1" s="1"/>
  <c r="AI1394" i="1"/>
  <c r="AF1395" i="1"/>
  <c r="AG1395" i="1"/>
  <c r="BF1395" i="1"/>
  <c r="AH1395" i="1" s="1"/>
  <c r="AI1395" i="1"/>
  <c r="AF1396" i="1"/>
  <c r="AG1396" i="1"/>
  <c r="BF1396" i="1"/>
  <c r="AH1396" i="1" s="1"/>
  <c r="AI1396" i="1"/>
  <c r="AF1399" i="1"/>
  <c r="AG1399" i="1"/>
  <c r="AF1400" i="1"/>
  <c r="AG1400" i="1"/>
  <c r="AF1401" i="1"/>
  <c r="AG1401" i="1"/>
  <c r="AF1402" i="1"/>
  <c r="AG1402" i="1"/>
  <c r="AF1411" i="1"/>
  <c r="AG1411" i="1"/>
  <c r="BF1411" i="1"/>
  <c r="AH1411" i="1"/>
  <c r="AI1411" i="1"/>
  <c r="AF1412" i="1"/>
  <c r="AG1412" i="1"/>
  <c r="BF1412" i="1"/>
  <c r="AH1412" i="1"/>
  <c r="AI1412" i="1"/>
  <c r="AF1413" i="1"/>
  <c r="AG1413" i="1"/>
  <c r="BF1413" i="1"/>
  <c r="AH1413" i="1" s="1"/>
  <c r="AI1413" i="1"/>
  <c r="AF1414" i="1"/>
  <c r="AG1414" i="1"/>
  <c r="AF1415" i="1"/>
  <c r="AG1415" i="1"/>
  <c r="AF1416" i="1"/>
  <c r="AG1416" i="1"/>
  <c r="AF1417" i="1"/>
  <c r="AG1417" i="1"/>
  <c r="AF1418" i="1"/>
  <c r="AG1418" i="1"/>
  <c r="AF1419" i="1"/>
  <c r="AG1419" i="1"/>
  <c r="AF1451" i="1"/>
  <c r="AG1451" i="1"/>
  <c r="AS1452" i="1"/>
  <c r="AF1452" i="1" s="1"/>
  <c r="AG1452" i="1"/>
  <c r="BF1452" i="1"/>
  <c r="AH1452" i="1"/>
  <c r="AI1452" i="1"/>
  <c r="AF1463" i="1"/>
  <c r="AG1463" i="1"/>
  <c r="AF1464" i="1"/>
  <c r="AG1464" i="1"/>
  <c r="AF1465" i="1"/>
  <c r="AG1465" i="1"/>
  <c r="AF1468" i="1"/>
  <c r="AG1468" i="1"/>
  <c r="AF1469" i="1"/>
  <c r="AG1469" i="1"/>
  <c r="AF1470" i="1"/>
  <c r="AG1470" i="1"/>
  <c r="AF1471" i="1"/>
  <c r="AG1471" i="1"/>
  <c r="AF1483" i="1"/>
  <c r="AG1483" i="1"/>
  <c r="AF1484" i="1"/>
  <c r="AG1484" i="1"/>
  <c r="AF1485" i="1"/>
  <c r="AG1485" i="1"/>
  <c r="AF1510" i="1"/>
  <c r="AG1510" i="1"/>
  <c r="AF1511" i="1"/>
  <c r="AG1511" i="1"/>
  <c r="AF1514" i="1"/>
  <c r="AG1514" i="1"/>
  <c r="AW1514" i="1"/>
  <c r="BF1514" i="1"/>
  <c r="AH1514" i="1"/>
  <c r="AY1514" i="1"/>
  <c r="AS1549" i="1"/>
  <c r="AF1549" i="1" s="1"/>
  <c r="AG1549" i="1"/>
  <c r="AF1550" i="1"/>
  <c r="AG1550" i="1"/>
  <c r="AF1556" i="1"/>
  <c r="AG1556" i="1"/>
  <c r="AF1557" i="1"/>
  <c r="AG1557" i="1"/>
  <c r="AF1558" i="1"/>
  <c r="AG1558" i="1"/>
  <c r="AF1559" i="1"/>
  <c r="AG1559" i="1"/>
  <c r="AF1560" i="1"/>
  <c r="AG1560" i="1"/>
  <c r="AF1585" i="1"/>
  <c r="AG1585" i="1"/>
  <c r="AF1586" i="1"/>
  <c r="AG1586" i="1"/>
  <c r="AF1601" i="1"/>
  <c r="AG1601" i="1"/>
  <c r="BF1601" i="1"/>
  <c r="AH1601" i="1"/>
  <c r="AI1601" i="1"/>
  <c r="AF1602" i="1"/>
  <c r="AG1602" i="1"/>
  <c r="BF1602" i="1"/>
  <c r="AH1602" i="1"/>
  <c r="AI1602" i="1"/>
  <c r="AF1603" i="1"/>
  <c r="AG1603" i="1"/>
  <c r="BF1603" i="1"/>
  <c r="AH1603" i="1" s="1"/>
  <c r="AI1603" i="1"/>
  <c r="AF1629" i="1"/>
  <c r="AG1629" i="1"/>
  <c r="AF1642" i="1"/>
  <c r="AG1642" i="1"/>
  <c r="BF1642" i="1"/>
  <c r="AH1642" i="1"/>
  <c r="AI1642" i="1"/>
  <c r="AF1643" i="1"/>
  <c r="AG1643" i="1"/>
  <c r="BF1643" i="1"/>
  <c r="AH1643" i="1" s="1"/>
  <c r="AI1643" i="1"/>
  <c r="AF163" i="1"/>
  <c r="AG163" i="1"/>
  <c r="AH163" i="1"/>
  <c r="AI163" i="1"/>
  <c r="AF164" i="1"/>
  <c r="AG164" i="1"/>
  <c r="AH164" i="1"/>
  <c r="AI164" i="1"/>
  <c r="AF165" i="1"/>
  <c r="AG165" i="1"/>
  <c r="AH165" i="1"/>
  <c r="AI165" i="1"/>
  <c r="AF166" i="1"/>
  <c r="AG166" i="1"/>
  <c r="AH166" i="1"/>
  <c r="AI166" i="1"/>
  <c r="AF167" i="1"/>
  <c r="AG167" i="1"/>
  <c r="AH167" i="1"/>
  <c r="AI167" i="1"/>
  <c r="AF168" i="1"/>
  <c r="AG168" i="1"/>
  <c r="AH168" i="1"/>
  <c r="AI168" i="1"/>
  <c r="AF169" i="1"/>
  <c r="AG169" i="1"/>
  <c r="AH169" i="1"/>
  <c r="AI169" i="1"/>
  <c r="AF170" i="1"/>
  <c r="AG170" i="1"/>
  <c r="AH170" i="1"/>
  <c r="AI170" i="1"/>
  <c r="AF171" i="1"/>
  <c r="AG171" i="1"/>
  <c r="AH171" i="1"/>
  <c r="AI171" i="1"/>
  <c r="AF549" i="1"/>
  <c r="AG549" i="1"/>
  <c r="AH549" i="1"/>
  <c r="AI549" i="1"/>
  <c r="AF550" i="1"/>
  <c r="AG550" i="1"/>
  <c r="AH550" i="1"/>
  <c r="AI550" i="1"/>
  <c r="AF1231" i="1"/>
  <c r="AG1231" i="1"/>
  <c r="BF1231" i="1"/>
  <c r="AH1231" i="1"/>
  <c r="AI1231" i="1"/>
  <c r="AF1232" i="1"/>
  <c r="AG1232" i="1"/>
  <c r="BF1232" i="1"/>
  <c r="AH1232" i="1"/>
  <c r="AI1232" i="1"/>
  <c r="AF1236" i="1"/>
  <c r="AG1236" i="1"/>
  <c r="BF1236" i="1"/>
  <c r="AH1236" i="1" s="1"/>
  <c r="AI1236" i="1"/>
  <c r="AF273" i="1"/>
  <c r="AG273" i="1"/>
  <c r="AH273" i="1"/>
  <c r="AI273" i="1"/>
  <c r="AF274" i="1"/>
  <c r="AG274" i="1"/>
  <c r="AH274" i="1"/>
  <c r="AI274" i="1"/>
  <c r="AF275" i="1"/>
  <c r="AG275" i="1"/>
  <c r="AH275" i="1"/>
  <c r="AI275" i="1"/>
  <c r="AF276" i="1"/>
  <c r="AG276" i="1"/>
  <c r="AH276" i="1"/>
  <c r="AI276" i="1"/>
  <c r="AF277" i="1"/>
  <c r="AG277" i="1"/>
  <c r="AH277" i="1"/>
  <c r="AI277" i="1"/>
  <c r="AF279" i="1"/>
  <c r="AG279" i="1"/>
  <c r="AH279" i="1"/>
  <c r="AI279" i="1"/>
  <c r="AF280" i="1"/>
  <c r="AG280" i="1"/>
  <c r="AF281" i="1"/>
  <c r="AG281" i="1"/>
  <c r="AF282" i="1"/>
  <c r="AG282" i="1"/>
  <c r="AH282" i="1"/>
  <c r="AI282" i="1"/>
  <c r="AF283" i="1"/>
  <c r="AG283" i="1"/>
  <c r="AH283" i="1"/>
  <c r="AI283" i="1"/>
  <c r="AF559" i="1"/>
  <c r="AG559" i="1"/>
  <c r="AH559" i="1"/>
  <c r="AI559" i="1"/>
  <c r="AF561" i="1"/>
  <c r="AG561" i="1"/>
  <c r="AH561" i="1"/>
  <c r="AI561" i="1"/>
  <c r="AF654" i="1"/>
  <c r="AG654" i="1"/>
  <c r="AH654" i="1"/>
  <c r="AI654" i="1"/>
  <c r="AF655" i="1"/>
  <c r="AG655" i="1"/>
  <c r="AH655" i="1"/>
  <c r="AI655" i="1"/>
  <c r="AF656" i="1"/>
  <c r="AG656" i="1"/>
  <c r="AH656" i="1"/>
  <c r="AI656" i="1"/>
  <c r="AF657" i="1"/>
  <c r="AG657" i="1"/>
  <c r="AH657" i="1"/>
  <c r="AI657" i="1"/>
  <c r="AF658" i="1"/>
  <c r="AH658" i="1"/>
  <c r="AI658" i="1"/>
  <c r="AF659" i="1"/>
  <c r="AH659" i="1"/>
  <c r="AI659" i="1"/>
  <c r="AF660" i="1"/>
  <c r="AH660" i="1"/>
  <c r="AI660" i="1"/>
  <c r="AF797" i="1"/>
  <c r="AG797" i="1"/>
  <c r="AH797" i="1"/>
  <c r="AI797" i="1"/>
  <c r="AF798" i="1"/>
  <c r="AG798" i="1"/>
  <c r="AH798" i="1"/>
  <c r="AI798" i="1"/>
  <c r="AF799" i="1"/>
  <c r="AG799" i="1"/>
  <c r="AH799" i="1"/>
  <c r="AI799" i="1"/>
  <c r="AF825" i="1"/>
  <c r="AG825" i="1"/>
  <c r="AH825" i="1"/>
  <c r="AI825" i="1"/>
  <c r="AF875" i="1"/>
  <c r="AG875" i="1"/>
  <c r="AH875" i="1"/>
  <c r="AI875" i="1"/>
  <c r="AF947" i="1"/>
  <c r="AG947" i="1"/>
  <c r="AH947" i="1"/>
  <c r="AI947" i="1"/>
  <c r="AF953" i="1"/>
  <c r="AG953" i="1"/>
  <c r="AH953" i="1"/>
  <c r="AI953" i="1"/>
  <c r="AF970" i="1"/>
  <c r="AG970" i="1"/>
  <c r="AH970" i="1"/>
  <c r="AI970" i="1"/>
  <c r="AF971" i="1"/>
  <c r="AG971" i="1"/>
  <c r="AH971" i="1"/>
  <c r="AI971" i="1"/>
  <c r="AF972" i="1"/>
  <c r="AG972" i="1"/>
  <c r="AH972" i="1"/>
  <c r="AI972" i="1"/>
  <c r="AF973" i="1"/>
  <c r="AG973" i="1"/>
  <c r="AH973" i="1"/>
  <c r="AI973" i="1"/>
  <c r="AF974" i="1"/>
  <c r="AG974" i="1"/>
  <c r="AH974" i="1"/>
  <c r="AI974" i="1"/>
  <c r="AF975" i="1"/>
  <c r="AG975" i="1"/>
  <c r="AH975" i="1"/>
  <c r="AI975" i="1"/>
  <c r="AF976" i="1"/>
  <c r="AG976" i="1"/>
  <c r="AH976" i="1"/>
  <c r="AI976" i="1"/>
  <c r="AF977" i="1"/>
  <c r="AG977" i="1"/>
  <c r="AH977" i="1"/>
  <c r="AI977" i="1"/>
  <c r="AF297" i="1"/>
  <c r="AG297" i="1"/>
  <c r="BF297" i="1"/>
  <c r="AH297" i="1"/>
  <c r="AI297" i="1"/>
  <c r="AF329" i="1"/>
  <c r="AG329" i="1"/>
  <c r="AH329" i="1"/>
  <c r="AI329" i="1"/>
  <c r="AF513" i="1"/>
  <c r="AG513" i="1"/>
  <c r="AH513" i="1"/>
  <c r="AI513" i="1"/>
  <c r="AF514" i="1"/>
  <c r="AG514" i="1"/>
  <c r="AH514" i="1"/>
  <c r="AI514" i="1"/>
  <c r="AF516" i="1"/>
  <c r="AG516" i="1"/>
  <c r="AI516" i="1"/>
  <c r="AF517" i="1"/>
  <c r="AG517" i="1"/>
  <c r="AI517" i="1"/>
  <c r="AF518" i="1"/>
  <c r="AG518" i="1"/>
  <c r="AI518" i="1"/>
  <c r="AF540" i="1"/>
  <c r="AG540" i="1"/>
  <c r="AH540" i="1"/>
  <c r="AI540" i="1"/>
  <c r="AF541" i="1"/>
  <c r="AG541" i="1"/>
  <c r="AH541" i="1"/>
  <c r="AI541" i="1"/>
  <c r="AF542" i="1"/>
  <c r="AG542" i="1"/>
  <c r="AH542" i="1"/>
  <c r="AI542" i="1"/>
  <c r="AF543" i="1"/>
  <c r="AG543" i="1"/>
  <c r="AH543" i="1"/>
  <c r="AI543" i="1"/>
  <c r="AF544" i="1"/>
  <c r="AG544" i="1"/>
  <c r="AH544" i="1"/>
  <c r="AI544" i="1"/>
  <c r="AF545" i="1"/>
  <c r="AG545" i="1"/>
  <c r="AH545" i="1"/>
  <c r="AI545" i="1"/>
  <c r="AF546" i="1"/>
  <c r="AG546" i="1"/>
  <c r="AH546" i="1"/>
  <c r="AI546" i="1"/>
  <c r="AF610" i="1"/>
  <c r="AG610" i="1"/>
  <c r="AH610" i="1"/>
  <c r="AI610" i="1"/>
  <c r="AF611" i="1"/>
  <c r="AG611" i="1"/>
  <c r="AH611" i="1"/>
  <c r="AI611" i="1"/>
  <c r="AF612" i="1"/>
  <c r="AG612" i="1"/>
  <c r="AH612" i="1"/>
  <c r="AI612" i="1"/>
  <c r="AF613" i="1"/>
  <c r="AG613" i="1"/>
  <c r="AH613" i="1"/>
  <c r="AI613" i="1"/>
  <c r="AF650" i="1"/>
  <c r="AG650" i="1"/>
  <c r="AH650" i="1"/>
  <c r="AI650" i="1"/>
  <c r="AF653" i="1"/>
  <c r="AG653" i="1"/>
  <c r="AH653" i="1"/>
  <c r="AI653" i="1"/>
  <c r="AF687" i="1"/>
  <c r="AG687" i="1"/>
  <c r="AH687" i="1"/>
  <c r="AI687" i="1"/>
  <c r="AF688" i="1"/>
  <c r="AG688" i="1"/>
  <c r="AH688" i="1"/>
  <c r="AI688" i="1"/>
  <c r="AF811" i="1"/>
  <c r="AG811" i="1"/>
  <c r="AH811" i="1"/>
  <c r="AI811" i="1"/>
  <c r="AG812" i="1"/>
  <c r="AH812" i="1"/>
  <c r="AI812" i="1"/>
  <c r="AF927" i="1"/>
  <c r="AG927" i="1"/>
  <c r="AH927" i="1"/>
  <c r="AI927" i="1"/>
  <c r="AF1006" i="1"/>
  <c r="AG1006" i="1"/>
  <c r="AH1006" i="1"/>
  <c r="AI1006" i="1"/>
  <c r="AF1009" i="1"/>
  <c r="AG1009" i="1"/>
  <c r="AH1009" i="1"/>
  <c r="AI1009" i="1"/>
  <c r="AF1010" i="1"/>
  <c r="AG1010" i="1"/>
  <c r="AH1010" i="1"/>
  <c r="AI1010" i="1"/>
  <c r="AF1011" i="1"/>
  <c r="AG1011" i="1"/>
  <c r="AH1011" i="1"/>
  <c r="AI1011" i="1"/>
  <c r="AF1012" i="1"/>
  <c r="AG1012" i="1"/>
  <c r="AH1012" i="1"/>
  <c r="AI1012" i="1"/>
  <c r="AF1013" i="1"/>
  <c r="AG1013" i="1"/>
  <c r="AH1013" i="1"/>
  <c r="AI1013" i="1"/>
  <c r="AF1014" i="1"/>
  <c r="AG1014" i="1"/>
  <c r="AH1014" i="1"/>
  <c r="AI1014" i="1"/>
  <c r="AF1015" i="1"/>
  <c r="AG1015" i="1"/>
  <c r="AH1015" i="1"/>
  <c r="AI1015" i="1"/>
  <c r="AF1270" i="1"/>
  <c r="AG1270" i="1"/>
  <c r="BF1270" i="1"/>
  <c r="AH1270" i="1"/>
  <c r="AI1270" i="1"/>
  <c r="AF1271" i="1"/>
  <c r="AG1271" i="1"/>
  <c r="BF1271" i="1"/>
  <c r="AH1271" i="1" s="1"/>
  <c r="AI1271" i="1"/>
  <c r="AF288" i="1"/>
  <c r="AG288" i="1"/>
  <c r="AH288" i="1"/>
  <c r="AI288" i="1"/>
  <c r="AF608" i="1"/>
  <c r="AG608" i="1"/>
  <c r="AH608" i="1"/>
  <c r="AI608" i="1"/>
  <c r="AF609" i="1"/>
  <c r="AG609" i="1"/>
  <c r="BF609" i="1"/>
  <c r="AH609" i="1"/>
  <c r="AI609" i="1"/>
  <c r="AF862" i="1"/>
  <c r="AG862" i="1"/>
  <c r="AH862" i="1"/>
  <c r="AI862" i="1"/>
  <c r="AF863" i="1"/>
  <c r="AG863" i="1"/>
  <c r="AH863" i="1"/>
  <c r="AI863" i="1"/>
  <c r="AF945" i="1"/>
  <c r="AG945" i="1"/>
  <c r="AH945" i="1"/>
  <c r="AI945" i="1"/>
  <c r="AF946" i="1"/>
  <c r="AG946" i="1"/>
  <c r="AH946" i="1"/>
  <c r="AI946" i="1"/>
  <c r="AF959" i="1"/>
  <c r="AH959" i="1"/>
  <c r="AF960" i="1"/>
  <c r="AG960" i="1"/>
  <c r="AH960" i="1"/>
  <c r="AI960" i="1"/>
  <c r="AF961" i="1"/>
  <c r="AG961" i="1"/>
  <c r="AH961" i="1"/>
  <c r="AI961" i="1"/>
  <c r="AF962" i="1"/>
  <c r="AG962" i="1"/>
  <c r="AH962" i="1"/>
  <c r="AI962" i="1"/>
  <c r="AF963" i="1"/>
  <c r="AG963" i="1"/>
  <c r="AH963" i="1"/>
  <c r="AI963" i="1"/>
  <c r="AF964" i="1"/>
  <c r="AG964" i="1"/>
  <c r="AH964" i="1"/>
  <c r="AI964" i="1"/>
  <c r="AF965" i="1"/>
  <c r="AG965" i="1"/>
  <c r="AH965" i="1"/>
  <c r="AI965" i="1"/>
  <c r="AF966" i="1"/>
  <c r="AG966" i="1"/>
  <c r="AH966" i="1"/>
  <c r="AI966" i="1"/>
  <c r="AF1182" i="1"/>
  <c r="AH1182" i="1"/>
  <c r="AF34" i="1"/>
  <c r="AG34" i="1"/>
  <c r="AH34" i="1"/>
  <c r="AF35" i="1"/>
  <c r="AG35" i="1"/>
  <c r="AH35" i="1"/>
  <c r="AF36" i="1"/>
  <c r="AF48" i="1"/>
  <c r="AG48" i="1"/>
  <c r="AH48" i="1"/>
  <c r="AI48" i="1"/>
  <c r="AF49" i="1"/>
  <c r="AG49" i="1"/>
  <c r="AH49" i="1"/>
  <c r="AI49" i="1"/>
  <c r="AF50" i="1"/>
  <c r="AG50" i="1"/>
  <c r="AH50" i="1"/>
  <c r="AI50" i="1"/>
  <c r="AF51" i="1"/>
  <c r="AG51" i="1"/>
  <c r="AH51" i="1"/>
  <c r="AI51" i="1"/>
  <c r="AF52" i="1"/>
  <c r="AG52" i="1"/>
  <c r="AH52" i="1"/>
  <c r="AI52" i="1"/>
  <c r="AF53" i="1"/>
  <c r="AG53" i="1"/>
  <c r="AH53" i="1"/>
  <c r="AI53" i="1"/>
  <c r="AF54" i="1"/>
  <c r="AG54" i="1"/>
  <c r="AH54" i="1"/>
  <c r="AI54" i="1"/>
  <c r="AF55" i="1"/>
  <c r="AG55" i="1"/>
  <c r="AH55" i="1"/>
  <c r="AI55" i="1"/>
  <c r="AF56" i="1"/>
  <c r="AG56" i="1"/>
  <c r="AH56" i="1"/>
  <c r="AI56" i="1"/>
  <c r="AF57" i="1"/>
  <c r="AG57" i="1"/>
  <c r="AH57" i="1"/>
  <c r="AI57" i="1"/>
  <c r="AF58" i="1"/>
  <c r="AG58" i="1"/>
  <c r="AH58" i="1"/>
  <c r="AI58" i="1"/>
  <c r="AF59" i="1"/>
  <c r="AG59" i="1"/>
  <c r="AH59" i="1"/>
  <c r="AI59" i="1"/>
  <c r="AF60" i="1"/>
  <c r="AG60" i="1"/>
  <c r="AH60" i="1"/>
  <c r="AI60" i="1"/>
  <c r="AF61" i="1"/>
  <c r="AG61" i="1"/>
  <c r="AH61" i="1"/>
  <c r="AI61" i="1"/>
  <c r="AF62" i="1"/>
  <c r="AG62" i="1"/>
  <c r="AH62" i="1"/>
  <c r="AI62" i="1"/>
  <c r="AF63" i="1"/>
  <c r="AG63" i="1"/>
  <c r="AH63" i="1"/>
  <c r="AI63" i="1"/>
  <c r="AF64" i="1"/>
  <c r="AG64" i="1"/>
  <c r="AH64" i="1"/>
  <c r="AI64" i="1"/>
  <c r="AF65" i="1"/>
  <c r="AG65" i="1"/>
  <c r="AH65" i="1"/>
  <c r="AI65" i="1"/>
  <c r="AF66" i="1"/>
  <c r="AG66" i="1"/>
  <c r="AI66" i="1"/>
  <c r="AF67" i="1"/>
  <c r="AG67" i="1"/>
  <c r="AI67" i="1"/>
  <c r="AF68" i="1"/>
  <c r="AG68" i="1"/>
  <c r="AI68" i="1"/>
  <c r="AF69" i="1"/>
  <c r="AG69" i="1"/>
  <c r="AH69" i="1"/>
  <c r="AI69" i="1"/>
  <c r="AF70" i="1"/>
  <c r="AG70" i="1"/>
  <c r="AH70" i="1"/>
  <c r="AI70" i="1"/>
  <c r="AF71" i="1"/>
  <c r="AG71" i="1"/>
  <c r="AH71" i="1"/>
  <c r="AI71" i="1"/>
  <c r="AF72" i="1"/>
  <c r="AG72" i="1"/>
  <c r="AF240" i="1"/>
  <c r="AG240" i="1"/>
  <c r="AH240" i="1"/>
  <c r="AI240" i="1"/>
  <c r="AF241" i="1"/>
  <c r="AG241" i="1"/>
  <c r="AH241" i="1"/>
  <c r="AI241" i="1"/>
  <c r="AF268" i="1"/>
  <c r="AG268" i="1"/>
  <c r="AH268" i="1"/>
  <c r="AI268" i="1"/>
  <c r="AF269" i="1"/>
  <c r="AG269" i="1"/>
  <c r="AH269" i="1"/>
  <c r="AI269" i="1"/>
  <c r="AF270" i="1"/>
  <c r="AG270" i="1"/>
  <c r="AH270" i="1"/>
  <c r="AI270" i="1"/>
  <c r="AF271" i="1"/>
  <c r="AG271" i="1"/>
  <c r="AH271" i="1"/>
  <c r="AI271" i="1"/>
  <c r="AF291" i="1"/>
  <c r="AG291" i="1"/>
  <c r="AH291" i="1"/>
  <c r="AI291" i="1"/>
  <c r="AF292" i="1"/>
  <c r="AG292" i="1"/>
  <c r="AH292" i="1"/>
  <c r="AI292" i="1"/>
  <c r="AF293" i="1"/>
  <c r="AG293" i="1"/>
  <c r="AH293" i="1"/>
  <c r="AI293" i="1"/>
  <c r="AF294" i="1"/>
  <c r="AG294" i="1"/>
  <c r="AH294" i="1"/>
  <c r="AI294" i="1"/>
  <c r="AF295" i="1"/>
  <c r="AG295" i="1"/>
  <c r="AH295" i="1"/>
  <c r="AI295" i="1"/>
  <c r="AF296" i="1"/>
  <c r="AG296" i="1"/>
  <c r="AH296" i="1"/>
  <c r="AI296" i="1"/>
  <c r="AF298" i="1"/>
  <c r="AG298" i="1"/>
  <c r="BF298" i="1"/>
  <c r="AH298" i="1" s="1"/>
  <c r="AI298" i="1"/>
  <c r="AF299" i="1"/>
  <c r="AG299" i="1"/>
  <c r="AH299" i="1"/>
  <c r="AI299" i="1"/>
  <c r="AF300" i="1"/>
  <c r="AG300" i="1"/>
  <c r="AI300" i="1"/>
  <c r="AF301" i="1"/>
  <c r="AG301" i="1"/>
  <c r="AI301" i="1"/>
  <c r="AF303" i="1"/>
  <c r="AG303" i="1"/>
  <c r="AH303" i="1"/>
  <c r="AI303" i="1"/>
  <c r="AF304" i="1"/>
  <c r="AG304" i="1"/>
  <c r="AH304" i="1"/>
  <c r="AI304" i="1"/>
  <c r="AF305" i="1"/>
  <c r="AG305" i="1"/>
  <c r="AH305" i="1"/>
  <c r="AI305" i="1"/>
  <c r="AF306" i="1"/>
  <c r="AG306" i="1"/>
  <c r="AH306" i="1"/>
  <c r="AI306" i="1"/>
  <c r="AF307" i="1"/>
  <c r="AG307" i="1"/>
  <c r="AH307" i="1"/>
  <c r="AI307" i="1"/>
  <c r="AF308" i="1"/>
  <c r="AG308" i="1"/>
  <c r="AH308" i="1"/>
  <c r="AI308" i="1"/>
  <c r="AF309" i="1"/>
  <c r="AG309" i="1"/>
  <c r="AH309" i="1"/>
  <c r="AI309" i="1"/>
  <c r="AF310" i="1"/>
  <c r="AG310" i="1"/>
  <c r="AH310" i="1"/>
  <c r="AI310" i="1"/>
  <c r="AF311" i="1"/>
  <c r="AG311" i="1"/>
  <c r="AH311" i="1"/>
  <c r="AI311" i="1"/>
  <c r="AF312" i="1"/>
  <c r="AG312" i="1"/>
  <c r="AH312" i="1"/>
  <c r="AI312" i="1"/>
  <c r="AF313" i="1"/>
  <c r="AG313" i="1"/>
  <c r="AH313" i="1"/>
  <c r="AI313" i="1"/>
  <c r="AF314" i="1"/>
  <c r="AG314" i="1"/>
  <c r="AH314" i="1"/>
  <c r="AF315" i="1"/>
  <c r="AG315" i="1"/>
  <c r="AH315" i="1"/>
  <c r="AF328" i="1"/>
  <c r="AG328" i="1"/>
  <c r="AH328" i="1"/>
  <c r="AI328" i="1"/>
  <c r="AF333" i="1"/>
  <c r="AG333" i="1"/>
  <c r="AH333" i="1"/>
  <c r="AI333" i="1"/>
  <c r="AS349" i="1"/>
  <c r="AF349" i="1"/>
  <c r="AG349" i="1"/>
  <c r="BF349" i="1"/>
  <c r="AH349" i="1" s="1"/>
  <c r="AI349" i="1"/>
  <c r="AS350" i="1"/>
  <c r="AF350" i="1"/>
  <c r="AG350" i="1"/>
  <c r="AH350" i="1"/>
  <c r="AI350" i="1"/>
  <c r="AS351" i="1"/>
  <c r="AF351" i="1"/>
  <c r="AG351" i="1"/>
  <c r="BF351" i="1"/>
  <c r="AH351" i="1"/>
  <c r="AI351" i="1"/>
  <c r="AS352" i="1"/>
  <c r="AF352" i="1"/>
  <c r="AG352" i="1"/>
  <c r="BF352" i="1"/>
  <c r="AH352" i="1"/>
  <c r="AI352" i="1"/>
  <c r="AS353" i="1"/>
  <c r="AF353" i="1"/>
  <c r="AG353" i="1"/>
  <c r="BF353" i="1"/>
  <c r="AH353" i="1"/>
  <c r="AI353" i="1"/>
  <c r="AS354" i="1"/>
  <c r="AF354" i="1"/>
  <c r="AG354" i="1"/>
  <c r="BF354" i="1"/>
  <c r="AH354" i="1"/>
  <c r="AI354" i="1"/>
  <c r="AS355" i="1"/>
  <c r="AF355" i="1"/>
  <c r="AG355" i="1"/>
  <c r="BF355" i="1"/>
  <c r="AH355" i="1"/>
  <c r="AI355" i="1"/>
  <c r="AS356" i="1"/>
  <c r="AF356" i="1"/>
  <c r="AG356" i="1"/>
  <c r="BF356" i="1"/>
  <c r="AH356" i="1"/>
  <c r="AI356" i="1"/>
  <c r="AS357" i="1"/>
  <c r="AF357" i="1"/>
  <c r="AG357" i="1"/>
  <c r="BF357" i="1"/>
  <c r="AH357" i="1"/>
  <c r="AI357" i="1"/>
  <c r="AS358" i="1"/>
  <c r="AF358" i="1"/>
  <c r="AG358" i="1"/>
  <c r="BF358" i="1"/>
  <c r="AH358" i="1"/>
  <c r="AI358" i="1"/>
  <c r="AS359" i="1"/>
  <c r="AF359" i="1"/>
  <c r="AG359" i="1"/>
  <c r="BF359" i="1"/>
  <c r="AH359" i="1"/>
  <c r="AI359" i="1"/>
  <c r="AF380" i="1"/>
  <c r="AG380" i="1"/>
  <c r="AH380" i="1"/>
  <c r="AI380" i="1"/>
  <c r="AF381" i="1"/>
  <c r="AG381" i="1"/>
  <c r="AH381" i="1"/>
  <c r="AI381" i="1"/>
  <c r="AF382" i="1"/>
  <c r="AG382" i="1"/>
  <c r="AH382" i="1"/>
  <c r="AI382" i="1"/>
  <c r="AF383" i="1"/>
  <c r="AG383" i="1"/>
  <c r="AH383" i="1"/>
  <c r="AI383" i="1"/>
  <c r="AF385" i="1"/>
  <c r="AG385" i="1"/>
  <c r="AH385" i="1"/>
  <c r="AI385" i="1"/>
  <c r="AF386" i="1"/>
  <c r="AG386" i="1"/>
  <c r="AH386" i="1"/>
  <c r="AI386" i="1"/>
  <c r="AF388" i="1"/>
  <c r="AG388" i="1"/>
  <c r="AH388" i="1"/>
  <c r="AI388" i="1"/>
  <c r="AF391" i="1"/>
  <c r="AG391" i="1"/>
  <c r="AH391" i="1"/>
  <c r="AI391" i="1"/>
  <c r="AF393" i="1"/>
  <c r="AG393" i="1"/>
  <c r="AH393" i="1"/>
  <c r="AI393" i="1"/>
  <c r="AF395" i="1"/>
  <c r="AG395" i="1"/>
  <c r="AH395" i="1"/>
  <c r="AI395" i="1"/>
  <c r="AF396" i="1"/>
  <c r="AG396" i="1"/>
  <c r="AH396" i="1"/>
  <c r="AI396" i="1"/>
  <c r="AF401" i="1"/>
  <c r="AG401" i="1"/>
  <c r="AH401" i="1"/>
  <c r="AI401" i="1"/>
  <c r="AF402" i="1"/>
  <c r="AG402" i="1"/>
  <c r="AH402" i="1"/>
  <c r="AI402" i="1"/>
  <c r="AF403" i="1"/>
  <c r="AG403" i="1"/>
  <c r="AH403" i="1"/>
  <c r="AI403" i="1"/>
  <c r="AF404" i="1"/>
  <c r="AG404" i="1"/>
  <c r="AH404" i="1"/>
  <c r="AI404" i="1"/>
  <c r="AF406" i="1"/>
  <c r="AG406" i="1"/>
  <c r="AH406" i="1"/>
  <c r="AI406" i="1"/>
  <c r="AF407" i="1"/>
  <c r="AG407" i="1"/>
  <c r="AH407" i="1"/>
  <c r="AI407" i="1"/>
  <c r="AF408" i="1"/>
  <c r="AG408" i="1"/>
  <c r="AH408" i="1"/>
  <c r="AI408" i="1"/>
  <c r="AF409" i="1"/>
  <c r="AG409" i="1"/>
  <c r="AH409" i="1"/>
  <c r="AI409" i="1"/>
  <c r="AF410" i="1"/>
  <c r="AG410" i="1"/>
  <c r="AH410" i="1"/>
  <c r="AI410" i="1"/>
  <c r="AF411" i="1"/>
  <c r="AG411" i="1"/>
  <c r="AH411" i="1"/>
  <c r="AI411" i="1"/>
  <c r="AF622" i="1"/>
  <c r="AG622" i="1"/>
  <c r="AH622" i="1"/>
  <c r="AI622" i="1"/>
  <c r="AF626" i="1"/>
  <c r="AG626" i="1"/>
  <c r="AH626" i="1"/>
  <c r="AI626" i="1"/>
  <c r="AF638" i="1"/>
  <c r="AG638" i="1"/>
  <c r="AH638" i="1"/>
  <c r="AI638" i="1"/>
  <c r="AF643" i="1"/>
  <c r="AG643" i="1"/>
  <c r="AH643" i="1"/>
  <c r="AI643" i="1"/>
  <c r="AF646" i="1"/>
  <c r="AG646" i="1"/>
  <c r="AH646" i="1"/>
  <c r="AW646" i="1"/>
  <c r="AI646" i="1"/>
  <c r="AF647" i="1"/>
  <c r="AG647" i="1"/>
  <c r="AH647" i="1"/>
  <c r="AW647" i="1"/>
  <c r="AI647" i="1"/>
  <c r="AF719" i="1"/>
  <c r="AG719" i="1"/>
  <c r="AH719" i="1"/>
  <c r="AI719" i="1"/>
  <c r="AF720" i="1"/>
  <c r="AG720" i="1"/>
  <c r="AH720" i="1"/>
  <c r="AI720" i="1"/>
  <c r="AF724" i="1"/>
  <c r="AG724" i="1"/>
  <c r="AH724" i="1"/>
  <c r="AI724" i="1"/>
  <c r="AF725" i="1"/>
  <c r="AG725" i="1"/>
  <c r="AH725" i="1"/>
  <c r="AI725" i="1"/>
  <c r="AF729" i="1"/>
  <c r="AG729" i="1"/>
  <c r="AH729" i="1"/>
  <c r="AI729" i="1"/>
  <c r="AF730" i="1"/>
  <c r="AG730" i="1"/>
  <c r="AH730" i="1"/>
  <c r="AI730" i="1"/>
  <c r="AF739" i="1"/>
  <c r="AG739" i="1"/>
  <c r="AH739" i="1"/>
  <c r="AI739" i="1"/>
  <c r="AF740" i="1"/>
  <c r="AG740" i="1"/>
  <c r="AH740" i="1"/>
  <c r="AI740" i="1"/>
  <c r="AF741" i="1"/>
  <c r="AG741" i="1"/>
  <c r="AH741" i="1"/>
  <c r="AI741" i="1"/>
  <c r="AF742" i="1"/>
  <c r="AG742" i="1"/>
  <c r="AH742" i="1"/>
  <c r="AI742" i="1"/>
  <c r="AF743" i="1"/>
  <c r="AG743" i="1"/>
  <c r="AH743" i="1"/>
  <c r="AI743" i="1"/>
  <c r="AF744" i="1"/>
  <c r="AG744" i="1"/>
  <c r="AH744" i="1"/>
  <c r="AI744" i="1"/>
  <c r="AF745" i="1"/>
  <c r="AG745" i="1"/>
  <c r="AH745" i="1"/>
  <c r="AI745" i="1"/>
  <c r="AF746" i="1"/>
  <c r="AG746" i="1"/>
  <c r="AH746" i="1"/>
  <c r="AI746" i="1"/>
  <c r="AF747" i="1"/>
  <c r="AG747" i="1"/>
  <c r="AH747" i="1"/>
  <c r="AI747" i="1"/>
  <c r="AF748" i="1"/>
  <c r="AG748" i="1"/>
  <c r="AH748" i="1"/>
  <c r="AI748" i="1"/>
  <c r="AF749" i="1"/>
  <c r="AG749" i="1"/>
  <c r="AH749" i="1"/>
  <c r="AI749" i="1"/>
  <c r="AF754" i="1"/>
  <c r="AG754" i="1"/>
  <c r="AH754" i="1"/>
  <c r="AI754" i="1"/>
  <c r="AF755" i="1"/>
  <c r="AG755" i="1"/>
  <c r="AH755" i="1"/>
  <c r="AI755" i="1"/>
  <c r="AF756" i="1"/>
  <c r="AG756" i="1"/>
  <c r="AH756" i="1"/>
  <c r="AI756" i="1"/>
  <c r="AS758" i="1"/>
  <c r="AF758" i="1"/>
  <c r="AG758" i="1"/>
  <c r="AH758" i="1"/>
  <c r="AI758" i="1"/>
  <c r="AS759" i="1"/>
  <c r="AF759" i="1"/>
  <c r="AG759" i="1"/>
  <c r="AH759" i="1"/>
  <c r="AI759" i="1"/>
  <c r="AS760" i="1"/>
  <c r="AF760" i="1" s="1"/>
  <c r="AG760" i="1"/>
  <c r="AH760" i="1"/>
  <c r="AI760" i="1"/>
  <c r="AG761" i="1"/>
  <c r="AH761" i="1"/>
  <c r="AI761" i="1"/>
  <c r="AG762" i="1"/>
  <c r="AH762" i="1"/>
  <c r="AI762" i="1"/>
  <c r="AG763" i="1"/>
  <c r="AH763" i="1"/>
  <c r="AI763" i="1"/>
  <c r="AF764" i="1"/>
  <c r="AG764" i="1"/>
  <c r="AI764" i="1"/>
  <c r="AF765" i="1"/>
  <c r="AG765" i="1"/>
  <c r="AI765" i="1"/>
  <c r="AF802" i="1"/>
  <c r="AG802" i="1"/>
  <c r="AH802" i="1"/>
  <c r="AI802" i="1"/>
  <c r="AF803" i="1"/>
  <c r="AG803" i="1"/>
  <c r="AH803" i="1"/>
  <c r="AI803" i="1"/>
  <c r="AF817" i="1"/>
  <c r="AG817" i="1"/>
  <c r="AH817" i="1"/>
  <c r="AI817" i="1"/>
  <c r="AF824" i="1"/>
  <c r="AG824" i="1"/>
  <c r="AH824" i="1"/>
  <c r="AI824" i="1"/>
  <c r="AF851" i="1"/>
  <c r="AG851" i="1"/>
  <c r="AH851" i="1"/>
  <c r="AI851" i="1"/>
  <c r="AF852" i="1"/>
  <c r="AG852" i="1"/>
  <c r="AH852" i="1"/>
  <c r="AI852" i="1"/>
  <c r="AF855" i="1"/>
  <c r="AG855" i="1"/>
  <c r="AH855" i="1"/>
  <c r="AI855" i="1"/>
  <c r="AF859" i="1"/>
  <c r="AG859" i="1"/>
  <c r="AH859" i="1"/>
  <c r="AI859" i="1"/>
  <c r="AF860" i="1"/>
  <c r="AG860" i="1"/>
  <c r="AH860" i="1"/>
  <c r="AI860" i="1"/>
  <c r="AG864" i="1"/>
  <c r="AH864" i="1"/>
  <c r="AI864" i="1"/>
  <c r="AG865" i="1"/>
  <c r="AH865" i="1"/>
  <c r="AI865" i="1"/>
  <c r="AG866" i="1"/>
  <c r="AH866" i="1"/>
  <c r="AI866" i="1"/>
  <c r="AG867" i="1"/>
  <c r="AH867" i="1"/>
  <c r="AI867" i="1"/>
  <c r="AF869" i="1"/>
  <c r="AG869" i="1"/>
  <c r="AH869" i="1"/>
  <c r="AI869" i="1"/>
  <c r="AF870" i="1"/>
  <c r="AG870" i="1"/>
  <c r="AH870" i="1"/>
  <c r="AI870" i="1"/>
  <c r="AF871" i="1"/>
  <c r="AG871" i="1"/>
  <c r="AH871" i="1"/>
  <c r="AI871" i="1"/>
  <c r="AF872" i="1"/>
  <c r="AG872" i="1"/>
  <c r="AH872" i="1"/>
  <c r="AI872" i="1"/>
  <c r="AF873" i="1"/>
  <c r="AG873" i="1"/>
  <c r="AH873" i="1"/>
  <c r="AI873" i="1"/>
  <c r="AF874" i="1"/>
  <c r="AG874" i="1"/>
  <c r="AH874" i="1"/>
  <c r="AI874" i="1"/>
  <c r="AF880" i="1"/>
  <c r="AG880" i="1"/>
  <c r="AH880" i="1"/>
  <c r="AI880" i="1"/>
  <c r="AF881" i="1"/>
  <c r="AG881" i="1"/>
  <c r="AI881" i="1"/>
  <c r="AF885" i="1"/>
  <c r="AG885" i="1"/>
  <c r="AH885" i="1"/>
  <c r="AI885" i="1"/>
  <c r="AF897" i="1"/>
  <c r="AG897" i="1"/>
  <c r="AH897" i="1"/>
  <c r="AI897" i="1"/>
  <c r="AF900" i="1"/>
  <c r="AG900" i="1"/>
  <c r="AH900" i="1"/>
  <c r="AI900" i="1"/>
  <c r="AF901" i="1"/>
  <c r="AG901" i="1"/>
  <c r="AH901" i="1"/>
  <c r="AI901" i="1"/>
  <c r="AF902" i="1"/>
  <c r="AG902" i="1"/>
  <c r="AH902" i="1"/>
  <c r="AI902" i="1"/>
  <c r="AF903" i="1"/>
  <c r="AG903" i="1"/>
  <c r="AH903" i="1"/>
  <c r="AI903" i="1"/>
  <c r="AF904" i="1"/>
  <c r="AG904" i="1"/>
  <c r="AH904" i="1"/>
  <c r="AI904" i="1"/>
  <c r="AF905" i="1"/>
  <c r="AG905" i="1"/>
  <c r="AH905" i="1"/>
  <c r="AI905" i="1"/>
  <c r="AF906" i="1"/>
  <c r="AG906" i="1"/>
  <c r="AH906" i="1"/>
  <c r="AI906" i="1"/>
  <c r="AF907" i="1"/>
  <c r="AG907" i="1"/>
  <c r="AH907" i="1"/>
  <c r="AI907" i="1"/>
  <c r="AF908" i="1"/>
  <c r="AG908" i="1"/>
  <c r="AH908" i="1"/>
  <c r="AI908" i="1"/>
  <c r="AF909" i="1"/>
  <c r="AG909" i="1"/>
  <c r="AH909" i="1"/>
  <c r="AI909" i="1"/>
  <c r="AF910" i="1"/>
  <c r="AG910" i="1"/>
  <c r="AH910" i="1"/>
  <c r="AI910" i="1"/>
  <c r="AF921" i="1"/>
  <c r="AG921" i="1"/>
  <c r="AH921" i="1"/>
  <c r="AI921" i="1"/>
  <c r="AF922" i="1"/>
  <c r="AG922" i="1"/>
  <c r="AH922" i="1"/>
  <c r="AI922" i="1"/>
  <c r="AG923" i="1"/>
  <c r="AH923" i="1"/>
  <c r="AI923" i="1"/>
  <c r="AG924" i="1"/>
  <c r="AH924" i="1"/>
  <c r="AI924" i="1"/>
  <c r="AF928" i="1"/>
  <c r="AG928" i="1"/>
  <c r="AH928" i="1"/>
  <c r="AI928" i="1"/>
  <c r="AF929" i="1"/>
  <c r="AG929" i="1"/>
  <c r="AH929" i="1"/>
  <c r="AI929" i="1"/>
  <c r="AF930" i="1"/>
  <c r="AG930" i="1"/>
  <c r="AH930" i="1"/>
  <c r="AI930" i="1"/>
  <c r="AF931" i="1"/>
  <c r="AG931" i="1"/>
  <c r="AH931" i="1"/>
  <c r="AI931" i="1"/>
  <c r="AF932" i="1"/>
  <c r="AG932" i="1"/>
  <c r="AH932" i="1"/>
  <c r="AI932" i="1"/>
  <c r="AF939" i="1"/>
  <c r="AG939" i="1"/>
  <c r="AH939" i="1"/>
  <c r="AI939" i="1"/>
  <c r="AF949" i="1"/>
  <c r="AG949" i="1"/>
  <c r="AH949" i="1"/>
  <c r="AI949" i="1"/>
  <c r="AF950" i="1"/>
  <c r="AG950" i="1"/>
  <c r="AH950" i="1"/>
  <c r="AI950" i="1"/>
  <c r="AF951" i="1"/>
  <c r="AG951" i="1"/>
  <c r="AH951" i="1"/>
  <c r="AI951" i="1"/>
  <c r="AF952" i="1"/>
  <c r="AG952" i="1"/>
  <c r="AH952" i="1"/>
  <c r="AI952" i="1"/>
  <c r="AF954" i="1"/>
  <c r="AG954" i="1"/>
  <c r="AH954" i="1"/>
  <c r="AI954" i="1"/>
  <c r="AF955" i="1"/>
  <c r="AG955" i="1"/>
  <c r="AH955" i="1"/>
  <c r="AI955" i="1"/>
  <c r="AF956" i="1"/>
  <c r="AG956" i="1"/>
  <c r="AH956" i="1"/>
  <c r="AI956" i="1"/>
  <c r="AF957" i="1"/>
  <c r="AG957" i="1"/>
  <c r="AH957" i="1"/>
  <c r="AI957" i="1"/>
  <c r="AF958" i="1"/>
  <c r="AG958" i="1"/>
  <c r="AH958" i="1"/>
  <c r="AI958" i="1"/>
  <c r="AF967" i="1"/>
  <c r="AG967" i="1"/>
  <c r="AH967" i="1"/>
  <c r="AI967" i="1"/>
  <c r="AF968" i="1"/>
  <c r="AG968" i="1"/>
  <c r="AH968" i="1"/>
  <c r="AI968" i="1"/>
  <c r="AF969" i="1"/>
  <c r="AG969" i="1"/>
  <c r="AH969" i="1"/>
  <c r="AI969" i="1"/>
  <c r="AF1061" i="1"/>
  <c r="AG1061" i="1"/>
  <c r="BF1061" i="1"/>
  <c r="AH1061" i="1"/>
  <c r="AI1061" i="1"/>
  <c r="AF1062" i="1"/>
  <c r="AG1062" i="1"/>
  <c r="BF1062" i="1"/>
  <c r="AH1062" i="1" s="1"/>
  <c r="AI1062" i="1"/>
  <c r="AF1063" i="1"/>
  <c r="AG1063" i="1"/>
  <c r="BF1063" i="1"/>
  <c r="AH1063" i="1" s="1"/>
  <c r="AI1063" i="1"/>
  <c r="AF1064" i="1"/>
  <c r="AG1064" i="1"/>
  <c r="BF1064" i="1"/>
  <c r="AH1064" i="1" s="1"/>
  <c r="AI1064" i="1"/>
  <c r="AF1065" i="1"/>
  <c r="AG1065" i="1"/>
  <c r="BF1065" i="1"/>
  <c r="AH1065" i="1"/>
  <c r="AI1065" i="1"/>
  <c r="AF1066" i="1"/>
  <c r="AG1066" i="1"/>
  <c r="BF1066" i="1"/>
  <c r="AH1066" i="1" s="1"/>
  <c r="AI1066" i="1"/>
  <c r="AF1067" i="1"/>
  <c r="AG1067" i="1"/>
  <c r="BF1067" i="1"/>
  <c r="AH1067" i="1" s="1"/>
  <c r="AI1067" i="1"/>
  <c r="AF1068" i="1"/>
  <c r="AG1068" i="1"/>
  <c r="BF1068" i="1"/>
  <c r="AH1068" i="1"/>
  <c r="AI1068" i="1"/>
  <c r="AF1069" i="1"/>
  <c r="AG1069" i="1"/>
  <c r="BF1069" i="1"/>
  <c r="AH1069" i="1"/>
  <c r="AI1069" i="1"/>
  <c r="AF1070" i="1"/>
  <c r="AG1070" i="1"/>
  <c r="BF1070" i="1"/>
  <c r="AH1070" i="1" s="1"/>
  <c r="AI1070" i="1"/>
  <c r="AF1071" i="1"/>
  <c r="AG1071" i="1"/>
  <c r="BF1071" i="1"/>
  <c r="AH1071" i="1"/>
  <c r="AI1071" i="1"/>
  <c r="AF1072" i="1"/>
  <c r="AG1072" i="1"/>
  <c r="AF1073" i="1"/>
  <c r="AG1073" i="1"/>
  <c r="BF1073" i="1"/>
  <c r="AH1073" i="1" s="1"/>
  <c r="AI1073" i="1"/>
  <c r="AF1074" i="1"/>
  <c r="AG1074" i="1"/>
  <c r="BF1074" i="1"/>
  <c r="AH1074" i="1"/>
  <c r="AI1074" i="1"/>
  <c r="AF1075" i="1"/>
  <c r="AG1075" i="1"/>
  <c r="BF1075" i="1"/>
  <c r="AH1075" i="1" s="1"/>
  <c r="AI1075" i="1"/>
  <c r="AF1076" i="1"/>
  <c r="AG1076" i="1"/>
  <c r="BF1076" i="1"/>
  <c r="AH1076" i="1"/>
  <c r="AI1076" i="1"/>
  <c r="AF1077" i="1"/>
  <c r="AG1077" i="1"/>
  <c r="BF1077" i="1"/>
  <c r="AH1077" i="1" s="1"/>
  <c r="AI1077" i="1"/>
  <c r="AF1078" i="1"/>
  <c r="AG1078" i="1"/>
  <c r="BF1078" i="1"/>
  <c r="AH1078" i="1" s="1"/>
  <c r="AI1078" i="1"/>
  <c r="AF1079" i="1"/>
  <c r="AG1079" i="1"/>
  <c r="BF1079" i="1"/>
  <c r="AH1079" i="1" s="1"/>
  <c r="AI1079" i="1"/>
  <c r="AF1080" i="1"/>
  <c r="AG1080" i="1"/>
  <c r="BF1080" i="1"/>
  <c r="AH1080" i="1"/>
  <c r="AI1080" i="1"/>
  <c r="AF1081" i="1"/>
  <c r="AG1081" i="1"/>
  <c r="BF1081" i="1"/>
  <c r="AH1081" i="1" s="1"/>
  <c r="AI1081" i="1"/>
  <c r="AF1262" i="1"/>
  <c r="AG1262" i="1"/>
  <c r="BF1262" i="1"/>
  <c r="AH1262" i="1" s="1"/>
  <c r="AI1262" i="1"/>
  <c r="AF1263" i="1"/>
  <c r="AG1263" i="1"/>
  <c r="BF1263" i="1"/>
  <c r="AH1263" i="1"/>
  <c r="AI1263" i="1"/>
  <c r="AF1281" i="1"/>
  <c r="AG1281" i="1"/>
  <c r="BF1281" i="1"/>
  <c r="AH1281" i="1"/>
  <c r="AI1281" i="1"/>
  <c r="AF1282" i="1"/>
  <c r="AG1282" i="1"/>
  <c r="BF1282" i="1"/>
  <c r="AH1282" i="1" s="1"/>
  <c r="AI1282" i="1"/>
  <c r="AF1283" i="1"/>
  <c r="AG1283" i="1"/>
  <c r="BF1283" i="1"/>
  <c r="AH1283" i="1"/>
  <c r="AI1283" i="1"/>
  <c r="AF1284" i="1"/>
  <c r="AG1284" i="1"/>
  <c r="BF1284" i="1"/>
  <c r="AH1284" i="1" s="1"/>
  <c r="AI1284" i="1"/>
  <c r="AF1285" i="1"/>
  <c r="AG1285" i="1"/>
  <c r="BF1285" i="1"/>
  <c r="AH1285" i="1"/>
  <c r="AI1285" i="1"/>
  <c r="AS1288" i="1"/>
  <c r="AF1288" i="1" s="1"/>
  <c r="AG1288" i="1"/>
  <c r="BF1288" i="1"/>
  <c r="AH1288" i="1"/>
  <c r="AI1288" i="1"/>
  <c r="AS1289" i="1"/>
  <c r="AF1289" i="1" s="1"/>
  <c r="AG1289" i="1"/>
  <c r="BF1289" i="1"/>
  <c r="AH1289" i="1"/>
  <c r="AI1289" i="1"/>
  <c r="AS1298" i="1"/>
  <c r="AF1298" i="1" s="1"/>
  <c r="AG1298" i="1"/>
  <c r="BF1298" i="1"/>
  <c r="AH1298" i="1"/>
  <c r="AI1298" i="1"/>
  <c r="AF1299" i="1"/>
  <c r="AG1299" i="1"/>
  <c r="BF1299" i="1"/>
  <c r="AH1299" i="1"/>
  <c r="AI1299" i="1"/>
  <c r="AF1300" i="1"/>
  <c r="AG1300" i="1"/>
  <c r="BF1300" i="1"/>
  <c r="AH1300" i="1"/>
  <c r="AI1300" i="1"/>
  <c r="AF1301" i="1"/>
  <c r="AG1301" i="1"/>
  <c r="BF1301" i="1"/>
  <c r="AH1301" i="1" s="1"/>
  <c r="AI1301" i="1"/>
  <c r="AF1302" i="1"/>
  <c r="AG1302" i="1"/>
  <c r="BF1302" i="1"/>
  <c r="AH1302" i="1"/>
  <c r="AI1302" i="1"/>
  <c r="AF1303" i="1"/>
  <c r="AG1303" i="1"/>
  <c r="BF1303" i="1"/>
  <c r="AH1303" i="1" s="1"/>
  <c r="AI1303" i="1"/>
  <c r="AF1304" i="1"/>
  <c r="AG1304" i="1"/>
  <c r="BF1304" i="1"/>
  <c r="AH1304" i="1"/>
  <c r="AI1304" i="1"/>
  <c r="AF1305" i="1"/>
  <c r="AG1305" i="1"/>
  <c r="BF1305" i="1"/>
  <c r="AH1305" i="1"/>
  <c r="AI1305" i="1"/>
  <c r="AF1306" i="1"/>
  <c r="AG1306" i="1"/>
  <c r="BF1306" i="1"/>
  <c r="AH1306" i="1" s="1"/>
  <c r="AI1306" i="1"/>
  <c r="BF1334" i="1"/>
  <c r="AH1334" i="1" s="1"/>
  <c r="AI1334" i="1"/>
  <c r="BF1335" i="1"/>
  <c r="AH1335" i="1"/>
  <c r="AI1335" i="1"/>
  <c r="BF1336" i="1"/>
  <c r="AH1336" i="1" s="1"/>
  <c r="AI1336" i="1"/>
  <c r="BF1337" i="1"/>
  <c r="AH1337" i="1" s="1"/>
  <c r="AI1337" i="1"/>
  <c r="BF1338" i="1"/>
  <c r="AH1338" i="1" s="1"/>
  <c r="AI1338" i="1"/>
  <c r="BF1339" i="1"/>
  <c r="AH1339" i="1"/>
  <c r="AI1339" i="1"/>
  <c r="BF1340" i="1"/>
  <c r="AH1340" i="1" s="1"/>
  <c r="AI1340" i="1"/>
  <c r="AS1341" i="1"/>
  <c r="AF1341" i="1"/>
  <c r="AG1341" i="1"/>
  <c r="BF1341" i="1"/>
  <c r="AH1341" i="1" s="1"/>
  <c r="AI1341" i="1"/>
  <c r="AS1346" i="1"/>
  <c r="AF1346" i="1"/>
  <c r="BF1347" i="1"/>
  <c r="AH1347" i="1" s="1"/>
  <c r="AI1347" i="1"/>
  <c r="AS1348" i="1"/>
  <c r="AF1348" i="1" s="1"/>
  <c r="AG1348" i="1"/>
  <c r="BF1348" i="1"/>
  <c r="AH1348" i="1"/>
  <c r="AI1348" i="1"/>
  <c r="AS1349" i="1"/>
  <c r="AF1349" i="1" s="1"/>
  <c r="AG1349" i="1"/>
  <c r="BF1349" i="1"/>
  <c r="AH1349" i="1" s="1"/>
  <c r="AI1349" i="1"/>
  <c r="AF1457" i="1"/>
  <c r="AG1457" i="1"/>
  <c r="BF1457" i="1"/>
  <c r="AH1457" i="1" s="1"/>
  <c r="AF1458" i="1"/>
  <c r="AG1458" i="1"/>
  <c r="BF1458" i="1"/>
  <c r="AH1458" i="1" s="1"/>
  <c r="AF1459" i="1"/>
  <c r="AG1459" i="1"/>
  <c r="BF1459" i="1"/>
  <c r="AH1459" i="1" s="1"/>
  <c r="AI1459" i="1"/>
  <c r="AF1460" i="1"/>
  <c r="AG1460" i="1"/>
  <c r="BF1460" i="1"/>
  <c r="AH1460" i="1"/>
  <c r="AI1460" i="1"/>
  <c r="AF1477" i="1"/>
  <c r="AG1477" i="1"/>
  <c r="AY1477" i="1"/>
  <c r="BA1477" i="1"/>
  <c r="AF1478" i="1"/>
  <c r="AG1478" i="1"/>
  <c r="AY1478" i="1"/>
  <c r="BA1478" i="1"/>
  <c r="AF1479" i="1"/>
  <c r="AG1479" i="1"/>
  <c r="AY1479" i="1"/>
  <c r="BA1479" i="1"/>
  <c r="AF1480" i="1"/>
  <c r="AG1480" i="1"/>
  <c r="AY1480" i="1"/>
  <c r="BA1480" i="1"/>
  <c r="AF1515" i="1"/>
  <c r="AG1515" i="1"/>
  <c r="BF1515" i="1"/>
  <c r="AH1515" i="1" s="1"/>
  <c r="AI1515" i="1"/>
  <c r="AF1516" i="1"/>
  <c r="AG1516" i="1"/>
  <c r="BF1516" i="1"/>
  <c r="AH1516" i="1"/>
  <c r="AI1516" i="1"/>
  <c r="AF1517" i="1"/>
  <c r="AG1517" i="1"/>
  <c r="BF1517" i="1"/>
  <c r="AH1517" i="1" s="1"/>
  <c r="AI1517" i="1"/>
  <c r="AF1518" i="1"/>
  <c r="AG1518" i="1"/>
  <c r="BF1518" i="1"/>
  <c r="AH1518" i="1"/>
  <c r="AI1518" i="1"/>
  <c r="AF1519" i="1"/>
  <c r="AG1519" i="1"/>
  <c r="BF1519" i="1"/>
  <c r="AH1519" i="1" s="1"/>
  <c r="AI1519" i="1"/>
  <c r="AF1520" i="1"/>
  <c r="AG1520" i="1"/>
  <c r="BF1520" i="1"/>
  <c r="AH1520" i="1"/>
  <c r="AI1520" i="1"/>
  <c r="AF1521" i="1"/>
  <c r="AG1521" i="1"/>
  <c r="BF1521" i="1"/>
  <c r="AH1521" i="1" s="1"/>
  <c r="AI1521" i="1"/>
  <c r="AF1522" i="1"/>
  <c r="AG1522" i="1"/>
  <c r="BF1522" i="1"/>
  <c r="AH1522" i="1"/>
  <c r="AI1522" i="1"/>
  <c r="AF1523" i="1"/>
  <c r="AG1523" i="1"/>
  <c r="BF1523" i="1"/>
  <c r="AH1523" i="1" s="1"/>
  <c r="AI1523" i="1"/>
  <c r="AF1524" i="1"/>
  <c r="AG1524" i="1"/>
  <c r="BF1524" i="1"/>
  <c r="AH1524" i="1"/>
  <c r="AI1524" i="1"/>
  <c r="AF1525" i="1"/>
  <c r="AG1525" i="1"/>
  <c r="BF1525" i="1"/>
  <c r="AH1525" i="1" s="1"/>
  <c r="AI1525" i="1"/>
  <c r="AF1526" i="1"/>
  <c r="AG1526" i="1"/>
  <c r="BF1526" i="1"/>
  <c r="AH1526" i="1"/>
  <c r="AI1526" i="1"/>
  <c r="AF1527" i="1"/>
  <c r="AG1527" i="1"/>
  <c r="BF1527" i="1"/>
  <c r="AH1527" i="1" s="1"/>
  <c r="AI1527" i="1"/>
  <c r="AF1528" i="1"/>
  <c r="AG1528" i="1"/>
  <c r="BF1528" i="1"/>
  <c r="AH1528" i="1"/>
  <c r="AI1528" i="1"/>
  <c r="AF1529" i="1"/>
  <c r="AG1529" i="1"/>
  <c r="BF1529" i="1"/>
  <c r="AH1529" i="1" s="1"/>
  <c r="AI1529" i="1"/>
  <c r="AF1531" i="1"/>
  <c r="AG1531" i="1"/>
  <c r="BF1531" i="1"/>
  <c r="AH1531" i="1"/>
  <c r="AI1531" i="1"/>
  <c r="AF1532" i="1"/>
  <c r="AG1532" i="1"/>
  <c r="BF1532" i="1"/>
  <c r="AH1532" i="1"/>
  <c r="AI1532" i="1"/>
  <c r="AF1533" i="1"/>
  <c r="AG1533" i="1"/>
  <c r="BF1533" i="1"/>
  <c r="AH1533" i="1"/>
  <c r="AI1533" i="1"/>
  <c r="AF1534" i="1"/>
  <c r="AG1534" i="1"/>
  <c r="BF1534" i="1"/>
  <c r="AH1534" i="1" s="1"/>
  <c r="AI1534" i="1"/>
  <c r="AF1535" i="1"/>
  <c r="AG1535" i="1"/>
  <c r="BF1535" i="1"/>
  <c r="AH1535" i="1"/>
  <c r="AI1535" i="1"/>
  <c r="AF1536" i="1"/>
  <c r="AG1536" i="1"/>
  <c r="BF1536" i="1"/>
  <c r="AH1536" i="1" s="1"/>
  <c r="AI1536" i="1"/>
  <c r="AF1537" i="1"/>
  <c r="AG1537" i="1"/>
  <c r="BF1537" i="1"/>
  <c r="AH1537" i="1" s="1"/>
  <c r="AI1537" i="1"/>
  <c r="AS1545" i="1"/>
  <c r="AF1545" i="1" s="1"/>
  <c r="AG1545" i="1"/>
  <c r="BF1545" i="1"/>
  <c r="AH1545" i="1"/>
  <c r="AI1545" i="1"/>
  <c r="AS1547" i="1"/>
  <c r="AF1547" i="1" s="1"/>
  <c r="AG1547" i="1"/>
  <c r="BF1547" i="1"/>
  <c r="AH1547" i="1" s="1"/>
  <c r="AI1547" i="1"/>
  <c r="AF1597" i="1"/>
  <c r="AG1597" i="1"/>
  <c r="BF1597" i="1"/>
  <c r="AH1597" i="1" s="1"/>
  <c r="AI1597" i="1"/>
  <c r="AF1598" i="1"/>
  <c r="AG1598" i="1"/>
  <c r="BF1598" i="1"/>
  <c r="AH1598" i="1"/>
  <c r="AI1598" i="1"/>
  <c r="AF1599" i="1"/>
  <c r="AG1599" i="1"/>
  <c r="BF1599" i="1"/>
  <c r="AH1599" i="1" s="1"/>
  <c r="AI1599" i="1"/>
  <c r="AF1600" i="1"/>
  <c r="AG1600" i="1"/>
  <c r="BF1600" i="1"/>
  <c r="AH1600" i="1" s="1"/>
  <c r="AI1600" i="1"/>
  <c r="AF1610" i="1"/>
  <c r="AG1610" i="1"/>
  <c r="AH1610" i="1"/>
  <c r="AI1610" i="1"/>
  <c r="AF1611" i="1"/>
  <c r="AG1611" i="1"/>
  <c r="AH1611" i="1"/>
  <c r="AI1611" i="1"/>
  <c r="AF1612" i="1"/>
  <c r="AG1612" i="1"/>
  <c r="AH1612" i="1"/>
  <c r="AI1612" i="1"/>
  <c r="AF1613" i="1"/>
  <c r="AG1613" i="1"/>
  <c r="AH1613" i="1"/>
  <c r="AI1613" i="1"/>
  <c r="BB1644" i="1"/>
  <c r="BB1645" i="1"/>
  <c r="AW1645" i="1"/>
  <c r="AY1645" i="1"/>
  <c r="AZ1645" i="1"/>
  <c r="BA1645" i="1"/>
  <c r="BD1645" i="1"/>
  <c r="AT1645" i="1"/>
  <c r="AW1644" i="1"/>
  <c r="AY1644" i="1"/>
  <c r="AZ1644" i="1"/>
  <c r="BA1644" i="1"/>
  <c r="BD1644" i="1"/>
  <c r="AT1644" i="1"/>
  <c r="BD468" i="1"/>
  <c r="BD467" i="1"/>
  <c r="BD466" i="1"/>
  <c r="BD465" i="1"/>
  <c r="BA468" i="1"/>
  <c r="BA467" i="1"/>
  <c r="BA466" i="1"/>
  <c r="BA465" i="1"/>
  <c r="AZ468" i="1"/>
  <c r="AZ467" i="1"/>
  <c r="AZ466" i="1"/>
  <c r="AZ465" i="1"/>
  <c r="AY468" i="1"/>
  <c r="AY467" i="1"/>
  <c r="AY466" i="1"/>
  <c r="AY465" i="1"/>
  <c r="AW466" i="1"/>
  <c r="AW467" i="1"/>
  <c r="AW468" i="1"/>
  <c r="AW465" i="1"/>
  <c r="AW1639" i="1"/>
  <c r="AY1639" i="1"/>
  <c r="AJ1639" i="1"/>
  <c r="AS1639" i="1" s="1"/>
  <c r="AF1639" i="1" s="1"/>
  <c r="AL1639" i="1"/>
  <c r="AW1636" i="1"/>
  <c r="AY1636" i="1"/>
  <c r="AZ1636" i="1"/>
  <c r="BA1636" i="1"/>
  <c r="AW1635" i="1"/>
  <c r="AY1635" i="1"/>
  <c r="BA1635" i="1"/>
  <c r="AW1632" i="1"/>
  <c r="AY1632" i="1"/>
  <c r="AJ1632" i="1"/>
  <c r="AT1632" i="1"/>
  <c r="AL1632" i="1"/>
  <c r="AW1631" i="1"/>
  <c r="AY1631" i="1"/>
  <c r="BA1631" i="1"/>
  <c r="AJ1631" i="1"/>
  <c r="AS1631" i="1"/>
  <c r="AF1631" i="1" s="1"/>
  <c r="AL1631" i="1"/>
  <c r="AN1631" i="1"/>
  <c r="AW1630" i="1"/>
  <c r="AY1630" i="1"/>
  <c r="BA1630" i="1"/>
  <c r="AJ1630" i="1"/>
  <c r="AL1630" i="1"/>
  <c r="AN1630" i="1"/>
  <c r="AW1629" i="1"/>
  <c r="AY1629" i="1"/>
  <c r="AW1628" i="1"/>
  <c r="AY1628" i="1"/>
  <c r="BA1628" i="1"/>
  <c r="AW1627" i="1"/>
  <c r="BA1627" i="1"/>
  <c r="AW1626" i="1"/>
  <c r="AX1626" i="1"/>
  <c r="BA1626" i="1"/>
  <c r="AW1625" i="1"/>
  <c r="BF1625" i="1" s="1"/>
  <c r="AH1625" i="1" s="1"/>
  <c r="AY1625" i="1"/>
  <c r="BA1625" i="1"/>
  <c r="AY1624" i="1"/>
  <c r="AI1624" i="1"/>
  <c r="AL1624" i="1"/>
  <c r="AG1624" i="1"/>
  <c r="AW1623" i="1"/>
  <c r="AY1623" i="1"/>
  <c r="AJ1623" i="1"/>
  <c r="AL1623" i="1"/>
  <c r="AW1622" i="1"/>
  <c r="AX1622" i="1"/>
  <c r="AY1622" i="1"/>
  <c r="BA1622" i="1"/>
  <c r="AW1621" i="1"/>
  <c r="AX1621" i="1"/>
  <c r="AY1621" i="1"/>
  <c r="BA1621" i="1"/>
  <c r="AW1620" i="1"/>
  <c r="AJ1620" i="1"/>
  <c r="AW1608" i="1"/>
  <c r="AW1607" i="1"/>
  <c r="BF1607" i="1" s="1"/>
  <c r="AH1607" i="1" s="1"/>
  <c r="BG1603" i="1"/>
  <c r="BG1602" i="1"/>
  <c r="BG1601" i="1"/>
  <c r="BA1600" i="1"/>
  <c r="BB1600" i="1"/>
  <c r="BC1600" i="1"/>
  <c r="BA1599" i="1"/>
  <c r="BB1599" i="1"/>
  <c r="BC1599" i="1"/>
  <c r="BB1598" i="1"/>
  <c r="BC1598" i="1"/>
  <c r="BA1597" i="1"/>
  <c r="BB1597" i="1"/>
  <c r="BC1597" i="1"/>
  <c r="AW1596" i="1"/>
  <c r="AJ1596" i="1"/>
  <c r="AG1596" i="1" s="1"/>
  <c r="AW1595" i="1"/>
  <c r="AJ1595" i="1"/>
  <c r="AW1594" i="1"/>
  <c r="AJ1594" i="1"/>
  <c r="AG1594" i="1"/>
  <c r="AW1593" i="1"/>
  <c r="AJ1593" i="1"/>
  <c r="AW1590" i="1"/>
  <c r="AY1590" i="1"/>
  <c r="AJ1590" i="1"/>
  <c r="AL1590" i="1"/>
  <c r="AW1589" i="1"/>
  <c r="AY1589" i="1"/>
  <c r="AJ1589" i="1"/>
  <c r="AL1589" i="1"/>
  <c r="AW1588" i="1"/>
  <c r="AY1588" i="1"/>
  <c r="AJ1588" i="1"/>
  <c r="AL1588" i="1"/>
  <c r="AW1587" i="1"/>
  <c r="AY1587" i="1"/>
  <c r="AJ1587" i="1"/>
  <c r="AS1587" i="1" s="1"/>
  <c r="AF1587" i="1" s="1"/>
  <c r="AL1587" i="1"/>
  <c r="AW1586" i="1"/>
  <c r="AW1585" i="1"/>
  <c r="BF1585" i="1" s="1"/>
  <c r="AH1585" i="1" s="1"/>
  <c r="AW1583" i="1"/>
  <c r="BA1583" i="1"/>
  <c r="BG1578" i="1"/>
  <c r="AT1578" i="1"/>
  <c r="BG1577" i="1"/>
  <c r="AT1577" i="1"/>
  <c r="BG1576" i="1"/>
  <c r="AT1576" i="1"/>
  <c r="AW1562" i="1"/>
  <c r="AX1562" i="1"/>
  <c r="AY1562" i="1"/>
  <c r="AZ1562" i="1"/>
  <c r="BA1562" i="1"/>
  <c r="BB1562" i="1"/>
  <c r="BC1562" i="1"/>
  <c r="BD1562" i="1"/>
  <c r="AJ1562" i="1"/>
  <c r="AK1562" i="1"/>
  <c r="AL1562" i="1"/>
  <c r="AM1562" i="1"/>
  <c r="AN1562" i="1"/>
  <c r="AO1562" i="1"/>
  <c r="AP1562" i="1"/>
  <c r="AQ1562" i="1"/>
  <c r="AW1561" i="1"/>
  <c r="AW1560" i="1"/>
  <c r="AW1559" i="1"/>
  <c r="AI1559" i="1"/>
  <c r="AW1558" i="1"/>
  <c r="AW1557" i="1"/>
  <c r="BF1557" i="1" s="1"/>
  <c r="AH1557" i="1" s="1"/>
  <c r="AW1556" i="1"/>
  <c r="AW1550" i="1"/>
  <c r="AI1550" i="1" s="1"/>
  <c r="AW1549" i="1"/>
  <c r="AW1548" i="1"/>
  <c r="AJ1548" i="1"/>
  <c r="AW1542" i="1"/>
  <c r="AJ1542" i="1"/>
  <c r="AW1541" i="1"/>
  <c r="AJ1541" i="1"/>
  <c r="AG1541" i="1" s="1"/>
  <c r="AW1540" i="1"/>
  <c r="AJ1540" i="1"/>
  <c r="AW1539" i="1"/>
  <c r="AJ1539" i="1"/>
  <c r="AG1539" i="1"/>
  <c r="AW1538" i="1"/>
  <c r="AJ1538" i="1"/>
  <c r="BC1514" i="1"/>
  <c r="BA1514" i="1"/>
  <c r="AW1513" i="1"/>
  <c r="AY1513" i="1"/>
  <c r="AW1511" i="1"/>
  <c r="AI1511" i="1"/>
  <c r="AW1510" i="1"/>
  <c r="AW1509" i="1"/>
  <c r="AW1508" i="1"/>
  <c r="BG1508" i="1"/>
  <c r="AW1507" i="1"/>
  <c r="AW1506" i="1"/>
  <c r="BG1506" i="1" s="1"/>
  <c r="AW1505" i="1"/>
  <c r="AW1504" i="1"/>
  <c r="BG1504" i="1" s="1"/>
  <c r="AW1503" i="1"/>
  <c r="AW1502" i="1"/>
  <c r="BG1502" i="1" s="1"/>
  <c r="AW1501" i="1"/>
  <c r="AW1500" i="1"/>
  <c r="BG1500" i="1"/>
  <c r="AW1499" i="1"/>
  <c r="AW1498" i="1"/>
  <c r="BG1498" i="1" s="1"/>
  <c r="AW1497" i="1"/>
  <c r="AW1496" i="1"/>
  <c r="BG1496" i="1" s="1"/>
  <c r="BG1495" i="1"/>
  <c r="AW1494" i="1"/>
  <c r="BG1494" i="1" s="1"/>
  <c r="AW1493" i="1"/>
  <c r="BG1493" i="1" s="1"/>
  <c r="AW1492" i="1"/>
  <c r="BG1492" i="1" s="1"/>
  <c r="AW1491" i="1"/>
  <c r="BG1491" i="1" s="1"/>
  <c r="AW1490" i="1"/>
  <c r="BG1490" i="1"/>
  <c r="AW1489" i="1"/>
  <c r="BG1489" i="1" s="1"/>
  <c r="AW1488" i="1"/>
  <c r="BG1488" i="1" s="1"/>
  <c r="AW1485" i="1"/>
  <c r="BF1485" i="1" s="1"/>
  <c r="AH1485" i="1" s="1"/>
  <c r="AW1484" i="1"/>
  <c r="BG1484" i="1" s="1"/>
  <c r="AW1483" i="1"/>
  <c r="AI1483" i="1"/>
  <c r="AT1481" i="1"/>
  <c r="BA1473" i="1"/>
  <c r="AN1473" i="1"/>
  <c r="BA1472" i="1"/>
  <c r="AN1472" i="1"/>
  <c r="AW1471" i="1"/>
  <c r="AW1470" i="1"/>
  <c r="BF1470" i="1"/>
  <c r="AH1470" i="1" s="1"/>
  <c r="AW1469" i="1"/>
  <c r="AW1468" i="1"/>
  <c r="AI1468" i="1"/>
  <c r="AW1467" i="1"/>
  <c r="BA1467" i="1"/>
  <c r="BB1467" i="1"/>
  <c r="BC1467" i="1"/>
  <c r="BD1467" i="1"/>
  <c r="AJ1467" i="1"/>
  <c r="AN1467" i="1"/>
  <c r="AP1467" i="1"/>
  <c r="AW1466" i="1"/>
  <c r="BA1466" i="1"/>
  <c r="BB1466" i="1"/>
  <c r="BC1466" i="1"/>
  <c r="BD1466" i="1"/>
  <c r="AJ1466" i="1"/>
  <c r="AN1466" i="1"/>
  <c r="AP1466" i="1"/>
  <c r="AW1465" i="1"/>
  <c r="AW1464" i="1"/>
  <c r="BF1464" i="1" s="1"/>
  <c r="AH1464" i="1" s="1"/>
  <c r="AW1463" i="1"/>
  <c r="BA1460" i="1"/>
  <c r="BG1460" i="1" s="1"/>
  <c r="BA1459" i="1"/>
  <c r="BG1459" i="1" s="1"/>
  <c r="AY1458" i="1"/>
  <c r="AI1458" i="1" s="1"/>
  <c r="BA1458" i="1"/>
  <c r="AY1457" i="1"/>
  <c r="BA1457" i="1"/>
  <c r="BA1456" i="1"/>
  <c r="BG1456" i="1"/>
  <c r="AW1451" i="1"/>
  <c r="BF1451" i="1" s="1"/>
  <c r="AH1451" i="1" s="1"/>
  <c r="AY1451" i="1"/>
  <c r="BA1451" i="1"/>
  <c r="AW1450" i="1"/>
  <c r="AY1450" i="1"/>
  <c r="BB1450" i="1"/>
  <c r="BC1450" i="1"/>
  <c r="AW1435" i="1"/>
  <c r="AJ1435" i="1"/>
  <c r="AW1434" i="1"/>
  <c r="AJ1434" i="1"/>
  <c r="AW1433" i="1"/>
  <c r="AJ1433" i="1"/>
  <c r="AW1432" i="1"/>
  <c r="AJ1432" i="1"/>
  <c r="AW1419" i="1"/>
  <c r="AW1418" i="1"/>
  <c r="AI1418" i="1"/>
  <c r="AW1417" i="1"/>
  <c r="AW1416" i="1"/>
  <c r="BF1416" i="1" s="1"/>
  <c r="AH1416" i="1" s="1"/>
  <c r="AW1415" i="1"/>
  <c r="AW1414" i="1"/>
  <c r="AI1414" i="1" s="1"/>
  <c r="AW1410" i="1"/>
  <c r="AJ1410" i="1"/>
  <c r="AW1409" i="1"/>
  <c r="BF1409" i="1" s="1"/>
  <c r="AH1409" i="1" s="1"/>
  <c r="AJ1409" i="1"/>
  <c r="AW1408" i="1"/>
  <c r="AJ1408" i="1"/>
  <c r="AJ1407" i="1"/>
  <c r="AJ1406" i="1"/>
  <c r="AJ1405" i="1"/>
  <c r="AW1404" i="1"/>
  <c r="BF1404" i="1"/>
  <c r="AH1404" i="1" s="1"/>
  <c r="AY1404" i="1"/>
  <c r="AZ1404" i="1"/>
  <c r="AJ1404" i="1"/>
  <c r="AL1404" i="1"/>
  <c r="AM1404" i="1"/>
  <c r="AW1403" i="1"/>
  <c r="AY1403" i="1"/>
  <c r="AZ1403" i="1"/>
  <c r="AW1402" i="1"/>
  <c r="AI1402" i="1" s="1"/>
  <c r="AW1401" i="1"/>
  <c r="AW1400" i="1"/>
  <c r="BF1400" i="1" s="1"/>
  <c r="AH1400" i="1" s="1"/>
  <c r="AW1399" i="1"/>
  <c r="AW1397" i="1"/>
  <c r="AY1397" i="1"/>
  <c r="AZ1397" i="1"/>
  <c r="AJ1397" i="1"/>
  <c r="AL1397" i="1"/>
  <c r="AM1397" i="1"/>
  <c r="BG1382" i="1"/>
  <c r="BG1381" i="1"/>
  <c r="BG1380" i="1"/>
  <c r="AW1375" i="1"/>
  <c r="AX1375" i="1"/>
  <c r="AZ1375" i="1"/>
  <c r="BA1375" i="1"/>
  <c r="BC1375" i="1"/>
  <c r="AW1374" i="1"/>
  <c r="AY1374" i="1"/>
  <c r="AJ1374" i="1"/>
  <c r="AL1374" i="1"/>
  <c r="AW1373" i="1"/>
  <c r="BF1373" i="1"/>
  <c r="AH1373" i="1" s="1"/>
  <c r="AY1373" i="1"/>
  <c r="AJ1373" i="1"/>
  <c r="AL1373" i="1"/>
  <c r="AW1372" i="1"/>
  <c r="AY1372" i="1"/>
  <c r="AJ1372" i="1"/>
  <c r="AL1372" i="1"/>
  <c r="AW1371" i="1"/>
  <c r="BF1371" i="1" s="1"/>
  <c r="AH1371" i="1" s="1"/>
  <c r="AY1371" i="1"/>
  <c r="AJ1371" i="1"/>
  <c r="AL1371" i="1"/>
  <c r="AW1367" i="1"/>
  <c r="AW1366" i="1"/>
  <c r="BF1366" i="1" s="1"/>
  <c r="AH1366" i="1" s="1"/>
  <c r="AY1366" i="1"/>
  <c r="BD1366" i="1"/>
  <c r="AJ1366" i="1"/>
  <c r="AL1366" i="1"/>
  <c r="AQ1366" i="1"/>
  <c r="AW1365" i="1"/>
  <c r="AW1364" i="1"/>
  <c r="AY1364" i="1"/>
  <c r="BA1364" i="1"/>
  <c r="AJ1364" i="1"/>
  <c r="AL1364" i="1"/>
  <c r="AN1364" i="1"/>
  <c r="AW1363" i="1"/>
  <c r="AW1362" i="1"/>
  <c r="AW1361" i="1"/>
  <c r="AJ1361" i="1"/>
  <c r="AW1360" i="1"/>
  <c r="AJ1360" i="1"/>
  <c r="AW1359" i="1"/>
  <c r="AJ1359" i="1"/>
  <c r="AW1358" i="1"/>
  <c r="AJ1358" i="1"/>
  <c r="AW1357" i="1"/>
  <c r="AJ1357" i="1"/>
  <c r="AW1356" i="1"/>
  <c r="AJ1356" i="1"/>
  <c r="AW1355" i="1"/>
  <c r="AJ1355" i="1"/>
  <c r="AW1354" i="1"/>
  <c r="AJ1354" i="1"/>
  <c r="AW1353" i="1"/>
  <c r="AJ1353" i="1"/>
  <c r="AW1352" i="1"/>
  <c r="AJ1352" i="1"/>
  <c r="AW1351" i="1"/>
  <c r="AJ1351" i="1"/>
  <c r="AW1350" i="1"/>
  <c r="AJ1350" i="1"/>
  <c r="BG1349" i="1"/>
  <c r="AT1349" i="1"/>
  <c r="AZ1348" i="1"/>
  <c r="BG1348" i="1"/>
  <c r="AT1348" i="1"/>
  <c r="AZ1347" i="1"/>
  <c r="BG1347" i="1" s="1"/>
  <c r="AJ1347" i="1"/>
  <c r="AG1347" i="1" s="1"/>
  <c r="AW1346" i="1"/>
  <c r="BF1346" i="1" s="1"/>
  <c r="AH1346" i="1" s="1"/>
  <c r="AY1346" i="1"/>
  <c r="AZ1346" i="1"/>
  <c r="BA1346" i="1"/>
  <c r="BC1346" i="1"/>
  <c r="AL1346" i="1"/>
  <c r="AG1346" i="1" s="1"/>
  <c r="AM1346" i="1"/>
  <c r="AN1346" i="1"/>
  <c r="AP1346" i="1"/>
  <c r="AW1345" i="1"/>
  <c r="BF1345" i="1" s="1"/>
  <c r="AH1345" i="1" s="1"/>
  <c r="AY1345" i="1"/>
  <c r="AZ1345" i="1"/>
  <c r="BA1345" i="1"/>
  <c r="BC1345" i="1"/>
  <c r="AJ1345" i="1"/>
  <c r="AL1345" i="1"/>
  <c r="AM1345" i="1"/>
  <c r="AN1345" i="1"/>
  <c r="AP1345" i="1"/>
  <c r="AW1344" i="1"/>
  <c r="BF1344" i="1" s="1"/>
  <c r="AH1344" i="1" s="1"/>
  <c r="AY1344" i="1"/>
  <c r="AZ1344" i="1"/>
  <c r="BA1344" i="1"/>
  <c r="BC1344" i="1"/>
  <c r="AJ1344" i="1"/>
  <c r="AL1344" i="1"/>
  <c r="AM1344" i="1"/>
  <c r="AN1344" i="1"/>
  <c r="AP1344" i="1"/>
  <c r="AW1343" i="1"/>
  <c r="AY1343" i="1"/>
  <c r="AZ1343" i="1"/>
  <c r="BA1343" i="1"/>
  <c r="BC1343" i="1"/>
  <c r="AJ1343" i="1"/>
  <c r="AL1343" i="1"/>
  <c r="AM1343" i="1"/>
  <c r="AN1343" i="1"/>
  <c r="AP1343" i="1"/>
  <c r="AW1342" i="1"/>
  <c r="BF1342" i="1" s="1"/>
  <c r="AH1342" i="1" s="1"/>
  <c r="AY1342" i="1"/>
  <c r="AZ1342" i="1"/>
  <c r="BA1342" i="1"/>
  <c r="BC1342" i="1"/>
  <c r="AJ1342" i="1"/>
  <c r="AL1342" i="1"/>
  <c r="AM1342" i="1"/>
  <c r="AN1342" i="1"/>
  <c r="AP1342" i="1"/>
  <c r="BG1341" i="1"/>
  <c r="AT1341" i="1"/>
  <c r="BG1340" i="1"/>
  <c r="AJ1340" i="1"/>
  <c r="AS1340" i="1"/>
  <c r="AF1340" i="1" s="1"/>
  <c r="BG1339" i="1"/>
  <c r="AJ1339" i="1"/>
  <c r="BG1338" i="1"/>
  <c r="AJ1338" i="1"/>
  <c r="AM1338" i="1"/>
  <c r="BG1337" i="1"/>
  <c r="AJ1337" i="1"/>
  <c r="AG1337" i="1" s="1"/>
  <c r="AM1337" i="1"/>
  <c r="BG1336" i="1"/>
  <c r="AJ1336" i="1"/>
  <c r="AS1336" i="1" s="1"/>
  <c r="AF1336" i="1" s="1"/>
  <c r="AM1336" i="1"/>
  <c r="AN1336" i="1"/>
  <c r="BG1335" i="1"/>
  <c r="AJ1335" i="1"/>
  <c r="AL1335" i="1"/>
  <c r="BG1334" i="1"/>
  <c r="AJ1334" i="1"/>
  <c r="AM1334" i="1"/>
  <c r="AN1334" i="1"/>
  <c r="AW1333" i="1"/>
  <c r="AW1332" i="1"/>
  <c r="AW1331" i="1"/>
  <c r="AI1331" i="1" s="1"/>
  <c r="AW1330" i="1"/>
  <c r="AW1329" i="1"/>
  <c r="AW1328" i="1"/>
  <c r="AW1327" i="1"/>
  <c r="AI1327" i="1"/>
  <c r="AW1326" i="1"/>
  <c r="AW1325" i="1"/>
  <c r="AW1324" i="1"/>
  <c r="BG1310" i="1"/>
  <c r="BG1309" i="1"/>
  <c r="AW1308" i="1"/>
  <c r="AY1308" i="1"/>
  <c r="AZ1308" i="1"/>
  <c r="BA1308" i="1"/>
  <c r="BB1308" i="1"/>
  <c r="BC1308" i="1"/>
  <c r="BC1307" i="1"/>
  <c r="BG1307" i="1" s="1"/>
  <c r="BG1285" i="1"/>
  <c r="AW1275" i="1"/>
  <c r="BG1273" i="1"/>
  <c r="BG1272" i="1"/>
  <c r="BG1271" i="1"/>
  <c r="BG1270" i="1"/>
  <c r="BG1269" i="1"/>
  <c r="BG1268" i="1"/>
  <c r="BG1267" i="1"/>
  <c r="BG1266" i="1"/>
  <c r="BG1265" i="1"/>
  <c r="BG1264" i="1"/>
  <c r="BG1263" i="1"/>
  <c r="BG1262" i="1"/>
  <c r="BG1261" i="1"/>
  <c r="BG1260" i="1"/>
  <c r="BG1259" i="1"/>
  <c r="BG1247" i="1"/>
  <c r="BG1246" i="1"/>
  <c r="BG1245" i="1"/>
  <c r="BG1244" i="1"/>
  <c r="BG1243" i="1"/>
  <c r="BG1242" i="1"/>
  <c r="BG1241" i="1"/>
  <c r="BG1240" i="1"/>
  <c r="BG1239" i="1"/>
  <c r="BG1238" i="1"/>
  <c r="BG1237" i="1"/>
  <c r="BG1236" i="1"/>
  <c r="BG1235" i="1"/>
  <c r="BG1234" i="1"/>
  <c r="BG1233" i="1"/>
  <c r="BG1232" i="1"/>
  <c r="BG1231" i="1"/>
  <c r="BG1230" i="1"/>
  <c r="BG1229" i="1"/>
  <c r="BG1228" i="1"/>
  <c r="BG1227" i="1"/>
  <c r="BG1226" i="1"/>
  <c r="BG1225" i="1"/>
  <c r="BG1224" i="1"/>
  <c r="BG1223" i="1"/>
  <c r="BG1222" i="1"/>
  <c r="I132" i="21"/>
  <c r="I131" i="21"/>
  <c r="I130" i="21"/>
  <c r="I129" i="21"/>
  <c r="I128" i="21"/>
  <c r="I127" i="21"/>
  <c r="I126" i="21"/>
  <c r="I125" i="21"/>
  <c r="I124" i="21"/>
  <c r="I123" i="21"/>
  <c r="AW2" i="1"/>
  <c r="BF3" i="1"/>
  <c r="AH3" i="1" s="1"/>
  <c r="BF4" i="1"/>
  <c r="AH4" i="1" s="1"/>
  <c r="BF5" i="1"/>
  <c r="AH5" i="1"/>
  <c r="AL11" i="1"/>
  <c r="AG11" i="1" s="1"/>
  <c r="AY11" i="1"/>
  <c r="AI11" i="1" s="1"/>
  <c r="BF15" i="1"/>
  <c r="AH15" i="1" s="1"/>
  <c r="AY34" i="1"/>
  <c r="AI34" i="1" s="1"/>
  <c r="AY35" i="1"/>
  <c r="AI35" i="1" s="1"/>
  <c r="AJ36" i="1"/>
  <c r="AL36" i="1"/>
  <c r="AW36" i="1"/>
  <c r="BF36" i="1" s="1"/>
  <c r="AH36" i="1" s="1"/>
  <c r="AY36" i="1"/>
  <c r="AX41" i="1"/>
  <c r="AY41" i="1"/>
  <c r="AX42" i="1"/>
  <c r="AY42" i="1"/>
  <c r="BF66" i="1"/>
  <c r="AH66" i="1" s="1"/>
  <c r="BF67" i="1"/>
  <c r="AH67" i="1"/>
  <c r="BF68" i="1"/>
  <c r="AH68" i="1" s="1"/>
  <c r="BF72" i="1"/>
  <c r="AH72" i="1" s="1"/>
  <c r="AW72" i="1"/>
  <c r="AI72" i="1" s="1"/>
  <c r="BF86" i="1"/>
  <c r="AH86" i="1" s="1"/>
  <c r="BF87" i="1"/>
  <c r="AH87" i="1" s="1"/>
  <c r="BF88" i="1"/>
  <c r="AH88" i="1"/>
  <c r="BF89" i="1"/>
  <c r="AH89" i="1" s="1"/>
  <c r="BF90" i="1"/>
  <c r="AH90" i="1" s="1"/>
  <c r="BF91" i="1"/>
  <c r="AH91" i="1" s="1"/>
  <c r="BF94" i="1"/>
  <c r="AH94" i="1"/>
  <c r="BF95" i="1"/>
  <c r="AH95" i="1" s="1"/>
  <c r="BF96" i="1"/>
  <c r="AH96" i="1"/>
  <c r="BF97" i="1"/>
  <c r="AH97" i="1" s="1"/>
  <c r="BF98" i="1"/>
  <c r="AH98" i="1" s="1"/>
  <c r="BF99" i="1"/>
  <c r="AH99" i="1" s="1"/>
  <c r="BF100" i="1"/>
  <c r="AH100" i="1"/>
  <c r="BF101" i="1"/>
  <c r="AH101" i="1" s="1"/>
  <c r="BF102" i="1"/>
  <c r="AH102" i="1"/>
  <c r="BF103" i="1"/>
  <c r="AH103" i="1" s="1"/>
  <c r="AJ104" i="1"/>
  <c r="AS104" i="1" s="1"/>
  <c r="AF104" i="1" s="1"/>
  <c r="AL104" i="1"/>
  <c r="AW104" i="1"/>
  <c r="AY104" i="1"/>
  <c r="BF105" i="1"/>
  <c r="AH105" i="1" s="1"/>
  <c r="BF106" i="1"/>
  <c r="AH106" i="1"/>
  <c r="AL113" i="1"/>
  <c r="AG113" i="1" s="1"/>
  <c r="AW113" i="1"/>
  <c r="BF113" i="1" s="1"/>
  <c r="AH113" i="1" s="1"/>
  <c r="BF120" i="1"/>
  <c r="AH120" i="1"/>
  <c r="BF121" i="1"/>
  <c r="AH121" i="1" s="1"/>
  <c r="BF122" i="1"/>
  <c r="AH122" i="1" s="1"/>
  <c r="BF123" i="1"/>
  <c r="AH123" i="1"/>
  <c r="BF124" i="1"/>
  <c r="AH124" i="1" s="1"/>
  <c r="BF125" i="1"/>
  <c r="AH125" i="1"/>
  <c r="BF126" i="1"/>
  <c r="AH126" i="1"/>
  <c r="BF127" i="1"/>
  <c r="AH127" i="1" s="1"/>
  <c r="BF226" i="1"/>
  <c r="AH226" i="1" s="1"/>
  <c r="AW226" i="1"/>
  <c r="AI226" i="1"/>
  <c r="AW227" i="1"/>
  <c r="AY227" i="1"/>
  <c r="AL236" i="1"/>
  <c r="AG236" i="1"/>
  <c r="AY236" i="1"/>
  <c r="AI236" i="1"/>
  <c r="AL237" i="1"/>
  <c r="AG237" i="1"/>
  <c r="AY237" i="1"/>
  <c r="AI237" i="1" s="1"/>
  <c r="AL238" i="1"/>
  <c r="AG238" i="1"/>
  <c r="AL239" i="1"/>
  <c r="AG239" i="1" s="1"/>
  <c r="BF246" i="1"/>
  <c r="AH246" i="1"/>
  <c r="BF247" i="1"/>
  <c r="AH247" i="1"/>
  <c r="BF248" i="1"/>
  <c r="AH248" i="1"/>
  <c r="BF249" i="1"/>
  <c r="AH249" i="1" s="1"/>
  <c r="BF250" i="1"/>
  <c r="AH250" i="1"/>
  <c r="BF251" i="1"/>
  <c r="AH251" i="1" s="1"/>
  <c r="BF252" i="1"/>
  <c r="AH252" i="1"/>
  <c r="BF253" i="1"/>
  <c r="AH253" i="1"/>
  <c r="BF254" i="1"/>
  <c r="AH254" i="1"/>
  <c r="BF255" i="1"/>
  <c r="AH255" i="1" s="1"/>
  <c r="BF256" i="1"/>
  <c r="AH256" i="1"/>
  <c r="BF257" i="1"/>
  <c r="AH257" i="1" s="1"/>
  <c r="BF258" i="1"/>
  <c r="AH258" i="1"/>
  <c r="BF259" i="1"/>
  <c r="AH259" i="1"/>
  <c r="BF260" i="1"/>
  <c r="AH260" i="1" s="1"/>
  <c r="AJ278" i="1"/>
  <c r="AL278" i="1"/>
  <c r="AW278" i="1"/>
  <c r="BG278" i="1"/>
  <c r="AY278" i="1"/>
  <c r="BG280" i="1"/>
  <c r="BG281" i="1"/>
  <c r="BF284" i="1"/>
  <c r="AH284" i="1" s="1"/>
  <c r="BF285" i="1"/>
  <c r="AH285" i="1"/>
  <c r="BF287" i="1"/>
  <c r="AH287" i="1" s="1"/>
  <c r="BF300" i="1"/>
  <c r="AH300" i="1"/>
  <c r="BF301" i="1"/>
  <c r="AH301" i="1" s="1"/>
  <c r="AW314" i="1"/>
  <c r="AX314" i="1"/>
  <c r="AW315" i="1"/>
  <c r="AX315" i="1"/>
  <c r="AW316" i="1"/>
  <c r="AX316" i="1"/>
  <c r="AW317" i="1"/>
  <c r="AY317" i="1"/>
  <c r="BF321" i="1"/>
  <c r="AH321" i="1"/>
  <c r="BF325" i="1"/>
  <c r="AH325" i="1" s="1"/>
  <c r="AJ360" i="1"/>
  <c r="AW360" i="1"/>
  <c r="AJ361" i="1"/>
  <c r="AW361" i="1"/>
  <c r="BF416" i="1"/>
  <c r="AH416" i="1" s="1"/>
  <c r="BF417" i="1"/>
  <c r="AH417" i="1" s="1"/>
  <c r="BF418" i="1"/>
  <c r="AH418" i="1"/>
  <c r="AS419" i="1"/>
  <c r="AF419" i="1" s="1"/>
  <c r="BF419" i="1"/>
  <c r="AH419" i="1" s="1"/>
  <c r="AS420" i="1"/>
  <c r="AF420" i="1" s="1"/>
  <c r="BF420" i="1"/>
  <c r="AH420" i="1" s="1"/>
  <c r="AS421" i="1"/>
  <c r="AF421" i="1" s="1"/>
  <c r="BF421" i="1"/>
  <c r="AH421" i="1"/>
  <c r="AS422" i="1"/>
  <c r="AF422" i="1" s="1"/>
  <c r="BF422" i="1"/>
  <c r="AH422" i="1" s="1"/>
  <c r="AS425" i="1"/>
  <c r="AF425" i="1" s="1"/>
  <c r="BF425" i="1"/>
  <c r="AH425" i="1" s="1"/>
  <c r="AS426" i="1"/>
  <c r="AF426" i="1" s="1"/>
  <c r="BF426" i="1"/>
  <c r="AH426" i="1"/>
  <c r="AS427" i="1"/>
  <c r="AF427" i="1" s="1"/>
  <c r="BF427" i="1"/>
  <c r="AH427" i="1" s="1"/>
  <c r="AS428" i="1"/>
  <c r="AF428" i="1" s="1"/>
  <c r="BF428" i="1"/>
  <c r="AH428" i="1" s="1"/>
  <c r="AS429" i="1"/>
  <c r="AF429" i="1" s="1"/>
  <c r="BF429" i="1"/>
  <c r="AH429" i="1"/>
  <c r="AS430" i="1"/>
  <c r="AF430" i="1" s="1"/>
  <c r="BF430" i="1"/>
  <c r="AH430" i="1" s="1"/>
  <c r="AS433" i="1"/>
  <c r="AF433" i="1" s="1"/>
  <c r="BF433" i="1"/>
  <c r="AH433" i="1" s="1"/>
  <c r="BF434" i="1"/>
  <c r="AH434" i="1" s="1"/>
  <c r="BF435" i="1"/>
  <c r="AH435" i="1"/>
  <c r="AS440" i="1"/>
  <c r="AF440" i="1" s="1"/>
  <c r="BF440" i="1"/>
  <c r="AH440" i="1" s="1"/>
  <c r="AS441" i="1"/>
  <c r="AF441" i="1" s="1"/>
  <c r="BF441" i="1"/>
  <c r="AH441" i="1" s="1"/>
  <c r="AW452" i="1"/>
  <c r="AX452" i="1"/>
  <c r="AY452" i="1"/>
  <c r="AJ453" i="1"/>
  <c r="AK453" i="1"/>
  <c r="AL453" i="1"/>
  <c r="AW453" i="1"/>
  <c r="AX453" i="1"/>
  <c r="AY453" i="1"/>
  <c r="AJ454" i="1"/>
  <c r="AK454" i="1"/>
  <c r="AL454" i="1"/>
  <c r="AW454" i="1"/>
  <c r="AX454" i="1"/>
  <c r="AY454" i="1"/>
  <c r="AL455" i="1"/>
  <c r="AG455" i="1"/>
  <c r="AY455" i="1"/>
  <c r="AI455" i="1" s="1"/>
  <c r="AL457" i="1"/>
  <c r="AG457" i="1"/>
  <c r="AY457" i="1"/>
  <c r="AI457" i="1"/>
  <c r="AJ460" i="1"/>
  <c r="AK460" i="1"/>
  <c r="AW460" i="1"/>
  <c r="AY460" i="1"/>
  <c r="AJ462" i="1"/>
  <c r="AK462" i="1"/>
  <c r="AW462" i="1"/>
  <c r="AY462" i="1"/>
  <c r="AJ470" i="1"/>
  <c r="AW470" i="1"/>
  <c r="AS502" i="1"/>
  <c r="AF502" i="1"/>
  <c r="BF502" i="1"/>
  <c r="AH502" i="1" s="1"/>
  <c r="AS503" i="1"/>
  <c r="AF503" i="1" s="1"/>
  <c r="BF503" i="1"/>
  <c r="AH503" i="1"/>
  <c r="AS504" i="1"/>
  <c r="AF504" i="1" s="1"/>
  <c r="BF504" i="1"/>
  <c r="AH504" i="1"/>
  <c r="AS505" i="1"/>
  <c r="AF505" i="1"/>
  <c r="BF505" i="1"/>
  <c r="AH505" i="1" s="1"/>
  <c r="AS506" i="1"/>
  <c r="AF506" i="1" s="1"/>
  <c r="BF506" i="1"/>
  <c r="AH506" i="1"/>
  <c r="AS507" i="1"/>
  <c r="AF507" i="1" s="1"/>
  <c r="BF507" i="1"/>
  <c r="AH507" i="1"/>
  <c r="AS508" i="1"/>
  <c r="AF508" i="1"/>
  <c r="BF508" i="1"/>
  <c r="AH508" i="1" s="1"/>
  <c r="AS509" i="1"/>
  <c r="AF509" i="1" s="1"/>
  <c r="BF509" i="1"/>
  <c r="AH509" i="1"/>
  <c r="AS510" i="1"/>
  <c r="AF510" i="1" s="1"/>
  <c r="AS511" i="1"/>
  <c r="AF511" i="1"/>
  <c r="AJ512" i="1"/>
  <c r="AS512" i="1"/>
  <c r="AF512" i="1"/>
  <c r="AK512" i="1"/>
  <c r="AL512" i="1"/>
  <c r="AW512" i="1"/>
  <c r="BF512" i="1"/>
  <c r="AH512" i="1"/>
  <c r="AX512" i="1"/>
  <c r="AY512" i="1"/>
  <c r="BF516" i="1"/>
  <c r="AH516" i="1"/>
  <c r="BF517" i="1"/>
  <c r="AH517" i="1"/>
  <c r="BF518" i="1"/>
  <c r="AH518" i="1" s="1"/>
  <c r="AY523" i="1"/>
  <c r="AI523" i="1" s="1"/>
  <c r="AS525" i="1"/>
  <c r="AF525" i="1"/>
  <c r="BF525" i="1"/>
  <c r="AH525" i="1" s="1"/>
  <c r="AS526" i="1"/>
  <c r="AF526" i="1"/>
  <c r="BF526" i="1"/>
  <c r="AH526" i="1"/>
  <c r="AJ527" i="1"/>
  <c r="AL527" i="1"/>
  <c r="AY528" i="1"/>
  <c r="AI528" i="1" s="1"/>
  <c r="AS530" i="1"/>
  <c r="AF530" i="1"/>
  <c r="BF530" i="1"/>
  <c r="AH530" i="1" s="1"/>
  <c r="AS531" i="1"/>
  <c r="AF531" i="1"/>
  <c r="BF531" i="1"/>
  <c r="AH531" i="1"/>
  <c r="AJ539" i="1"/>
  <c r="AL539" i="1"/>
  <c r="AW539" i="1"/>
  <c r="AY539" i="1"/>
  <c r="AW558" i="1"/>
  <c r="AS565" i="1"/>
  <c r="AF565" i="1" s="1"/>
  <c r="BF565" i="1"/>
  <c r="AH565" i="1" s="1"/>
  <c r="AS566" i="1"/>
  <c r="AF566" i="1" s="1"/>
  <c r="BF566" i="1"/>
  <c r="AH566" i="1" s="1"/>
  <c r="BF568" i="1"/>
  <c r="AH568" i="1" s="1"/>
  <c r="BF569" i="1"/>
  <c r="AH569" i="1"/>
  <c r="BF570" i="1"/>
  <c r="AH570" i="1" s="1"/>
  <c r="BF580" i="1"/>
  <c r="AH580" i="1" s="1"/>
  <c r="BF581" i="1"/>
  <c r="AH581" i="1" s="1"/>
  <c r="BG582" i="1"/>
  <c r="BC582" i="1" s="1"/>
  <c r="BG583" i="1"/>
  <c r="AZ583" i="1" s="1"/>
  <c r="BG584" i="1"/>
  <c r="BC584" i="1"/>
  <c r="BG585" i="1"/>
  <c r="AZ585" i="1" s="1"/>
  <c r="BG586" i="1"/>
  <c r="BC586" i="1"/>
  <c r="BG587" i="1"/>
  <c r="AZ587" i="1" s="1"/>
  <c r="AJ604" i="1"/>
  <c r="AL604" i="1"/>
  <c r="BF604" i="1"/>
  <c r="AH604" i="1" s="1"/>
  <c r="AW604" i="1"/>
  <c r="AY604" i="1"/>
  <c r="AX605" i="1"/>
  <c r="AI605" i="1" s="1"/>
  <c r="BF618" i="1"/>
  <c r="AH618" i="1"/>
  <c r="BF619" i="1"/>
  <c r="AH619" i="1" s="1"/>
  <c r="BF620" i="1"/>
  <c r="AH620" i="1" s="1"/>
  <c r="AL621" i="1"/>
  <c r="BF627" i="1"/>
  <c r="AH627" i="1" s="1"/>
  <c r="BF628" i="1"/>
  <c r="AH628" i="1"/>
  <c r="AS629" i="1"/>
  <c r="AF629" i="1" s="1"/>
  <c r="BF629" i="1"/>
  <c r="AH629" i="1"/>
  <c r="AW630" i="1"/>
  <c r="AY630" i="1"/>
  <c r="AL658" i="1"/>
  <c r="AG658" i="1"/>
  <c r="AK659" i="1"/>
  <c r="AL659" i="1"/>
  <c r="AK660" i="1"/>
  <c r="AL660" i="1"/>
  <c r="AJ690" i="1"/>
  <c r="AS693" i="1"/>
  <c r="AF693" i="1"/>
  <c r="BF693" i="1"/>
  <c r="AH693" i="1" s="1"/>
  <c r="AS694" i="1"/>
  <c r="AF694" i="1"/>
  <c r="BF694" i="1"/>
  <c r="AH694" i="1" s="1"/>
  <c r="AW697" i="1"/>
  <c r="AI697" i="1"/>
  <c r="AS701" i="1"/>
  <c r="AF701" i="1" s="1"/>
  <c r="BF701" i="1"/>
  <c r="AH701" i="1"/>
  <c r="AJ702" i="1"/>
  <c r="AL702" i="1"/>
  <c r="AW702" i="1"/>
  <c r="AY702" i="1"/>
  <c r="AS703" i="1"/>
  <c r="AF703" i="1" s="1"/>
  <c r="BF703" i="1"/>
  <c r="AH703" i="1"/>
  <c r="AS761" i="1"/>
  <c r="AF761" i="1" s="1"/>
  <c r="AS762" i="1"/>
  <c r="AF762" i="1"/>
  <c r="AS763" i="1"/>
  <c r="AF763" i="1" s="1"/>
  <c r="BF764" i="1"/>
  <c r="AH764" i="1" s="1"/>
  <c r="BF765" i="1"/>
  <c r="AH765" i="1" s="1"/>
  <c r="BF766" i="1"/>
  <c r="AH766" i="1"/>
  <c r="BF767" i="1"/>
  <c r="AH767" i="1" s="1"/>
  <c r="AK768" i="1"/>
  <c r="AG768" i="1"/>
  <c r="AK769" i="1"/>
  <c r="AG769" i="1" s="1"/>
  <c r="AK770" i="1"/>
  <c r="AG770" i="1" s="1"/>
  <c r="AK771" i="1"/>
  <c r="AG771" i="1" s="1"/>
  <c r="AW782" i="1"/>
  <c r="AX782" i="1"/>
  <c r="AY782" i="1"/>
  <c r="AY783" i="1"/>
  <c r="AW784" i="1"/>
  <c r="AX784" i="1"/>
  <c r="AY784" i="1"/>
  <c r="AW785" i="1"/>
  <c r="AX785" i="1"/>
  <c r="AY785" i="1"/>
  <c r="AW786" i="1"/>
  <c r="AY786" i="1"/>
  <c r="AW791" i="1"/>
  <c r="AY791" i="1"/>
  <c r="AW792" i="1"/>
  <c r="AY792" i="1"/>
  <c r="AW793" i="1"/>
  <c r="AY793" i="1"/>
  <c r="AW794" i="1"/>
  <c r="AY794" i="1"/>
  <c r="AW795" i="1"/>
  <c r="AY795" i="1"/>
  <c r="AW796" i="1"/>
  <c r="AY796" i="1"/>
  <c r="AS846" i="1"/>
  <c r="AF846" i="1"/>
  <c r="BF846" i="1"/>
  <c r="AH846" i="1" s="1"/>
  <c r="AS847" i="1"/>
  <c r="AF847" i="1"/>
  <c r="BF847" i="1"/>
  <c r="AH847" i="1" s="1"/>
  <c r="AS848" i="1"/>
  <c r="AF848" i="1" s="1"/>
  <c r="BF848" i="1"/>
  <c r="AH848" i="1" s="1"/>
  <c r="AL853" i="1"/>
  <c r="AG853" i="1"/>
  <c r="AY853" i="1"/>
  <c r="AI853" i="1" s="1"/>
  <c r="AL854" i="1"/>
  <c r="AG854" i="1"/>
  <c r="AY854" i="1"/>
  <c r="AI854" i="1" s="1"/>
  <c r="AS861" i="1"/>
  <c r="AF861" i="1"/>
  <c r="AS864" i="1"/>
  <c r="AF864" i="1" s="1"/>
  <c r="AS865" i="1"/>
  <c r="AF865" i="1"/>
  <c r="AS866" i="1"/>
  <c r="AF866" i="1" s="1"/>
  <c r="AS867" i="1"/>
  <c r="AF867" i="1"/>
  <c r="BF881" i="1"/>
  <c r="AH881" i="1" s="1"/>
  <c r="AS923" i="1"/>
  <c r="AF923" i="1" s="1"/>
  <c r="AS924" i="1"/>
  <c r="AF924" i="1" s="1"/>
  <c r="AL925" i="1"/>
  <c r="AG925" i="1"/>
  <c r="AL926" i="1"/>
  <c r="AG926" i="1" s="1"/>
  <c r="AL948" i="1"/>
  <c r="AG948" i="1"/>
  <c r="AL959" i="1"/>
  <c r="AG959" i="1" s="1"/>
  <c r="AY959" i="1"/>
  <c r="AI959" i="1" s="1"/>
  <c r="AS1008" i="1"/>
  <c r="AF1008" i="1" s="1"/>
  <c r="AS1022" i="1"/>
  <c r="AF1022" i="1"/>
  <c r="BF1022" i="1"/>
  <c r="AH1022" i="1" s="1"/>
  <c r="AS1023" i="1"/>
  <c r="AF1023" i="1"/>
  <c r="BF1023" i="1"/>
  <c r="AH1023" i="1" s="1"/>
  <c r="BF1024" i="1"/>
  <c r="AH1024" i="1" s="1"/>
  <c r="BF1025" i="1"/>
  <c r="AH1025" i="1" s="1"/>
  <c r="BF1026" i="1"/>
  <c r="AH1026" i="1"/>
  <c r="AS1027" i="1"/>
  <c r="AF1027" i="1" s="1"/>
  <c r="BF1027" i="1"/>
  <c r="AH1027" i="1"/>
  <c r="AS1028" i="1"/>
  <c r="AF1028" i="1" s="1"/>
  <c r="BF1028" i="1"/>
  <c r="AH1028" i="1"/>
  <c r="AS1029" i="1"/>
  <c r="AF1029" i="1" s="1"/>
  <c r="BF1029" i="1"/>
  <c r="AH1029" i="1"/>
  <c r="AS1030" i="1"/>
  <c r="AF1030" i="1" s="1"/>
  <c r="BF1030" i="1"/>
  <c r="AH1030" i="1"/>
  <c r="AS1031" i="1"/>
  <c r="AF1031" i="1" s="1"/>
  <c r="BF1031" i="1"/>
  <c r="AH1031" i="1" s="1"/>
  <c r="AS1032" i="1"/>
  <c r="AF1032" i="1" s="1"/>
  <c r="BF1032" i="1"/>
  <c r="AH1032" i="1"/>
  <c r="AS1033" i="1"/>
  <c r="AF1033" i="1" s="1"/>
  <c r="BF1033" i="1"/>
  <c r="AH1033" i="1"/>
  <c r="AS1034" i="1"/>
  <c r="AF1034" i="1" s="1"/>
  <c r="BF1034" i="1"/>
  <c r="AH1034" i="1" s="1"/>
  <c r="AW1035" i="1"/>
  <c r="AY1035" i="1"/>
  <c r="AW1036" i="1"/>
  <c r="AW1037" i="1"/>
  <c r="AY1037" i="1"/>
  <c r="AW1038" i="1"/>
  <c r="AY1038" i="1"/>
  <c r="AW1039" i="1"/>
  <c r="AY1039" i="1"/>
  <c r="AW1040" i="1"/>
  <c r="AY1040" i="1"/>
  <c r="AW1041" i="1"/>
  <c r="AY1041" i="1"/>
  <c r="AW1042" i="1"/>
  <c r="AY1042" i="1"/>
  <c r="AW1043" i="1"/>
  <c r="AY1043" i="1"/>
  <c r="AW1044" i="1"/>
  <c r="AY1044" i="1"/>
  <c r="AW1045" i="1"/>
  <c r="AY1045" i="1"/>
  <c r="AW1046" i="1"/>
  <c r="AY1046" i="1"/>
  <c r="AW1047" i="1"/>
  <c r="AY1047" i="1"/>
  <c r="AW1072" i="1"/>
  <c r="BG1072" i="1" s="1"/>
  <c r="AS1181" i="1"/>
  <c r="AF1181" i="1"/>
  <c r="AS1185" i="1"/>
  <c r="AF1185" i="1" s="1"/>
  <c r="AS1186" i="1"/>
  <c r="AF1186" i="1"/>
  <c r="I120" i="21"/>
  <c r="I117" i="21"/>
  <c r="I116" i="21"/>
  <c r="I115" i="21"/>
  <c r="I114" i="21"/>
  <c r="I113" i="21"/>
  <c r="I112" i="21"/>
  <c r="I111" i="21"/>
  <c r="I108" i="21"/>
  <c r="I107" i="21"/>
  <c r="I106" i="21"/>
  <c r="I105" i="21"/>
  <c r="I104" i="21"/>
  <c r="I103" i="21"/>
  <c r="I100" i="21"/>
  <c r="I99" i="21"/>
  <c r="I98" i="21"/>
  <c r="I97" i="21"/>
  <c r="I96" i="21"/>
  <c r="I95" i="21"/>
  <c r="I94" i="21"/>
  <c r="I93" i="21"/>
  <c r="I92" i="21"/>
  <c r="I91" i="21"/>
  <c r="I90" i="21"/>
  <c r="I89" i="21"/>
  <c r="I88" i="21"/>
  <c r="I87" i="21"/>
  <c r="I86" i="21"/>
  <c r="I85" i="21"/>
  <c r="I84" i="21"/>
  <c r="I83" i="21"/>
  <c r="I82" i="21"/>
  <c r="I81" i="21"/>
  <c r="I80" i="21"/>
  <c r="I79" i="21"/>
  <c r="I78" i="21"/>
  <c r="I77" i="21"/>
  <c r="I76" i="21"/>
  <c r="F144" i="21"/>
  <c r="F143" i="21"/>
  <c r="F142" i="21"/>
  <c r="F141" i="21"/>
  <c r="F140" i="21"/>
  <c r="F137" i="21"/>
  <c r="F136" i="21"/>
  <c r="F135" i="21"/>
  <c r="I71" i="21"/>
  <c r="I73" i="21"/>
  <c r="I72" i="21"/>
  <c r="I70" i="21"/>
  <c r="I69" i="21"/>
  <c r="B95" i="21"/>
  <c r="B9" i="21"/>
  <c r="B118" i="21"/>
  <c r="B119" i="21"/>
  <c r="B120" i="21"/>
  <c r="B121" i="21"/>
  <c r="B5" i="21"/>
  <c r="B6" i="21"/>
  <c r="B7" i="21"/>
  <c r="B8" i="21"/>
  <c r="B10" i="21"/>
  <c r="B11" i="21"/>
  <c r="B12" i="21"/>
  <c r="B13" i="21"/>
  <c r="B122" i="21"/>
  <c r="B123" i="21"/>
  <c r="B124" i="21"/>
  <c r="B125" i="21"/>
  <c r="B126" i="21"/>
  <c r="I63" i="21"/>
  <c r="I62" i="21"/>
  <c r="I61" i="21"/>
  <c r="I60" i="21"/>
  <c r="I59" i="21"/>
  <c r="I58" i="21"/>
  <c r="I57" i="21"/>
  <c r="I56" i="21"/>
  <c r="I55" i="21"/>
  <c r="I54" i="21"/>
  <c r="I53" i="21"/>
  <c r="I52" i="21"/>
  <c r="I51" i="21"/>
  <c r="I50" i="21"/>
  <c r="I49" i="21"/>
  <c r="I48" i="21"/>
  <c r="I47" i="21"/>
  <c r="I46" i="21"/>
  <c r="I45" i="21"/>
  <c r="I44" i="21"/>
  <c r="I43" i="21"/>
  <c r="I42" i="21"/>
  <c r="I41" i="21"/>
  <c r="F39" i="21"/>
  <c r="I38" i="21"/>
  <c r="I37" i="21"/>
  <c r="I36" i="21"/>
  <c r="I35" i="21"/>
  <c r="I32" i="21"/>
  <c r="I31" i="21"/>
  <c r="I30" i="21"/>
  <c r="I29" i="21"/>
  <c r="I28" i="21"/>
  <c r="I27" i="21"/>
  <c r="I26" i="21"/>
  <c r="I25" i="21"/>
  <c r="I24" i="21"/>
  <c r="B161" i="21"/>
  <c r="B160" i="21"/>
  <c r="B159" i="21"/>
  <c r="B158" i="21"/>
  <c r="B157" i="21"/>
  <c r="B156" i="21"/>
  <c r="B155" i="21"/>
  <c r="B154" i="21"/>
  <c r="B153" i="21"/>
  <c r="B152" i="21"/>
  <c r="B151" i="21"/>
  <c r="B150" i="21"/>
  <c r="B149" i="21"/>
  <c r="F9" i="21"/>
  <c r="B103" i="21"/>
  <c r="B104" i="21"/>
  <c r="B105" i="21"/>
  <c r="B106" i="21"/>
  <c r="B107" i="21"/>
  <c r="B108" i="21"/>
  <c r="B109" i="21"/>
  <c r="B79" i="21"/>
  <c r="B80" i="21"/>
  <c r="B81" i="21"/>
  <c r="B82" i="21"/>
  <c r="B83" i="21"/>
  <c r="B84" i="21"/>
  <c r="B85" i="21"/>
  <c r="B86" i="21"/>
  <c r="B87" i="21"/>
  <c r="B88" i="21"/>
  <c r="F112" i="21"/>
  <c r="F16" i="21"/>
  <c r="F20" i="21"/>
  <c r="F5" i="21"/>
  <c r="F18" i="21"/>
  <c r="B29" i="21"/>
  <c r="B30" i="21"/>
  <c r="B31" i="21"/>
  <c r="B32" i="21"/>
  <c r="B33" i="21"/>
  <c r="B34" i="21"/>
  <c r="B35" i="21"/>
  <c r="B23" i="21"/>
  <c r="B24" i="21"/>
  <c r="B25" i="21"/>
  <c r="B26" i="21"/>
  <c r="B27" i="21"/>
  <c r="B20" i="21"/>
  <c r="F23" i="21"/>
  <c r="F25" i="21"/>
  <c r="F27" i="21"/>
  <c r="F29" i="21"/>
  <c r="F31" i="21"/>
  <c r="F35" i="21"/>
  <c r="F36" i="21"/>
  <c r="F37" i="21"/>
  <c r="F41" i="21"/>
  <c r="F42" i="21"/>
  <c r="F43" i="21"/>
  <c r="F46" i="21"/>
  <c r="F48" i="21"/>
  <c r="F49" i="21"/>
  <c r="F52" i="21"/>
  <c r="B42" i="21"/>
  <c r="B43" i="21"/>
  <c r="B44" i="21"/>
  <c r="B45" i="21"/>
  <c r="B46" i="21"/>
  <c r="B47" i="21"/>
  <c r="B48" i="21"/>
  <c r="B49" i="21"/>
  <c r="B50" i="21"/>
  <c r="B51" i="21"/>
  <c r="B52" i="21"/>
  <c r="F54" i="21"/>
  <c r="F56" i="21"/>
  <c r="F58" i="21"/>
  <c r="F60" i="21"/>
  <c r="F64" i="21"/>
  <c r="F68" i="21"/>
  <c r="F70" i="21"/>
  <c r="F72" i="21"/>
  <c r="F74" i="21"/>
  <c r="B90" i="21"/>
  <c r="B91" i="21"/>
  <c r="B92" i="21"/>
  <c r="B93" i="21"/>
  <c r="B94" i="21"/>
  <c r="B96" i="21"/>
  <c r="B97" i="21"/>
  <c r="B98" i="21"/>
  <c r="B99" i="21"/>
  <c r="B100" i="21"/>
  <c r="B101" i="21"/>
  <c r="F76" i="21"/>
  <c r="B67" i="21"/>
  <c r="B68" i="21"/>
  <c r="B69" i="21"/>
  <c r="B70" i="21"/>
  <c r="B71" i="21"/>
  <c r="B72" i="21"/>
  <c r="B73" i="21"/>
  <c r="B74" i="21"/>
  <c r="B75" i="21"/>
  <c r="B76" i="21"/>
  <c r="B77" i="21"/>
  <c r="F80" i="21"/>
  <c r="F122" i="21"/>
  <c r="F124" i="21"/>
  <c r="F128" i="21"/>
  <c r="F78" i="21"/>
  <c r="F130" i="21"/>
  <c r="F82" i="21"/>
  <c r="F83" i="21"/>
  <c r="B16" i="21"/>
  <c r="B111" i="21"/>
  <c r="B112" i="21"/>
  <c r="B113" i="21"/>
  <c r="B114" i="21"/>
  <c r="B115" i="21"/>
  <c r="B116" i="21"/>
  <c r="B141" i="21"/>
  <c r="B142" i="21"/>
  <c r="B143" i="21"/>
  <c r="B144" i="21"/>
  <c r="B145" i="21"/>
  <c r="B146" i="21"/>
  <c r="F87" i="21"/>
  <c r="F89" i="21"/>
  <c r="B128" i="21"/>
  <c r="B129" i="21"/>
  <c r="B130" i="21"/>
  <c r="B131" i="21"/>
  <c r="B132" i="21"/>
  <c r="B133" i="21"/>
  <c r="B134" i="21"/>
  <c r="B135" i="21"/>
  <c r="B136" i="21"/>
  <c r="B137" i="21"/>
  <c r="B138" i="21"/>
  <c r="B139" i="21"/>
  <c r="F93" i="21"/>
  <c r="F95" i="21"/>
  <c r="F97" i="21"/>
  <c r="F114" i="21"/>
  <c r="F119" i="21"/>
  <c r="F107" i="21"/>
  <c r="F110" i="21"/>
  <c r="F116" i="21"/>
  <c r="I66" i="21"/>
  <c r="F132" i="21"/>
  <c r="F7" i="21"/>
  <c r="I20" i="21"/>
  <c r="I19" i="21"/>
  <c r="I18" i="21"/>
  <c r="I17" i="21"/>
  <c r="I16" i="21"/>
  <c r="I15" i="21"/>
  <c r="I14" i="21"/>
  <c r="I13" i="21"/>
  <c r="I12" i="21"/>
  <c r="I11" i="21"/>
  <c r="I10" i="21"/>
  <c r="I9" i="21"/>
  <c r="I8" i="21"/>
  <c r="I7" i="21"/>
  <c r="I6" i="21"/>
  <c r="I5" i="21"/>
  <c r="F126" i="21"/>
  <c r="F99" i="21"/>
  <c r="F100" i="21"/>
  <c r="F101" i="21"/>
  <c r="F102" i="21"/>
  <c r="F103" i="21"/>
  <c r="F104" i="21"/>
  <c r="BG702" i="1"/>
  <c r="BA702" i="1"/>
  <c r="AN702" i="1"/>
  <c r="T14" i="12"/>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184" i="1"/>
  <c r="AT1187" i="1"/>
  <c r="BG1211" i="1"/>
  <c r="BG1212" i="1"/>
  <c r="BG1213" i="1"/>
  <c r="BG1214" i="1"/>
  <c r="BG1215" i="1"/>
  <c r="BG1216" i="1"/>
  <c r="BG1217" i="1"/>
  <c r="BG1218" i="1"/>
  <c r="BG1219" i="1"/>
  <c r="BG1220" i="1"/>
  <c r="BG1221" i="1"/>
  <c r="BG1184" i="1"/>
  <c r="BG1188" i="1"/>
  <c r="BG1189" i="1"/>
  <c r="BG1190" i="1"/>
  <c r="BG1191" i="1"/>
  <c r="BG1192" i="1"/>
  <c r="BG1193" i="1"/>
  <c r="BG1194" i="1"/>
  <c r="BG1195" i="1"/>
  <c r="BG1196" i="1"/>
  <c r="BG1197" i="1"/>
  <c r="BG1198" i="1"/>
  <c r="BG1199" i="1"/>
  <c r="BG1200" i="1"/>
  <c r="BG1201" i="1"/>
  <c r="BG1202" i="1"/>
  <c r="BG1203" i="1"/>
  <c r="BG1204" i="1"/>
  <c r="BG1205" i="1"/>
  <c r="BG1206" i="1"/>
  <c r="BG1207" i="1"/>
  <c r="BG1208" i="1"/>
  <c r="BG1209" i="1"/>
  <c r="BG1210" i="1"/>
  <c r="BG1187" i="1"/>
  <c r="BG621" i="1"/>
  <c r="AM462" i="1"/>
  <c r="AN462" i="1"/>
  <c r="AP462" i="1"/>
  <c r="AM460" i="1"/>
  <c r="AN460" i="1"/>
  <c r="AP460" i="1"/>
  <c r="AZ462" i="1"/>
  <c r="BA462" i="1"/>
  <c r="BB462" i="1"/>
  <c r="BC462" i="1"/>
  <c r="AZ460" i="1"/>
  <c r="BA460" i="1"/>
  <c r="BB460" i="1"/>
  <c r="BC460" i="1"/>
  <c r="BG460" i="1" s="1"/>
  <c r="AM512" i="1"/>
  <c r="AZ512" i="1"/>
  <c r="BG690" i="1"/>
  <c r="BG689" i="1"/>
  <c r="AM457" i="1"/>
  <c r="AP457" i="1"/>
  <c r="AM455" i="1"/>
  <c r="AP455" i="1"/>
  <c r="AZ457" i="1"/>
  <c r="BC457" i="1"/>
  <c r="AZ455" i="1"/>
  <c r="BC455" i="1"/>
  <c r="BG455" i="1" s="1"/>
  <c r="BE454" i="1"/>
  <c r="BD454" i="1"/>
  <c r="BC454" i="1"/>
  <c r="BA454" i="1"/>
  <c r="AZ454" i="1"/>
  <c r="BE453" i="1"/>
  <c r="BD453" i="1"/>
  <c r="BC453" i="1"/>
  <c r="BA453" i="1"/>
  <c r="AZ453" i="1"/>
  <c r="AZ452" i="1"/>
  <c r="BA452" i="1"/>
  <c r="BC452" i="1"/>
  <c r="BD452" i="1"/>
  <c r="BE452" i="1"/>
  <c r="AR454" i="1"/>
  <c r="AQ454" i="1"/>
  <c r="AP454" i="1"/>
  <c r="AN454" i="1"/>
  <c r="AM454" i="1"/>
  <c r="AM453" i="1"/>
  <c r="AN453" i="1"/>
  <c r="AP453" i="1"/>
  <c r="AQ453" i="1"/>
  <c r="AR453" i="1"/>
  <c r="AP452" i="1"/>
  <c r="AQ452" i="1"/>
  <c r="AR452" i="1"/>
  <c r="AT513" i="1"/>
  <c r="F91" i="21"/>
  <c r="F66" i="21"/>
  <c r="F62" i="21"/>
  <c r="F14" i="21"/>
  <c r="F12" i="21"/>
  <c r="B65" i="21"/>
  <c r="B64" i="21"/>
  <c r="B63" i="21"/>
  <c r="B62" i="21"/>
  <c r="B61" i="21"/>
  <c r="B60" i="21"/>
  <c r="B59" i="21"/>
  <c r="B58" i="21"/>
  <c r="B57" i="21"/>
  <c r="B55" i="21"/>
  <c r="B54" i="21"/>
  <c r="B40" i="21"/>
  <c r="B39" i="21"/>
  <c r="B38" i="21"/>
  <c r="B37" i="21"/>
  <c r="F330" i="13"/>
  <c r="G330" i="13"/>
  <c r="BG922" i="1"/>
  <c r="BG921" i="1"/>
  <c r="AT922" i="1"/>
  <c r="AT921" i="1"/>
  <c r="BG946" i="1"/>
  <c r="BG960" i="1"/>
  <c r="BG961" i="1"/>
  <c r="BG962" i="1"/>
  <c r="BG963" i="1"/>
  <c r="BG964" i="1"/>
  <c r="BG965" i="1"/>
  <c r="BG966" i="1"/>
  <c r="BG945" i="1"/>
  <c r="BG1014" i="1"/>
  <c r="BG1015" i="1"/>
  <c r="BG1013" i="1"/>
  <c r="AT1014" i="1"/>
  <c r="AT1015" i="1"/>
  <c r="AT862" i="1"/>
  <c r="AT863" i="1"/>
  <c r="AT945" i="1"/>
  <c r="AT946" i="1"/>
  <c r="AT959" i="1"/>
  <c r="AT960" i="1"/>
  <c r="AT961" i="1"/>
  <c r="AT962" i="1"/>
  <c r="AT963" i="1"/>
  <c r="AT964" i="1"/>
  <c r="AT965" i="1"/>
  <c r="AT966" i="1"/>
  <c r="AT1013" i="1"/>
  <c r="BG875" i="1"/>
  <c r="BG947" i="1"/>
  <c r="BG953" i="1"/>
  <c r="BG970" i="1"/>
  <c r="BG971" i="1"/>
  <c r="BG972" i="1"/>
  <c r="BG973" i="1"/>
  <c r="BG974" i="1"/>
  <c r="BG975" i="1"/>
  <c r="BG976" i="1"/>
  <c r="BG977" i="1"/>
  <c r="BG825" i="1"/>
  <c r="AT875" i="1"/>
  <c r="AT947" i="1"/>
  <c r="AT953" i="1"/>
  <c r="AT970" i="1"/>
  <c r="AT971" i="1"/>
  <c r="AT972" i="1"/>
  <c r="AT973" i="1"/>
  <c r="AT974" i="1"/>
  <c r="AT975" i="1"/>
  <c r="AT976" i="1"/>
  <c r="AT977" i="1"/>
  <c r="AT825" i="1"/>
  <c r="BG948" i="1"/>
  <c r="BG926" i="1"/>
  <c r="BG925" i="1"/>
  <c r="BG850" i="1"/>
  <c r="BG849" i="1"/>
  <c r="BG982" i="1"/>
  <c r="BG981" i="1"/>
  <c r="BG980" i="1"/>
  <c r="BG979" i="1"/>
  <c r="BG1004" i="1"/>
  <c r="BG1005" i="1"/>
  <c r="BG1016" i="1"/>
  <c r="BG1003" i="1"/>
  <c r="AT925" i="1"/>
  <c r="AT850" i="1"/>
  <c r="AT849" i="1"/>
  <c r="AT982" i="1"/>
  <c r="AT981" i="1"/>
  <c r="AT980" i="1"/>
  <c r="AT979" i="1"/>
  <c r="AT1004" i="1"/>
  <c r="AT1005" i="1"/>
  <c r="AT1016" i="1"/>
  <c r="AT1003" i="1"/>
  <c r="AZ361" i="1"/>
  <c r="BA361" i="1"/>
  <c r="BB361" i="1"/>
  <c r="BD361" i="1"/>
  <c r="AZ360" i="1"/>
  <c r="BA360" i="1"/>
  <c r="BB360" i="1"/>
  <c r="BD360" i="1"/>
  <c r="BG350" i="1"/>
  <c r="BG351" i="1"/>
  <c r="BG352" i="1"/>
  <c r="BG353" i="1"/>
  <c r="BG354" i="1"/>
  <c r="BG355" i="1"/>
  <c r="BG356" i="1"/>
  <c r="BG357" i="1"/>
  <c r="BG358" i="1"/>
  <c r="BG359" i="1"/>
  <c r="BG349" i="1"/>
  <c r="AT355" i="1"/>
  <c r="AM104" i="1"/>
  <c r="AO104" i="1"/>
  <c r="AP104" i="1"/>
  <c r="BG1021" i="1"/>
  <c r="BG1019" i="1"/>
  <c r="BG1018" i="1"/>
  <c r="BG1017" i="1"/>
  <c r="AT1021" i="1"/>
  <c r="AT1019" i="1"/>
  <c r="AT1018" i="1"/>
  <c r="AT1017" i="1"/>
  <c r="BC104" i="1"/>
  <c r="AZ104" i="1"/>
  <c r="AT15" i="1"/>
  <c r="BG15" i="1"/>
  <c r="BG86" i="1"/>
  <c r="BG87" i="1"/>
  <c r="BG88" i="1"/>
  <c r="BG89" i="1"/>
  <c r="BG114" i="1"/>
  <c r="BG115" i="1"/>
  <c r="BG116" i="1"/>
  <c r="AT117" i="1"/>
  <c r="BG117" i="1"/>
  <c r="AT118" i="1"/>
  <c r="BG118" i="1"/>
  <c r="AT119" i="1"/>
  <c r="BG119" i="1"/>
  <c r="BG226" i="1"/>
  <c r="AT234" i="1"/>
  <c r="AT235" i="1"/>
  <c r="AT279" i="1"/>
  <c r="BG282" i="1"/>
  <c r="BG283" i="1"/>
  <c r="AT289" i="1"/>
  <c r="BG289" i="1"/>
  <c r="AT290" i="1"/>
  <c r="BG290" i="1"/>
  <c r="BG291" i="1"/>
  <c r="BG292" i="1"/>
  <c r="BG319" i="1"/>
  <c r="BG415" i="1"/>
  <c r="BG431" i="1"/>
  <c r="BG432" i="1"/>
  <c r="BG439" i="1"/>
  <c r="BG445" i="1"/>
  <c r="BG446" i="1"/>
  <c r="BG447" i="1"/>
  <c r="BG448" i="1"/>
  <c r="BG449" i="1"/>
  <c r="BG450" i="1"/>
  <c r="BG451" i="1"/>
  <c r="AT456" i="1"/>
  <c r="BG456" i="1"/>
  <c r="AT461" i="1"/>
  <c r="BG461" i="1"/>
  <c r="AT463" i="1"/>
  <c r="BG463" i="1"/>
  <c r="AT464" i="1"/>
  <c r="BG464" i="1"/>
  <c r="AT465" i="1"/>
  <c r="AT466" i="1"/>
  <c r="AT467" i="1"/>
  <c r="AT468" i="1"/>
  <c r="BG469" i="1"/>
  <c r="BG513" i="1"/>
  <c r="AT514" i="1"/>
  <c r="BG514" i="1"/>
  <c r="AT515" i="1"/>
  <c r="BG515" i="1"/>
  <c r="AT580" i="1"/>
  <c r="BG580" i="1"/>
  <c r="AT581" i="1"/>
  <c r="BG581" i="1"/>
  <c r="AT605" i="1"/>
  <c r="BG610" i="1"/>
  <c r="BG611" i="1"/>
  <c r="BG612" i="1"/>
  <c r="BG613" i="1"/>
  <c r="BG675" i="1"/>
  <c r="BG676" i="1"/>
  <c r="BG677" i="1"/>
  <c r="BG678" i="1"/>
  <c r="BG679" i="1"/>
  <c r="BG680" i="1"/>
  <c r="BG681" i="1"/>
  <c r="BG682" i="1"/>
  <c r="BG683" i="1"/>
  <c r="BG684" i="1"/>
  <c r="BG685" i="1"/>
  <c r="BG686" i="1"/>
  <c r="AT693" i="1"/>
  <c r="BG693" i="1"/>
  <c r="AT694" i="1"/>
  <c r="BG694" i="1"/>
  <c r="BG698" i="1"/>
  <c r="BG699" i="1"/>
  <c r="BG700" i="1"/>
  <c r="AT702" i="1"/>
  <c r="AT750" i="1"/>
  <c r="BG750" i="1"/>
  <c r="BG772" i="1"/>
  <c r="BG773" i="1"/>
  <c r="BG774" i="1"/>
  <c r="BG775" i="1"/>
  <c r="BG776" i="1"/>
  <c r="BG777" i="1"/>
  <c r="BG778" i="1"/>
  <c r="BG779" i="1"/>
  <c r="BG780" i="1"/>
  <c r="BG781" i="1"/>
  <c r="BG786" i="1"/>
  <c r="AT791" i="1"/>
  <c r="AT792" i="1"/>
  <c r="AT793" i="1"/>
  <c r="AN739" i="1"/>
  <c r="AM739" i="1"/>
  <c r="AQ697" i="1"/>
  <c r="AQ696" i="1"/>
  <c r="AQ695" i="1"/>
  <c r="AM562" i="1"/>
  <c r="AM527" i="1"/>
  <c r="AN519" i="1"/>
  <c r="AM327" i="1"/>
  <c r="AN239" i="1"/>
  <c r="AM239" i="1"/>
  <c r="AN238" i="1"/>
  <c r="AM238" i="1"/>
  <c r="AM236" i="1"/>
  <c r="AM36" i="1"/>
  <c r="AN36" i="1"/>
  <c r="AM326" i="1"/>
  <c r="AR327" i="1"/>
  <c r="AM360" i="1"/>
  <c r="AN360" i="1"/>
  <c r="AO360" i="1"/>
  <c r="AM361" i="1"/>
  <c r="AN361" i="1"/>
  <c r="AO361" i="1"/>
  <c r="AM470" i="1"/>
  <c r="AN470" i="1"/>
  <c r="AN493" i="1"/>
  <c r="AR499" i="1"/>
  <c r="AR500" i="1"/>
  <c r="AR501" i="1"/>
  <c r="AN524" i="1"/>
  <c r="AM567" i="1"/>
  <c r="AN567" i="1"/>
  <c r="AR602" i="1"/>
  <c r="AR603" i="1"/>
  <c r="AM604" i="1"/>
  <c r="AN604" i="1"/>
  <c r="AR604" i="1"/>
  <c r="AM658" i="1"/>
  <c r="AN658" i="1"/>
  <c r="AM659" i="1"/>
  <c r="AN659" i="1"/>
  <c r="AM660" i="1"/>
  <c r="AN660" i="1"/>
  <c r="AN11" i="1"/>
  <c r="BC786" i="1"/>
  <c r="BB786" i="1"/>
  <c r="BA786" i="1"/>
  <c r="AZ786" i="1"/>
  <c r="AZ785" i="1"/>
  <c r="AZ784" i="1"/>
  <c r="BD697" i="1"/>
  <c r="BA697" i="1"/>
  <c r="AZ697" i="1"/>
  <c r="BD695" i="1"/>
  <c r="BA470" i="1"/>
  <c r="AZ470" i="1"/>
  <c r="BA316" i="1"/>
  <c r="AZ316" i="1"/>
  <c r="BA315" i="1"/>
  <c r="AZ315" i="1"/>
  <c r="BA314" i="1"/>
  <c r="AZ314" i="1"/>
  <c r="BB2" i="1"/>
  <c r="BD2" i="1"/>
  <c r="BA1065" i="1"/>
  <c r="BG1065" i="1" s="1"/>
  <c r="BG1066" i="1"/>
  <c r="BA1067" i="1"/>
  <c r="BG1067" i="1"/>
  <c r="BC1068" i="1"/>
  <c r="BG1068" i="1"/>
  <c r="BG1070" i="1"/>
  <c r="BG1048" i="1"/>
  <c r="BG1049" i="1"/>
  <c r="BG1050" i="1"/>
  <c r="BG1051" i="1"/>
  <c r="BG1052" i="1"/>
  <c r="BG1053" i="1"/>
  <c r="BG1054" i="1"/>
  <c r="BG1055" i="1"/>
  <c r="BG1056" i="1"/>
  <c r="BG1057" i="1"/>
  <c r="BG1058" i="1"/>
  <c r="BG1059" i="1"/>
  <c r="AZ1042" i="1"/>
  <c r="BA1042" i="1"/>
  <c r="AZ1043" i="1"/>
  <c r="BA1043" i="1"/>
  <c r="AZ1044" i="1"/>
  <c r="BA1044" i="1"/>
  <c r="AZ1045" i="1"/>
  <c r="BA1045" i="1"/>
  <c r="AZ1046" i="1"/>
  <c r="BA1046" i="1"/>
  <c r="AZ1047" i="1"/>
  <c r="BA1047" i="1"/>
  <c r="AZ1036" i="1"/>
  <c r="BA1036" i="1"/>
  <c r="BD1036" i="1"/>
  <c r="AZ1037" i="1"/>
  <c r="BA1037" i="1"/>
  <c r="BD1037" i="1"/>
  <c r="BE1037" i="1"/>
  <c r="AZ1038" i="1"/>
  <c r="BA1038" i="1"/>
  <c r="BD1038" i="1"/>
  <c r="BE1038" i="1"/>
  <c r="AZ1039" i="1"/>
  <c r="BA1039" i="1"/>
  <c r="BD1039" i="1"/>
  <c r="BE1039" i="1"/>
  <c r="AZ1040" i="1"/>
  <c r="BA1040" i="1"/>
  <c r="BD1040" i="1"/>
  <c r="BE1040" i="1"/>
  <c r="AZ1041" i="1"/>
  <c r="BA1041" i="1"/>
  <c r="BD1041" i="1"/>
  <c r="BE1041" i="1"/>
  <c r="AZ1035" i="1"/>
  <c r="AZ649" i="1"/>
  <c r="BA10" i="1"/>
  <c r="BA11" i="1"/>
  <c r="BA12" i="1"/>
  <c r="BA13" i="1"/>
  <c r="AZ36" i="1"/>
  <c r="BA36" i="1"/>
  <c r="AZ41" i="1"/>
  <c r="AZ42" i="1"/>
  <c r="BA73" i="1"/>
  <c r="BB73" i="1"/>
  <c r="BC73" i="1"/>
  <c r="BA74" i="1"/>
  <c r="BB74" i="1"/>
  <c r="BC74" i="1"/>
  <c r="BB104" i="1"/>
  <c r="AZ108" i="1"/>
  <c r="AZ109" i="1"/>
  <c r="AZ113" i="1"/>
  <c r="AZ226" i="1"/>
  <c r="BA226" i="1"/>
  <c r="BB226" i="1"/>
  <c r="AZ227" i="1"/>
  <c r="BA227" i="1"/>
  <c r="BB227" i="1"/>
  <c r="BC227" i="1"/>
  <c r="BA233" i="1"/>
  <c r="AZ317" i="1"/>
  <c r="AZ326" i="1"/>
  <c r="BE326" i="1"/>
  <c r="AZ327" i="1"/>
  <c r="BE327" i="1"/>
  <c r="BC329" i="1"/>
  <c r="AZ412" i="1"/>
  <c r="BB412" i="1"/>
  <c r="BC412" i="1"/>
  <c r="BC442" i="1"/>
  <c r="BA493" i="1"/>
  <c r="BA494" i="1"/>
  <c r="BE499" i="1"/>
  <c r="BE500" i="1"/>
  <c r="BE501" i="1"/>
  <c r="BA519" i="1"/>
  <c r="BA520" i="1"/>
  <c r="BA521" i="1"/>
  <c r="BA522" i="1"/>
  <c r="BA524" i="1"/>
  <c r="AZ567" i="1"/>
  <c r="BA567" i="1"/>
  <c r="BB584" i="1"/>
  <c r="AZ586" i="1"/>
  <c r="AZ604" i="1"/>
  <c r="BA604" i="1"/>
  <c r="BE604" i="1"/>
  <c r="BA630" i="1"/>
  <c r="BC630" i="1"/>
  <c r="BB645" i="1"/>
  <c r="BC645" i="1"/>
  <c r="AZ646" i="1"/>
  <c r="BB646" i="1"/>
  <c r="BC646" i="1"/>
  <c r="BD646" i="1"/>
  <c r="BC647" i="1"/>
  <c r="AZ782" i="1"/>
  <c r="AZ783" i="1"/>
  <c r="BA783" i="1"/>
  <c r="AZ789" i="1"/>
  <c r="BA789" i="1"/>
  <c r="BB789" i="1"/>
  <c r="AZ790" i="1"/>
  <c r="BA790" i="1"/>
  <c r="BB790" i="1"/>
  <c r="AZ791" i="1"/>
  <c r="BA791" i="1"/>
  <c r="BB791" i="1"/>
  <c r="BD791" i="1"/>
  <c r="AZ792" i="1"/>
  <c r="BA792" i="1"/>
  <c r="BB792" i="1"/>
  <c r="BD792" i="1"/>
  <c r="AZ793" i="1"/>
  <c r="BA793" i="1"/>
  <c r="BB793" i="1"/>
  <c r="BD793" i="1"/>
  <c r="AZ794" i="1"/>
  <c r="BA794" i="1"/>
  <c r="BB794" i="1"/>
  <c r="AZ795" i="1"/>
  <c r="BA795" i="1"/>
  <c r="BB795" i="1"/>
  <c r="AZ796" i="1"/>
  <c r="BA796" i="1"/>
  <c r="AG1182" i="1"/>
  <c r="K204" i="16"/>
  <c r="E357" i="16"/>
  <c r="E361" i="16" s="1"/>
  <c r="F356" i="16" s="1"/>
  <c r="E356" i="16"/>
  <c r="E358" i="16"/>
  <c r="E359" i="16"/>
  <c r="E360" i="16"/>
  <c r="BC587" i="1"/>
  <c r="BB586" i="1"/>
  <c r="BG853" i="1"/>
  <c r="AT1397" i="1"/>
  <c r="AY1481" i="1"/>
  <c r="AI1481" i="1" s="1"/>
  <c r="AT948" i="1"/>
  <c r="AT1404" i="1"/>
  <c r="BG1597" i="1"/>
  <c r="BB587" i="1"/>
  <c r="AI630" i="1"/>
  <c r="AI278" i="1"/>
  <c r="AI41" i="1"/>
  <c r="AG36" i="1"/>
  <c r="BG1403" i="1"/>
  <c r="BB583" i="1"/>
  <c r="BC583" i="1"/>
  <c r="BG619" i="1"/>
  <c r="AG659" i="1"/>
  <c r="AI317" i="1"/>
  <c r="AI315" i="1"/>
  <c r="AI227" i="1"/>
  <c r="BG1598" i="1"/>
  <c r="BG1044" i="1"/>
  <c r="BG1045" i="1"/>
  <c r="AT104" i="1"/>
  <c r="AI1397" i="1"/>
  <c r="AT1587" i="1"/>
  <c r="BG1590" i="1"/>
  <c r="AT1623" i="1"/>
  <c r="BG959" i="1"/>
  <c r="AI539" i="1"/>
  <c r="AT1373" i="1"/>
  <c r="BG1397" i="1"/>
  <c r="BG1404" i="1"/>
  <c r="BG1450" i="1"/>
  <c r="AT1631" i="1"/>
  <c r="AZ584" i="1"/>
  <c r="BG1047" i="1"/>
  <c r="BG1043" i="1"/>
  <c r="BG452" i="1"/>
  <c r="AT278" i="1"/>
  <c r="BC585" i="1"/>
  <c r="AZ582" i="1"/>
  <c r="BG539" i="1"/>
  <c r="AT926" i="1"/>
  <c r="BG854" i="1"/>
  <c r="AI1342" i="1"/>
  <c r="AT1372" i="1"/>
  <c r="BG1458" i="1"/>
  <c r="BG1630" i="1"/>
  <c r="BB585" i="1"/>
  <c r="BB582" i="1"/>
  <c r="BG1046" i="1"/>
  <c r="AT452" i="1"/>
  <c r="AT454" i="1"/>
  <c r="BG512" i="1"/>
  <c r="AT1630" i="1"/>
  <c r="BG1038" i="1"/>
  <c r="BG360" i="1"/>
  <c r="BG1342" i="1"/>
  <c r="BG1344" i="1"/>
  <c r="BG1451" i="1"/>
  <c r="BG1588" i="1"/>
  <c r="BG1629" i="1"/>
  <c r="BG1631" i="1"/>
  <c r="BG1645" i="1"/>
  <c r="AI1514" i="1"/>
  <c r="AI442" i="1"/>
  <c r="BF1481" i="1"/>
  <c r="AH1481" i="1" s="1"/>
  <c r="AI1473" i="1"/>
  <c r="AG1472" i="1"/>
  <c r="AI444" i="1"/>
  <c r="AG567" i="1"/>
  <c r="BG1040" i="1"/>
  <c r="AI1343" i="1"/>
  <c r="BF1343" i="1"/>
  <c r="AH1343" i="1"/>
  <c r="BG1036" i="1"/>
  <c r="AG621" i="1"/>
  <c r="AT621" i="1"/>
  <c r="AT1562" i="1"/>
  <c r="BG1042" i="1"/>
  <c r="AI1274" i="1"/>
  <c r="BG1274" i="1"/>
  <c r="BG1041" i="1"/>
  <c r="BG1037" i="1"/>
  <c r="BG1039" i="1"/>
  <c r="AT512" i="1"/>
  <c r="AT462" i="1"/>
  <c r="AT460" i="1"/>
  <c r="BG620" i="1"/>
  <c r="BG361" i="1"/>
  <c r="AT853" i="1"/>
  <c r="AS1589" i="1"/>
  <c r="AF1589" i="1" s="1"/>
  <c r="AT1589" i="1"/>
  <c r="BG1035" i="1"/>
  <c r="BG618" i="1"/>
  <c r="AT854" i="1"/>
  <c r="AT455" i="1"/>
  <c r="AS1338" i="1"/>
  <c r="AF1338" i="1"/>
  <c r="AG1338" i="1"/>
  <c r="AG1344" i="1"/>
  <c r="BG1346" i="1"/>
  <c r="AI1346" i="1"/>
  <c r="AT1466" i="1"/>
  <c r="BG1467" i="1"/>
  <c r="BG1483" i="1"/>
  <c r="BG1485" i="1"/>
  <c r="AG1630" i="1"/>
  <c r="BG1644" i="1"/>
  <c r="BG453" i="1"/>
  <c r="BG454" i="1"/>
  <c r="BG457" i="1"/>
  <c r="AT457" i="1"/>
  <c r="AI1072" i="1"/>
  <c r="BF1072" i="1"/>
  <c r="AH1072" i="1"/>
  <c r="BG1343" i="1"/>
  <c r="BG1345" i="1"/>
  <c r="BG1621" i="1"/>
  <c r="BG1624" i="1"/>
  <c r="AI423" i="1"/>
  <c r="AG423" i="1"/>
  <c r="BF412" i="1"/>
  <c r="AH412" i="1"/>
  <c r="AI412" i="1"/>
  <c r="AI424" i="1"/>
  <c r="AG424" i="1"/>
  <c r="AI443" i="1"/>
  <c r="AI790" i="1"/>
  <c r="AW1478" i="1"/>
  <c r="AG1473" i="1"/>
  <c r="AI1472" i="1"/>
  <c r="AJ466" i="1"/>
  <c r="AM466" i="1"/>
  <c r="AL466" i="1"/>
  <c r="AQ466" i="1"/>
  <c r="AN466" i="1"/>
  <c r="AJ465" i="1"/>
  <c r="AL465" i="1"/>
  <c r="AN465" i="1"/>
  <c r="AQ465" i="1"/>
  <c r="AM465" i="1"/>
  <c r="AI1182" i="1"/>
  <c r="AL468" i="1"/>
  <c r="AJ468" i="1"/>
  <c r="AM468" i="1"/>
  <c r="AN468" i="1"/>
  <c r="AQ468" i="1"/>
  <c r="AL467" i="1"/>
  <c r="AJ467" i="1"/>
  <c r="AS467" i="1" s="1"/>
  <c r="AM467" i="1"/>
  <c r="AQ467" i="1"/>
  <c r="AN467" i="1"/>
  <c r="AT453" i="1"/>
  <c r="BG462" i="1"/>
  <c r="AS360" i="1"/>
  <c r="AF360" i="1" s="1"/>
  <c r="AS1180" i="1" s="1"/>
  <c r="AF1180" i="1" s="1"/>
  <c r="AS361" i="1"/>
  <c r="AF361" i="1" s="1"/>
  <c r="AI1035" i="1"/>
  <c r="BF1035" i="1"/>
  <c r="AH1035" i="1"/>
  <c r="BF785" i="1"/>
  <c r="AH785" i="1" s="1"/>
  <c r="AI785" i="1"/>
  <c r="AS702" i="1"/>
  <c r="AF702" i="1" s="1"/>
  <c r="AG702" i="1"/>
  <c r="AG690" i="1"/>
  <c r="AS690" i="1"/>
  <c r="AF690" i="1" s="1"/>
  <c r="BF585" i="1"/>
  <c r="AH585" i="1" s="1"/>
  <c r="AX585" i="1"/>
  <c r="AI585" i="1" s="1"/>
  <c r="AS527" i="1"/>
  <c r="AF527" i="1"/>
  <c r="AG527" i="1"/>
  <c r="BF462" i="1"/>
  <c r="AH462" i="1"/>
  <c r="AI462" i="1"/>
  <c r="BF460" i="1"/>
  <c r="AH460" i="1" s="1"/>
  <c r="AI460" i="1"/>
  <c r="AG454" i="1"/>
  <c r="AS454" i="1"/>
  <c r="AF454" i="1" s="1"/>
  <c r="AG360" i="1"/>
  <c r="AI1047" i="1"/>
  <c r="BF1047" i="1"/>
  <c r="AH1047" i="1" s="1"/>
  <c r="BF1045" i="1"/>
  <c r="AH1045" i="1" s="1"/>
  <c r="AI1045" i="1"/>
  <c r="AI1043" i="1"/>
  <c r="BF1043" i="1"/>
  <c r="AH1043" i="1" s="1"/>
  <c r="BF1041" i="1"/>
  <c r="AH1041" i="1" s="1"/>
  <c r="AI1041" i="1"/>
  <c r="AI1039" i="1"/>
  <c r="BF1039" i="1"/>
  <c r="AH1039" i="1" s="1"/>
  <c r="BF1037" i="1"/>
  <c r="AH1037" i="1" s="1"/>
  <c r="AI1037" i="1"/>
  <c r="BF796" i="1"/>
  <c r="AH796" i="1"/>
  <c r="AI796" i="1"/>
  <c r="BF794" i="1"/>
  <c r="AH794" i="1" s="1"/>
  <c r="AI794" i="1"/>
  <c r="BF792" i="1"/>
  <c r="AH792" i="1" s="1"/>
  <c r="AI792" i="1"/>
  <c r="BF786" i="1"/>
  <c r="AH786" i="1" s="1"/>
  <c r="AI786" i="1"/>
  <c r="AS604" i="1"/>
  <c r="AF604" i="1"/>
  <c r="AG604" i="1"/>
  <c r="AX584" i="1"/>
  <c r="AI584" i="1" s="1"/>
  <c r="BF584" i="1"/>
  <c r="AH584" i="1"/>
  <c r="AI558" i="1"/>
  <c r="BF558" i="1"/>
  <c r="AH558" i="1"/>
  <c r="AG539" i="1"/>
  <c r="AI470" i="1"/>
  <c r="BF470" i="1"/>
  <c r="AH470" i="1"/>
  <c r="BF454" i="1"/>
  <c r="AH454" i="1"/>
  <c r="AI454" i="1"/>
  <c r="AI452" i="1"/>
  <c r="BF452" i="1"/>
  <c r="AH452" i="1" s="1"/>
  <c r="BF361" i="1"/>
  <c r="AH361" i="1"/>
  <c r="AI361" i="1"/>
  <c r="AW280" i="1"/>
  <c r="AY280" i="1"/>
  <c r="AS278" i="1"/>
  <c r="AF278" i="1" s="1"/>
  <c r="AG278" i="1"/>
  <c r="AG1335" i="1"/>
  <c r="AS1335" i="1"/>
  <c r="AF1335" i="1"/>
  <c r="AT1335" i="1"/>
  <c r="AG1339" i="1"/>
  <c r="AT1339" i="1"/>
  <c r="AS1339" i="1"/>
  <c r="AF1339" i="1"/>
  <c r="AG1343" i="1"/>
  <c r="AT1343" i="1"/>
  <c r="AS1343" i="1"/>
  <c r="AF1343" i="1"/>
  <c r="AG1345" i="1"/>
  <c r="AT1345" i="1"/>
  <c r="AS1345" i="1"/>
  <c r="AF1345" i="1" s="1"/>
  <c r="BF1350" i="1"/>
  <c r="AH1350" i="1"/>
  <c r="AI1350" i="1"/>
  <c r="BF1352" i="1"/>
  <c r="AH1352" i="1" s="1"/>
  <c r="AI1352" i="1"/>
  <c r="BF1354" i="1"/>
  <c r="AH1354" i="1"/>
  <c r="AI1354" i="1"/>
  <c r="BF1356" i="1"/>
  <c r="AH1356" i="1"/>
  <c r="AI1356" i="1"/>
  <c r="BF1358" i="1"/>
  <c r="AH1358" i="1"/>
  <c r="AI1358" i="1"/>
  <c r="BF1360" i="1"/>
  <c r="AH1360" i="1" s="1"/>
  <c r="AI1360" i="1"/>
  <c r="BF1363" i="1"/>
  <c r="AH1363" i="1"/>
  <c r="AI1363" i="1"/>
  <c r="BF1466" i="1"/>
  <c r="AH1466" i="1"/>
  <c r="AI1466" i="1"/>
  <c r="BG1466" i="1"/>
  <c r="AI1499" i="1"/>
  <c r="BF1499" i="1"/>
  <c r="AH1499" i="1"/>
  <c r="BG1499" i="1"/>
  <c r="AI1507" i="1"/>
  <c r="BF1507" i="1"/>
  <c r="AH1507" i="1"/>
  <c r="BG1507" i="1"/>
  <c r="AG1590" i="1"/>
  <c r="AS1590" i="1"/>
  <c r="AF1590" i="1" s="1"/>
  <c r="AT1590" i="1"/>
  <c r="AS1593" i="1"/>
  <c r="AF1593" i="1" s="1"/>
  <c r="AG1593" i="1"/>
  <c r="AS1595" i="1"/>
  <c r="AF1595" i="1"/>
  <c r="AG1595" i="1"/>
  <c r="BG1599" i="1"/>
  <c r="BG1636" i="1"/>
  <c r="AS1334" i="1"/>
  <c r="AF1334" i="1"/>
  <c r="AG1334" i="1"/>
  <c r="AT1334" i="1"/>
  <c r="BF1375" i="1"/>
  <c r="AH1375" i="1" s="1"/>
  <c r="AI1375" i="1"/>
  <c r="BG1375" i="1"/>
  <c r="BF1399" i="1"/>
  <c r="AH1399" i="1" s="1"/>
  <c r="AI1399" i="1"/>
  <c r="AS1405" i="1"/>
  <c r="AF1405" i="1" s="1"/>
  <c r="AG1405" i="1"/>
  <c r="AI1408" i="1"/>
  <c r="BF1408" i="1"/>
  <c r="AH1408" i="1"/>
  <c r="AI1410" i="1"/>
  <c r="BF1410" i="1"/>
  <c r="AH1410" i="1" s="1"/>
  <c r="AI1417" i="1"/>
  <c r="BF1417" i="1"/>
  <c r="AH1417" i="1"/>
  <c r="AI1432" i="1"/>
  <c r="BF1432" i="1"/>
  <c r="AH1432" i="1"/>
  <c r="AI1434" i="1"/>
  <c r="BF1434" i="1"/>
  <c r="AH1434" i="1"/>
  <c r="BF1497" i="1"/>
  <c r="AH1497" i="1"/>
  <c r="AI1497" i="1"/>
  <c r="BG1497" i="1"/>
  <c r="BF1505" i="1"/>
  <c r="AH1505" i="1"/>
  <c r="AI1505" i="1"/>
  <c r="BG1505" i="1"/>
  <c r="BG1562" i="1"/>
  <c r="BG1622" i="1"/>
  <c r="BF1639" i="1"/>
  <c r="AH1639" i="1"/>
  <c r="AI1639" i="1"/>
  <c r="BG1639" i="1"/>
  <c r="BF1308" i="1"/>
  <c r="AH1308" i="1"/>
  <c r="BG1308" i="1"/>
  <c r="AI1308" i="1"/>
  <c r="BF1325" i="1"/>
  <c r="AH1325" i="1" s="1"/>
  <c r="AI1325" i="1"/>
  <c r="BF1329" i="1"/>
  <c r="AH1329" i="1" s="1"/>
  <c r="AI1329" i="1"/>
  <c r="BF1333" i="1"/>
  <c r="AH1333" i="1"/>
  <c r="AI1333" i="1"/>
  <c r="AS1342" i="1"/>
  <c r="AF1342" i="1" s="1"/>
  <c r="AT1342" i="1"/>
  <c r="AG1342" i="1"/>
  <c r="AS1344" i="1"/>
  <c r="AF1344" i="1"/>
  <c r="AT1344" i="1"/>
  <c r="AI1364" i="1"/>
  <c r="BF1364" i="1"/>
  <c r="AH1364" i="1" s="1"/>
  <c r="BG1364" i="1"/>
  <c r="AS1374" i="1"/>
  <c r="AF1374" i="1"/>
  <c r="AG1374" i="1"/>
  <c r="AT1374" i="1"/>
  <c r="BF1463" i="1"/>
  <c r="AH1463" i="1" s="1"/>
  <c r="AI1463" i="1"/>
  <c r="BF1469" i="1"/>
  <c r="AH1469" i="1" s="1"/>
  <c r="AI1469" i="1"/>
  <c r="AI1503" i="1"/>
  <c r="BF1503" i="1"/>
  <c r="AH1503" i="1" s="1"/>
  <c r="BG1503" i="1"/>
  <c r="AS1538" i="1"/>
  <c r="AF1538" i="1"/>
  <c r="AG1538" i="1"/>
  <c r="AS1540" i="1"/>
  <c r="AF1540" i="1"/>
  <c r="AG1540" i="1"/>
  <c r="AS1542" i="1"/>
  <c r="AF1542" i="1"/>
  <c r="AG1542" i="1"/>
  <c r="AI1549" i="1"/>
  <c r="BF1549" i="1"/>
  <c r="AH1549" i="1"/>
  <c r="AI1558" i="1"/>
  <c r="BF1558" i="1"/>
  <c r="AH1558" i="1" s="1"/>
  <c r="AS1562" i="1"/>
  <c r="AF1562" i="1"/>
  <c r="AG1562" i="1"/>
  <c r="AG1588" i="1"/>
  <c r="AS1588" i="1"/>
  <c r="AF1588" i="1" s="1"/>
  <c r="AT1588" i="1"/>
  <c r="AG1620" i="1"/>
  <c r="AS1620" i="1"/>
  <c r="AF1620" i="1" s="1"/>
  <c r="AI1628" i="1"/>
  <c r="BF1628" i="1"/>
  <c r="AH1628" i="1" s="1"/>
  <c r="BG1628" i="1"/>
  <c r="AY281" i="1"/>
  <c r="AW281" i="1"/>
  <c r="BF104" i="1"/>
  <c r="AH104" i="1" s="1"/>
  <c r="AI104" i="1"/>
  <c r="BF2" i="1"/>
  <c r="AH2" i="1"/>
  <c r="AI2" i="1"/>
  <c r="AT1346" i="1"/>
  <c r="AS1364" i="1"/>
  <c r="AF1364" i="1" s="1"/>
  <c r="AG1364" i="1"/>
  <c r="AT1364" i="1"/>
  <c r="AI1372" i="1"/>
  <c r="BF1372" i="1"/>
  <c r="AH1372" i="1" s="1"/>
  <c r="AI1457" i="1"/>
  <c r="BG1457" i="1"/>
  <c r="AS1467" i="1"/>
  <c r="AF1467" i="1" s="1"/>
  <c r="AG1467" i="1"/>
  <c r="AT1467" i="1"/>
  <c r="BF1501" i="1"/>
  <c r="AH1501" i="1"/>
  <c r="AI1501" i="1"/>
  <c r="BG1501" i="1"/>
  <c r="BF1509" i="1"/>
  <c r="AH1509" i="1" s="1"/>
  <c r="AI1509" i="1"/>
  <c r="BG1509" i="1"/>
  <c r="BG1600" i="1"/>
  <c r="BF1627" i="1"/>
  <c r="AH1627" i="1"/>
  <c r="AI1627" i="1"/>
  <c r="BG1627" i="1"/>
  <c r="BF465" i="1"/>
  <c r="AH465" i="1" s="1"/>
  <c r="AI465" i="1"/>
  <c r="BG465" i="1"/>
  <c r="AI36" i="1"/>
  <c r="AG1631" i="1"/>
  <c r="AS1594" i="1"/>
  <c r="AF1594" i="1"/>
  <c r="AG1589" i="1"/>
  <c r="BF1559" i="1"/>
  <c r="AH1559" i="1"/>
  <c r="BF1511" i="1"/>
  <c r="AH1511" i="1"/>
  <c r="AI1464" i="1"/>
  <c r="AI1416" i="1"/>
  <c r="BF1402" i="1"/>
  <c r="AH1402" i="1" s="1"/>
  <c r="AI113" i="1"/>
  <c r="AG104" i="1"/>
  <c r="AI1326" i="1"/>
  <c r="BF1326" i="1"/>
  <c r="AH1326" i="1"/>
  <c r="AI1330" i="1"/>
  <c r="BF1330" i="1"/>
  <c r="AH1330" i="1"/>
  <c r="AS1351" i="1"/>
  <c r="AF1351" i="1" s="1"/>
  <c r="AG1351" i="1"/>
  <c r="AS1353" i="1"/>
  <c r="AF1353" i="1"/>
  <c r="AG1353" i="1"/>
  <c r="AS1355" i="1"/>
  <c r="AF1355" i="1" s="1"/>
  <c r="AG1355" i="1"/>
  <c r="AS1357" i="1"/>
  <c r="AF1357" i="1" s="1"/>
  <c r="AG1357" i="1"/>
  <c r="AS1359" i="1"/>
  <c r="AF1359" i="1" s="1"/>
  <c r="AG1359" i="1"/>
  <c r="AS1361" i="1"/>
  <c r="AF1361" i="1"/>
  <c r="AG1361" i="1"/>
  <c r="BF1365" i="1"/>
  <c r="AH1365" i="1" s="1"/>
  <c r="AI1365" i="1"/>
  <c r="AS1366" i="1"/>
  <c r="AF1366" i="1" s="1"/>
  <c r="AG1366" i="1"/>
  <c r="AI1366" i="1"/>
  <c r="AG1371" i="1"/>
  <c r="AS1371" i="1"/>
  <c r="AF1371" i="1" s="1"/>
  <c r="AG1406" i="1"/>
  <c r="AS1406" i="1"/>
  <c r="AF1406" i="1"/>
  <c r="AG1409" i="1"/>
  <c r="AS1409" i="1"/>
  <c r="AF1409" i="1"/>
  <c r="AG1433" i="1"/>
  <c r="AS1433" i="1"/>
  <c r="AF1433" i="1" s="1"/>
  <c r="AG1435" i="1"/>
  <c r="AS1435" i="1"/>
  <c r="AF1435" i="1" s="1"/>
  <c r="BF1489" i="1"/>
  <c r="AH1489" i="1" s="1"/>
  <c r="AI1489" i="1"/>
  <c r="AI1491" i="1"/>
  <c r="BF1491" i="1"/>
  <c r="AH1491" i="1"/>
  <c r="BF1493" i="1"/>
  <c r="AH1493" i="1"/>
  <c r="AI1493" i="1"/>
  <c r="AI1510" i="1"/>
  <c r="BF1510" i="1"/>
  <c r="AH1510" i="1" s="1"/>
  <c r="AI1513" i="1"/>
  <c r="BF1513" i="1"/>
  <c r="AH1513" i="1"/>
  <c r="BF1538" i="1"/>
  <c r="AH1538" i="1"/>
  <c r="AI1538" i="1"/>
  <c r="BF1540" i="1"/>
  <c r="AH1540" i="1"/>
  <c r="AI1540" i="1"/>
  <c r="BF1542" i="1"/>
  <c r="AH1542" i="1"/>
  <c r="AI1542" i="1"/>
  <c r="BF1562" i="1"/>
  <c r="AH1562" i="1" s="1"/>
  <c r="AI1562" i="1"/>
  <c r="BF1583" i="1"/>
  <c r="AH1583" i="1"/>
  <c r="AI1583" i="1"/>
  <c r="BF1587" i="1"/>
  <c r="AH1587" i="1"/>
  <c r="AI1587" i="1"/>
  <c r="BF1589" i="1"/>
  <c r="AH1589" i="1"/>
  <c r="AI1589" i="1"/>
  <c r="BF1593" i="1"/>
  <c r="AH1593" i="1" s="1"/>
  <c r="AI1593" i="1"/>
  <c r="BF1595" i="1"/>
  <c r="AH1595" i="1"/>
  <c r="AI1595" i="1"/>
  <c r="AI1620" i="1"/>
  <c r="BF1620" i="1"/>
  <c r="AH1620" i="1" s="1"/>
  <c r="AI1623" i="1"/>
  <c r="AI1625" i="1"/>
  <c r="BF1626" i="1"/>
  <c r="AH1626" i="1"/>
  <c r="AI1626" i="1"/>
  <c r="AI1632" i="1"/>
  <c r="BF1632" i="1"/>
  <c r="AH1632" i="1"/>
  <c r="AI1635" i="1"/>
  <c r="BF1635" i="1"/>
  <c r="AH1635" i="1"/>
  <c r="BF468" i="1"/>
  <c r="AH468" i="1" s="1"/>
  <c r="AI468" i="1"/>
  <c r="BG468" i="1"/>
  <c r="AI1645" i="1"/>
  <c r="BF1645" i="1"/>
  <c r="AH1645" i="1"/>
  <c r="AW1479" i="1"/>
  <c r="AI1345" i="1"/>
  <c r="AG1336" i="1"/>
  <c r="AI512" i="1"/>
  <c r="BF278" i="1"/>
  <c r="AH278" i="1" s="1"/>
  <c r="AG1639" i="1"/>
  <c r="BF1623" i="1"/>
  <c r="AH1623" i="1" s="1"/>
  <c r="AS1596" i="1"/>
  <c r="AF1596" i="1" s="1"/>
  <c r="AI1470" i="1"/>
  <c r="AI1451" i="1"/>
  <c r="BF1414" i="1"/>
  <c r="AH1414" i="1" s="1"/>
  <c r="BF1327" i="1"/>
  <c r="AH1327" i="1"/>
  <c r="BF1036" i="1"/>
  <c r="AH1036" i="1"/>
  <c r="AI1036" i="1"/>
  <c r="BF702" i="1"/>
  <c r="AH702" i="1"/>
  <c r="AI702" i="1"/>
  <c r="AG660" i="1"/>
  <c r="AI604" i="1"/>
  <c r="BF587" i="1"/>
  <c r="AH587" i="1" s="1"/>
  <c r="AX587" i="1"/>
  <c r="AI587" i="1"/>
  <c r="BF583" i="1"/>
  <c r="AH583" i="1"/>
  <c r="AX583" i="1"/>
  <c r="AI583" i="1" s="1"/>
  <c r="AS470" i="1"/>
  <c r="AF470" i="1" s="1"/>
  <c r="AG470" i="1"/>
  <c r="AS462" i="1"/>
  <c r="AF462" i="1"/>
  <c r="AG462" i="1"/>
  <c r="AG460" i="1"/>
  <c r="AS460" i="1"/>
  <c r="AF460" i="1" s="1"/>
  <c r="AS453" i="1"/>
  <c r="AF453" i="1"/>
  <c r="AG453" i="1"/>
  <c r="AG361" i="1"/>
  <c r="AI316" i="1"/>
  <c r="AI314" i="1"/>
  <c r="AI1275" i="1"/>
  <c r="BF1275" i="1"/>
  <c r="AH1275" i="1"/>
  <c r="AT1336" i="1"/>
  <c r="AT1340" i="1"/>
  <c r="AT1347" i="1"/>
  <c r="AI1351" i="1"/>
  <c r="BF1351" i="1"/>
  <c r="AH1351" i="1" s="1"/>
  <c r="AI1353" i="1"/>
  <c r="BF1353" i="1"/>
  <c r="AH1353" i="1"/>
  <c r="AI1355" i="1"/>
  <c r="BF1355" i="1"/>
  <c r="AH1355" i="1"/>
  <c r="AI1357" i="1"/>
  <c r="BF1357" i="1"/>
  <c r="AH1357" i="1" s="1"/>
  <c r="AI1359" i="1"/>
  <c r="BF1359" i="1"/>
  <c r="AH1359" i="1" s="1"/>
  <c r="AI1361" i="1"/>
  <c r="BF1361" i="1"/>
  <c r="AH1361" i="1"/>
  <c r="AT1366" i="1"/>
  <c r="BG1366" i="1"/>
  <c r="BF1367" i="1"/>
  <c r="AH1367" i="1" s="1"/>
  <c r="AI1367" i="1"/>
  <c r="AS1372" i="1"/>
  <c r="AF1372" i="1"/>
  <c r="AG1372" i="1"/>
  <c r="AI1374" i="1"/>
  <c r="AI1401" i="1"/>
  <c r="BF1401" i="1"/>
  <c r="AH1401" i="1"/>
  <c r="AS1407" i="1"/>
  <c r="AF1407" i="1"/>
  <c r="AG1407" i="1"/>
  <c r="BF1415" i="1"/>
  <c r="AH1415" i="1"/>
  <c r="AI1415" i="1"/>
  <c r="BF1419" i="1"/>
  <c r="AH1419" i="1"/>
  <c r="AI1419" i="1"/>
  <c r="BF1433" i="1"/>
  <c r="AH1433" i="1" s="1"/>
  <c r="AI1433" i="1"/>
  <c r="BF1435" i="1"/>
  <c r="AH1435" i="1"/>
  <c r="AI1435" i="1"/>
  <c r="AI1465" i="1"/>
  <c r="BF1465" i="1"/>
  <c r="AH1465" i="1" s="1"/>
  <c r="AG1466" i="1"/>
  <c r="AS1466" i="1"/>
  <c r="AF1466" i="1" s="1"/>
  <c r="AI1467" i="1"/>
  <c r="BF1467" i="1"/>
  <c r="AH1467" i="1"/>
  <c r="AI1471" i="1"/>
  <c r="BF1471" i="1"/>
  <c r="AH1471" i="1"/>
  <c r="BF1496" i="1"/>
  <c r="AH1496" i="1"/>
  <c r="AI1496" i="1"/>
  <c r="AI1498" i="1"/>
  <c r="BF1498" i="1"/>
  <c r="AH1498" i="1" s="1"/>
  <c r="BF1500" i="1"/>
  <c r="AH1500" i="1" s="1"/>
  <c r="AI1500" i="1"/>
  <c r="AI1502" i="1"/>
  <c r="BF1502" i="1"/>
  <c r="AH1502" i="1" s="1"/>
  <c r="BF1504" i="1"/>
  <c r="AH1504" i="1"/>
  <c r="AI1504" i="1"/>
  <c r="AI1506" i="1"/>
  <c r="BF1506" i="1"/>
  <c r="AH1506" i="1" s="1"/>
  <c r="BF1508" i="1"/>
  <c r="AH1508" i="1" s="1"/>
  <c r="AI1508" i="1"/>
  <c r="AS1548" i="1"/>
  <c r="AF1548" i="1"/>
  <c r="AG1548" i="1"/>
  <c r="BF1556" i="1"/>
  <c r="AH1556" i="1"/>
  <c r="AI1556" i="1"/>
  <c r="BF1560" i="1"/>
  <c r="AH1560" i="1"/>
  <c r="AI1560" i="1"/>
  <c r="BF1621" i="1"/>
  <c r="AH1621" i="1" s="1"/>
  <c r="AI1621" i="1"/>
  <c r="AS1623" i="1"/>
  <c r="AF1623" i="1"/>
  <c r="AG1623" i="1"/>
  <c r="AT1624" i="1"/>
  <c r="BG1625" i="1"/>
  <c r="BG1626" i="1"/>
  <c r="AG1632" i="1"/>
  <c r="BG1635" i="1"/>
  <c r="BF1636" i="1"/>
  <c r="AH1636" i="1"/>
  <c r="AI1636" i="1"/>
  <c r="BF467" i="1"/>
  <c r="AH467" i="1"/>
  <c r="AI467" i="1"/>
  <c r="BG467" i="1"/>
  <c r="AI1644" i="1"/>
  <c r="BF1644" i="1"/>
  <c r="AH1644" i="1" s="1"/>
  <c r="AW1480" i="1"/>
  <c r="BF1480" i="1" s="1"/>
  <c r="AH1480" i="1" s="1"/>
  <c r="AI1344" i="1"/>
  <c r="AS1337" i="1"/>
  <c r="AF1337" i="1"/>
  <c r="AG512" i="1"/>
  <c r="AS1630" i="1"/>
  <c r="AF1630" i="1"/>
  <c r="AI1557" i="1"/>
  <c r="AS1539" i="1"/>
  <c r="AF1539" i="1" s="1"/>
  <c r="AI1485" i="1"/>
  <c r="BF1468" i="1"/>
  <c r="AH1468" i="1"/>
  <c r="BF1418" i="1"/>
  <c r="AH1418" i="1" s="1"/>
  <c r="AI1404" i="1"/>
  <c r="AI1400" i="1"/>
  <c r="BF1374" i="1"/>
  <c r="AH1374" i="1"/>
  <c r="AI1371" i="1"/>
  <c r="BF1331" i="1"/>
  <c r="AH1331" i="1" s="1"/>
  <c r="BF539" i="1"/>
  <c r="AH539" i="1" s="1"/>
  <c r="AI1607" i="1"/>
  <c r="AI1046" i="1"/>
  <c r="BF1046" i="1"/>
  <c r="AH1046" i="1"/>
  <c r="BF1044" i="1"/>
  <c r="AH1044" i="1"/>
  <c r="AI1044" i="1"/>
  <c r="BF1042" i="1"/>
  <c r="AH1042" i="1"/>
  <c r="AI1042" i="1"/>
  <c r="BF1040" i="1"/>
  <c r="AH1040" i="1" s="1"/>
  <c r="AI1040" i="1"/>
  <c r="AI1038" i="1"/>
  <c r="BF1038" i="1"/>
  <c r="AH1038" i="1"/>
  <c r="BF795" i="1"/>
  <c r="AH795" i="1"/>
  <c r="AI795" i="1"/>
  <c r="AI793" i="1"/>
  <c r="BF793" i="1"/>
  <c r="AH793" i="1" s="1"/>
  <c r="AI791" i="1"/>
  <c r="BF791" i="1"/>
  <c r="AH791" i="1"/>
  <c r="BF784" i="1"/>
  <c r="AH784" i="1" s="1"/>
  <c r="AI784" i="1"/>
  <c r="BF782" i="1"/>
  <c r="AH782" i="1"/>
  <c r="AI782" i="1"/>
  <c r="AW783" i="1"/>
  <c r="AX586" i="1"/>
  <c r="AI586" i="1" s="1"/>
  <c r="BF586" i="1"/>
  <c r="AH586" i="1" s="1"/>
  <c r="AX582" i="1"/>
  <c r="AI582" i="1"/>
  <c r="BF582" i="1"/>
  <c r="AH582" i="1"/>
  <c r="BF453" i="1"/>
  <c r="AH453" i="1"/>
  <c r="AI453" i="1"/>
  <c r="AI360" i="1"/>
  <c r="BF360" i="1"/>
  <c r="AH360" i="1" s="1"/>
  <c r="BF1324" i="1"/>
  <c r="AH1324" i="1" s="1"/>
  <c r="AI1324" i="1"/>
  <c r="BF1328" i="1"/>
  <c r="AH1328" i="1" s="1"/>
  <c r="AI1328" i="1"/>
  <c r="BF1332" i="1"/>
  <c r="AH1332" i="1"/>
  <c r="AI1332" i="1"/>
  <c r="AT1337" i="1"/>
  <c r="AT1338" i="1"/>
  <c r="AG1350" i="1"/>
  <c r="AS1350" i="1"/>
  <c r="AF1350" i="1" s="1"/>
  <c r="AG1352" i="1"/>
  <c r="AS1352" i="1"/>
  <c r="AF1352" i="1" s="1"/>
  <c r="AG1354" i="1"/>
  <c r="AS1354" i="1"/>
  <c r="AF1354" i="1"/>
  <c r="AG1356" i="1"/>
  <c r="AS1356" i="1"/>
  <c r="AF1356" i="1"/>
  <c r="AG1358" i="1"/>
  <c r="AS1358" i="1"/>
  <c r="AF1358" i="1" s="1"/>
  <c r="AG1360" i="1"/>
  <c r="AS1360" i="1"/>
  <c r="AF1360" i="1" s="1"/>
  <c r="BF1362" i="1"/>
  <c r="AH1362" i="1" s="1"/>
  <c r="AI1362" i="1"/>
  <c r="AT1371" i="1"/>
  <c r="AG1373" i="1"/>
  <c r="AS1373" i="1"/>
  <c r="AF1373" i="1" s="1"/>
  <c r="AS1397" i="1"/>
  <c r="AF1397" i="1" s="1"/>
  <c r="AG1397" i="1"/>
  <c r="BF1403" i="1"/>
  <c r="AH1403" i="1" s="1"/>
  <c r="AI1403" i="1"/>
  <c r="AG1404" i="1"/>
  <c r="AS1404" i="1"/>
  <c r="AF1404" i="1" s="1"/>
  <c r="AS1408" i="1"/>
  <c r="AF1408" i="1" s="1"/>
  <c r="AG1408" i="1"/>
  <c r="AS1410" i="1"/>
  <c r="AF1410" i="1" s="1"/>
  <c r="AG1410" i="1"/>
  <c r="AS1432" i="1"/>
  <c r="AF1432" i="1" s="1"/>
  <c r="AG1432" i="1"/>
  <c r="AS1434" i="1"/>
  <c r="AF1434" i="1"/>
  <c r="AG1434" i="1"/>
  <c r="AI1450" i="1"/>
  <c r="BF1450" i="1"/>
  <c r="AH1450" i="1" s="1"/>
  <c r="BF1484" i="1"/>
  <c r="AH1484" i="1" s="1"/>
  <c r="AI1484" i="1"/>
  <c r="BF1488" i="1"/>
  <c r="AH1488" i="1" s="1"/>
  <c r="AI1488" i="1"/>
  <c r="AI1490" i="1"/>
  <c r="BF1490" i="1"/>
  <c r="AH1490" i="1" s="1"/>
  <c r="BF1492" i="1"/>
  <c r="AH1492" i="1"/>
  <c r="AI1492" i="1"/>
  <c r="AI1494" i="1"/>
  <c r="BF1494" i="1"/>
  <c r="AH1494" i="1"/>
  <c r="BG1513" i="1"/>
  <c r="AI1539" i="1"/>
  <c r="BF1539" i="1"/>
  <c r="AH1539" i="1"/>
  <c r="AI1541" i="1"/>
  <c r="BF1541" i="1"/>
  <c r="AH1541" i="1"/>
  <c r="BF1548" i="1"/>
  <c r="AH1548" i="1" s="1"/>
  <c r="AI1548" i="1"/>
  <c r="AI1561" i="1"/>
  <c r="BF1561" i="1"/>
  <c r="AH1561" i="1" s="1"/>
  <c r="BG1583" i="1"/>
  <c r="AI1586" i="1"/>
  <c r="BF1586" i="1"/>
  <c r="AH1586" i="1"/>
  <c r="BG1587" i="1"/>
  <c r="AI1588" i="1"/>
  <c r="BF1588" i="1"/>
  <c r="AH1588" i="1" s="1"/>
  <c r="BG1589" i="1"/>
  <c r="AI1590" i="1"/>
  <c r="BF1590" i="1"/>
  <c r="AH1590" i="1"/>
  <c r="AI1594" i="1"/>
  <c r="BF1594" i="1"/>
  <c r="AH1594" i="1" s="1"/>
  <c r="AI1596" i="1"/>
  <c r="BF1596" i="1"/>
  <c r="AH1596" i="1"/>
  <c r="AI1608" i="1"/>
  <c r="BF1608" i="1"/>
  <c r="AH1608" i="1"/>
  <c r="BF1622" i="1"/>
  <c r="AH1622" i="1"/>
  <c r="AI1622" i="1"/>
  <c r="BG1623" i="1"/>
  <c r="BF1629" i="1"/>
  <c r="AH1629" i="1" s="1"/>
  <c r="AI1629" i="1"/>
  <c r="AI1630" i="1"/>
  <c r="BF1630" i="1"/>
  <c r="AH1630" i="1"/>
  <c r="BF1631" i="1"/>
  <c r="AH1631" i="1"/>
  <c r="AI1631" i="1"/>
  <c r="BG1632" i="1"/>
  <c r="AT1639" i="1"/>
  <c r="BF466" i="1"/>
  <c r="AH466" i="1"/>
  <c r="AI466" i="1"/>
  <c r="BG466" i="1"/>
  <c r="AW1477" i="1"/>
  <c r="BF1477" i="1" s="1"/>
  <c r="AS1347" i="1"/>
  <c r="AF1347" i="1"/>
  <c r="AG1340" i="1"/>
  <c r="AS1632" i="1"/>
  <c r="AF1632" i="1" s="1"/>
  <c r="AG1587" i="1"/>
  <c r="AI1585" i="1"/>
  <c r="BF1550" i="1"/>
  <c r="AH1550" i="1"/>
  <c r="AS1541" i="1"/>
  <c r="AF1541" i="1" s="1"/>
  <c r="BF1483" i="1"/>
  <c r="AH1483" i="1"/>
  <c r="AI1409" i="1"/>
  <c r="BF1397" i="1"/>
  <c r="AH1397" i="1"/>
  <c r="AI1373" i="1"/>
  <c r="AI42" i="1"/>
  <c r="AI567" i="1"/>
  <c r="AI789" i="1"/>
  <c r="BF1479" i="1"/>
  <c r="AH1479" i="1"/>
  <c r="AI1479" i="1"/>
  <c r="AF467" i="1"/>
  <c r="AG467" i="1"/>
  <c r="AG465" i="1"/>
  <c r="AS465" i="1"/>
  <c r="AF465" i="1" s="1"/>
  <c r="AS468" i="1"/>
  <c r="AF468" i="1"/>
  <c r="AG468" i="1"/>
  <c r="F358" i="16"/>
  <c r="F360" i="16"/>
  <c r="F361" i="16"/>
  <c r="AI783" i="1"/>
  <c r="BF783" i="1"/>
  <c r="AH783" i="1"/>
  <c r="AI1480" i="1"/>
  <c r="BF281" i="1"/>
  <c r="AH281" i="1"/>
  <c r="AI281" i="1"/>
  <c r="AG466" i="1"/>
  <c r="AS466" i="1"/>
  <c r="AF466" i="1" s="1"/>
  <c r="AI280" i="1"/>
  <c r="BF280" i="1"/>
  <c r="AH280" i="1"/>
  <c r="AI1477" i="1"/>
  <c r="AH1477" i="1"/>
  <c r="L4" i="13"/>
  <c r="L296" i="13"/>
  <c r="L294" i="13"/>
  <c r="L316" i="13"/>
  <c r="L72" i="13"/>
  <c r="P208" i="13"/>
  <c r="L286" i="13"/>
  <c r="L178" i="13"/>
  <c r="L17" i="13"/>
  <c r="P174" i="13"/>
  <c r="L23" i="13"/>
  <c r="L57" i="13"/>
  <c r="L9" i="13"/>
  <c r="L106" i="13"/>
  <c r="L336" i="13"/>
  <c r="P40" i="13"/>
  <c r="L135" i="13"/>
  <c r="P64" i="13"/>
  <c r="P336" i="13"/>
  <c r="L173" i="13"/>
  <c r="P34" i="13"/>
  <c r="L338" i="13"/>
  <c r="L183" i="13"/>
  <c r="L292" i="13"/>
  <c r="L137" i="13"/>
  <c r="P33" i="13"/>
  <c r="P241" i="13"/>
  <c r="P190" i="13"/>
  <c r="P297" i="13"/>
  <c r="P6" i="13"/>
  <c r="P139" i="13"/>
  <c r="L312" i="13"/>
  <c r="L274" i="13"/>
  <c r="P184" i="13"/>
  <c r="P330" i="13"/>
  <c r="L36" i="13"/>
  <c r="P29" i="13"/>
  <c r="L246" i="13"/>
  <c r="P186" i="13"/>
  <c r="P18" i="13"/>
  <c r="L65" i="13"/>
  <c r="L270" i="13"/>
  <c r="L46" i="13"/>
  <c r="L113" i="13"/>
  <c r="L259" i="13"/>
  <c r="P176" i="13"/>
  <c r="L61" i="13"/>
  <c r="P209" i="13"/>
  <c r="P24" i="13"/>
  <c r="L245" i="13"/>
  <c r="P117" i="13"/>
  <c r="P41" i="13"/>
  <c r="L326" i="13"/>
  <c r="P188" i="13"/>
  <c r="L71" i="13"/>
  <c r="P344" i="13"/>
  <c r="L167" i="13"/>
  <c r="P131" i="13"/>
  <c r="P322" i="13"/>
  <c r="L306" i="13"/>
  <c r="P342" i="13"/>
  <c r="L8" i="13"/>
  <c r="P239" i="13"/>
  <c r="P306" i="13"/>
  <c r="P282" i="13"/>
  <c r="P128" i="13"/>
  <c r="P111" i="13"/>
  <c r="L95" i="13"/>
  <c r="P320" i="13"/>
  <c r="P247" i="13"/>
  <c r="P172" i="13"/>
  <c r="P224" i="13"/>
  <c r="P57" i="13"/>
  <c r="P154" i="13"/>
  <c r="L194" i="13"/>
  <c r="L200" i="13"/>
  <c r="P289" i="13"/>
  <c r="P285" i="13"/>
  <c r="P13" i="13"/>
  <c r="L16" i="13"/>
  <c r="L221" i="13"/>
  <c r="P319" i="13"/>
  <c r="P164" i="13"/>
  <c r="P16" i="13"/>
  <c r="L309" i="13"/>
  <c r="P204" i="13"/>
  <c r="L212" i="13"/>
  <c r="P161" i="13"/>
  <c r="L151" i="13"/>
  <c r="P354" i="13"/>
  <c r="L220" i="13"/>
  <c r="P261" i="13"/>
  <c r="L329" i="13"/>
  <c r="L242" i="13"/>
  <c r="L155" i="13"/>
  <c r="P70" i="13"/>
  <c r="L129" i="13"/>
  <c r="P122" i="13"/>
  <c r="P312" i="13"/>
  <c r="P323" i="13"/>
  <c r="P133" i="13"/>
  <c r="L280" i="13"/>
  <c r="P140" i="13"/>
  <c r="P147" i="13"/>
  <c r="P218" i="13"/>
  <c r="L125" i="13"/>
  <c r="P203" i="13"/>
  <c r="P30" i="13"/>
  <c r="P105" i="13"/>
  <c r="P338" i="13"/>
  <c r="L75" i="13"/>
  <c r="L267" i="13"/>
  <c r="L303" i="13"/>
  <c r="L203" i="13"/>
  <c r="P114" i="13"/>
  <c r="L97" i="13"/>
  <c r="P58" i="13"/>
  <c r="P299" i="13"/>
  <c r="P302" i="13"/>
  <c r="P246" i="13"/>
  <c r="L276" i="13"/>
  <c r="P255" i="13"/>
  <c r="P95" i="13"/>
  <c r="L307" i="13"/>
  <c r="L64" i="13"/>
  <c r="L14" i="13"/>
  <c r="L272" i="13"/>
  <c r="L219" i="13"/>
  <c r="L288" i="13"/>
  <c r="P72" i="13"/>
  <c r="L163" i="13"/>
  <c r="L19" i="13"/>
  <c r="L43" i="13"/>
  <c r="L168" i="13"/>
  <c r="L340" i="13"/>
  <c r="P258" i="13"/>
  <c r="L133" i="13"/>
  <c r="L293" i="13"/>
  <c r="P221" i="13"/>
  <c r="P89" i="13"/>
  <c r="P244" i="13"/>
  <c r="L337" i="13"/>
  <c r="P110" i="13"/>
  <c r="L150" i="13"/>
  <c r="L127" i="13"/>
  <c r="L31" i="13"/>
  <c r="P38" i="13"/>
  <c r="P99" i="13"/>
  <c r="P339" i="13"/>
  <c r="P144" i="13"/>
  <c r="P205" i="13"/>
  <c r="L181" i="13"/>
  <c r="P116" i="13"/>
  <c r="L74" i="13"/>
  <c r="L184" i="13"/>
  <c r="L269" i="13"/>
  <c r="P260" i="13"/>
  <c r="L49" i="13"/>
  <c r="P334" i="13"/>
  <c r="P269" i="13"/>
  <c r="L248" i="13"/>
  <c r="P314" i="13"/>
  <c r="P243" i="13"/>
  <c r="P32" i="13"/>
  <c r="L143" i="13"/>
  <c r="L325" i="13"/>
  <c r="P163" i="13"/>
  <c r="L38" i="13"/>
  <c r="L58" i="13"/>
  <c r="P149" i="13"/>
  <c r="L161" i="13"/>
  <c r="P4" i="13"/>
  <c r="L90" i="13"/>
  <c r="L121" i="13"/>
  <c r="P328" i="13"/>
  <c r="P158" i="13"/>
  <c r="P283" i="13"/>
  <c r="L275" i="13"/>
  <c r="P317" i="13"/>
  <c r="P109" i="13"/>
  <c r="P31" i="13"/>
  <c r="P71" i="13"/>
  <c r="P47" i="13"/>
  <c r="L320" i="13"/>
  <c r="L80" i="13"/>
  <c r="L333" i="13"/>
  <c r="L192" i="13"/>
  <c r="P355" i="13"/>
  <c r="P197" i="13"/>
  <c r="P143" i="13"/>
  <c r="L331" i="13"/>
  <c r="P23" i="13"/>
  <c r="P343" i="13"/>
  <c r="P295" i="13"/>
  <c r="P112" i="13"/>
  <c r="L300" i="13"/>
  <c r="P350" i="13"/>
  <c r="P51" i="13"/>
  <c r="L54" i="13"/>
  <c r="L243" i="13"/>
  <c r="Z123" i="13"/>
  <c r="AE28" i="13"/>
  <c r="Y189" i="13"/>
  <c r="X346" i="13"/>
  <c r="AC58" i="13"/>
  <c r="AD152" i="13"/>
  <c r="X208" i="13"/>
  <c r="Z219" i="13"/>
  <c r="AC193" i="13"/>
  <c r="AC118" i="13"/>
  <c r="X180" i="13"/>
  <c r="AD86" i="13"/>
  <c r="AD107" i="13"/>
  <c r="P254" i="13"/>
  <c r="P162" i="13"/>
  <c r="L256" i="13"/>
  <c r="P157" i="13"/>
  <c r="P191" i="13"/>
  <c r="L130" i="13"/>
  <c r="L27" i="13"/>
  <c r="L287" i="13"/>
  <c r="P27" i="13"/>
  <c r="P257" i="13"/>
  <c r="P216" i="13"/>
  <c r="L322" i="13"/>
  <c r="L249" i="13"/>
  <c r="P234" i="13"/>
  <c r="P129" i="13"/>
  <c r="P310" i="13"/>
  <c r="L289" i="13"/>
  <c r="P42" i="13"/>
  <c r="P14" i="13"/>
  <c r="P135" i="13"/>
  <c r="L26" i="13"/>
  <c r="L149" i="13"/>
  <c r="P195" i="13"/>
  <c r="L356" i="13"/>
  <c r="P294" i="13"/>
  <c r="P75" i="13"/>
  <c r="L172" i="13"/>
  <c r="P44" i="13"/>
  <c r="P76" i="13"/>
  <c r="L109" i="13"/>
  <c r="P10" i="13"/>
  <c r="L344" i="13"/>
  <c r="L84" i="13"/>
  <c r="P56" i="13"/>
  <c r="P59" i="13"/>
  <c r="P225" i="13"/>
  <c r="L53" i="13"/>
  <c r="L162" i="13"/>
  <c r="L136" i="13"/>
  <c r="P92" i="13"/>
  <c r="P120" i="13"/>
  <c r="P230" i="13"/>
  <c r="L238" i="13"/>
  <c r="P12" i="13"/>
  <c r="P272" i="13"/>
  <c r="P170" i="13"/>
  <c r="L41" i="13"/>
  <c r="P101" i="13"/>
  <c r="P279" i="13"/>
  <c r="L180" i="13"/>
  <c r="P228" i="13"/>
  <c r="P169" i="13"/>
  <c r="L92" i="13"/>
  <c r="P291" i="13"/>
  <c r="L263" i="13"/>
  <c r="L234" i="13"/>
  <c r="L239" i="13"/>
  <c r="P321" i="13"/>
  <c r="L48" i="13"/>
  <c r="L60" i="13"/>
  <c r="P298" i="13"/>
  <c r="L244" i="13"/>
  <c r="L99" i="13"/>
  <c r="L110" i="13"/>
  <c r="P43" i="13"/>
  <c r="P62" i="13"/>
  <c r="P9" i="13"/>
  <c r="P83" i="13"/>
  <c r="L254" i="13"/>
  <c r="L177" i="13"/>
  <c r="L284" i="13"/>
  <c r="L179" i="13"/>
  <c r="P167" i="13"/>
  <c r="P142" i="13"/>
  <c r="L29" i="13"/>
  <c r="P200" i="13"/>
  <c r="L11" i="13"/>
  <c r="L258" i="13"/>
  <c r="P148" i="13"/>
  <c r="L166" i="13"/>
  <c r="L156" i="13"/>
  <c r="P265" i="13"/>
  <c r="P155" i="13"/>
  <c r="P180" i="13"/>
  <c r="P325" i="13"/>
  <c r="P199" i="13"/>
  <c r="P277" i="13"/>
  <c r="P352" i="13"/>
  <c r="L209" i="13"/>
  <c r="P132" i="13"/>
  <c r="L305" i="13"/>
  <c r="P217" i="13"/>
  <c r="P45" i="13"/>
  <c r="P177" i="13"/>
  <c r="P108" i="13"/>
  <c r="L142" i="13"/>
  <c r="L199" i="13"/>
  <c r="L271" i="13"/>
  <c r="L56" i="13"/>
  <c r="P118" i="13"/>
  <c r="P253" i="13"/>
  <c r="L87" i="13"/>
  <c r="L265" i="13"/>
  <c r="P86" i="13"/>
  <c r="L108" i="13"/>
  <c r="L213" i="13"/>
  <c r="L186" i="13"/>
  <c r="L28" i="13"/>
  <c r="L223" i="13"/>
  <c r="L228" i="13"/>
  <c r="P351" i="13"/>
  <c r="L85" i="13"/>
  <c r="P219" i="13"/>
  <c r="P250" i="13"/>
  <c r="L208" i="13"/>
  <c r="L266" i="13"/>
  <c r="L153" i="13"/>
  <c r="P85" i="13"/>
  <c r="P315" i="13"/>
  <c r="P21" i="13"/>
  <c r="L111" i="13"/>
  <c r="P275" i="13"/>
  <c r="P181" i="13"/>
  <c r="L299" i="13"/>
  <c r="L204" i="13"/>
  <c r="L82" i="13"/>
  <c r="P349" i="13"/>
  <c r="P80" i="13"/>
  <c r="L264" i="13"/>
  <c r="L335" i="13"/>
  <c r="L323" i="13"/>
  <c r="L251" i="13"/>
  <c r="P115" i="13"/>
  <c r="P318" i="13"/>
  <c r="L67" i="13"/>
  <c r="P145" i="13"/>
  <c r="P168" i="13"/>
  <c r="P242" i="13"/>
  <c r="L315" i="13"/>
  <c r="L107" i="13"/>
  <c r="P113" i="13"/>
  <c r="L118" i="13"/>
  <c r="L352" i="13"/>
  <c r="L98" i="13"/>
  <c r="L134" i="13"/>
  <c r="L350" i="13"/>
  <c r="L24" i="13"/>
  <c r="P231" i="13"/>
  <c r="P273" i="13"/>
  <c r="L176" i="13"/>
  <c r="L355" i="13"/>
  <c r="L89" i="13"/>
  <c r="P196" i="13"/>
  <c r="L232" i="13"/>
  <c r="P301" i="13"/>
  <c r="P346" i="13"/>
  <c r="P74" i="13"/>
  <c r="P193" i="13"/>
  <c r="P88" i="13"/>
  <c r="L328" i="13"/>
  <c r="P11" i="13"/>
  <c r="P61" i="13"/>
  <c r="P249" i="13"/>
  <c r="L122" i="13"/>
  <c r="P123" i="13"/>
  <c r="L63" i="13"/>
  <c r="P141" i="13"/>
  <c r="P223" i="13"/>
  <c r="L120" i="13"/>
  <c r="L132" i="13"/>
  <c r="P207" i="13"/>
  <c r="L241" i="13"/>
  <c r="P286" i="13"/>
  <c r="L196" i="13"/>
  <c r="P276" i="13"/>
  <c r="L250" i="13"/>
  <c r="L253" i="13"/>
  <c r="P77" i="13"/>
  <c r="L235" i="13"/>
  <c r="P326" i="13"/>
  <c r="L224" i="13"/>
  <c r="P293" i="13"/>
  <c r="P87" i="13"/>
  <c r="L40" i="13"/>
  <c r="P348" i="13"/>
  <c r="L51" i="13"/>
  <c r="P256" i="13"/>
  <c r="P60" i="13"/>
  <c r="L327" i="13"/>
  <c r="L343" i="13"/>
  <c r="P214" i="13"/>
  <c r="L247" i="13"/>
  <c r="L207" i="13"/>
  <c r="P156" i="13"/>
  <c r="P252" i="13"/>
  <c r="L175" i="13"/>
  <c r="L302" i="13"/>
  <c r="L159" i="13"/>
  <c r="P94" i="13"/>
  <c r="P268" i="13"/>
  <c r="L170" i="13"/>
  <c r="L123" i="13"/>
  <c r="P124" i="13"/>
  <c r="L311" i="13"/>
  <c r="L18" i="13"/>
  <c r="P267" i="13"/>
  <c r="P26" i="13"/>
  <c r="L285" i="13"/>
  <c r="P347" i="13"/>
  <c r="L5" i="13"/>
  <c r="L145" i="13"/>
  <c r="L261" i="13"/>
  <c r="L308" i="13"/>
  <c r="P264" i="13"/>
  <c r="L50" i="13"/>
  <c r="P46" i="13"/>
  <c r="P236" i="13"/>
  <c r="L233" i="13"/>
  <c r="L190" i="13"/>
  <c r="L353" i="13"/>
  <c r="L346" i="13"/>
  <c r="L148" i="13"/>
  <c r="L30" i="13"/>
  <c r="L236" i="13"/>
  <c r="P8" i="13"/>
  <c r="P274" i="13"/>
  <c r="P198" i="13"/>
  <c r="P102" i="13"/>
  <c r="L240" i="13"/>
  <c r="L103" i="13"/>
  <c r="L262" i="13"/>
  <c r="L158" i="13"/>
  <c r="P211" i="13"/>
  <c r="P331" i="13"/>
  <c r="L138" i="13"/>
  <c r="P178" i="13"/>
  <c r="L101" i="13"/>
  <c r="P182" i="13"/>
  <c r="P327" i="13"/>
  <c r="L169" i="13"/>
  <c r="P7" i="13"/>
  <c r="P280" i="13"/>
  <c r="P213" i="13"/>
  <c r="L317" i="13"/>
  <c r="L59" i="13"/>
  <c r="P166" i="13"/>
  <c r="P107" i="13"/>
  <c r="L93" i="13"/>
  <c r="L295" i="13"/>
  <c r="L10" i="13"/>
  <c r="P187" i="13"/>
  <c r="P35" i="13"/>
  <c r="L140" i="13"/>
  <c r="L330" i="13"/>
  <c r="L291" i="13"/>
  <c r="L281" i="13"/>
  <c r="L278" i="13"/>
  <c r="P233" i="13"/>
  <c r="P309" i="13"/>
  <c r="L215" i="13"/>
  <c r="P185" i="13"/>
  <c r="P212" i="13"/>
  <c r="L55" i="13"/>
  <c r="P300" i="13"/>
  <c r="P311" i="13"/>
  <c r="P220" i="13"/>
  <c r="P126" i="13"/>
  <c r="P292" i="13"/>
  <c r="L257" i="13"/>
  <c r="P81" i="13"/>
  <c r="P100" i="13"/>
  <c r="P335" i="13"/>
  <c r="P19" i="13"/>
  <c r="L32" i="13"/>
  <c r="P93" i="13"/>
  <c r="P121" i="13"/>
  <c r="L222" i="13"/>
  <c r="L165" i="13"/>
  <c r="P165" i="13"/>
  <c r="P150" i="13"/>
  <c r="L131" i="13"/>
  <c r="P39" i="13"/>
  <c r="P134" i="13"/>
  <c r="L73" i="13"/>
  <c r="L216" i="13"/>
  <c r="L105" i="13"/>
  <c r="P175" i="13"/>
  <c r="L91" i="13"/>
  <c r="P251" i="13"/>
  <c r="P90" i="13"/>
  <c r="L117" i="13"/>
  <c r="P278" i="13"/>
  <c r="Y210" i="13"/>
  <c r="X227" i="13"/>
  <c r="Z113" i="13"/>
  <c r="AC217" i="13"/>
  <c r="AE90" i="13"/>
  <c r="Z193" i="13"/>
  <c r="AC196" i="13"/>
  <c r="X118" i="13"/>
  <c r="X211" i="13"/>
  <c r="AC218" i="13"/>
  <c r="Y98" i="13"/>
  <c r="Y261" i="13"/>
  <c r="Y101" i="13"/>
  <c r="Y198" i="13"/>
  <c r="X108" i="13"/>
  <c r="L144" i="13"/>
  <c r="L342" i="13"/>
  <c r="L347" i="13"/>
  <c r="L70" i="13"/>
  <c r="P287" i="13"/>
  <c r="P179" i="13"/>
  <c r="L34" i="13"/>
  <c r="P324" i="13"/>
  <c r="L100" i="13"/>
  <c r="L77" i="13"/>
  <c r="P137" i="13"/>
  <c r="P53" i="13"/>
  <c r="P127" i="13"/>
  <c r="L206" i="13"/>
  <c r="P73" i="13"/>
  <c r="P54" i="13"/>
  <c r="P345" i="13"/>
  <c r="P50" i="13"/>
  <c r="L114" i="13"/>
  <c r="P281" i="13"/>
  <c r="P332" i="13"/>
  <c r="P49" i="13"/>
  <c r="P259" i="13"/>
  <c r="P69" i="13"/>
  <c r="P125" i="13"/>
  <c r="P353" i="13"/>
  <c r="L35" i="13"/>
  <c r="P183" i="13"/>
  <c r="L334" i="13"/>
  <c r="L12" i="13"/>
  <c r="L354" i="13"/>
  <c r="L198" i="13"/>
  <c r="P307" i="13"/>
  <c r="P104" i="13"/>
  <c r="P67" i="13"/>
  <c r="P66" i="13"/>
  <c r="P229" i="13"/>
  <c r="L349" i="13"/>
  <c r="P194" i="13"/>
  <c r="L273" i="13"/>
  <c r="P153" i="13"/>
  <c r="L321" i="13"/>
  <c r="L304" i="13"/>
  <c r="P202" i="13"/>
  <c r="P215" i="13"/>
  <c r="P227" i="13"/>
  <c r="L283" i="13"/>
  <c r="L314" i="13"/>
  <c r="P52" i="13"/>
  <c r="P138" i="13"/>
  <c r="P333" i="13"/>
  <c r="P78" i="13"/>
  <c r="L7" i="13"/>
  <c r="P357" i="13"/>
  <c r="L252" i="13"/>
  <c r="L189" i="13"/>
  <c r="P192" i="13"/>
  <c r="P37" i="13"/>
  <c r="L351" i="13"/>
  <c r="L52" i="13"/>
  <c r="L341" i="13"/>
  <c r="P22" i="13"/>
  <c r="P290" i="13"/>
  <c r="P5" i="13"/>
  <c r="L112" i="13"/>
  <c r="P240" i="13"/>
  <c r="L164" i="13"/>
  <c r="P263" i="13"/>
  <c r="P98" i="13"/>
  <c r="L37" i="13"/>
  <c r="P316" i="13"/>
  <c r="L62" i="13"/>
  <c r="P296" i="13"/>
  <c r="L160" i="13"/>
  <c r="L188" i="13"/>
  <c r="L147" i="13"/>
  <c r="P340" i="13"/>
  <c r="L255" i="13"/>
  <c r="P303" i="13"/>
  <c r="L76" i="13"/>
  <c r="P17" i="13"/>
  <c r="L79" i="13"/>
  <c r="P329" i="13"/>
  <c r="L260" i="13"/>
  <c r="L268" i="13"/>
  <c r="P270" i="13"/>
  <c r="L13" i="13"/>
  <c r="L318" i="13"/>
  <c r="L195" i="13"/>
  <c r="L152" i="13"/>
  <c r="P48" i="13"/>
  <c r="L146" i="13"/>
  <c r="L182" i="13"/>
  <c r="L193" i="13"/>
  <c r="P97" i="13"/>
  <c r="P103" i="13"/>
  <c r="P65" i="13"/>
  <c r="L237" i="13"/>
  <c r="L94" i="13"/>
  <c r="L282" i="13"/>
  <c r="L157" i="13"/>
  <c r="L217" i="13"/>
  <c r="L319" i="13"/>
  <c r="L139" i="13"/>
  <c r="P119" i="13"/>
  <c r="L42" i="13"/>
  <c r="L357" i="13"/>
  <c r="L115" i="13"/>
  <c r="P262" i="13"/>
  <c r="P106" i="13"/>
  <c r="L154" i="13"/>
  <c r="P36" i="13"/>
  <c r="L116" i="13"/>
  <c r="P235" i="13"/>
  <c r="L141" i="13"/>
  <c r="L39" i="13"/>
  <c r="P284" i="13"/>
  <c r="L6" i="13"/>
  <c r="P55" i="13"/>
  <c r="L201" i="13"/>
  <c r="L78" i="13"/>
  <c r="L205" i="13"/>
  <c r="L33" i="13"/>
  <c r="L69" i="13"/>
  <c r="P79" i="13"/>
  <c r="P173" i="13"/>
  <c r="P248" i="13"/>
  <c r="P206" i="13"/>
  <c r="P146" i="13"/>
  <c r="P15" i="13"/>
  <c r="L128" i="13"/>
  <c r="L214" i="13"/>
  <c r="L310" i="13"/>
  <c r="L218" i="13"/>
  <c r="P201" i="13"/>
  <c r="L22" i="13"/>
  <c r="L339" i="13"/>
  <c r="P238" i="13"/>
  <c r="L68" i="13"/>
  <c r="L313" i="13"/>
  <c r="P28" i="13"/>
  <c r="L229" i="13"/>
  <c r="L297" i="13"/>
  <c r="P82" i="13"/>
  <c r="P136" i="13"/>
  <c r="L81" i="13"/>
  <c r="L230" i="13"/>
  <c r="L102" i="13"/>
  <c r="L45" i="13"/>
  <c r="L83" i="13"/>
  <c r="P226" i="13"/>
  <c r="L227" i="13"/>
  <c r="L277" i="13"/>
  <c r="L279" i="13"/>
  <c r="L301" i="13"/>
  <c r="P84" i="13"/>
  <c r="L290" i="13"/>
  <c r="L345" i="13"/>
  <c r="P152" i="13"/>
  <c r="L348" i="13"/>
  <c r="L226" i="13"/>
  <c r="L25" i="13"/>
  <c r="L171" i="13"/>
  <c r="P308" i="13"/>
  <c r="P245" i="13"/>
  <c r="P271" i="13"/>
  <c r="L324" i="13"/>
  <c r="P237" i="13"/>
  <c r="P313" i="13"/>
  <c r="L197" i="13"/>
  <c r="L174" i="13"/>
  <c r="P337" i="13"/>
  <c r="L66" i="13"/>
  <c r="P130" i="13"/>
  <c r="L44" i="13"/>
  <c r="L298" i="13"/>
  <c r="P20" i="13"/>
  <c r="P341" i="13"/>
  <c r="P68" i="13"/>
  <c r="L187" i="13"/>
  <c r="L20" i="13"/>
  <c r="P266" i="13"/>
  <c r="L119" i="13"/>
  <c r="P160" i="13"/>
  <c r="P222" i="13"/>
  <c r="L124" i="13"/>
  <c r="P63" i="13"/>
  <c r="L191" i="13"/>
  <c r="Z225" i="13"/>
  <c r="AC4" i="13"/>
  <c r="AD198" i="13"/>
  <c r="X134" i="13"/>
  <c r="AE89" i="13"/>
  <c r="AD110" i="13"/>
  <c r="Y132" i="13"/>
  <c r="Z91" i="13"/>
  <c r="Z267" i="13"/>
  <c r="AD193" i="13"/>
  <c r="X343" i="13"/>
  <c r="AC210" i="13"/>
  <c r="Z112" i="13"/>
  <c r="X47" i="13"/>
  <c r="Z181" i="13"/>
  <c r="AD81" i="13"/>
  <c r="AE115" i="13"/>
  <c r="AE111" i="13"/>
  <c r="Y177" i="13"/>
  <c r="Z198" i="13"/>
  <c r="AC88" i="13"/>
  <c r="AC221" i="13"/>
  <c r="X123" i="13"/>
  <c r="AE81" i="13"/>
  <c r="X177" i="13"/>
  <c r="AE108" i="13"/>
  <c r="Y18" i="13"/>
  <c r="AE18" i="13"/>
  <c r="X71" i="13"/>
  <c r="AE95" i="13"/>
  <c r="X252" i="13"/>
  <c r="X109" i="13"/>
  <c r="X213" i="13"/>
  <c r="AE217" i="13"/>
  <c r="Z227" i="13"/>
  <c r="AC61" i="13"/>
  <c r="X182" i="13"/>
  <c r="Z47" i="13"/>
  <c r="AC213" i="13"/>
  <c r="AC18" i="13"/>
  <c r="X90" i="13"/>
  <c r="Z114" i="13"/>
  <c r="Y93" i="13"/>
  <c r="Z84" i="13"/>
  <c r="Z249" i="13"/>
  <c r="L225" i="13"/>
  <c r="L202" i="13"/>
  <c r="L21" i="13"/>
  <c r="AD26" i="13"/>
  <c r="Z85" i="13"/>
  <c r="Y196" i="13"/>
  <c r="AC236" i="13"/>
  <c r="AC85" i="13"/>
  <c r="AC42" i="13"/>
  <c r="Z269" i="13"/>
  <c r="Z182" i="13"/>
  <c r="Y214" i="13"/>
  <c r="X106" i="13"/>
  <c r="Z132" i="13"/>
  <c r="X92" i="13"/>
  <c r="AE17" i="13"/>
  <c r="Y193" i="13"/>
  <c r="AD43" i="13"/>
  <c r="AD88" i="13"/>
  <c r="AE69" i="13"/>
  <c r="AE109" i="13"/>
  <c r="AE105" i="13"/>
  <c r="X49" i="13"/>
  <c r="X267" i="13"/>
  <c r="AD92" i="13"/>
  <c r="X122" i="13"/>
  <c r="AC104" i="13"/>
  <c r="Y119" i="13"/>
  <c r="Z129" i="13"/>
  <c r="AC9" i="13"/>
  <c r="AE129" i="13"/>
  <c r="X51" i="13"/>
  <c r="Y128" i="13"/>
  <c r="AD112" i="13"/>
  <c r="AE210" i="13"/>
  <c r="AC83" i="13"/>
  <c r="Z70" i="13"/>
  <c r="AD115" i="13"/>
  <c r="Z118" i="13"/>
  <c r="AC133" i="13"/>
  <c r="AD24" i="13"/>
  <c r="X128" i="13"/>
  <c r="AE61" i="13"/>
  <c r="X85" i="13"/>
  <c r="AD90" i="13"/>
  <c r="AD22" i="13"/>
  <c r="X81" i="13"/>
  <c r="X6" i="13"/>
  <c r="AE211" i="13"/>
  <c r="AC310" i="13"/>
  <c r="Y259" i="13"/>
  <c r="P232" i="13"/>
  <c r="P91" i="13"/>
  <c r="P96" i="13"/>
  <c r="Y211" i="13"/>
  <c r="X277" i="13"/>
  <c r="X130" i="13"/>
  <c r="Z346" i="13"/>
  <c r="X226" i="13"/>
  <c r="AE82" i="13"/>
  <c r="AD207" i="13"/>
  <c r="X107" i="13"/>
  <c r="AD57" i="13"/>
  <c r="X276" i="13"/>
  <c r="AC145" i="13"/>
  <c r="Z52" i="13"/>
  <c r="AC22" i="13"/>
  <c r="AE68" i="13"/>
  <c r="Z353" i="13"/>
  <c r="AC198" i="13"/>
  <c r="Y206" i="13"/>
  <c r="AD89" i="13"/>
  <c r="AD219" i="13"/>
  <c r="X104" i="13"/>
  <c r="AD211" i="13"/>
  <c r="Z48" i="13"/>
  <c r="Z81" i="13"/>
  <c r="X129" i="13"/>
  <c r="Y340" i="13"/>
  <c r="X340" i="13"/>
  <c r="Z143" i="13"/>
  <c r="Z197" i="13"/>
  <c r="Z352" i="13"/>
  <c r="Z185" i="13"/>
  <c r="Z178" i="13"/>
  <c r="Y353" i="13"/>
  <c r="Y185" i="13"/>
  <c r="AE24" i="13"/>
  <c r="Y180" i="13"/>
  <c r="AE10" i="13"/>
  <c r="X98" i="13"/>
  <c r="Z252" i="13"/>
  <c r="AC67" i="13"/>
  <c r="P210" i="13"/>
  <c r="P171" i="13"/>
  <c r="L126" i="13"/>
  <c r="Y84" i="13"/>
  <c r="X178" i="13"/>
  <c r="Y143" i="13"/>
  <c r="X217" i="13"/>
  <c r="Z83" i="13"/>
  <c r="X91" i="13"/>
  <c r="AD42" i="13"/>
  <c r="X113" i="13"/>
  <c r="AE37" i="13"/>
  <c r="Z82" i="13"/>
  <c r="Y81" i="13"/>
  <c r="L86" i="13"/>
  <c r="L185" i="13"/>
  <c r="P189" i="13"/>
  <c r="L96" i="13"/>
  <c r="AD37" i="13"/>
  <c r="Z222" i="13"/>
  <c r="Z86" i="13"/>
  <c r="Z188" i="13"/>
  <c r="X110" i="13"/>
  <c r="X131" i="13"/>
  <c r="X197" i="13"/>
  <c r="Z71" i="13"/>
  <c r="Z339" i="13"/>
  <c r="Z207" i="13"/>
  <c r="Y345" i="13"/>
  <c r="Z116" i="13"/>
  <c r="AE128" i="13"/>
  <c r="X5" i="13"/>
  <c r="L231" i="13"/>
  <c r="P356" i="13"/>
  <c r="P305" i="13"/>
  <c r="L47" i="13"/>
  <c r="Y343" i="13"/>
  <c r="Y124" i="13"/>
  <c r="X105" i="13"/>
  <c r="AD10" i="13"/>
  <c r="AE71" i="13"/>
  <c r="AD61" i="13"/>
  <c r="L211" i="13"/>
  <c r="P304" i="13"/>
  <c r="Y116" i="13"/>
  <c r="Z130" i="13"/>
  <c r="Z89" i="13"/>
  <c r="Z206" i="13"/>
  <c r="Y109" i="13"/>
  <c r="AC81" i="13"/>
  <c r="AE42" i="13"/>
  <c r="AD118" i="13"/>
  <c r="X223" i="13"/>
  <c r="X70" i="13"/>
  <c r="AC26" i="13"/>
  <c r="AC32" i="13"/>
  <c r="Z179" i="13"/>
  <c r="L88" i="13"/>
  <c r="AC152" i="13"/>
  <c r="AD87" i="13"/>
  <c r="AC91" i="13"/>
  <c r="Y252" i="13"/>
  <c r="AE62" i="13"/>
  <c r="Y85" i="13"/>
  <c r="AD58" i="13"/>
  <c r="Y187" i="13"/>
  <c r="X18" i="13"/>
  <c r="AE85" i="13"/>
  <c r="Y90" i="13"/>
  <c r="AD196" i="13"/>
  <c r="Z345" i="13"/>
  <c r="AC17" i="13"/>
  <c r="AD236" i="13"/>
  <c r="Z205" i="13"/>
  <c r="Y269" i="13"/>
  <c r="AD109" i="13"/>
  <c r="Z214" i="13"/>
  <c r="Z261" i="13"/>
  <c r="AD221" i="13"/>
  <c r="Z268" i="13"/>
  <c r="Z184" i="13"/>
  <c r="X196" i="13"/>
  <c r="AD84" i="13"/>
  <c r="X189" i="13"/>
  <c r="L332" i="13"/>
  <c r="Z110" i="13"/>
  <c r="Z105" i="13"/>
  <c r="X133" i="13"/>
  <c r="X93" i="13"/>
  <c r="Y218" i="13"/>
  <c r="AC108" i="13"/>
  <c r="Y111" i="13"/>
  <c r="AC57" i="13"/>
  <c r="X84" i="13"/>
  <c r="AC70" i="13"/>
  <c r="X348" i="13"/>
  <c r="AE204" i="13"/>
  <c r="X114" i="13"/>
  <c r="AE20" i="13"/>
  <c r="AC66" i="13"/>
  <c r="Y53" i="13"/>
  <c r="AC93" i="13"/>
  <c r="X83" i="13"/>
  <c r="Z189" i="13"/>
  <c r="AC112" i="13"/>
  <c r="Y348" i="13"/>
  <c r="Z115" i="13"/>
  <c r="AD218" i="13"/>
  <c r="P288" i="13"/>
  <c r="AC115" i="13"/>
  <c r="Y339" i="13"/>
  <c r="AD114" i="13"/>
  <c r="X207" i="13"/>
  <c r="Y118" i="13"/>
  <c r="AC197" i="13"/>
  <c r="AE60" i="13"/>
  <c r="AD129" i="13"/>
  <c r="AD131" i="13"/>
  <c r="Z88" i="13"/>
  <c r="AC71" i="13"/>
  <c r="AD185" i="13"/>
  <c r="Y215" i="13"/>
  <c r="AD215" i="13"/>
  <c r="AE213" i="13"/>
  <c r="X183" i="13"/>
  <c r="Z108" i="13"/>
  <c r="Y221" i="13"/>
  <c r="Z183" i="13"/>
  <c r="Z276" i="13"/>
  <c r="Z101" i="13"/>
  <c r="Z109" i="13"/>
  <c r="P159" i="13"/>
  <c r="Y45" i="13"/>
  <c r="Z128" i="13"/>
  <c r="Z208" i="13"/>
  <c r="Y71" i="13"/>
  <c r="X193" i="13"/>
  <c r="AC28" i="13"/>
  <c r="Y225" i="13"/>
  <c r="Y276" i="13"/>
  <c r="AE93" i="13"/>
  <c r="AC19" i="13"/>
  <c r="X218" i="13"/>
  <c r="X187" i="13"/>
  <c r="AE110" i="13"/>
  <c r="Y131" i="13"/>
  <c r="Y186" i="13"/>
  <c r="AE206" i="13"/>
  <c r="Z111" i="13"/>
  <c r="X345" i="13"/>
  <c r="Z93" i="13"/>
  <c r="AD133" i="13"/>
  <c r="AD213" i="13"/>
  <c r="AC111" i="13"/>
  <c r="Y277" i="13"/>
  <c r="Y105" i="13"/>
  <c r="X144" i="13"/>
  <c r="Z18" i="13"/>
  <c r="X41" i="13"/>
  <c r="AE114" i="13"/>
  <c r="AE73" i="13"/>
  <c r="AD210" i="13"/>
  <c r="AE253" i="13"/>
  <c r="Y207" i="13"/>
  <c r="Y342" i="13"/>
  <c r="AD167" i="13"/>
  <c r="AC264" i="13"/>
  <c r="L104" i="13"/>
  <c r="Z106" i="13"/>
  <c r="AE9" i="13"/>
  <c r="AC62" i="13"/>
  <c r="Y115" i="13"/>
  <c r="AC68" i="13"/>
  <c r="Z107" i="13"/>
  <c r="X35" i="13"/>
  <c r="X185" i="13"/>
  <c r="Y352" i="13"/>
  <c r="Z92" i="13"/>
  <c r="Y92" i="13"/>
  <c r="X115" i="13"/>
  <c r="X225" i="13"/>
  <c r="AE26" i="13"/>
  <c r="AC69" i="13"/>
  <c r="Y70" i="13"/>
  <c r="Z95" i="13"/>
  <c r="X261" i="13"/>
  <c r="Z340" i="13"/>
  <c r="Z131" i="13"/>
  <c r="Y91" i="13"/>
  <c r="AE22" i="13"/>
  <c r="Z41" i="13"/>
  <c r="AE198" i="13"/>
  <c r="Y112" i="13"/>
  <c r="AC128" i="13"/>
  <c r="AC43" i="13"/>
  <c r="X318" i="13"/>
  <c r="Z278" i="13"/>
  <c r="AE219" i="13"/>
  <c r="Z119" i="13"/>
  <c r="AE5" i="13"/>
  <c r="Z124" i="13"/>
  <c r="X58" i="13"/>
  <c r="L210" i="13"/>
  <c r="Z177" i="13"/>
  <c r="Z226" i="13"/>
  <c r="Y181" i="13"/>
  <c r="AD205" i="13"/>
  <c r="AE67" i="13"/>
  <c r="AC37" i="13"/>
  <c r="X222" i="13"/>
  <c r="X176" i="13"/>
  <c r="Y95" i="13"/>
  <c r="Z35" i="13"/>
  <c r="Z49" i="13"/>
  <c r="Z215" i="13"/>
  <c r="X198" i="13"/>
  <c r="X278" i="13"/>
  <c r="Y226" i="13"/>
  <c r="Z224" i="13"/>
  <c r="AC60" i="13"/>
  <c r="AC114" i="13"/>
  <c r="Z333" i="13"/>
  <c r="AE32" i="13"/>
  <c r="AC206" i="13"/>
  <c r="X184" i="13"/>
  <c r="AD28" i="13"/>
  <c r="AC87" i="13"/>
  <c r="AC215" i="13"/>
  <c r="Z218" i="13"/>
  <c r="AC219" i="13"/>
  <c r="AC107" i="13"/>
  <c r="Y117" i="13"/>
  <c r="Y52" i="13"/>
  <c r="X186" i="13"/>
  <c r="AC92" i="13"/>
  <c r="L15" i="13"/>
  <c r="Z259" i="13"/>
  <c r="AC105" i="13"/>
  <c r="AC346" i="13"/>
  <c r="AE346" i="13"/>
  <c r="AE104" i="13"/>
  <c r="Y113" i="13"/>
  <c r="X221" i="13"/>
  <c r="X269" i="13"/>
  <c r="X353" i="13"/>
  <c r="AE4" i="13"/>
  <c r="Y208" i="13"/>
  <c r="AE185" i="13"/>
  <c r="Y224" i="13"/>
  <c r="AD70" i="13"/>
  <c r="AE86" i="13"/>
  <c r="X101" i="13"/>
  <c r="AD9" i="13"/>
  <c r="Z186" i="13"/>
  <c r="AE19" i="13"/>
  <c r="AD67" i="13"/>
  <c r="X188" i="13"/>
  <c r="AC86" i="13"/>
  <c r="Z122" i="13"/>
  <c r="AC106" i="13"/>
  <c r="Y83" i="13"/>
  <c r="P151" i="13"/>
  <c r="Z213" i="13"/>
  <c r="Y129" i="13"/>
  <c r="AC109" i="13"/>
  <c r="AD71" i="13"/>
  <c r="Y184" i="13"/>
  <c r="AE152" i="13"/>
  <c r="AD4" i="13"/>
  <c r="AE87" i="13"/>
  <c r="AD85" i="13"/>
  <c r="AE133" i="13"/>
  <c r="AE66" i="13"/>
  <c r="Y108" i="13"/>
  <c r="Y130" i="13"/>
  <c r="Z117" i="13"/>
  <c r="Z133" i="13"/>
  <c r="Y183" i="13"/>
  <c r="Z196" i="13"/>
  <c r="Y104" i="13"/>
  <c r="AD69" i="13"/>
  <c r="AD113" i="13"/>
  <c r="Z51" i="13"/>
  <c r="AE88" i="13"/>
  <c r="AC24" i="13"/>
  <c r="AC117" i="13"/>
  <c r="AC82" i="13"/>
  <c r="AE131" i="13"/>
  <c r="AE112" i="13"/>
  <c r="Y176" i="13"/>
  <c r="X339" i="13"/>
  <c r="Z98" i="13"/>
  <c r="AD66" i="13"/>
  <c r="AE113" i="13"/>
  <c r="X210" i="13"/>
  <c r="AD128" i="13"/>
  <c r="Y278" i="13"/>
  <c r="AC84" i="13"/>
  <c r="AD32" i="13"/>
  <c r="Y82" i="13"/>
  <c r="X333" i="13"/>
  <c r="X112" i="13"/>
  <c r="Y134" i="13"/>
  <c r="X268" i="13"/>
  <c r="Z90" i="13"/>
  <c r="Z221" i="13"/>
  <c r="X342" i="13"/>
  <c r="X352" i="13"/>
  <c r="AE215" i="13"/>
  <c r="X87" i="13"/>
  <c r="Z210" i="13"/>
  <c r="X181" i="13"/>
  <c r="Y188" i="13"/>
  <c r="Y213" i="13"/>
  <c r="X206" i="13"/>
  <c r="X119" i="13"/>
  <c r="Y144" i="13"/>
  <c r="Z134" i="13"/>
  <c r="AC205" i="13"/>
  <c r="Z342" i="13"/>
  <c r="AD18" i="13"/>
  <c r="AC89" i="13"/>
  <c r="AD19" i="13"/>
  <c r="Y182" i="13"/>
  <c r="AE57" i="13"/>
  <c r="X95" i="13"/>
  <c r="AD104" i="13"/>
  <c r="Z335" i="13"/>
  <c r="X61" i="13"/>
  <c r="Y133" i="13"/>
  <c r="AC110" i="13"/>
  <c r="AD145" i="13"/>
  <c r="Y48" i="13"/>
  <c r="X214" i="13"/>
  <c r="Y47" i="13"/>
  <c r="Y178" i="13"/>
  <c r="AE236" i="13"/>
  <c r="Y49" i="13"/>
  <c r="AE197" i="13"/>
  <c r="AE117" i="13"/>
  <c r="AD217" i="13"/>
  <c r="AC204" i="13"/>
  <c r="AE205" i="13"/>
  <c r="Y268" i="13"/>
  <c r="AC211" i="13"/>
  <c r="AD204" i="13"/>
  <c r="AD82" i="13"/>
  <c r="Z348" i="13"/>
  <c r="AE84" i="13"/>
  <c r="Y6" i="13"/>
  <c r="AD117" i="13"/>
  <c r="Y217" i="13"/>
  <c r="Z217" i="13"/>
  <c r="AC90" i="13"/>
  <c r="AD206" i="13"/>
  <c r="Y89" i="13"/>
  <c r="X117" i="13"/>
  <c r="X89" i="13"/>
  <c r="AD20" i="13"/>
  <c r="Z349" i="13"/>
  <c r="X132" i="13"/>
  <c r="AD95" i="13"/>
  <c r="Y222" i="13"/>
  <c r="Z104" i="13"/>
  <c r="X259" i="13"/>
  <c r="X52" i="13"/>
  <c r="Y51" i="13"/>
  <c r="X244" i="13"/>
  <c r="AD269" i="13"/>
  <c r="AC235" i="13"/>
  <c r="AD5" i="13"/>
  <c r="Z354" i="13"/>
  <c r="AD316" i="13"/>
  <c r="AD322" i="13"/>
  <c r="AD309" i="13"/>
  <c r="Y341" i="13"/>
  <c r="X86" i="13"/>
  <c r="Z211" i="13"/>
  <c r="X124" i="13"/>
  <c r="Z46" i="13"/>
  <c r="Y114" i="13"/>
  <c r="Z187" i="13"/>
  <c r="AE118" i="13"/>
  <c r="AC131" i="13"/>
  <c r="X224" i="13"/>
  <c r="X48" i="13"/>
  <c r="Z242" i="13"/>
  <c r="Y315" i="13"/>
  <c r="X322" i="13"/>
  <c r="Z334" i="13"/>
  <c r="AC268" i="13"/>
  <c r="AD317" i="13"/>
  <c r="AE322" i="13"/>
  <c r="AC185" i="13"/>
  <c r="AE207" i="13"/>
  <c r="Y107" i="13"/>
  <c r="Z343" i="13"/>
  <c r="AD62" i="13"/>
  <c r="AD83" i="13"/>
  <c r="Y267" i="13"/>
  <c r="AC129" i="13"/>
  <c r="AD340" i="13"/>
  <c r="AE186" i="13"/>
  <c r="Y317" i="13"/>
  <c r="AE162" i="13"/>
  <c r="AD159" i="13"/>
  <c r="AE6" i="13"/>
  <c r="AD303" i="13"/>
  <c r="X245" i="13"/>
  <c r="Y234" i="13"/>
  <c r="Y346" i="13"/>
  <c r="Z74" i="13"/>
  <c r="X46" i="13"/>
  <c r="AE92" i="13"/>
  <c r="Y179" i="13"/>
  <c r="AE106" i="13"/>
  <c r="Z277" i="13"/>
  <c r="X45" i="13"/>
  <c r="AC6" i="13"/>
  <c r="Y167" i="13"/>
  <c r="Z80" i="13"/>
  <c r="Y66" i="13"/>
  <c r="X355" i="13"/>
  <c r="AC341" i="13"/>
  <c r="Y318" i="13"/>
  <c r="AD315" i="13"/>
  <c r="AD17" i="13"/>
  <c r="X205" i="13"/>
  <c r="AE43" i="13"/>
  <c r="AD105" i="13"/>
  <c r="Y223" i="13"/>
  <c r="Y35" i="13"/>
  <c r="AD111" i="13"/>
  <c r="Y205" i="13"/>
  <c r="Y88" i="13"/>
  <c r="AE269" i="13"/>
  <c r="Y303" i="13"/>
  <c r="AD98" i="13"/>
  <c r="Y322" i="13"/>
  <c r="Y300" i="13"/>
  <c r="Y243" i="13"/>
  <c r="X111" i="13"/>
  <c r="AD342" i="13"/>
  <c r="AE58" i="13"/>
  <c r="Y77" i="13"/>
  <c r="Y4" i="13"/>
  <c r="AD347" i="13"/>
  <c r="X75" i="13"/>
  <c r="Y24" i="13"/>
  <c r="Y166" i="13"/>
  <c r="X300" i="13"/>
  <c r="Y238" i="13"/>
  <c r="AE107" i="13"/>
  <c r="AE70" i="13"/>
  <c r="AC10" i="13"/>
  <c r="Z5" i="13"/>
  <c r="Z180" i="13"/>
  <c r="X53" i="13"/>
  <c r="Z45" i="13"/>
  <c r="AC207" i="13"/>
  <c r="AE91" i="13"/>
  <c r="AD168" i="13"/>
  <c r="X62" i="13"/>
  <c r="X20" i="13"/>
  <c r="AE159" i="13"/>
  <c r="AD186" i="13"/>
  <c r="X301" i="13"/>
  <c r="Z25" i="13"/>
  <c r="Y203" i="13"/>
  <c r="AD343" i="13"/>
  <c r="AC101" i="13"/>
  <c r="AD162" i="13"/>
  <c r="X88" i="13"/>
  <c r="Y123" i="13"/>
  <c r="Y87" i="13"/>
  <c r="Y110" i="13"/>
  <c r="X219" i="13"/>
  <c r="Z53" i="13"/>
  <c r="AD68" i="13"/>
  <c r="X26" i="13"/>
  <c r="Z168" i="13"/>
  <c r="Y106" i="13"/>
  <c r="Y219" i="13"/>
  <c r="AC113" i="13"/>
  <c r="AE221" i="13"/>
  <c r="AD346" i="13"/>
  <c r="Y253" i="13"/>
  <c r="AD181" i="13"/>
  <c r="Y241" i="13"/>
  <c r="AE168" i="13"/>
  <c r="AD197" i="13"/>
  <c r="X215" i="13"/>
  <c r="AC95" i="13"/>
  <c r="Z144" i="13"/>
  <c r="AE196" i="13"/>
  <c r="AD108" i="13"/>
  <c r="X82" i="13"/>
  <c r="AD60" i="13"/>
  <c r="AD106" i="13"/>
  <c r="Z223" i="13"/>
  <c r="Y122" i="13"/>
  <c r="Z176" i="13"/>
  <c r="X116" i="13"/>
  <c r="AE309" i="13"/>
  <c r="AC257" i="13"/>
  <c r="AD339" i="13"/>
  <c r="AD259" i="13"/>
  <c r="Y161" i="13"/>
  <c r="Z253" i="13"/>
  <c r="AC98" i="13"/>
  <c r="X32" i="13"/>
  <c r="X78" i="13"/>
  <c r="Y162" i="13"/>
  <c r="Z235" i="13"/>
  <c r="AD278" i="13"/>
  <c r="AC201" i="13"/>
  <c r="AD257" i="13"/>
  <c r="AE237" i="13"/>
  <c r="Y80" i="13"/>
  <c r="Z19" i="13"/>
  <c r="AC5" i="13"/>
  <c r="Y336" i="13"/>
  <c r="Y43" i="13"/>
  <c r="Z337" i="13"/>
  <c r="X337" i="13"/>
  <c r="Y333" i="13"/>
  <c r="AD277" i="13"/>
  <c r="Y69" i="13"/>
  <c r="AC171" i="13"/>
  <c r="AE271" i="13"/>
  <c r="AC303" i="13"/>
  <c r="AC315" i="13"/>
  <c r="Z303" i="13"/>
  <c r="X77" i="13"/>
  <c r="X19" i="13"/>
  <c r="AD253" i="13"/>
  <c r="Z69" i="13"/>
  <c r="AC309" i="13"/>
  <c r="AE318" i="13"/>
  <c r="AE214" i="13"/>
  <c r="Y240" i="13"/>
  <c r="AE234" i="13"/>
  <c r="Z167" i="13"/>
  <c r="AC237" i="13"/>
  <c r="X243" i="13"/>
  <c r="AE193" i="13"/>
  <c r="AD318" i="13"/>
  <c r="X69" i="13"/>
  <c r="AC322" i="13"/>
  <c r="AE181" i="13"/>
  <c r="X74" i="13"/>
  <c r="AC214" i="13"/>
  <c r="X332" i="13"/>
  <c r="Y73" i="13"/>
  <c r="AC340" i="13"/>
  <c r="X314" i="13"/>
  <c r="AE277" i="13"/>
  <c r="X57" i="13"/>
  <c r="AC261" i="13"/>
  <c r="AD91" i="13"/>
  <c r="Y79" i="13"/>
  <c r="AE257" i="13"/>
  <c r="AE190" i="13"/>
  <c r="Y335" i="13"/>
  <c r="X250" i="13"/>
  <c r="Z62" i="13"/>
  <c r="AC163" i="13"/>
  <c r="X347" i="13"/>
  <c r="AD163" i="13"/>
  <c r="Z161" i="13"/>
  <c r="AE163" i="13"/>
  <c r="Z57" i="13"/>
  <c r="Y61" i="13"/>
  <c r="AC339" i="13"/>
  <c r="AD344" i="13"/>
  <c r="AE340" i="13"/>
  <c r="AC316" i="13"/>
  <c r="Y9" i="13"/>
  <c r="Y20" i="13"/>
  <c r="Y299" i="13"/>
  <c r="Y242" i="13"/>
  <c r="Z33" i="13"/>
  <c r="Z315" i="13"/>
  <c r="AC181" i="13"/>
  <c r="X179" i="13"/>
  <c r="X237" i="13"/>
  <c r="X24" i="13"/>
  <c r="X246" i="13"/>
  <c r="AD337" i="13"/>
  <c r="AE267" i="13"/>
  <c r="Z246" i="13"/>
  <c r="X234" i="13"/>
  <c r="AD311" i="13"/>
  <c r="Y245" i="13"/>
  <c r="Z322" i="13"/>
  <c r="AE317" i="13"/>
  <c r="X299" i="13"/>
  <c r="Y251" i="13"/>
  <c r="AC240" i="13"/>
  <c r="Y174" i="13"/>
  <c r="AD310" i="13"/>
  <c r="Y26" i="13"/>
  <c r="AD261" i="13"/>
  <c r="Y46" i="13"/>
  <c r="AD238" i="13"/>
  <c r="AD335" i="13"/>
  <c r="AD161" i="13"/>
  <c r="AE353" i="13"/>
  <c r="Y347" i="13"/>
  <c r="AD214" i="13"/>
  <c r="AC335" i="13"/>
  <c r="AD268" i="13"/>
  <c r="AD341" i="13"/>
  <c r="Z244" i="13"/>
  <c r="X67" i="13"/>
  <c r="Z314" i="13"/>
  <c r="AC182" i="13"/>
  <c r="Z317" i="13"/>
  <c r="AC342" i="13"/>
  <c r="X303" i="13"/>
  <c r="X76" i="13"/>
  <c r="X143" i="13"/>
  <c r="Y58" i="13"/>
  <c r="Y86" i="13"/>
  <c r="X10" i="13"/>
  <c r="AD171" i="13"/>
  <c r="X341" i="13"/>
  <c r="AE218" i="13"/>
  <c r="AE180" i="13"/>
  <c r="AC241" i="13"/>
  <c r="AE312" i="13"/>
  <c r="AE315" i="13"/>
  <c r="X253" i="13"/>
  <c r="AE98" i="13"/>
  <c r="AC159" i="13"/>
  <c r="AC313" i="13"/>
  <c r="AE145" i="13"/>
  <c r="Y41" i="13"/>
  <c r="Z6" i="13"/>
  <c r="Y67" i="13"/>
  <c r="AD312" i="13"/>
  <c r="AE276" i="13"/>
  <c r="Z66" i="13"/>
  <c r="AC234" i="13"/>
  <c r="AC337" i="13"/>
  <c r="Z250" i="13"/>
  <c r="AE311" i="13"/>
  <c r="Z344" i="13"/>
  <c r="X344" i="13"/>
  <c r="AE343" i="13"/>
  <c r="AD264" i="13"/>
  <c r="Y314" i="13"/>
  <c r="AC161" i="13"/>
  <c r="AE238" i="13"/>
  <c r="Y57" i="13"/>
  <c r="Z318" i="13"/>
  <c r="AC180" i="13"/>
  <c r="AE201" i="13"/>
  <c r="Z300" i="13"/>
  <c r="Z32" i="13"/>
  <c r="Z201" i="13"/>
  <c r="X335" i="13"/>
  <c r="AE335" i="13"/>
  <c r="AE339" i="13"/>
  <c r="Y355" i="13"/>
  <c r="Z10" i="13"/>
  <c r="Y32" i="13"/>
  <c r="Z174" i="13"/>
  <c r="Z301" i="13"/>
  <c r="AD201" i="13"/>
  <c r="AE241" i="13"/>
  <c r="Z60" i="13"/>
  <c r="AE303" i="13"/>
  <c r="Y235" i="13"/>
  <c r="X4" i="13"/>
  <c r="AC336" i="13"/>
  <c r="X201" i="13"/>
  <c r="X317" i="13"/>
  <c r="Y246" i="13"/>
  <c r="AC186" i="13"/>
  <c r="Y337" i="13"/>
  <c r="AD191" i="13"/>
  <c r="AE342" i="13"/>
  <c r="X334" i="13"/>
  <c r="X162" i="13"/>
  <c r="AE316" i="13"/>
  <c r="AD313" i="13"/>
  <c r="Z237" i="13"/>
  <c r="AC347" i="13"/>
  <c r="Z26" i="13"/>
  <c r="X251" i="13"/>
  <c r="AD241" i="13"/>
  <c r="Y250" i="13"/>
  <c r="AE313" i="13"/>
  <c r="X238" i="13"/>
  <c r="AE264" i="13"/>
  <c r="Z68" i="13"/>
  <c r="Y62" i="13"/>
  <c r="AD314" i="13"/>
  <c r="X336" i="13"/>
  <c r="Z4" i="13"/>
  <c r="AD353" i="13"/>
  <c r="Y25" i="13"/>
  <c r="Z78" i="13"/>
  <c r="AE191" i="13"/>
  <c r="X68" i="13"/>
  <c r="Z166" i="13"/>
  <c r="AD184" i="13"/>
  <c r="Y349" i="13"/>
  <c r="Y10" i="13"/>
  <c r="X316" i="13"/>
  <c r="Y334" i="13"/>
  <c r="AE101" i="13"/>
  <c r="Y170" i="13"/>
  <c r="Y175" i="13"/>
  <c r="Z299" i="13"/>
  <c r="Z234" i="13"/>
  <c r="X60" i="13"/>
  <c r="AD237" i="13"/>
  <c r="AD234" i="13"/>
  <c r="AD166" i="13"/>
  <c r="AC162" i="13"/>
  <c r="AE337" i="13"/>
  <c r="AD101" i="13"/>
  <c r="Y354" i="13"/>
  <c r="Z240" i="13"/>
  <c r="AC259" i="13"/>
  <c r="AD73" i="13"/>
  <c r="Y244" i="13"/>
  <c r="AE259" i="13"/>
  <c r="AD276" i="13"/>
  <c r="Z76" i="13"/>
  <c r="X80" i="13"/>
  <c r="AC271" i="13"/>
  <c r="AD271" i="13"/>
  <c r="AC343" i="13"/>
  <c r="AC276" i="13"/>
  <c r="AD267" i="13"/>
  <c r="X170" i="13"/>
  <c r="Z347" i="13"/>
  <c r="Z238" i="13"/>
  <c r="Z336" i="13"/>
  <c r="AC353" i="13"/>
  <c r="AC269" i="13"/>
  <c r="AE341" i="13"/>
  <c r="X235" i="13"/>
  <c r="Z77" i="13"/>
  <c r="Z58" i="13"/>
  <c r="AE349" i="13"/>
  <c r="AE352" i="13"/>
  <c r="Y168" i="13"/>
  <c r="X33" i="13"/>
  <c r="AC20" i="13"/>
  <c r="Y237" i="13"/>
  <c r="AE167" i="13"/>
  <c r="AD240" i="13"/>
  <c r="Z73" i="13"/>
  <c r="Y301" i="13"/>
  <c r="Z75" i="13"/>
  <c r="X175" i="13"/>
  <c r="Y344" i="13"/>
  <c r="AE166" i="13"/>
  <c r="AE314" i="13"/>
  <c r="AD235" i="13"/>
  <c r="Z162" i="13"/>
  <c r="Y201" i="13"/>
  <c r="X161" i="13"/>
  <c r="X315" i="13"/>
  <c r="AC253" i="13"/>
  <c r="AE261" i="13"/>
  <c r="AE268" i="13"/>
  <c r="AD349" i="13"/>
  <c r="AD352" i="13"/>
  <c r="AE347" i="13"/>
  <c r="X167" i="13"/>
  <c r="Z241" i="13"/>
  <c r="X43" i="13"/>
  <c r="Z341" i="13"/>
  <c r="Z24" i="13"/>
  <c r="X242" i="13"/>
  <c r="AC312" i="13"/>
  <c r="Y332" i="13"/>
  <c r="AE83" i="13"/>
  <c r="Y197" i="13"/>
  <c r="AD190" i="13"/>
  <c r="X174" i="13"/>
  <c r="AE336" i="13"/>
  <c r="X354" i="13"/>
  <c r="Z170" i="13"/>
  <c r="AE171" i="13"/>
  <c r="AC168" i="13"/>
  <c r="AC278" i="13"/>
  <c r="X203" i="13"/>
  <c r="AC167" i="13"/>
  <c r="Z67" i="13"/>
  <c r="Y76" i="13"/>
  <c r="AC314" i="13"/>
  <c r="Y60" i="13"/>
  <c r="AC184" i="13"/>
  <c r="Z79" i="13"/>
  <c r="AE235" i="13"/>
  <c r="AD93" i="13"/>
  <c r="AC166" i="13"/>
  <c r="Z87" i="13"/>
  <c r="X9" i="13"/>
  <c r="AC191" i="13"/>
  <c r="Y68" i="13"/>
  <c r="Y75" i="13"/>
  <c r="AD182" i="13"/>
  <c r="AD183" i="13"/>
  <c r="Y74" i="13"/>
  <c r="Z43" i="13"/>
  <c r="Y159" i="13"/>
  <c r="AD6" i="13"/>
  <c r="Y33" i="13"/>
  <c r="AC349" i="13"/>
  <c r="Z251" i="13"/>
  <c r="AC238" i="13"/>
  <c r="X73" i="13"/>
  <c r="Y19" i="13"/>
  <c r="X159" i="13"/>
  <c r="AE161" i="13"/>
  <c r="Z355" i="13"/>
  <c r="AC73" i="13"/>
  <c r="Y5" i="13"/>
  <c r="AC344" i="13"/>
  <c r="AE240" i="13"/>
  <c r="AC317" i="13"/>
  <c r="AC183" i="13"/>
  <c r="Y249" i="13"/>
  <c r="AE184" i="13"/>
  <c r="AC352" i="13"/>
  <c r="Z9" i="13"/>
  <c r="Z332" i="13"/>
  <c r="Y316" i="13"/>
  <c r="AE278" i="13"/>
  <c r="Y78" i="13"/>
  <c r="Z175" i="13"/>
  <c r="X241" i="13"/>
  <c r="AE182" i="13"/>
  <c r="Z316" i="13"/>
  <c r="Y227" i="13"/>
  <c r="Z245" i="13"/>
  <c r="X25" i="13"/>
  <c r="Z159" i="13"/>
  <c r="Z20" i="13"/>
  <c r="AC318" i="13"/>
  <c r="Z61" i="13"/>
  <c r="AC190" i="13"/>
  <c r="X168" i="13"/>
  <c r="AC311" i="13"/>
  <c r="X249" i="13"/>
  <c r="AE310" i="13"/>
  <c r="X79" i="13"/>
  <c r="AD336" i="13"/>
  <c r="X66" i="13"/>
  <c r="AE183" i="13"/>
  <c r="AC277" i="13"/>
  <c r="AD180" i="13"/>
  <c r="AC267" i="13"/>
  <c r="AE344" i="13"/>
  <c r="X349" i="13"/>
  <c r="P25" i="13"/>
  <c r="X166" i="13"/>
  <c r="X240" i="13"/>
  <c r="Z243" i="13"/>
  <c r="Z203" i="13"/>
  <c r="BF1478" i="1" l="1"/>
  <c r="AH1478" i="1" s="1"/>
  <c r="AI1478" i="1"/>
  <c r="F359" i="16"/>
  <c r="F357" i="16"/>
  <c r="Q25" i="13"/>
  <c r="M104" i="13"/>
  <c r="N88" i="13"/>
  <c r="S305" i="13"/>
  <c r="R189" i="13"/>
  <c r="Q171" i="13"/>
  <c r="Q232" i="13"/>
  <c r="N191" i="13"/>
  <c r="R160" i="13"/>
  <c r="M187" i="13"/>
  <c r="M298" i="13"/>
  <c r="Q337" i="13"/>
  <c r="S237" i="13"/>
  <c r="S308" i="13"/>
  <c r="O348" i="13"/>
  <c r="S84" i="13"/>
  <c r="N227" i="13"/>
  <c r="N102" i="13"/>
  <c r="R82" i="13"/>
  <c r="N313" i="13"/>
  <c r="M22" i="13"/>
  <c r="M214" i="13"/>
  <c r="Q206" i="13"/>
  <c r="N69" i="13"/>
  <c r="M201" i="13"/>
  <c r="O39" i="13"/>
  <c r="R36" i="13"/>
  <c r="N115" i="13"/>
  <c r="N139" i="13"/>
  <c r="N282" i="13"/>
  <c r="R103" i="13"/>
  <c r="N146" i="13"/>
  <c r="N318" i="13"/>
  <c r="M260" i="13"/>
  <c r="M76" i="13"/>
  <c r="O147" i="13"/>
  <c r="N62" i="13"/>
  <c r="S263" i="13"/>
  <c r="S5" i="13"/>
  <c r="N52" i="13"/>
  <c r="N189" i="13"/>
  <c r="S78" i="13"/>
  <c r="N314" i="13"/>
  <c r="R202" i="13"/>
  <c r="N273" i="13"/>
  <c r="R66" i="13"/>
  <c r="N198" i="13"/>
  <c r="S183" i="13"/>
  <c r="S69" i="13"/>
  <c r="R281" i="13"/>
  <c r="Q54" i="13"/>
  <c r="Q53" i="13"/>
  <c r="S324" i="13"/>
  <c r="M70" i="13"/>
  <c r="Q278" i="13"/>
  <c r="M91" i="13"/>
  <c r="N73" i="13"/>
  <c r="Q150" i="13"/>
  <c r="Q121" i="13"/>
  <c r="S335" i="13"/>
  <c r="R292" i="13"/>
  <c r="R300" i="13"/>
  <c r="N215" i="13"/>
  <c r="N281" i="13"/>
  <c r="Q187" i="13"/>
  <c r="Q107" i="13"/>
  <c r="R213" i="13"/>
  <c r="S327" i="13"/>
  <c r="M138" i="13"/>
  <c r="M262" i="13"/>
  <c r="R198" i="13"/>
  <c r="O30" i="13"/>
  <c r="O190" i="13"/>
  <c r="O50" i="13"/>
  <c r="M145" i="13"/>
  <c r="S26" i="13"/>
  <c r="S124" i="13"/>
  <c r="R94" i="13"/>
  <c r="Q252" i="13"/>
  <c r="R214" i="13"/>
  <c r="R256" i="13"/>
  <c r="S87" i="13"/>
  <c r="N235" i="13"/>
  <c r="Q276" i="13"/>
  <c r="R207" i="13"/>
  <c r="S141" i="13"/>
  <c r="S249" i="13"/>
  <c r="S88" i="13"/>
  <c r="R301" i="13"/>
  <c r="N355" i="13"/>
  <c r="O24" i="13"/>
  <c r="M352" i="13"/>
  <c r="O315" i="13"/>
  <c r="O67" i="13"/>
  <c r="O323" i="13"/>
  <c r="R349" i="13"/>
  <c r="S181" i="13"/>
  <c r="R315" i="13"/>
  <c r="N208" i="13"/>
  <c r="Q351" i="13"/>
  <c r="M186" i="13"/>
  <c r="N265" i="13"/>
  <c r="O56" i="13"/>
  <c r="S108" i="13"/>
  <c r="M305" i="13"/>
  <c r="Q277" i="13"/>
  <c r="R155" i="13"/>
  <c r="Q148" i="13"/>
  <c r="O29" i="13"/>
  <c r="M284" i="13"/>
  <c r="R9" i="13"/>
  <c r="O99" i="13"/>
  <c r="O48" i="13"/>
  <c r="N263" i="13"/>
  <c r="S228" i="13"/>
  <c r="M41" i="13"/>
  <c r="O238" i="13"/>
  <c r="M136" i="13"/>
  <c r="Q59" i="13"/>
  <c r="Q10" i="13"/>
  <c r="M172" i="13"/>
  <c r="Q195" i="13"/>
  <c r="Q14" i="13"/>
  <c r="R129" i="13"/>
  <c r="S216" i="13"/>
  <c r="M27" i="13"/>
  <c r="N256" i="13"/>
  <c r="O54" i="13"/>
  <c r="R25" i="13"/>
  <c r="N104" i="13"/>
  <c r="M88" i="13"/>
  <c r="Q305" i="13"/>
  <c r="S189" i="13"/>
  <c r="S171" i="13"/>
  <c r="S232" i="13"/>
  <c r="M191" i="13"/>
  <c r="Q160" i="13"/>
  <c r="N187" i="13"/>
  <c r="N298" i="13"/>
  <c r="R337" i="13"/>
  <c r="R237" i="13"/>
  <c r="Q308" i="13"/>
  <c r="M348" i="13"/>
  <c r="R84" i="13"/>
  <c r="O227" i="13"/>
  <c r="O102" i="13"/>
  <c r="Q82" i="13"/>
  <c r="O313" i="13"/>
  <c r="O22" i="13"/>
  <c r="O214" i="13"/>
  <c r="R206" i="13"/>
  <c r="O69" i="13"/>
  <c r="N201" i="13"/>
  <c r="N39" i="13"/>
  <c r="S36" i="13"/>
  <c r="M115" i="13"/>
  <c r="M139" i="13"/>
  <c r="O282" i="13"/>
  <c r="S103" i="13"/>
  <c r="O146" i="13"/>
  <c r="M318" i="13"/>
  <c r="N260" i="13"/>
  <c r="O76" i="13"/>
  <c r="M147" i="13"/>
  <c r="M62" i="13"/>
  <c r="R263" i="13"/>
  <c r="Q5" i="13"/>
  <c r="O52" i="13"/>
  <c r="O189" i="13"/>
  <c r="R78" i="13"/>
  <c r="O314" i="13"/>
  <c r="Q202" i="13"/>
  <c r="O273" i="13"/>
  <c r="Q66" i="13"/>
  <c r="M198" i="13"/>
  <c r="Q183" i="13"/>
  <c r="R69" i="13"/>
  <c r="Q281" i="13"/>
  <c r="S54" i="13"/>
  <c r="S53" i="13"/>
  <c r="Q324" i="13"/>
  <c r="O70" i="13"/>
  <c r="R278" i="13"/>
  <c r="N91" i="13"/>
  <c r="M73" i="13"/>
  <c r="S150" i="13"/>
  <c r="S121" i="13"/>
  <c r="Q335" i="13"/>
  <c r="S292" i="13"/>
  <c r="S300" i="13"/>
  <c r="M215" i="13"/>
  <c r="O281" i="13"/>
  <c r="R187" i="13"/>
  <c r="R107" i="13"/>
  <c r="Q213" i="13"/>
  <c r="R327" i="13"/>
  <c r="O138" i="13"/>
  <c r="N262" i="13"/>
  <c r="S198" i="13"/>
  <c r="N30" i="13"/>
  <c r="M190" i="13"/>
  <c r="N50" i="13"/>
  <c r="O145" i="13"/>
  <c r="R26" i="13"/>
  <c r="R124" i="13"/>
  <c r="Q94" i="13"/>
  <c r="S252" i="13"/>
  <c r="Q214" i="13"/>
  <c r="Q256" i="13"/>
  <c r="R87" i="13"/>
  <c r="O235" i="13"/>
  <c r="R276" i="13"/>
  <c r="Q207" i="13"/>
  <c r="R141" i="13"/>
  <c r="Q249" i="13"/>
  <c r="R88" i="13"/>
  <c r="S301" i="13"/>
  <c r="M355" i="13"/>
  <c r="M24" i="13"/>
  <c r="N352" i="13"/>
  <c r="M315" i="13"/>
  <c r="M67" i="13"/>
  <c r="M323" i="13"/>
  <c r="S349" i="13"/>
  <c r="Q181" i="13"/>
  <c r="S315" i="13"/>
  <c r="O208" i="13"/>
  <c r="R351" i="13"/>
  <c r="N186" i="13"/>
  <c r="M265" i="13"/>
  <c r="M56" i="13"/>
  <c r="Q108" i="13"/>
  <c r="O305" i="13"/>
  <c r="S277" i="13"/>
  <c r="S155" i="13"/>
  <c r="R148" i="13"/>
  <c r="M29" i="13"/>
  <c r="O284" i="13"/>
  <c r="Q9" i="13"/>
  <c r="N99" i="13"/>
  <c r="N48" i="13"/>
  <c r="O263" i="13"/>
  <c r="R228" i="13"/>
  <c r="O41" i="13"/>
  <c r="N238" i="13"/>
  <c r="O136" i="13"/>
  <c r="S59" i="13"/>
  <c r="R10" i="13"/>
  <c r="N172" i="13"/>
  <c r="S195" i="13"/>
  <c r="R14" i="13"/>
  <c r="Q129" i="13"/>
  <c r="R216" i="13"/>
  <c r="N27" i="13"/>
  <c r="O256" i="13"/>
  <c r="N54" i="13"/>
  <c r="S25" i="13"/>
  <c r="O104" i="13"/>
  <c r="O88" i="13"/>
  <c r="R305" i="13"/>
  <c r="Q189" i="13"/>
  <c r="R171" i="13"/>
  <c r="R232" i="13"/>
  <c r="O191" i="13"/>
  <c r="S160" i="13"/>
  <c r="O187" i="13"/>
  <c r="O298" i="13"/>
  <c r="S337" i="13"/>
  <c r="Q237" i="13"/>
  <c r="R308" i="13"/>
  <c r="N348" i="13"/>
  <c r="Q84" i="13"/>
  <c r="M227" i="13"/>
  <c r="M102" i="13"/>
  <c r="S82" i="13"/>
  <c r="M313" i="13"/>
  <c r="N22" i="13"/>
  <c r="N214" i="13"/>
  <c r="S206" i="13"/>
  <c r="M69" i="13"/>
  <c r="O201" i="13"/>
  <c r="M39" i="13"/>
  <c r="Q36" i="13"/>
  <c r="O115" i="13"/>
  <c r="O139" i="13"/>
  <c r="M282" i="13"/>
  <c r="Q103" i="13"/>
  <c r="M146" i="13"/>
  <c r="O318" i="13"/>
  <c r="O260" i="13"/>
  <c r="N76" i="13"/>
  <c r="N147" i="13"/>
  <c r="O62" i="13"/>
  <c r="Q263" i="13"/>
  <c r="R5" i="13"/>
  <c r="M52" i="13"/>
  <c r="M189" i="13"/>
  <c r="Q78" i="13"/>
  <c r="M314" i="13"/>
  <c r="S202" i="13"/>
  <c r="M273" i="13"/>
  <c r="S66" i="13"/>
  <c r="O198" i="13"/>
  <c r="R183" i="13"/>
  <c r="Q69" i="13"/>
  <c r="S281" i="13"/>
  <c r="R54" i="13"/>
  <c r="R53" i="13"/>
  <c r="R324" i="13"/>
  <c r="N70" i="13"/>
  <c r="S278" i="13"/>
  <c r="O91" i="13"/>
  <c r="O73" i="13"/>
  <c r="R150" i="13"/>
  <c r="R121" i="13"/>
  <c r="R335" i="13"/>
  <c r="Q292" i="13"/>
  <c r="Q300" i="13"/>
  <c r="O215" i="13"/>
  <c r="M281" i="13"/>
  <c r="S187" i="13"/>
  <c r="S107" i="13"/>
  <c r="S213" i="13"/>
  <c r="Q327" i="13"/>
  <c r="R151" i="13"/>
  <c r="Q159" i="13"/>
  <c r="Q304" i="13"/>
  <c r="S356" i="13"/>
  <c r="O185" i="13"/>
  <c r="Q210" i="13"/>
  <c r="O21" i="13"/>
  <c r="R63" i="13"/>
  <c r="M119" i="13"/>
  <c r="Q68" i="13"/>
  <c r="M44" i="13"/>
  <c r="O174" i="13"/>
  <c r="O324" i="13"/>
  <c r="O171" i="13"/>
  <c r="S152" i="13"/>
  <c r="M301" i="13"/>
  <c r="Q226" i="13"/>
  <c r="N230" i="13"/>
  <c r="O297" i="13"/>
  <c r="M68" i="13"/>
  <c r="R201" i="13"/>
  <c r="N128" i="13"/>
  <c r="Q248" i="13"/>
  <c r="M33" i="13"/>
  <c r="Q55" i="13"/>
  <c r="N141" i="13"/>
  <c r="O154" i="13"/>
  <c r="O357" i="13"/>
  <c r="O319" i="13"/>
  <c r="N94" i="13"/>
  <c r="Q97" i="13"/>
  <c r="R48" i="13"/>
  <c r="M13" i="13"/>
  <c r="R329" i="13"/>
  <c r="R303" i="13"/>
  <c r="N188" i="13"/>
  <c r="S316" i="13"/>
  <c r="O164" i="13"/>
  <c r="S290" i="13"/>
  <c r="M351" i="13"/>
  <c r="O252" i="13"/>
  <c r="Q333" i="13"/>
  <c r="N283" i="13"/>
  <c r="N304" i="13"/>
  <c r="R194" i="13"/>
  <c r="Q67" i="13"/>
  <c r="N354" i="13"/>
  <c r="O35" i="13"/>
  <c r="S259" i="13"/>
  <c r="M114" i="13"/>
  <c r="S73" i="13"/>
  <c r="Q137" i="13"/>
  <c r="N34" i="13"/>
  <c r="O347" i="13"/>
  <c r="N117" i="13"/>
  <c r="R175" i="13"/>
  <c r="S134" i="13"/>
  <c r="R165" i="13"/>
  <c r="Q93" i="13"/>
  <c r="Q100" i="13"/>
  <c r="S126" i="13"/>
  <c r="N55" i="13"/>
  <c r="S309" i="13"/>
  <c r="O291" i="13"/>
  <c r="O10" i="13"/>
  <c r="Q166" i="13"/>
  <c r="S280" i="13"/>
  <c r="R182" i="13"/>
  <c r="Q331" i="13"/>
  <c r="O103" i="13"/>
  <c r="S274" i="13"/>
  <c r="M148" i="13"/>
  <c r="N233" i="13"/>
  <c r="S264" i="13"/>
  <c r="M5" i="13"/>
  <c r="Q267" i="13"/>
  <c r="M123" i="13"/>
  <c r="N159" i="13"/>
  <c r="R156" i="13"/>
  <c r="O343" i="13"/>
  <c r="N51" i="13"/>
  <c r="R293" i="13"/>
  <c r="Q77" i="13"/>
  <c r="O196" i="13"/>
  <c r="M132" i="13"/>
  <c r="O63" i="13"/>
  <c r="Q61" i="13"/>
  <c r="R193" i="13"/>
  <c r="N232" i="13"/>
  <c r="N176" i="13"/>
  <c r="N350" i="13"/>
  <c r="M118" i="13"/>
  <c r="Q242" i="13"/>
  <c r="R318" i="13"/>
  <c r="M335" i="13"/>
  <c r="M82" i="13"/>
  <c r="S275" i="13"/>
  <c r="R85" i="13"/>
  <c r="S250" i="13"/>
  <c r="O228" i="13"/>
  <c r="O213" i="13"/>
  <c r="O87" i="13"/>
  <c r="M271" i="13"/>
  <c r="R177" i="13"/>
  <c r="S132" i="13"/>
  <c r="R199" i="13"/>
  <c r="Q265" i="13"/>
  <c r="N258" i="13"/>
  <c r="S142" i="13"/>
  <c r="M177" i="13"/>
  <c r="S62" i="13"/>
  <c r="N244" i="13"/>
  <c r="R321" i="13"/>
  <c r="S291" i="13"/>
  <c r="M180" i="13"/>
  <c r="R170" i="13"/>
  <c r="Q230" i="13"/>
  <c r="M162" i="13"/>
  <c r="R56" i="13"/>
  <c r="O109" i="13"/>
  <c r="Q75" i="13"/>
  <c r="O149" i="13"/>
  <c r="S42" i="13"/>
  <c r="S234" i="13"/>
  <c r="S257" i="13"/>
  <c r="N130" i="13"/>
  <c r="S162" i="13"/>
  <c r="Q51" i="13"/>
  <c r="S151" i="13"/>
  <c r="S159" i="13"/>
  <c r="R304" i="13"/>
  <c r="R356" i="13"/>
  <c r="N185" i="13"/>
  <c r="S210" i="13"/>
  <c r="N21" i="13"/>
  <c r="Q63" i="13"/>
  <c r="N119" i="13"/>
  <c r="S68" i="13"/>
  <c r="O44" i="13"/>
  <c r="N174" i="13"/>
  <c r="N324" i="13"/>
  <c r="M171" i="13"/>
  <c r="Q152" i="13"/>
  <c r="O301" i="13"/>
  <c r="S226" i="13"/>
  <c r="M230" i="13"/>
  <c r="M297" i="13"/>
  <c r="O68" i="13"/>
  <c r="Q201" i="13"/>
  <c r="O128" i="13"/>
  <c r="S248" i="13"/>
  <c r="N33" i="13"/>
  <c r="R55" i="13"/>
  <c r="O141" i="13"/>
  <c r="M154" i="13"/>
  <c r="N357" i="13"/>
  <c r="M319" i="13"/>
  <c r="M94" i="13"/>
  <c r="S97" i="13"/>
  <c r="Q48" i="13"/>
  <c r="N13" i="13"/>
  <c r="Q329" i="13"/>
  <c r="S303" i="13"/>
  <c r="O188" i="13"/>
  <c r="R316" i="13"/>
  <c r="N164" i="13"/>
  <c r="Q290" i="13"/>
  <c r="N351" i="13"/>
  <c r="M252" i="13"/>
  <c r="R333" i="13"/>
  <c r="O283" i="13"/>
  <c r="M304" i="13"/>
  <c r="S194" i="13"/>
  <c r="S67" i="13"/>
  <c r="M354" i="13"/>
  <c r="M35" i="13"/>
  <c r="Q259" i="13"/>
  <c r="O114" i="13"/>
  <c r="Q73" i="13"/>
  <c r="R137" i="13"/>
  <c r="O34" i="13"/>
  <c r="M347" i="13"/>
  <c r="M117" i="13"/>
  <c r="Q175" i="13"/>
  <c r="R134" i="13"/>
  <c r="Q165" i="13"/>
  <c r="R93" i="13"/>
  <c r="S100" i="13"/>
  <c r="Q126" i="13"/>
  <c r="M55" i="13"/>
  <c r="Q309" i="13"/>
  <c r="N291" i="13"/>
  <c r="M10" i="13"/>
  <c r="S166" i="13"/>
  <c r="Q280" i="13"/>
  <c r="S182" i="13"/>
  <c r="R331" i="13"/>
  <c r="M103" i="13"/>
  <c r="R274" i="13"/>
  <c r="N148" i="13"/>
  <c r="O233" i="13"/>
  <c r="Q264" i="13"/>
  <c r="O5" i="13"/>
  <c r="S267" i="13"/>
  <c r="N123" i="13"/>
  <c r="O159" i="13"/>
  <c r="Q156" i="13"/>
  <c r="N343" i="13"/>
  <c r="M51" i="13"/>
  <c r="S293" i="13"/>
  <c r="S77" i="13"/>
  <c r="M196" i="13"/>
  <c r="N132" i="13"/>
  <c r="M63" i="13"/>
  <c r="R61" i="13"/>
  <c r="Q193" i="13"/>
  <c r="O232" i="13"/>
  <c r="M176" i="13"/>
  <c r="O350" i="13"/>
  <c r="O118" i="13"/>
  <c r="S242" i="13"/>
  <c r="Q318" i="13"/>
  <c r="O335" i="13"/>
  <c r="N82" i="13"/>
  <c r="Q275" i="13"/>
  <c r="Q85" i="13"/>
  <c r="R250" i="13"/>
  <c r="M228" i="13"/>
  <c r="N213" i="13"/>
  <c r="M87" i="13"/>
  <c r="N271" i="13"/>
  <c r="S177" i="13"/>
  <c r="R132" i="13"/>
  <c r="S199" i="13"/>
  <c r="S265" i="13"/>
  <c r="M258" i="13"/>
  <c r="Q142" i="13"/>
  <c r="N177" i="13"/>
  <c r="R62" i="13"/>
  <c r="O244" i="13"/>
  <c r="Q321" i="13"/>
  <c r="R291" i="13"/>
  <c r="N180" i="13"/>
  <c r="S170" i="13"/>
  <c r="R230" i="13"/>
  <c r="N162" i="13"/>
  <c r="Q56" i="13"/>
  <c r="N109" i="13"/>
  <c r="S75" i="13"/>
  <c r="N149" i="13"/>
  <c r="Q42" i="13"/>
  <c r="Q234" i="13"/>
  <c r="R257" i="13"/>
  <c r="M130" i="13"/>
  <c r="Q162" i="13"/>
  <c r="R51" i="13"/>
  <c r="Q151" i="13"/>
  <c r="R159" i="13"/>
  <c r="S304" i="13"/>
  <c r="Q356" i="13"/>
  <c r="M185" i="13"/>
  <c r="R210" i="13"/>
  <c r="M21" i="13"/>
  <c r="S63" i="13"/>
  <c r="O119" i="13"/>
  <c r="R68" i="13"/>
  <c r="N44" i="13"/>
  <c r="M174" i="13"/>
  <c r="M324" i="13"/>
  <c r="N171" i="13"/>
  <c r="R152" i="13"/>
  <c r="N301" i="13"/>
  <c r="R226" i="13"/>
  <c r="O230" i="13"/>
  <c r="N297" i="13"/>
  <c r="N68" i="13"/>
  <c r="S201" i="13"/>
  <c r="M128" i="13"/>
  <c r="R248" i="13"/>
  <c r="O33" i="13"/>
  <c r="S55" i="13"/>
  <c r="M141" i="13"/>
  <c r="N154" i="13"/>
  <c r="M357" i="13"/>
  <c r="N319" i="13"/>
  <c r="O94" i="13"/>
  <c r="R97" i="13"/>
  <c r="S48" i="13"/>
  <c r="O13" i="13"/>
  <c r="S329" i="13"/>
  <c r="Q303" i="13"/>
  <c r="M188" i="13"/>
  <c r="Q316" i="13"/>
  <c r="M164" i="13"/>
  <c r="R290" i="13"/>
  <c r="O351" i="13"/>
  <c r="N252" i="13"/>
  <c r="S333" i="13"/>
  <c r="M283" i="13"/>
  <c r="O304" i="13"/>
  <c r="Q194" i="13"/>
  <c r="R67" i="13"/>
  <c r="O354" i="13"/>
  <c r="N35" i="13"/>
  <c r="R259" i="13"/>
  <c r="N114" i="13"/>
  <c r="R73" i="13"/>
  <c r="S137" i="13"/>
  <c r="M34" i="13"/>
  <c r="N347" i="13"/>
  <c r="O117" i="13"/>
  <c r="S175" i="13"/>
  <c r="Q134" i="13"/>
  <c r="S165" i="13"/>
  <c r="S93" i="13"/>
  <c r="R100" i="13"/>
  <c r="R126" i="13"/>
  <c r="O55" i="13"/>
  <c r="R309" i="13"/>
  <c r="M291" i="13"/>
  <c r="N15" i="13"/>
  <c r="R288" i="13"/>
  <c r="O211" i="13"/>
  <c r="N231" i="13"/>
  <c r="M86" i="13"/>
  <c r="R96" i="13"/>
  <c r="N202" i="13"/>
  <c r="O124" i="13"/>
  <c r="S266" i="13"/>
  <c r="Q341" i="13"/>
  <c r="S130" i="13"/>
  <c r="N197" i="13"/>
  <c r="R271" i="13"/>
  <c r="M25" i="13"/>
  <c r="O345" i="13"/>
  <c r="M279" i="13"/>
  <c r="M83" i="13"/>
  <c r="N81" i="13"/>
  <c r="O229" i="13"/>
  <c r="Q238" i="13"/>
  <c r="M218" i="13"/>
  <c r="S15" i="13"/>
  <c r="R173" i="13"/>
  <c r="M205" i="13"/>
  <c r="O6" i="13"/>
  <c r="Q235" i="13"/>
  <c r="Q106" i="13"/>
  <c r="O42" i="13"/>
  <c r="O217" i="13"/>
  <c r="M237" i="13"/>
  <c r="M193" i="13"/>
  <c r="O152" i="13"/>
  <c r="R270" i="13"/>
  <c r="M79" i="13"/>
  <c r="O255" i="13"/>
  <c r="N160" i="13"/>
  <c r="O37" i="13"/>
  <c r="S240" i="13"/>
  <c r="R22" i="13"/>
  <c r="Q37" i="13"/>
  <c r="R357" i="13"/>
  <c r="S138" i="13"/>
  <c r="R227" i="13"/>
  <c r="M321" i="13"/>
  <c r="O349" i="13"/>
  <c r="Q104" i="13"/>
  <c r="M12" i="13"/>
  <c r="R353" i="13"/>
  <c r="S49" i="13"/>
  <c r="R50" i="13"/>
  <c r="N206" i="13"/>
  <c r="M77" i="13"/>
  <c r="Q179" i="13"/>
  <c r="O342" i="13"/>
  <c r="R90" i="13"/>
  <c r="N105" i="13"/>
  <c r="S39" i="13"/>
  <c r="O165" i="13"/>
  <c r="N32" i="13"/>
  <c r="R81" i="13"/>
  <c r="R220" i="13"/>
  <c r="S212" i="13"/>
  <c r="R233" i="13"/>
  <c r="N140" i="13"/>
  <c r="N295" i="13"/>
  <c r="N59" i="13"/>
  <c r="Q7" i="13"/>
  <c r="N101" i="13"/>
  <c r="S211" i="13"/>
  <c r="O240" i="13"/>
  <c r="R8" i="13"/>
  <c r="O346" i="13"/>
  <c r="Q236" i="13"/>
  <c r="M308" i="13"/>
  <c r="S347" i="13"/>
  <c r="O18" i="13"/>
  <c r="O170" i="13"/>
  <c r="N302" i="13"/>
  <c r="M207" i="13"/>
  <c r="O327" i="13"/>
  <c r="Q348" i="13"/>
  <c r="M224" i="13"/>
  <c r="M253" i="13"/>
  <c r="R286" i="13"/>
  <c r="M120" i="13"/>
  <c r="S123" i="13"/>
  <c r="Q11" i="13"/>
  <c r="Q74" i="13"/>
  <c r="Q196" i="13"/>
  <c r="R273" i="13"/>
  <c r="M134" i="13"/>
  <c r="S113" i="13"/>
  <c r="Q168" i="13"/>
  <c r="Q115" i="13"/>
  <c r="O264" i="13"/>
  <c r="O204" i="13"/>
  <c r="M111" i="13"/>
  <c r="O153" i="13"/>
  <c r="R219" i="13"/>
  <c r="M223" i="13"/>
  <c r="O108" i="13"/>
  <c r="S253" i="13"/>
  <c r="O199" i="13"/>
  <c r="S45" i="13"/>
  <c r="O209" i="13"/>
  <c r="Q325" i="13"/>
  <c r="O156" i="13"/>
  <c r="N11" i="13"/>
  <c r="R167" i="13"/>
  <c r="N254" i="13"/>
  <c r="R43" i="13"/>
  <c r="S298" i="13"/>
  <c r="M239" i="13"/>
  <c r="N92" i="13"/>
  <c r="S279" i="13"/>
  <c r="S272" i="13"/>
  <c r="R120" i="13"/>
  <c r="N53" i="13"/>
  <c r="M84" i="13"/>
  <c r="Q76" i="13"/>
  <c r="S294" i="13"/>
  <c r="M26" i="13"/>
  <c r="O289" i="13"/>
  <c r="N249" i="13"/>
  <c r="S27" i="13"/>
  <c r="S191" i="13"/>
  <c r="Q254" i="13"/>
  <c r="O15" i="13"/>
  <c r="Q288" i="13"/>
  <c r="N211" i="13"/>
  <c r="O231" i="13"/>
  <c r="O86" i="13"/>
  <c r="S96" i="13"/>
  <c r="M202" i="13"/>
  <c r="M124" i="13"/>
  <c r="Q266" i="13"/>
  <c r="S341" i="13"/>
  <c r="R130" i="13"/>
  <c r="M197" i="13"/>
  <c r="S271" i="13"/>
  <c r="N25" i="13"/>
  <c r="N345" i="13"/>
  <c r="N279" i="13"/>
  <c r="O83" i="13"/>
  <c r="O81" i="13"/>
  <c r="M229" i="13"/>
  <c r="S238" i="13"/>
  <c r="N218" i="13"/>
  <c r="Q15" i="13"/>
  <c r="S173" i="13"/>
  <c r="N205" i="13"/>
  <c r="N6" i="13"/>
  <c r="S235" i="13"/>
  <c r="S106" i="13"/>
  <c r="M42" i="13"/>
  <c r="N217" i="13"/>
  <c r="O237" i="13"/>
  <c r="N193" i="13"/>
  <c r="M152" i="13"/>
  <c r="Q270" i="13"/>
  <c r="O79" i="13"/>
  <c r="N255" i="13"/>
  <c r="M160" i="13"/>
  <c r="M37" i="13"/>
  <c r="Q240" i="13"/>
  <c r="S22" i="13"/>
  <c r="S37" i="13"/>
  <c r="Q357" i="13"/>
  <c r="R138" i="13"/>
  <c r="S227" i="13"/>
  <c r="N321" i="13"/>
  <c r="M349" i="13"/>
  <c r="R104" i="13"/>
  <c r="O12" i="13"/>
  <c r="S353" i="13"/>
  <c r="R49" i="13"/>
  <c r="S50" i="13"/>
  <c r="O206" i="13"/>
  <c r="O77" i="13"/>
  <c r="R179" i="13"/>
  <c r="M342" i="13"/>
  <c r="S90" i="13"/>
  <c r="O105" i="13"/>
  <c r="Q39" i="13"/>
  <c r="M165" i="13"/>
  <c r="O32" i="13"/>
  <c r="Q81" i="13"/>
  <c r="Q220" i="13"/>
  <c r="Q212" i="13"/>
  <c r="Q233" i="13"/>
  <c r="O140" i="13"/>
  <c r="O295" i="13"/>
  <c r="O59" i="13"/>
  <c r="R7" i="13"/>
  <c r="O101" i="13"/>
  <c r="Q211" i="13"/>
  <c r="M240" i="13"/>
  <c r="Q8" i="13"/>
  <c r="N346" i="13"/>
  <c r="R236" i="13"/>
  <c r="N308" i="13"/>
  <c r="Q347" i="13"/>
  <c r="N18" i="13"/>
  <c r="N170" i="13"/>
  <c r="M302" i="13"/>
  <c r="N207" i="13"/>
  <c r="M327" i="13"/>
  <c r="S348" i="13"/>
  <c r="O224" i="13"/>
  <c r="O253" i="13"/>
  <c r="S286" i="13"/>
  <c r="N120" i="13"/>
  <c r="Q123" i="13"/>
  <c r="S11" i="13"/>
  <c r="R74" i="13"/>
  <c r="R196" i="13"/>
  <c r="Q273" i="13"/>
  <c r="N134" i="13"/>
  <c r="Q113" i="13"/>
  <c r="R168" i="13"/>
  <c r="R115" i="13"/>
  <c r="N264" i="13"/>
  <c r="M204" i="13"/>
  <c r="O111" i="13"/>
  <c r="N153" i="13"/>
  <c r="Q219" i="13"/>
  <c r="N223" i="13"/>
  <c r="M108" i="13"/>
  <c r="R253" i="13"/>
  <c r="N199" i="13"/>
  <c r="R45" i="13"/>
  <c r="N209" i="13"/>
  <c r="R325" i="13"/>
  <c r="N156" i="13"/>
  <c r="O11" i="13"/>
  <c r="S167" i="13"/>
  <c r="O254" i="13"/>
  <c r="Q43" i="13"/>
  <c r="Q298" i="13"/>
  <c r="O239" i="13"/>
  <c r="O92" i="13"/>
  <c r="R279" i="13"/>
  <c r="Q272" i="13"/>
  <c r="Q120" i="13"/>
  <c r="M53" i="13"/>
  <c r="N84" i="13"/>
  <c r="R76" i="13"/>
  <c r="Q294" i="13"/>
  <c r="N26" i="13"/>
  <c r="N289" i="13"/>
  <c r="O249" i="13"/>
  <c r="R27" i="13"/>
  <c r="Q191" i="13"/>
  <c r="S254" i="13"/>
  <c r="M15" i="13"/>
  <c r="S288" i="13"/>
  <c r="M211" i="13"/>
  <c r="M231" i="13"/>
  <c r="N86" i="13"/>
  <c r="Q96" i="13"/>
  <c r="O202" i="13"/>
  <c r="N124" i="13"/>
  <c r="R266" i="13"/>
  <c r="R341" i="13"/>
  <c r="Q130" i="13"/>
  <c r="O197" i="13"/>
  <c r="Q271" i="13"/>
  <c r="O25" i="13"/>
  <c r="M345" i="13"/>
  <c r="O279" i="13"/>
  <c r="N83" i="13"/>
  <c r="M81" i="13"/>
  <c r="N229" i="13"/>
  <c r="R238" i="13"/>
  <c r="O218" i="13"/>
  <c r="R15" i="13"/>
  <c r="Q173" i="13"/>
  <c r="O205" i="13"/>
  <c r="M6" i="13"/>
  <c r="R235" i="13"/>
  <c r="R106" i="13"/>
  <c r="N42" i="13"/>
  <c r="M217" i="13"/>
  <c r="N237" i="13"/>
  <c r="O193" i="13"/>
  <c r="N152" i="13"/>
  <c r="S270" i="13"/>
  <c r="N79" i="13"/>
  <c r="M255" i="13"/>
  <c r="O160" i="13"/>
  <c r="N37" i="13"/>
  <c r="R240" i="13"/>
  <c r="Q22" i="13"/>
  <c r="R37" i="13"/>
  <c r="S357" i="13"/>
  <c r="Q138" i="13"/>
  <c r="Q227" i="13"/>
  <c r="O321" i="13"/>
  <c r="N349" i="13"/>
  <c r="S104" i="13"/>
  <c r="N12" i="13"/>
  <c r="Q353" i="13"/>
  <c r="Q49" i="13"/>
  <c r="Q50" i="13"/>
  <c r="M206" i="13"/>
  <c r="N77" i="13"/>
  <c r="S179" i="13"/>
  <c r="N342" i="13"/>
  <c r="Q90" i="13"/>
  <c r="M105" i="13"/>
  <c r="R39" i="13"/>
  <c r="N165" i="13"/>
  <c r="M32" i="13"/>
  <c r="S81" i="13"/>
  <c r="S220" i="13"/>
  <c r="R212" i="13"/>
  <c r="S233" i="13"/>
  <c r="M140" i="13"/>
  <c r="M295" i="13"/>
  <c r="M59" i="13"/>
  <c r="S7" i="13"/>
  <c r="M101" i="13"/>
  <c r="R211" i="13"/>
  <c r="N240" i="13"/>
  <c r="S8" i="13"/>
  <c r="M346" i="13"/>
  <c r="S236" i="13"/>
  <c r="O308" i="13"/>
  <c r="R347" i="13"/>
  <c r="M18" i="13"/>
  <c r="M170" i="13"/>
  <c r="O302" i="13"/>
  <c r="O207" i="13"/>
  <c r="N327" i="13"/>
  <c r="R348" i="13"/>
  <c r="N224" i="13"/>
  <c r="N253" i="13"/>
  <c r="Q286" i="13"/>
  <c r="O120" i="13"/>
  <c r="R123" i="13"/>
  <c r="R11" i="13"/>
  <c r="S74" i="13"/>
  <c r="S196" i="13"/>
  <c r="S273" i="13"/>
  <c r="O134" i="13"/>
  <c r="R113" i="13"/>
  <c r="S168" i="13"/>
  <c r="S115" i="13"/>
  <c r="M264" i="13"/>
  <c r="N204" i="13"/>
  <c r="N111" i="13"/>
  <c r="M153" i="13"/>
  <c r="S219" i="13"/>
  <c r="O223" i="13"/>
  <c r="N108" i="13"/>
  <c r="Q253" i="13"/>
  <c r="M199" i="13"/>
  <c r="Q45" i="13"/>
  <c r="M209" i="13"/>
  <c r="S325" i="13"/>
  <c r="M156" i="13"/>
  <c r="M11" i="13"/>
  <c r="Q167" i="13"/>
  <c r="M254" i="13"/>
  <c r="S43" i="13"/>
  <c r="R298" i="13"/>
  <c r="N239" i="13"/>
  <c r="M92" i="13"/>
  <c r="Q279" i="13"/>
  <c r="R272" i="13"/>
  <c r="S120" i="13"/>
  <c r="O53" i="13"/>
  <c r="O84" i="13"/>
  <c r="S76" i="13"/>
  <c r="R294" i="13"/>
  <c r="O26" i="13"/>
  <c r="M289" i="13"/>
  <c r="M249" i="13"/>
  <c r="Q27" i="13"/>
  <c r="R191" i="13"/>
  <c r="R254" i="13"/>
  <c r="M210" i="13"/>
  <c r="N332" i="13"/>
  <c r="N47" i="13"/>
  <c r="N96" i="13"/>
  <c r="N126" i="13"/>
  <c r="R91" i="13"/>
  <c r="M225" i="13"/>
  <c r="R222" i="13"/>
  <c r="O20" i="13"/>
  <c r="Q20" i="13"/>
  <c r="N66" i="13"/>
  <c r="S313" i="13"/>
  <c r="Q245" i="13"/>
  <c r="M226" i="13"/>
  <c r="M290" i="13"/>
  <c r="M277" i="13"/>
  <c r="M45" i="13"/>
  <c r="R136" i="13"/>
  <c r="S28" i="13"/>
  <c r="M339" i="13"/>
  <c r="N310" i="13"/>
  <c r="S146" i="13"/>
  <c r="R79" i="13"/>
  <c r="M78" i="13"/>
  <c r="R284" i="13"/>
  <c r="O116" i="13"/>
  <c r="Q262" i="13"/>
  <c r="Q119" i="13"/>
  <c r="N157" i="13"/>
  <c r="R65" i="13"/>
  <c r="M182" i="13"/>
  <c r="O195" i="13"/>
  <c r="N268" i="13"/>
  <c r="S17" i="13"/>
  <c r="S340" i="13"/>
  <c r="Q296" i="13"/>
  <c r="S98" i="13"/>
  <c r="M112" i="13"/>
  <c r="O341" i="13"/>
  <c r="Q192" i="13"/>
  <c r="N7" i="13"/>
  <c r="R52" i="13"/>
  <c r="R215" i="13"/>
  <c r="Q153" i="13"/>
  <c r="Q229" i="13"/>
  <c r="S307" i="13"/>
  <c r="M334" i="13"/>
  <c r="R125" i="13"/>
  <c r="R332" i="13"/>
  <c r="S345" i="13"/>
  <c r="R127" i="13"/>
  <c r="O100" i="13"/>
  <c r="Q287" i="13"/>
  <c r="M144" i="13"/>
  <c r="Q251" i="13"/>
  <c r="O216" i="13"/>
  <c r="N131" i="13"/>
  <c r="O222" i="13"/>
  <c r="Q19" i="13"/>
  <c r="M257" i="13"/>
  <c r="S311" i="13"/>
  <c r="Q185" i="13"/>
  <c r="O278" i="13"/>
  <c r="S35" i="13"/>
  <c r="M93" i="13"/>
  <c r="M317" i="13"/>
  <c r="N169" i="13"/>
  <c r="Q178" i="13"/>
  <c r="N158" i="13"/>
  <c r="S102" i="13"/>
  <c r="O236" i="13"/>
  <c r="M353" i="13"/>
  <c r="R46" i="13"/>
  <c r="N261" i="13"/>
  <c r="N285" i="13"/>
  <c r="O311" i="13"/>
  <c r="S268" i="13"/>
  <c r="M175" i="13"/>
  <c r="N247" i="13"/>
  <c r="R60" i="13"/>
  <c r="N40" i="13"/>
  <c r="Q326" i="13"/>
  <c r="M250" i="13"/>
  <c r="O241" i="13"/>
  <c r="R223" i="13"/>
  <c r="M122" i="13"/>
  <c r="N328" i="13"/>
  <c r="R346" i="13"/>
  <c r="N89" i="13"/>
  <c r="S231" i="13"/>
  <c r="M98" i="13"/>
  <c r="N107" i="13"/>
  <c r="R145" i="13"/>
  <c r="O251" i="13"/>
  <c r="R80" i="13"/>
  <c r="O299" i="13"/>
  <c r="S21" i="13"/>
  <c r="N266" i="13"/>
  <c r="O85" i="13"/>
  <c r="N28" i="13"/>
  <c r="S86" i="13"/>
  <c r="R118" i="13"/>
  <c r="M142" i="13"/>
  <c r="R217" i="13"/>
  <c r="S352" i="13"/>
  <c r="Q180" i="13"/>
  <c r="N166" i="13"/>
  <c r="S200" i="13"/>
  <c r="N179" i="13"/>
  <c r="Q83" i="13"/>
  <c r="O110" i="13"/>
  <c r="M60" i="13"/>
  <c r="M234" i="13"/>
  <c r="S169" i="13"/>
  <c r="S101" i="13"/>
  <c r="S12" i="13"/>
  <c r="Q92" i="13"/>
  <c r="Q225" i="13"/>
  <c r="M344" i="13"/>
  <c r="R44" i="13"/>
  <c r="O356" i="13"/>
  <c r="S135" i="13"/>
  <c r="S310" i="13"/>
  <c r="O322" i="13"/>
  <c r="O287" i="13"/>
  <c r="N210" i="13"/>
  <c r="O332" i="13"/>
  <c r="O47" i="13"/>
  <c r="M96" i="13"/>
  <c r="M126" i="13"/>
  <c r="S91" i="13"/>
  <c r="N225" i="13"/>
  <c r="S222" i="13"/>
  <c r="N20" i="13"/>
  <c r="S20" i="13"/>
  <c r="O66" i="13"/>
  <c r="Q313" i="13"/>
  <c r="R245" i="13"/>
  <c r="O226" i="13"/>
  <c r="O290" i="13"/>
  <c r="O277" i="13"/>
  <c r="N45" i="13"/>
  <c r="S136" i="13"/>
  <c r="Q28" i="13"/>
  <c r="N339" i="13"/>
  <c r="O310" i="13"/>
  <c r="Q146" i="13"/>
  <c r="S79" i="13"/>
  <c r="N78" i="13"/>
  <c r="Q284" i="13"/>
  <c r="M116" i="13"/>
  <c r="R262" i="13"/>
  <c r="S119" i="13"/>
  <c r="O157" i="13"/>
  <c r="S65" i="13"/>
  <c r="N182" i="13"/>
  <c r="M195" i="13"/>
  <c r="O268" i="13"/>
  <c r="R17" i="13"/>
  <c r="Q340" i="13"/>
  <c r="R296" i="13"/>
  <c r="Q98" i="13"/>
  <c r="O112" i="13"/>
  <c r="M341" i="13"/>
  <c r="S192" i="13"/>
  <c r="O7" i="13"/>
  <c r="S52" i="13"/>
  <c r="S215" i="13"/>
  <c r="R153" i="13"/>
  <c r="S229" i="13"/>
  <c r="Q307" i="13"/>
  <c r="N334" i="13"/>
  <c r="Q125" i="13"/>
  <c r="S332" i="13"/>
  <c r="Q345" i="13"/>
  <c r="S127" i="13"/>
  <c r="N100" i="13"/>
  <c r="R287" i="13"/>
  <c r="N144" i="13"/>
  <c r="S251" i="13"/>
  <c r="M216" i="13"/>
  <c r="O131" i="13"/>
  <c r="M222" i="13"/>
  <c r="S19" i="13"/>
  <c r="N257" i="13"/>
  <c r="R311" i="13"/>
  <c r="S185" i="13"/>
  <c r="N278" i="13"/>
  <c r="Q35" i="13"/>
  <c r="N93" i="13"/>
  <c r="O317" i="13"/>
  <c r="M169" i="13"/>
  <c r="R178" i="13"/>
  <c r="M158" i="13"/>
  <c r="Q102" i="13"/>
  <c r="M236" i="13"/>
  <c r="N353" i="13"/>
  <c r="Q46" i="13"/>
  <c r="M261" i="13"/>
  <c r="O285" i="13"/>
  <c r="M311" i="13"/>
  <c r="R268" i="13"/>
  <c r="O175" i="13"/>
  <c r="O247" i="13"/>
  <c r="S60" i="13"/>
  <c r="O40" i="13"/>
  <c r="R326" i="13"/>
  <c r="O250" i="13"/>
  <c r="M241" i="13"/>
  <c r="S223" i="13"/>
  <c r="N122" i="13"/>
  <c r="O328" i="13"/>
  <c r="Q346" i="13"/>
  <c r="M89" i="13"/>
  <c r="Q231" i="13"/>
  <c r="N98" i="13"/>
  <c r="M107" i="13"/>
  <c r="Q145" i="13"/>
  <c r="M251" i="13"/>
  <c r="Q80" i="13"/>
  <c r="M299" i="13"/>
  <c r="R21" i="13"/>
  <c r="O266" i="13"/>
  <c r="N85" i="13"/>
  <c r="O28" i="13"/>
  <c r="Q86" i="13"/>
  <c r="Q118" i="13"/>
  <c r="N142" i="13"/>
  <c r="S217" i="13"/>
  <c r="R352" i="13"/>
  <c r="S180" i="13"/>
  <c r="M166" i="13"/>
  <c r="Q200" i="13"/>
  <c r="O179" i="13"/>
  <c r="S83" i="13"/>
  <c r="N110" i="13"/>
  <c r="N60" i="13"/>
  <c r="O234" i="13"/>
  <c r="Q169" i="13"/>
  <c r="R101" i="13"/>
  <c r="Q12" i="13"/>
  <c r="R92" i="13"/>
  <c r="R225" i="13"/>
  <c r="O344" i="13"/>
  <c r="S44" i="13"/>
  <c r="N356" i="13"/>
  <c r="R135" i="13"/>
  <c r="Q310" i="13"/>
  <c r="N322" i="13"/>
  <c r="M287" i="13"/>
  <c r="O210" i="13"/>
  <c r="M332" i="13"/>
  <c r="M47" i="13"/>
  <c r="O96" i="13"/>
  <c r="O126" i="13"/>
  <c r="Q91" i="13"/>
  <c r="O225" i="13"/>
  <c r="Q222" i="13"/>
  <c r="M20" i="13"/>
  <c r="R20" i="13"/>
  <c r="M66" i="13"/>
  <c r="R313" i="13"/>
  <c r="S245" i="13"/>
  <c r="N226" i="13"/>
  <c r="N290" i="13"/>
  <c r="N277" i="13"/>
  <c r="O45" i="13"/>
  <c r="Q136" i="13"/>
  <c r="R28" i="13"/>
  <c r="O339" i="13"/>
  <c r="M310" i="13"/>
  <c r="R146" i="13"/>
  <c r="Q79" i="13"/>
  <c r="O78" i="13"/>
  <c r="S284" i="13"/>
  <c r="N116" i="13"/>
  <c r="S262" i="13"/>
  <c r="R119" i="13"/>
  <c r="M157" i="13"/>
  <c r="Q65" i="13"/>
  <c r="O182" i="13"/>
  <c r="N195" i="13"/>
  <c r="M268" i="13"/>
  <c r="Q17" i="13"/>
  <c r="R340" i="13"/>
  <c r="S296" i="13"/>
  <c r="R98" i="13"/>
  <c r="N112" i="13"/>
  <c r="N341" i="13"/>
  <c r="R192" i="13"/>
  <c r="M7" i="13"/>
  <c r="Q52" i="13"/>
  <c r="Q215" i="13"/>
  <c r="S153" i="13"/>
  <c r="R229" i="13"/>
  <c r="R307" i="13"/>
  <c r="O334" i="13"/>
  <c r="S125" i="13"/>
  <c r="Q332" i="13"/>
  <c r="R345" i="13"/>
  <c r="Q127" i="13"/>
  <c r="M100" i="13"/>
  <c r="S287" i="13"/>
  <c r="O144" i="13"/>
  <c r="R251" i="13"/>
  <c r="N216" i="13"/>
  <c r="M131" i="13"/>
  <c r="N222" i="13"/>
  <c r="R19" i="13"/>
  <c r="O257" i="13"/>
  <c r="Q311" i="13"/>
  <c r="R185" i="13"/>
  <c r="M278" i="13"/>
  <c r="R35" i="13"/>
  <c r="O93" i="13"/>
  <c r="N317" i="13"/>
  <c r="O169" i="13"/>
  <c r="S178" i="13"/>
  <c r="O158" i="13"/>
  <c r="R102" i="13"/>
  <c r="N236" i="13"/>
  <c r="O353" i="13"/>
  <c r="S46" i="13"/>
  <c r="O261" i="13"/>
  <c r="M285" i="13"/>
  <c r="N311" i="13"/>
  <c r="Q268" i="13"/>
  <c r="N175" i="13"/>
  <c r="M247" i="13"/>
  <c r="Q60" i="13"/>
  <c r="M40" i="13"/>
  <c r="S326" i="13"/>
  <c r="N250" i="13"/>
  <c r="N241" i="13"/>
  <c r="Q223" i="13"/>
  <c r="O122" i="13"/>
  <c r="M328" i="13"/>
  <c r="S346" i="13"/>
  <c r="O89" i="13"/>
  <c r="R231" i="13"/>
  <c r="O98" i="13"/>
  <c r="O107" i="13"/>
  <c r="S145" i="13"/>
  <c r="N251" i="13"/>
  <c r="S80" i="13"/>
  <c r="N299" i="13"/>
  <c r="Q21" i="13"/>
  <c r="M266" i="13"/>
  <c r="M85" i="13"/>
  <c r="M28" i="13"/>
  <c r="R86" i="13"/>
  <c r="S118" i="13"/>
  <c r="O142" i="13"/>
  <c r="Q217" i="13"/>
  <c r="Q352" i="13"/>
  <c r="R180" i="13"/>
  <c r="O166" i="13"/>
  <c r="R200" i="13"/>
  <c r="M179" i="13"/>
  <c r="R83" i="13"/>
  <c r="M110" i="13"/>
  <c r="O60" i="13"/>
  <c r="N234" i="13"/>
  <c r="R169" i="13"/>
  <c r="Q101" i="13"/>
  <c r="R12" i="13"/>
  <c r="S92" i="13"/>
  <c r="S225" i="13"/>
  <c r="N344" i="13"/>
  <c r="Q44" i="13"/>
  <c r="N10" i="13"/>
  <c r="N190" i="13"/>
  <c r="R252" i="13"/>
  <c r="S207" i="13"/>
  <c r="N24" i="13"/>
  <c r="R181" i="13"/>
  <c r="N56" i="13"/>
  <c r="N29" i="13"/>
  <c r="Q228" i="13"/>
  <c r="O172" i="13"/>
  <c r="Q216" i="13"/>
  <c r="M243" i="13"/>
  <c r="R295" i="13"/>
  <c r="R143" i="13"/>
  <c r="N333" i="13"/>
  <c r="R71" i="13"/>
  <c r="N275" i="13"/>
  <c r="O121" i="13"/>
  <c r="S149" i="13"/>
  <c r="O325" i="13"/>
  <c r="S314" i="13"/>
  <c r="N49" i="13"/>
  <c r="O74" i="13"/>
  <c r="S144" i="13"/>
  <c r="N31" i="13"/>
  <c r="M337" i="13"/>
  <c r="O293" i="13"/>
  <c r="O168" i="13"/>
  <c r="R72" i="13"/>
  <c r="M14" i="13"/>
  <c r="R255" i="13"/>
  <c r="S299" i="13"/>
  <c r="M203" i="13"/>
  <c r="R338" i="13"/>
  <c r="M125" i="13"/>
  <c r="N280" i="13"/>
  <c r="R122" i="13"/>
  <c r="N242" i="13"/>
  <c r="S354" i="13"/>
  <c r="Q204" i="13"/>
  <c r="S319" i="13"/>
  <c r="S285" i="13"/>
  <c r="Q154" i="13"/>
  <c r="S247" i="13"/>
  <c r="R128" i="13"/>
  <c r="M8" i="13"/>
  <c r="S131" i="13"/>
  <c r="R188" i="13"/>
  <c r="M245" i="13"/>
  <c r="S176" i="13"/>
  <c r="M270" i="13"/>
  <c r="N246" i="13"/>
  <c r="M274" i="13"/>
  <c r="Q297" i="13"/>
  <c r="N137" i="13"/>
  <c r="S34" i="13"/>
  <c r="O135" i="13"/>
  <c r="O9" i="13"/>
  <c r="N17" i="13"/>
  <c r="N72" i="13"/>
  <c r="M4" i="13"/>
  <c r="R166" i="13"/>
  <c r="M233" i="13"/>
  <c r="S156" i="13"/>
  <c r="O132" i="13"/>
  <c r="M350" i="13"/>
  <c r="R275" i="13"/>
  <c r="O271" i="13"/>
  <c r="R142" i="13"/>
  <c r="O180" i="13"/>
  <c r="R75" i="13"/>
  <c r="Q257" i="13"/>
  <c r="M54" i="13"/>
  <c r="Q295" i="13"/>
  <c r="Q143" i="13"/>
  <c r="M333" i="13"/>
  <c r="Q71" i="13"/>
  <c r="O275" i="13"/>
  <c r="N121" i="13"/>
  <c r="Q149" i="13"/>
  <c r="M325" i="13"/>
  <c r="R314" i="13"/>
  <c r="M49" i="13"/>
  <c r="N74" i="13"/>
  <c r="Q144" i="13"/>
  <c r="M31" i="13"/>
  <c r="N337" i="13"/>
  <c r="N293" i="13"/>
  <c r="N168" i="13"/>
  <c r="S72" i="13"/>
  <c r="N14" i="13"/>
  <c r="S255" i="13"/>
  <c r="R299" i="13"/>
  <c r="O203" i="13"/>
  <c r="Q338" i="13"/>
  <c r="N125" i="13"/>
  <c r="M280" i="13"/>
  <c r="S122" i="13"/>
  <c r="M242" i="13"/>
  <c r="R354" i="13"/>
  <c r="S204" i="13"/>
  <c r="R319" i="13"/>
  <c r="Q285" i="13"/>
  <c r="R154" i="13"/>
  <c r="R247" i="13"/>
  <c r="Q128" i="13"/>
  <c r="O8" i="13"/>
  <c r="Q131" i="13"/>
  <c r="S188" i="13"/>
  <c r="O245" i="13"/>
  <c r="R176" i="13"/>
  <c r="O270" i="13"/>
  <c r="M246" i="13"/>
  <c r="O274" i="13"/>
  <c r="R297" i="13"/>
  <c r="M137" i="13"/>
  <c r="Q34" i="13"/>
  <c r="M135" i="13"/>
  <c r="M9" i="13"/>
  <c r="M17" i="13"/>
  <c r="O72" i="13"/>
  <c r="O4" i="13"/>
  <c r="R280" i="13"/>
  <c r="M50" i="13"/>
  <c r="S214" i="13"/>
  <c r="Q141" i="13"/>
  <c r="O352" i="13"/>
  <c r="Q315" i="13"/>
  <c r="R108" i="13"/>
  <c r="N284" i="13"/>
  <c r="N41" i="13"/>
  <c r="M356" i="13"/>
  <c r="N287" i="13"/>
  <c r="S51" i="13"/>
  <c r="S295" i="13"/>
  <c r="S143" i="13"/>
  <c r="O333" i="13"/>
  <c r="S71" i="13"/>
  <c r="M275" i="13"/>
  <c r="M121" i="13"/>
  <c r="R149" i="13"/>
  <c r="N325" i="13"/>
  <c r="Q314" i="13"/>
  <c r="O49" i="13"/>
  <c r="M74" i="13"/>
  <c r="R144" i="13"/>
  <c r="O31" i="13"/>
  <c r="O337" i="13"/>
  <c r="M293" i="13"/>
  <c r="M168" i="13"/>
  <c r="Q72" i="13"/>
  <c r="O14" i="13"/>
  <c r="Q255" i="13"/>
  <c r="Q299" i="13"/>
  <c r="N203" i="13"/>
  <c r="S338" i="13"/>
  <c r="O125" i="13"/>
  <c r="O280" i="13"/>
  <c r="Q122" i="13"/>
  <c r="O242" i="13"/>
  <c r="Q354" i="13"/>
  <c r="R204" i="13"/>
  <c r="Q319" i="13"/>
  <c r="R285" i="13"/>
  <c r="S154" i="13"/>
  <c r="Q247" i="13"/>
  <c r="S128" i="13"/>
  <c r="N8" i="13"/>
  <c r="R131" i="13"/>
  <c r="Q188" i="13"/>
  <c r="N245" i="13"/>
  <c r="Q176" i="13"/>
  <c r="N270" i="13"/>
  <c r="O246" i="13"/>
  <c r="N274" i="13"/>
  <c r="S297" i="13"/>
  <c r="O137" i="13"/>
  <c r="R34" i="13"/>
  <c r="N135" i="13"/>
  <c r="N9" i="13"/>
  <c r="O17" i="13"/>
  <c r="M72" i="13"/>
  <c r="N4" i="13"/>
  <c r="Q182" i="13"/>
  <c r="R264" i="13"/>
  <c r="M343" i="13"/>
  <c r="N63" i="13"/>
  <c r="N118" i="13"/>
  <c r="S85" i="13"/>
  <c r="Q177" i="13"/>
  <c r="O177" i="13"/>
  <c r="Q170" i="13"/>
  <c r="R195" i="13"/>
  <c r="O27" i="13"/>
  <c r="S350" i="13"/>
  <c r="Q343" i="13"/>
  <c r="R197" i="13"/>
  <c r="O80" i="13"/>
  <c r="Q31" i="13"/>
  <c r="Q283" i="13"/>
  <c r="M90" i="13"/>
  <c r="M58" i="13"/>
  <c r="M143" i="13"/>
  <c r="M248" i="13"/>
  <c r="R260" i="13"/>
  <c r="Q116" i="13"/>
  <c r="R339" i="13"/>
  <c r="O127" i="13"/>
  <c r="S244" i="13"/>
  <c r="N133" i="13"/>
  <c r="N43" i="13"/>
  <c r="M288" i="13"/>
  <c r="N64" i="13"/>
  <c r="O276" i="13"/>
  <c r="S58" i="13"/>
  <c r="N303" i="13"/>
  <c r="Q105" i="13"/>
  <c r="Q218" i="13"/>
  <c r="Q133" i="13"/>
  <c r="O129" i="13"/>
  <c r="M329" i="13"/>
  <c r="N151" i="13"/>
  <c r="N309" i="13"/>
  <c r="O221" i="13"/>
  <c r="Q289" i="13"/>
  <c r="S57" i="13"/>
  <c r="R320" i="13"/>
  <c r="Q282" i="13"/>
  <c r="S342" i="13"/>
  <c r="M167" i="13"/>
  <c r="N326" i="13"/>
  <c r="S24" i="13"/>
  <c r="N259" i="13"/>
  <c r="M65" i="13"/>
  <c r="R29" i="13"/>
  <c r="O312" i="13"/>
  <c r="R190" i="13"/>
  <c r="N292" i="13"/>
  <c r="M173" i="13"/>
  <c r="R40" i="13"/>
  <c r="N57" i="13"/>
  <c r="O178" i="13"/>
  <c r="N316" i="13"/>
  <c r="AE225" i="13"/>
  <c r="AC47" i="13"/>
  <c r="AC46" i="13"/>
  <c r="AE223" i="13"/>
  <c r="AD224" i="13"/>
  <c r="AC348" i="13"/>
  <c r="AE227" i="13"/>
  <c r="AD49" i="13"/>
  <c r="AC53" i="13"/>
  <c r="AD41" i="13"/>
  <c r="AD47" i="13"/>
  <c r="AD223" i="13"/>
  <c r="AC49" i="13"/>
  <c r="AC77" i="13"/>
  <c r="AE226" i="13"/>
  <c r="AE222" i="13"/>
  <c r="AE41" i="13"/>
  <c r="AE203" i="13"/>
  <c r="AD250" i="13"/>
  <c r="AD76" i="13"/>
  <c r="AC52" i="13"/>
  <c r="AD52" i="13"/>
  <c r="AC246" i="13"/>
  <c r="AE46" i="13"/>
  <c r="AE246" i="13"/>
  <c r="AC332" i="13"/>
  <c r="AC225" i="13"/>
  <c r="AC35" i="13"/>
  <c r="AE249" i="13"/>
  <c r="AC203" i="13"/>
  <c r="AE333" i="13"/>
  <c r="AE76" i="13"/>
  <c r="AD77" i="13"/>
  <c r="AC226" i="13"/>
  <c r="AC224" i="13"/>
  <c r="AD46" i="13"/>
  <c r="AD222" i="13"/>
  <c r="AD249" i="13"/>
  <c r="AD48" i="13"/>
  <c r="AC249" i="13"/>
  <c r="AC76" i="13"/>
  <c r="AE51" i="13"/>
  <c r="AC250" i="13"/>
  <c r="AE332" i="13"/>
  <c r="AE224" i="13"/>
  <c r="AD246" i="13"/>
  <c r="AE78" i="13"/>
  <c r="AD225" i="13"/>
  <c r="AE53" i="13"/>
  <c r="AE45" i="13"/>
  <c r="AD203" i="13"/>
  <c r="AD45" i="13"/>
  <c r="AC78" i="13"/>
  <c r="AC45" i="13"/>
  <c r="AC227" i="13"/>
  <c r="AE35" i="13"/>
  <c r="AC223" i="13"/>
  <c r="AC48" i="13"/>
  <c r="AC80" i="13"/>
  <c r="AD78" i="13"/>
  <c r="AE250" i="13"/>
  <c r="AD245" i="13"/>
  <c r="AE75" i="13"/>
  <c r="AC51" i="13"/>
  <c r="AE348" i="13"/>
  <c r="AE47" i="13"/>
  <c r="AD226" i="13"/>
  <c r="AD227" i="13"/>
  <c r="AD51" i="13"/>
  <c r="AE52" i="13"/>
  <c r="AC75" i="13"/>
  <c r="AD53" i="13"/>
  <c r="AD333" i="13"/>
  <c r="AC245" i="13"/>
  <c r="AE80" i="13"/>
  <c r="AC222" i="13"/>
  <c r="AD332" i="13"/>
  <c r="AD75" i="13"/>
  <c r="AC41" i="13"/>
  <c r="AC333" i="13"/>
  <c r="AE48" i="13"/>
  <c r="AE77" i="13"/>
  <c r="AD348" i="13"/>
  <c r="AD35" i="13"/>
  <c r="AD80" i="13"/>
  <c r="AE49" i="13"/>
  <c r="AE245" i="13"/>
  <c r="N138" i="13"/>
  <c r="N145" i="13"/>
  <c r="S256" i="13"/>
  <c r="R249" i="13"/>
  <c r="N315" i="13"/>
  <c r="M208" i="13"/>
  <c r="N305" i="13"/>
  <c r="S9" i="13"/>
  <c r="M238" i="13"/>
  <c r="M149" i="13"/>
  <c r="O130" i="13"/>
  <c r="Q350" i="13"/>
  <c r="S343" i="13"/>
  <c r="Q197" i="13"/>
  <c r="N80" i="13"/>
  <c r="R31" i="13"/>
  <c r="R283" i="13"/>
  <c r="O90" i="13"/>
  <c r="N58" i="13"/>
  <c r="O143" i="13"/>
  <c r="O248" i="13"/>
  <c r="Q260" i="13"/>
  <c r="R116" i="13"/>
  <c r="Q339" i="13"/>
  <c r="N127" i="13"/>
  <c r="R244" i="13"/>
  <c r="M133" i="13"/>
  <c r="M43" i="13"/>
  <c r="O288" i="13"/>
  <c r="O64" i="13"/>
  <c r="N276" i="13"/>
  <c r="R58" i="13"/>
  <c r="M303" i="13"/>
  <c r="R105" i="13"/>
  <c r="S218" i="13"/>
  <c r="S133" i="13"/>
  <c r="N129" i="13"/>
  <c r="N329" i="13"/>
  <c r="O151" i="13"/>
  <c r="O309" i="13"/>
  <c r="M221" i="13"/>
  <c r="S289" i="13"/>
  <c r="Q57" i="13"/>
  <c r="Q320" i="13"/>
  <c r="R282" i="13"/>
  <c r="R342" i="13"/>
  <c r="N167" i="13"/>
  <c r="O326" i="13"/>
  <c r="R24" i="13"/>
  <c r="O259" i="13"/>
  <c r="O65" i="13"/>
  <c r="S29" i="13"/>
  <c r="N312" i="13"/>
  <c r="S190" i="13"/>
  <c r="M292" i="13"/>
  <c r="O173" i="13"/>
  <c r="Q40" i="13"/>
  <c r="O57" i="13"/>
  <c r="N178" i="13"/>
  <c r="M316" i="13"/>
  <c r="S331" i="13"/>
  <c r="N5" i="13"/>
  <c r="O51" i="13"/>
  <c r="S61" i="13"/>
  <c r="R242" i="13"/>
  <c r="Q250" i="13"/>
  <c r="Q132" i="13"/>
  <c r="Q62" i="13"/>
  <c r="S230" i="13"/>
  <c r="Q135" i="13"/>
  <c r="S157" i="13"/>
  <c r="R350" i="13"/>
  <c r="R343" i="13"/>
  <c r="S197" i="13"/>
  <c r="M80" i="13"/>
  <c r="S31" i="13"/>
  <c r="S283" i="13"/>
  <c r="N90" i="13"/>
  <c r="O58" i="13"/>
  <c r="N143" i="13"/>
  <c r="N248" i="13"/>
  <c r="S260" i="13"/>
  <c r="S116" i="13"/>
  <c r="S339" i="13"/>
  <c r="M127" i="13"/>
  <c r="Q244" i="13"/>
  <c r="O133" i="13"/>
  <c r="O43" i="13"/>
  <c r="N288" i="13"/>
  <c r="M64" i="13"/>
  <c r="M276" i="13"/>
  <c r="Q58" i="13"/>
  <c r="O303" i="13"/>
  <c r="S105" i="13"/>
  <c r="R218" i="13"/>
  <c r="R133" i="13"/>
  <c r="M129" i="13"/>
  <c r="O329" i="13"/>
  <c r="M151" i="13"/>
  <c r="M309" i="13"/>
  <c r="N221" i="13"/>
  <c r="R289" i="13"/>
  <c r="R57" i="13"/>
  <c r="S320" i="13"/>
  <c r="S282" i="13"/>
  <c r="Q342" i="13"/>
  <c r="O167" i="13"/>
  <c r="M326" i="13"/>
  <c r="Q24" i="13"/>
  <c r="M259" i="13"/>
  <c r="N65" i="13"/>
  <c r="Q29" i="13"/>
  <c r="M312" i="13"/>
  <c r="Q190" i="13"/>
  <c r="O292" i="13"/>
  <c r="N173" i="13"/>
  <c r="S40" i="13"/>
  <c r="M57" i="13"/>
  <c r="M178" i="13"/>
  <c r="O316" i="13"/>
  <c r="O262" i="13"/>
  <c r="Q26" i="13"/>
  <c r="Q87" i="13"/>
  <c r="Q88" i="13"/>
  <c r="N67" i="13"/>
  <c r="S351" i="13"/>
  <c r="R277" i="13"/>
  <c r="M99" i="13"/>
  <c r="N136" i="13"/>
  <c r="S14" i="13"/>
  <c r="Q157" i="13"/>
  <c r="N300" i="13"/>
  <c r="R23" i="13"/>
  <c r="R355" i="13"/>
  <c r="O320" i="13"/>
  <c r="S109" i="13"/>
  <c r="S158" i="13"/>
  <c r="Q4" i="13"/>
  <c r="N38" i="13"/>
  <c r="S32" i="13"/>
  <c r="R269" i="13"/>
  <c r="N269" i="13"/>
  <c r="M181" i="13"/>
  <c r="S99" i="13"/>
  <c r="M150" i="13"/>
  <c r="S89" i="13"/>
  <c r="R258" i="13"/>
  <c r="N19" i="13"/>
  <c r="N219" i="13"/>
  <c r="O307" i="13"/>
  <c r="Q246" i="13"/>
  <c r="N97" i="13"/>
  <c r="M267" i="13"/>
  <c r="S30" i="13"/>
  <c r="R147" i="13"/>
  <c r="S323" i="13"/>
  <c r="S70" i="13"/>
  <c r="Q261" i="13"/>
  <c r="Q161" i="13"/>
  <c r="Q16" i="13"/>
  <c r="M16" i="13"/>
  <c r="N200" i="13"/>
  <c r="Q224" i="13"/>
  <c r="O95" i="13"/>
  <c r="S306" i="13"/>
  <c r="M306" i="13"/>
  <c r="R344" i="13"/>
  <c r="S41" i="13"/>
  <c r="R209" i="13"/>
  <c r="M113" i="13"/>
  <c r="Q18" i="13"/>
  <c r="M36" i="13"/>
  <c r="Q139" i="13"/>
  <c r="Q241" i="13"/>
  <c r="M183" i="13"/>
  <c r="R336" i="13"/>
  <c r="M336" i="13"/>
  <c r="M23" i="13"/>
  <c r="O286" i="13"/>
  <c r="N294" i="13"/>
  <c r="N103" i="13"/>
  <c r="R267" i="13"/>
  <c r="Q293" i="13"/>
  <c r="S193" i="13"/>
  <c r="S318" i="13"/>
  <c r="N228" i="13"/>
  <c r="Q199" i="13"/>
  <c r="M244" i="13"/>
  <c r="O162" i="13"/>
  <c r="R42" i="13"/>
  <c r="R157" i="13"/>
  <c r="O300" i="13"/>
  <c r="S23" i="13"/>
  <c r="S355" i="13"/>
  <c r="M320" i="13"/>
  <c r="Q109" i="13"/>
  <c r="Q158" i="13"/>
  <c r="R4" i="13"/>
  <c r="M38" i="13"/>
  <c r="R32" i="13"/>
  <c r="Q269" i="13"/>
  <c r="M269" i="13"/>
  <c r="O181" i="13"/>
  <c r="Q99" i="13"/>
  <c r="O150" i="13"/>
  <c r="R89" i="13"/>
  <c r="S258" i="13"/>
  <c r="O19" i="13"/>
  <c r="M219" i="13"/>
  <c r="N307" i="13"/>
  <c r="S246" i="13"/>
  <c r="O97" i="13"/>
  <c r="O267" i="13"/>
  <c r="Q30" i="13"/>
  <c r="S147" i="13"/>
  <c r="Q323" i="13"/>
  <c r="R70" i="13"/>
  <c r="S261" i="13"/>
  <c r="S161" i="13"/>
  <c r="S16" i="13"/>
  <c r="N16" i="13"/>
  <c r="O200" i="13"/>
  <c r="S224" i="13"/>
  <c r="N95" i="13"/>
  <c r="R306" i="13"/>
  <c r="O306" i="13"/>
  <c r="S344" i="13"/>
  <c r="R41" i="13"/>
  <c r="S209" i="13"/>
  <c r="O113" i="13"/>
  <c r="R18" i="13"/>
  <c r="O36" i="13"/>
  <c r="R139" i="13"/>
  <c r="R241" i="13"/>
  <c r="O183" i="13"/>
  <c r="Q336" i="13"/>
  <c r="N336" i="13"/>
  <c r="N23" i="13"/>
  <c r="M286" i="13"/>
  <c r="O294" i="13"/>
  <c r="Q198" i="13"/>
  <c r="Q301" i="13"/>
  <c r="Q155" i="13"/>
  <c r="R310" i="13"/>
  <c r="Q23" i="13"/>
  <c r="R109" i="13"/>
  <c r="O38" i="13"/>
  <c r="O269" i="13"/>
  <c r="N150" i="13"/>
  <c r="M19" i="13"/>
  <c r="R246" i="13"/>
  <c r="R30" i="13"/>
  <c r="Q70" i="13"/>
  <c r="R16" i="13"/>
  <c r="R224" i="13"/>
  <c r="N306" i="13"/>
  <c r="Q209" i="13"/>
  <c r="N36" i="13"/>
  <c r="N183" i="13"/>
  <c r="O23" i="13"/>
  <c r="S205" i="13"/>
  <c r="O82" i="13"/>
  <c r="S241" i="13"/>
  <c r="R47" i="13"/>
  <c r="M212" i="13"/>
  <c r="Q334" i="13"/>
  <c r="M75" i="13"/>
  <c r="S33" i="13"/>
  <c r="S112" i="13"/>
  <c r="Q239" i="13"/>
  <c r="Q274" i="13"/>
  <c r="M232" i="13"/>
  <c r="R265" i="13"/>
  <c r="S129" i="13"/>
  <c r="N331" i="13"/>
  <c r="S317" i="13"/>
  <c r="S163" i="13"/>
  <c r="M184" i="13"/>
  <c r="S110" i="13"/>
  <c r="M163" i="13"/>
  <c r="R302" i="13"/>
  <c r="S203" i="13"/>
  <c r="N155" i="13"/>
  <c r="Q164" i="13"/>
  <c r="Q172" i="13"/>
  <c r="S322" i="13"/>
  <c r="M61" i="13"/>
  <c r="S184" i="13"/>
  <c r="N338" i="13"/>
  <c r="Q174" i="13"/>
  <c r="N272" i="13"/>
  <c r="Q64" i="13"/>
  <c r="Q291" i="13"/>
  <c r="Q208" i="13"/>
  <c r="Q306" i="13"/>
  <c r="Q38" i="13"/>
  <c r="O75" i="13"/>
  <c r="M296" i="13"/>
  <c r="O265" i="13"/>
  <c r="O194" i="13"/>
  <c r="N196" i="13"/>
  <c r="O106" i="13"/>
  <c r="M30" i="13"/>
  <c r="O355" i="13"/>
  <c r="S148" i="13"/>
  <c r="R234" i="13"/>
  <c r="O331" i="13"/>
  <c r="Q317" i="13"/>
  <c r="R163" i="13"/>
  <c r="O184" i="13"/>
  <c r="R110" i="13"/>
  <c r="O163" i="13"/>
  <c r="Q302" i="13"/>
  <c r="R203" i="13"/>
  <c r="O155" i="13"/>
  <c r="S164" i="13"/>
  <c r="R172" i="13"/>
  <c r="Q322" i="13"/>
  <c r="O61" i="13"/>
  <c r="Q184" i="13"/>
  <c r="O338" i="13"/>
  <c r="S174" i="13"/>
  <c r="Q243" i="13"/>
  <c r="S328" i="13"/>
  <c r="R6" i="13"/>
  <c r="O336" i="13"/>
  <c r="M213" i="13"/>
  <c r="Q33" i="13"/>
  <c r="S10" i="13"/>
  <c r="S239" i="13"/>
  <c r="R334" i="13"/>
  <c r="N212" i="13"/>
  <c r="O148" i="13"/>
  <c r="O176" i="13"/>
  <c r="O258" i="13"/>
  <c r="M322" i="13"/>
  <c r="M331" i="13"/>
  <c r="R317" i="13"/>
  <c r="Q163" i="13"/>
  <c r="N184" i="13"/>
  <c r="Q110" i="13"/>
  <c r="N163" i="13"/>
  <c r="S302" i="13"/>
  <c r="Q203" i="13"/>
  <c r="M155" i="13"/>
  <c r="R164" i="13"/>
  <c r="S172" i="13"/>
  <c r="R322" i="13"/>
  <c r="N61" i="13"/>
  <c r="R184" i="13"/>
  <c r="M338" i="13"/>
  <c r="R174" i="13"/>
  <c r="Q328" i="13"/>
  <c r="N192" i="13"/>
  <c r="M46" i="13"/>
  <c r="S18" i="13"/>
  <c r="S334" i="13"/>
  <c r="Q312" i="13"/>
  <c r="S276" i="13"/>
  <c r="Q186" i="13"/>
  <c r="S47" i="13"/>
  <c r="N194" i="13"/>
  <c r="Q124" i="13"/>
  <c r="N323" i="13"/>
  <c r="M48" i="13"/>
  <c r="M256" i="13"/>
  <c r="Q355" i="13"/>
  <c r="R158" i="13"/>
  <c r="Q32" i="13"/>
  <c r="N181" i="13"/>
  <c r="Q89" i="13"/>
  <c r="O219" i="13"/>
  <c r="M97" i="13"/>
  <c r="Q147" i="13"/>
  <c r="R261" i="13"/>
  <c r="O16" i="13"/>
  <c r="M95" i="13"/>
  <c r="Q344" i="13"/>
  <c r="N113" i="13"/>
  <c r="S139" i="13"/>
  <c r="S336" i="13"/>
  <c r="N286" i="13"/>
  <c r="Q140" i="13"/>
  <c r="O243" i="13"/>
  <c r="S64" i="13"/>
  <c r="Q41" i="13"/>
  <c r="S56" i="13"/>
  <c r="R239" i="13"/>
  <c r="M161" i="13"/>
  <c r="R312" i="13"/>
  <c r="O296" i="13"/>
  <c r="S38" i="13"/>
  <c r="S312" i="13"/>
  <c r="N296" i="13"/>
  <c r="O123" i="13"/>
  <c r="N335" i="13"/>
  <c r="S321" i="13"/>
  <c r="R162" i="13"/>
  <c r="O192" i="13"/>
  <c r="R328" i="13"/>
  <c r="S243" i="13"/>
  <c r="Q205" i="13"/>
  <c r="R221" i="13"/>
  <c r="M272" i="13"/>
  <c r="R114" i="13"/>
  <c r="R140" i="13"/>
  <c r="N220" i="13"/>
  <c r="R13" i="13"/>
  <c r="S111" i="13"/>
  <c r="M71" i="13"/>
  <c r="N46" i="13"/>
  <c r="S6" i="13"/>
  <c r="R64" i="13"/>
  <c r="R208" i="13"/>
  <c r="Q221" i="13"/>
  <c r="S208" i="13"/>
  <c r="R243" i="13"/>
  <c r="R112" i="13"/>
  <c r="S186" i="13"/>
  <c r="R38" i="13"/>
  <c r="N340" i="13"/>
  <c r="Q117" i="13"/>
  <c r="M109" i="13"/>
  <c r="S117" i="13"/>
  <c r="S94" i="13"/>
  <c r="Q349" i="13"/>
  <c r="M263" i="13"/>
  <c r="N243" i="13"/>
  <c r="M192" i="13"/>
  <c r="S114" i="13"/>
  <c r="M220" i="13"/>
  <c r="Q13" i="13"/>
  <c r="R111" i="13"/>
  <c r="N71" i="13"/>
  <c r="O46" i="13"/>
  <c r="Q6" i="13"/>
  <c r="R205" i="13"/>
  <c r="O71" i="13"/>
  <c r="R77" i="13"/>
  <c r="N106" i="13"/>
  <c r="Q47" i="13"/>
  <c r="O212" i="13"/>
  <c r="N87" i="13"/>
  <c r="R33" i="13"/>
  <c r="M159" i="13"/>
  <c r="S221" i="13"/>
  <c r="O272" i="13"/>
  <c r="Q114" i="13"/>
  <c r="S140" i="13"/>
  <c r="O220" i="13"/>
  <c r="S13" i="13"/>
  <c r="Q111" i="13"/>
  <c r="M340" i="13"/>
  <c r="S95" i="13"/>
  <c r="R117" i="13"/>
  <c r="O161" i="13"/>
  <c r="M235" i="13"/>
  <c r="O186" i="13"/>
  <c r="R59" i="13"/>
  <c r="M300" i="13"/>
  <c r="N320" i="13"/>
  <c r="S4" i="13"/>
  <c r="S269" i="13"/>
  <c r="R99" i="13"/>
  <c r="Q258" i="13"/>
  <c r="M307" i="13"/>
  <c r="N267" i="13"/>
  <c r="R323" i="13"/>
  <c r="R161" i="13"/>
  <c r="M200" i="13"/>
  <c r="M294" i="13"/>
  <c r="N161" i="13"/>
  <c r="M194" i="13"/>
  <c r="Q112" i="13"/>
  <c r="Q95" i="13"/>
  <c r="M106" i="13"/>
  <c r="R95" i="13"/>
  <c r="N75" i="13"/>
  <c r="R186" i="13"/>
  <c r="O340" i="13"/>
  <c r="W194" i="13" l="1"/>
  <c r="W294" i="13"/>
  <c r="G323" i="13"/>
  <c r="W307" i="13"/>
  <c r="AB258" i="13"/>
  <c r="G99" i="13"/>
  <c r="F320" i="13"/>
  <c r="G59" i="13"/>
  <c r="G33" i="13"/>
  <c r="G77" i="13"/>
  <c r="AB13" i="13"/>
  <c r="W220" i="13"/>
  <c r="W192" i="13"/>
  <c r="W263" i="13"/>
  <c r="G38" i="13"/>
  <c r="G243" i="13"/>
  <c r="G208" i="13"/>
  <c r="G64" i="13"/>
  <c r="G13" i="13"/>
  <c r="F220" i="13"/>
  <c r="G140" i="13"/>
  <c r="W272" i="13"/>
  <c r="G328" i="13"/>
  <c r="F296" i="13"/>
  <c r="G239" i="13"/>
  <c r="AB140" i="13"/>
  <c r="F286" i="13"/>
  <c r="AB147" i="13"/>
  <c r="W97" i="13"/>
  <c r="X97" i="13" s="1"/>
  <c r="G158" i="13"/>
  <c r="AB355" i="13"/>
  <c r="W256" i="13"/>
  <c r="F323" i="13"/>
  <c r="AB124" i="13"/>
  <c r="F194" i="13"/>
  <c r="F192" i="13"/>
  <c r="AB328" i="13"/>
  <c r="G174" i="13"/>
  <c r="W338" i="13"/>
  <c r="G164" i="13"/>
  <c r="W155" i="13"/>
  <c r="F163" i="13"/>
  <c r="W331" i="13"/>
  <c r="F212" i="13"/>
  <c r="G334" i="13"/>
  <c r="AB33" i="13"/>
  <c r="AB243" i="13"/>
  <c r="AE243" i="13" s="1"/>
  <c r="G172" i="13"/>
  <c r="G203" i="13"/>
  <c r="W30" i="13"/>
  <c r="W296" i="13"/>
  <c r="AB38" i="13"/>
  <c r="AB306" i="13"/>
  <c r="AD306" i="13" s="1"/>
  <c r="AB208" i="13"/>
  <c r="AE208" i="13" s="1"/>
  <c r="AB291" i="13"/>
  <c r="AC291" i="13" s="1"/>
  <c r="AB64" i="13"/>
  <c r="AC64" i="13" s="1"/>
  <c r="F272" i="13"/>
  <c r="AB174" i="13"/>
  <c r="AF174" i="13" s="1"/>
  <c r="F338" i="13"/>
  <c r="AB172" i="13"/>
  <c r="AB164" i="13"/>
  <c r="F155" i="13"/>
  <c r="G302" i="13"/>
  <c r="W163" i="13"/>
  <c r="F331" i="13"/>
  <c r="G265" i="13"/>
  <c r="AB274" i="13"/>
  <c r="AB239" i="13"/>
  <c r="AE239" i="13" s="1"/>
  <c r="AB334" i="13"/>
  <c r="AC334" i="13" s="1"/>
  <c r="W212" i="13"/>
  <c r="X212" i="13" s="1"/>
  <c r="G47" i="13"/>
  <c r="F36" i="13"/>
  <c r="AB209" i="13"/>
  <c r="F306" i="13"/>
  <c r="G224" i="13"/>
  <c r="G16" i="13"/>
  <c r="G30" i="13"/>
  <c r="G246" i="13"/>
  <c r="F150" i="13"/>
  <c r="AB23" i="13"/>
  <c r="AB155" i="13"/>
  <c r="AB301" i="13"/>
  <c r="AD301" i="13" s="1"/>
  <c r="W286" i="13"/>
  <c r="AA286" i="13" s="1"/>
  <c r="F23" i="13"/>
  <c r="G139" i="13"/>
  <c r="G41" i="13"/>
  <c r="G306" i="13"/>
  <c r="F16" i="13"/>
  <c r="AB323" i="13"/>
  <c r="AE323" i="13" s="1"/>
  <c r="AB30" i="13"/>
  <c r="F307" i="13"/>
  <c r="AB99" i="13"/>
  <c r="AC99" i="13" s="1"/>
  <c r="W38" i="13"/>
  <c r="AA38" i="13" s="1"/>
  <c r="AB158" i="13"/>
  <c r="W320" i="13"/>
  <c r="Y320" i="13" s="1"/>
  <c r="G157" i="13"/>
  <c r="F228" i="13"/>
  <c r="AB293" i="13"/>
  <c r="F103" i="13"/>
  <c r="F294" i="13"/>
  <c r="W23" i="13"/>
  <c r="AB139" i="13"/>
  <c r="W36" i="13"/>
  <c r="G209" i="13"/>
  <c r="W306" i="13"/>
  <c r="Y306" i="13" s="1"/>
  <c r="F200" i="13"/>
  <c r="W16" i="13"/>
  <c r="AB16" i="13"/>
  <c r="G147" i="13"/>
  <c r="F97" i="13"/>
  <c r="G258" i="13"/>
  <c r="W150" i="13"/>
  <c r="F38" i="13"/>
  <c r="G355" i="13"/>
  <c r="G23" i="13"/>
  <c r="AB157" i="13"/>
  <c r="F136" i="13"/>
  <c r="W99" i="13"/>
  <c r="Y99" i="13" s="1"/>
  <c r="F173" i="13"/>
  <c r="W312" i="13"/>
  <c r="AB29" i="13"/>
  <c r="F65" i="13"/>
  <c r="W326" i="13"/>
  <c r="G289" i="13"/>
  <c r="W309" i="13"/>
  <c r="W151" i="13"/>
  <c r="W64" i="13"/>
  <c r="Z64" i="13" s="1"/>
  <c r="F288" i="13"/>
  <c r="AB244" i="13"/>
  <c r="W127" i="13"/>
  <c r="G186" i="13"/>
  <c r="AF186" i="13"/>
  <c r="F75" i="13"/>
  <c r="AA75" i="13"/>
  <c r="AF95" i="13"/>
  <c r="G95" i="13"/>
  <c r="AA161" i="13"/>
  <c r="F161" i="13"/>
  <c r="G161" i="13"/>
  <c r="AF161" i="13"/>
  <c r="AA267" i="13"/>
  <c r="F267" i="13"/>
  <c r="AF117" i="13"/>
  <c r="G117" i="13"/>
  <c r="AA87" i="13"/>
  <c r="F87" i="13"/>
  <c r="F106" i="13"/>
  <c r="AA106" i="13"/>
  <c r="G205" i="13"/>
  <c r="AF205" i="13"/>
  <c r="F71" i="13"/>
  <c r="AA71" i="13"/>
  <c r="G111" i="13"/>
  <c r="AF111" i="13"/>
  <c r="AA243" i="13"/>
  <c r="F243" i="13"/>
  <c r="F340" i="13"/>
  <c r="AA340" i="13"/>
  <c r="G112" i="13"/>
  <c r="AF112" i="13"/>
  <c r="F46" i="13"/>
  <c r="AA46" i="13"/>
  <c r="G114" i="13"/>
  <c r="AF114" i="13"/>
  <c r="G221" i="13"/>
  <c r="AF221" i="13"/>
  <c r="AF162" i="13"/>
  <c r="G162" i="13"/>
  <c r="AA335" i="13"/>
  <c r="F335" i="13"/>
  <c r="AF312" i="13"/>
  <c r="G312" i="13"/>
  <c r="F113" i="13"/>
  <c r="AA113" i="13"/>
  <c r="AF261" i="13"/>
  <c r="G261" i="13"/>
  <c r="AA181" i="13"/>
  <c r="F181" i="13"/>
  <c r="G184" i="13"/>
  <c r="AF184" i="13"/>
  <c r="F61" i="13"/>
  <c r="AA61" i="13"/>
  <c r="G322" i="13"/>
  <c r="AF322" i="13"/>
  <c r="AA184" i="13"/>
  <c r="F184" i="13"/>
  <c r="G317" i="13"/>
  <c r="AF317" i="13"/>
  <c r="AF6" i="13"/>
  <c r="G6" i="13"/>
  <c r="AF110" i="13"/>
  <c r="G110" i="13"/>
  <c r="G163" i="13"/>
  <c r="AF163" i="13"/>
  <c r="AF234" i="13"/>
  <c r="G234" i="13"/>
  <c r="AA196" i="13"/>
  <c r="F196" i="13"/>
  <c r="F183" i="13"/>
  <c r="AA183" i="13"/>
  <c r="AF109" i="13"/>
  <c r="G109" i="13"/>
  <c r="G310" i="13"/>
  <c r="AF310" i="13"/>
  <c r="AA336" i="13"/>
  <c r="F336" i="13"/>
  <c r="G241" i="13"/>
  <c r="AF241" i="13"/>
  <c r="G18" i="13"/>
  <c r="AF18" i="13"/>
  <c r="AA95" i="13"/>
  <c r="F95" i="13"/>
  <c r="AF70" i="13"/>
  <c r="G70" i="13"/>
  <c r="AF89" i="13"/>
  <c r="G89" i="13"/>
  <c r="G32" i="13"/>
  <c r="AF32" i="13"/>
  <c r="AF4" i="13"/>
  <c r="G4" i="13"/>
  <c r="G42" i="13"/>
  <c r="AF42" i="13"/>
  <c r="AF267" i="13"/>
  <c r="G267" i="13"/>
  <c r="AF336" i="13"/>
  <c r="G336" i="13"/>
  <c r="G344" i="13"/>
  <c r="AF344" i="13"/>
  <c r="AA219" i="13"/>
  <c r="F219" i="13"/>
  <c r="AA19" i="13"/>
  <c r="F19" i="13"/>
  <c r="F269" i="13"/>
  <c r="AA269" i="13"/>
  <c r="G269" i="13"/>
  <c r="AF269" i="13"/>
  <c r="AA300" i="13"/>
  <c r="F300" i="13"/>
  <c r="AF277" i="13"/>
  <c r="G277" i="13"/>
  <c r="F67" i="13"/>
  <c r="AA67" i="13"/>
  <c r="G57" i="13"/>
  <c r="AF57" i="13"/>
  <c r="F221" i="13"/>
  <c r="AA221" i="13"/>
  <c r="G133" i="13"/>
  <c r="AF133" i="13"/>
  <c r="AF218" i="13"/>
  <c r="G218" i="13"/>
  <c r="F248" i="13"/>
  <c r="AA143" i="13"/>
  <c r="F143" i="13"/>
  <c r="AA90" i="13"/>
  <c r="F90" i="13"/>
  <c r="G343" i="13"/>
  <c r="AF343" i="13"/>
  <c r="G350" i="13"/>
  <c r="AB135" i="13"/>
  <c r="AD135" i="13" s="1"/>
  <c r="AB132" i="13"/>
  <c r="G242" i="13"/>
  <c r="F5" i="13"/>
  <c r="AA5" i="13"/>
  <c r="F178" i="13"/>
  <c r="AA178" i="13"/>
  <c r="AB40" i="13"/>
  <c r="W292" i="13"/>
  <c r="F312" i="13"/>
  <c r="AF24" i="13"/>
  <c r="G24" i="13"/>
  <c r="AA167" i="13"/>
  <c r="F167" i="13"/>
  <c r="AF342" i="13"/>
  <c r="G342" i="13"/>
  <c r="G282" i="13"/>
  <c r="AB320" i="13"/>
  <c r="AF320" i="13" s="1"/>
  <c r="F329" i="13"/>
  <c r="F129" i="13"/>
  <c r="AA129" i="13"/>
  <c r="AF105" i="13"/>
  <c r="G105" i="13"/>
  <c r="G58" i="13"/>
  <c r="AF58" i="13"/>
  <c r="F276" i="13"/>
  <c r="AA276" i="13"/>
  <c r="G244" i="13"/>
  <c r="F127" i="13"/>
  <c r="G116" i="13"/>
  <c r="AB260" i="13"/>
  <c r="AA58" i="13"/>
  <c r="F58" i="13"/>
  <c r="G283" i="13"/>
  <c r="G31" i="13"/>
  <c r="AA80" i="13"/>
  <c r="F80" i="13"/>
  <c r="AB350" i="13"/>
  <c r="W149" i="13"/>
  <c r="AA149" i="13" s="1"/>
  <c r="F305" i="13"/>
  <c r="AA315" i="13"/>
  <c r="F315" i="13"/>
  <c r="G249" i="13"/>
  <c r="F145" i="13"/>
  <c r="F138" i="13"/>
  <c r="AF245" i="13"/>
  <c r="AF49" i="13"/>
  <c r="AF77" i="13"/>
  <c r="AF48" i="13"/>
  <c r="AF80" i="13"/>
  <c r="AF52" i="13"/>
  <c r="AF47" i="13"/>
  <c r="AF348" i="13"/>
  <c r="AF75" i="13"/>
  <c r="AF250" i="13"/>
  <c r="AF35" i="13"/>
  <c r="AF45" i="13"/>
  <c r="AF53" i="13"/>
  <c r="AF78" i="13"/>
  <c r="AF224" i="13"/>
  <c r="AF332" i="13"/>
  <c r="AF51" i="13"/>
  <c r="AF76" i="13"/>
  <c r="AF333" i="13"/>
  <c r="AF249" i="13"/>
  <c r="AF246" i="13"/>
  <c r="AF46" i="13"/>
  <c r="AF203" i="13"/>
  <c r="AF41" i="13"/>
  <c r="AF222" i="13"/>
  <c r="AF226" i="13"/>
  <c r="AF227" i="13"/>
  <c r="AF223" i="13"/>
  <c r="AF225" i="13"/>
  <c r="AA316" i="13"/>
  <c r="F316" i="13"/>
  <c r="AA57" i="13"/>
  <c r="F57" i="13"/>
  <c r="G40" i="13"/>
  <c r="W173" i="13"/>
  <c r="F292" i="13"/>
  <c r="AF190" i="13"/>
  <c r="G190" i="13"/>
  <c r="G29" i="13"/>
  <c r="W65" i="13"/>
  <c r="F259" i="13"/>
  <c r="AA259" i="13"/>
  <c r="F326" i="13"/>
  <c r="AB282" i="13"/>
  <c r="AE282" i="13" s="1"/>
  <c r="G320" i="13"/>
  <c r="AB289" i="13"/>
  <c r="F309" i="13"/>
  <c r="F151" i="13"/>
  <c r="W329" i="13"/>
  <c r="F303" i="13"/>
  <c r="AA303" i="13"/>
  <c r="F64" i="13"/>
  <c r="W288" i="13"/>
  <c r="AA43" i="13"/>
  <c r="F43" i="13"/>
  <c r="F133" i="13"/>
  <c r="AA133" i="13"/>
  <c r="G339" i="13"/>
  <c r="AF339" i="13"/>
  <c r="AB116" i="13"/>
  <c r="G260" i="13"/>
  <c r="W248" i="13"/>
  <c r="AB283" i="13"/>
  <c r="AD283" i="13" s="1"/>
  <c r="AB31" i="13"/>
  <c r="AF197" i="13"/>
  <c r="G197" i="13"/>
  <c r="G195" i="13"/>
  <c r="AB170" i="13"/>
  <c r="AE170" i="13" s="1"/>
  <c r="AB177" i="13"/>
  <c r="F118" i="13"/>
  <c r="AA118" i="13"/>
  <c r="F63" i="13"/>
  <c r="G264" i="13"/>
  <c r="AF264" i="13"/>
  <c r="AA4" i="13"/>
  <c r="F4" i="13"/>
  <c r="AA9" i="13"/>
  <c r="F9" i="13"/>
  <c r="F135" i="13"/>
  <c r="G34" i="13"/>
  <c r="F274" i="13"/>
  <c r="F270" i="13"/>
  <c r="AB176" i="13"/>
  <c r="F245" i="13"/>
  <c r="AA245" i="13"/>
  <c r="AB188" i="13"/>
  <c r="AF131" i="13"/>
  <c r="G131" i="13"/>
  <c r="F8" i="13"/>
  <c r="AB247" i="13"/>
  <c r="G285" i="13"/>
  <c r="AB319" i="13"/>
  <c r="AD319" i="13" s="1"/>
  <c r="G204" i="13"/>
  <c r="AF204" i="13"/>
  <c r="AB354" i="13"/>
  <c r="AB122" i="13"/>
  <c r="F203" i="13"/>
  <c r="AA203" i="13"/>
  <c r="AB299" i="13"/>
  <c r="AF299" i="13" s="1"/>
  <c r="AB255" i="13"/>
  <c r="W293" i="13"/>
  <c r="G144" i="13"/>
  <c r="F325" i="13"/>
  <c r="G149" i="13"/>
  <c r="W121" i="13"/>
  <c r="W275" i="13"/>
  <c r="F287" i="13"/>
  <c r="W356" i="13"/>
  <c r="AA41" i="13"/>
  <c r="F41" i="13"/>
  <c r="F284" i="13"/>
  <c r="G108" i="13"/>
  <c r="AF108" i="13"/>
  <c r="AB141" i="13"/>
  <c r="W50" i="13"/>
  <c r="Z50" i="13" s="1"/>
  <c r="G280" i="13"/>
  <c r="W17" i="13"/>
  <c r="W135" i="13"/>
  <c r="AB34" i="13"/>
  <c r="W137" i="13"/>
  <c r="G297" i="13"/>
  <c r="G176" i="13"/>
  <c r="G247" i="13"/>
  <c r="G154" i="13"/>
  <c r="AB285" i="13"/>
  <c r="AE285" i="13" s="1"/>
  <c r="G319" i="13"/>
  <c r="G354" i="13"/>
  <c r="W280" i="13"/>
  <c r="F125" i="13"/>
  <c r="AB338" i="13"/>
  <c r="G299" i="13"/>
  <c r="F14" i="13"/>
  <c r="F168" i="13"/>
  <c r="AA168" i="13"/>
  <c r="F293" i="13"/>
  <c r="AA337" i="13"/>
  <c r="F337" i="13"/>
  <c r="W31" i="13"/>
  <c r="AB144" i="13"/>
  <c r="F74" i="13"/>
  <c r="AA74" i="13"/>
  <c r="G314" i="13"/>
  <c r="AF314" i="13"/>
  <c r="W325" i="13"/>
  <c r="AB149" i="13"/>
  <c r="F121" i="13"/>
  <c r="AB143" i="13"/>
  <c r="AD143" i="13" s="1"/>
  <c r="AB295" i="13"/>
  <c r="AE295" i="13" s="1"/>
  <c r="W54" i="13"/>
  <c r="G75" i="13"/>
  <c r="G142" i="13"/>
  <c r="G275" i="13"/>
  <c r="W350" i="13"/>
  <c r="W233" i="13"/>
  <c r="G166" i="13"/>
  <c r="AF166" i="13"/>
  <c r="F72" i="13"/>
  <c r="F17" i="13"/>
  <c r="F137" i="13"/>
  <c r="AB297" i="13"/>
  <c r="AD297" i="13" s="1"/>
  <c r="W274" i="13"/>
  <c r="AA246" i="13"/>
  <c r="F246" i="13"/>
  <c r="W270" i="13"/>
  <c r="G188" i="13"/>
  <c r="W8" i="13"/>
  <c r="G128" i="13"/>
  <c r="AF128" i="13"/>
  <c r="AB154" i="13"/>
  <c r="F242" i="13"/>
  <c r="AA242" i="13"/>
  <c r="G122" i="13"/>
  <c r="F280" i="13"/>
  <c r="W125" i="13"/>
  <c r="G338" i="13"/>
  <c r="G255" i="13"/>
  <c r="W14" i="13"/>
  <c r="G72" i="13"/>
  <c r="F31" i="13"/>
  <c r="F49" i="13"/>
  <c r="AA49" i="13"/>
  <c r="F275" i="13"/>
  <c r="AF71" i="13"/>
  <c r="G71" i="13"/>
  <c r="F333" i="13"/>
  <c r="AA333" i="13"/>
  <c r="G143" i="13"/>
  <c r="G295" i="13"/>
  <c r="AB216" i="13"/>
  <c r="AE216" i="13" s="1"/>
  <c r="F29" i="13"/>
  <c r="F56" i="13"/>
  <c r="AF181" i="13"/>
  <c r="G181" i="13"/>
  <c r="F24" i="13"/>
  <c r="AA24" i="13"/>
  <c r="G252" i="13"/>
  <c r="F190" i="13"/>
  <c r="F10" i="13"/>
  <c r="AA10" i="13"/>
  <c r="AB44" i="13"/>
  <c r="AA344" i="13"/>
  <c r="F344" i="13"/>
  <c r="G12" i="13"/>
  <c r="G169" i="13"/>
  <c r="F234" i="13"/>
  <c r="AA234" i="13"/>
  <c r="G83" i="13"/>
  <c r="AF83" i="13"/>
  <c r="G200" i="13"/>
  <c r="AF180" i="13"/>
  <c r="G180" i="13"/>
  <c r="G86" i="13"/>
  <c r="AF86" i="13"/>
  <c r="W28" i="13"/>
  <c r="W266" i="13"/>
  <c r="AB21" i="13"/>
  <c r="F299" i="13"/>
  <c r="AA299" i="13"/>
  <c r="AA251" i="13"/>
  <c r="F251" i="13"/>
  <c r="G231" i="13"/>
  <c r="W328" i="13"/>
  <c r="X328" i="13" s="1"/>
  <c r="F241" i="13"/>
  <c r="AA241" i="13"/>
  <c r="F250" i="13"/>
  <c r="AA250" i="13"/>
  <c r="W40" i="13"/>
  <c r="W247" i="13"/>
  <c r="F175" i="13"/>
  <c r="AA175" i="13"/>
  <c r="F311" i="13"/>
  <c r="W285" i="13"/>
  <c r="AA285" i="13" s="1"/>
  <c r="F236" i="13"/>
  <c r="G102" i="13"/>
  <c r="AA317" i="13"/>
  <c r="F317" i="13"/>
  <c r="G35" i="13"/>
  <c r="AF185" i="13"/>
  <c r="G185" i="13"/>
  <c r="G19" i="13"/>
  <c r="AF19" i="13"/>
  <c r="F222" i="13"/>
  <c r="AA222" i="13"/>
  <c r="F216" i="13"/>
  <c r="G251" i="13"/>
  <c r="W100" i="13"/>
  <c r="AB127" i="13"/>
  <c r="G345" i="13"/>
  <c r="G307" i="13"/>
  <c r="G229" i="13"/>
  <c r="W7" i="13"/>
  <c r="G192" i="13"/>
  <c r="AA341" i="13"/>
  <c r="F341" i="13"/>
  <c r="AA112" i="13"/>
  <c r="F112" i="13"/>
  <c r="G98" i="13"/>
  <c r="AF98" i="13"/>
  <c r="AF340" i="13"/>
  <c r="G340" i="13"/>
  <c r="F195" i="13"/>
  <c r="AB65" i="13"/>
  <c r="W157" i="13"/>
  <c r="G119" i="13"/>
  <c r="F116" i="13"/>
  <c r="AA116" i="13"/>
  <c r="AB79" i="13"/>
  <c r="AF79" i="13" s="1"/>
  <c r="G146" i="13"/>
  <c r="W310" i="13"/>
  <c r="AF28" i="13"/>
  <c r="G28" i="13"/>
  <c r="AB136" i="13"/>
  <c r="F277" i="13"/>
  <c r="AA277" i="13"/>
  <c r="F290" i="13"/>
  <c r="F226" i="13"/>
  <c r="AA226" i="13"/>
  <c r="AF313" i="13"/>
  <c r="G313" i="13"/>
  <c r="AF20" i="13"/>
  <c r="G20" i="13"/>
  <c r="W287" i="13"/>
  <c r="AA322" i="13"/>
  <c r="F322" i="13"/>
  <c r="G135" i="13"/>
  <c r="F356" i="13"/>
  <c r="G225" i="13"/>
  <c r="G92" i="13"/>
  <c r="AF92" i="13"/>
  <c r="AB12" i="13"/>
  <c r="G101" i="13"/>
  <c r="AF101" i="13"/>
  <c r="AB169" i="13"/>
  <c r="AF169" i="13" s="1"/>
  <c r="AA60" i="13"/>
  <c r="F60" i="13"/>
  <c r="AA110" i="13"/>
  <c r="F110" i="13"/>
  <c r="AF352" i="13"/>
  <c r="G352" i="13"/>
  <c r="F142" i="13"/>
  <c r="AA85" i="13"/>
  <c r="F85" i="13"/>
  <c r="G21" i="13"/>
  <c r="F98" i="13"/>
  <c r="AA98" i="13"/>
  <c r="F122" i="13"/>
  <c r="AA122" i="13"/>
  <c r="G326" i="13"/>
  <c r="AF268" i="13"/>
  <c r="G268" i="13"/>
  <c r="W311" i="13"/>
  <c r="F353" i="13"/>
  <c r="AA353" i="13"/>
  <c r="W236" i="13"/>
  <c r="AB102" i="13"/>
  <c r="W158" i="13"/>
  <c r="G178" i="13"/>
  <c r="F93" i="13"/>
  <c r="AA93" i="13"/>
  <c r="AA278" i="13"/>
  <c r="F278" i="13"/>
  <c r="AF311" i="13"/>
  <c r="G311" i="13"/>
  <c r="F257" i="13"/>
  <c r="W216" i="13"/>
  <c r="AA144" i="13"/>
  <c r="F144" i="13"/>
  <c r="G287" i="13"/>
  <c r="F100" i="13"/>
  <c r="AB345" i="13"/>
  <c r="AF345" i="13" s="1"/>
  <c r="AB125" i="13"/>
  <c r="AA334" i="13"/>
  <c r="F334" i="13"/>
  <c r="AB307" i="13"/>
  <c r="G153" i="13"/>
  <c r="G296" i="13"/>
  <c r="AF17" i="13"/>
  <c r="G17" i="13"/>
  <c r="W195" i="13"/>
  <c r="F182" i="13"/>
  <c r="AA182" i="13"/>
  <c r="G262" i="13"/>
  <c r="AB284" i="13"/>
  <c r="AE284" i="13" s="1"/>
  <c r="F78" i="13"/>
  <c r="AA78" i="13"/>
  <c r="AB146" i="13"/>
  <c r="AA339" i="13"/>
  <c r="F339" i="13"/>
  <c r="F45" i="13"/>
  <c r="AA45" i="13"/>
  <c r="G245" i="13"/>
  <c r="AA20" i="13"/>
  <c r="F20" i="13"/>
  <c r="F225" i="13"/>
  <c r="AA225" i="13"/>
  <c r="W126" i="13"/>
  <c r="W96" i="13"/>
  <c r="F210" i="13"/>
  <c r="AA210" i="13"/>
  <c r="G44" i="13"/>
  <c r="F179" i="13"/>
  <c r="AA179" i="13"/>
  <c r="AA166" i="13"/>
  <c r="F166" i="13"/>
  <c r="G217" i="13"/>
  <c r="AF217" i="13"/>
  <c r="W142" i="13"/>
  <c r="AF118" i="13"/>
  <c r="G118" i="13"/>
  <c r="F28" i="13"/>
  <c r="F266" i="13"/>
  <c r="G80" i="13"/>
  <c r="G145" i="13"/>
  <c r="AF145" i="13"/>
  <c r="AA107" i="13"/>
  <c r="F107" i="13"/>
  <c r="F89" i="13"/>
  <c r="AA89" i="13"/>
  <c r="AF346" i="13"/>
  <c r="G346" i="13"/>
  <c r="F328" i="13"/>
  <c r="G223" i="13"/>
  <c r="AB326" i="13"/>
  <c r="F40" i="13"/>
  <c r="AF60" i="13"/>
  <c r="G60" i="13"/>
  <c r="F247" i="13"/>
  <c r="F285" i="13"/>
  <c r="AA261" i="13"/>
  <c r="F261" i="13"/>
  <c r="G46" i="13"/>
  <c r="F158" i="13"/>
  <c r="AB178" i="13"/>
  <c r="F169" i="13"/>
  <c r="W257" i="13"/>
  <c r="F131" i="13"/>
  <c r="AA131" i="13"/>
  <c r="AB251" i="13"/>
  <c r="AB287" i="13"/>
  <c r="G127" i="13"/>
  <c r="G332" i="13"/>
  <c r="G125" i="13"/>
  <c r="AB153" i="13"/>
  <c r="G215" i="13"/>
  <c r="AF215" i="13"/>
  <c r="G52" i="13"/>
  <c r="F7" i="13"/>
  <c r="AB192" i="13"/>
  <c r="AB296" i="13"/>
  <c r="AA268" i="13"/>
  <c r="F268" i="13"/>
  <c r="G65" i="13"/>
  <c r="F157" i="13"/>
  <c r="AB119" i="13"/>
  <c r="AE119" i="13" s="1"/>
  <c r="AB262" i="13"/>
  <c r="AE262" i="13" s="1"/>
  <c r="G284" i="13"/>
  <c r="G79" i="13"/>
  <c r="F310" i="13"/>
  <c r="G136" i="13"/>
  <c r="W290" i="13"/>
  <c r="AA66" i="13"/>
  <c r="F66" i="13"/>
  <c r="G222" i="13"/>
  <c r="AF91" i="13"/>
  <c r="G91" i="13"/>
  <c r="F126" i="13"/>
  <c r="F96" i="13"/>
  <c r="AA47" i="13"/>
  <c r="F47" i="13"/>
  <c r="AA332" i="13"/>
  <c r="F332" i="13"/>
  <c r="G254" i="13"/>
  <c r="G191" i="13"/>
  <c r="AF191" i="13"/>
  <c r="AB27" i="13"/>
  <c r="AD27" i="13" s="1"/>
  <c r="W289" i="13"/>
  <c r="G294" i="13"/>
  <c r="G272" i="13"/>
  <c r="AB279" i="13"/>
  <c r="F239" i="13"/>
  <c r="G298" i="13"/>
  <c r="W254" i="13"/>
  <c r="W156" i="13"/>
  <c r="W209" i="13"/>
  <c r="F108" i="13"/>
  <c r="AA108" i="13"/>
  <c r="W153" i="13"/>
  <c r="AA111" i="13"/>
  <c r="F111" i="13"/>
  <c r="F204" i="13"/>
  <c r="W264" i="13"/>
  <c r="G113" i="13"/>
  <c r="AF113" i="13"/>
  <c r="G11" i="13"/>
  <c r="G123" i="13"/>
  <c r="AB286" i="13"/>
  <c r="AA253" i="13"/>
  <c r="F253" i="13"/>
  <c r="F224" i="13"/>
  <c r="AA224" i="13"/>
  <c r="G348" i="13"/>
  <c r="F327" i="13"/>
  <c r="AF347" i="13"/>
  <c r="G347" i="13"/>
  <c r="F240" i="13"/>
  <c r="AA240" i="13"/>
  <c r="G211" i="13"/>
  <c r="AF211" i="13"/>
  <c r="W59" i="13"/>
  <c r="W295" i="13"/>
  <c r="Z295" i="13" s="1"/>
  <c r="W140" i="13"/>
  <c r="X140" i="13" s="1"/>
  <c r="G212" i="13"/>
  <c r="F165" i="13"/>
  <c r="G39" i="13"/>
  <c r="F342" i="13"/>
  <c r="AA342" i="13"/>
  <c r="AA77" i="13"/>
  <c r="F77" i="13"/>
  <c r="AB50" i="13"/>
  <c r="F12" i="13"/>
  <c r="AA349" i="13"/>
  <c r="F349" i="13"/>
  <c r="AB138" i="13"/>
  <c r="G37" i="13"/>
  <c r="AF37" i="13"/>
  <c r="G240" i="13"/>
  <c r="AF240" i="13"/>
  <c r="F37" i="13"/>
  <c r="W255" i="13"/>
  <c r="F79" i="13"/>
  <c r="AA79" i="13"/>
  <c r="F152" i="13"/>
  <c r="AA237" i="13"/>
  <c r="F237" i="13"/>
  <c r="F42" i="13"/>
  <c r="AF106" i="13"/>
  <c r="G106" i="13"/>
  <c r="G235" i="13"/>
  <c r="AF235" i="13"/>
  <c r="AB173" i="13"/>
  <c r="G15" i="13"/>
  <c r="AF238" i="13"/>
  <c r="G238" i="13"/>
  <c r="F229" i="13"/>
  <c r="AA83" i="13"/>
  <c r="F83" i="13"/>
  <c r="AB130" i="13"/>
  <c r="G341" i="13"/>
  <c r="AF341" i="13"/>
  <c r="G266" i="13"/>
  <c r="F124" i="13"/>
  <c r="AA124" i="13"/>
  <c r="AB96" i="13"/>
  <c r="F86" i="13"/>
  <c r="AA86" i="13"/>
  <c r="W15" i="13"/>
  <c r="G27" i="13"/>
  <c r="F289" i="13"/>
  <c r="AA26" i="13"/>
  <c r="F26" i="13"/>
  <c r="AB294" i="13"/>
  <c r="AF294" i="13" s="1"/>
  <c r="G76" i="13"/>
  <c r="F84" i="13"/>
  <c r="AA84" i="13"/>
  <c r="AB120" i="13"/>
  <c r="AB272" i="13"/>
  <c r="G279" i="13"/>
  <c r="AB298" i="13"/>
  <c r="F156" i="13"/>
  <c r="G325" i="13"/>
  <c r="F209" i="13"/>
  <c r="G45" i="13"/>
  <c r="F199" i="13"/>
  <c r="AF253" i="13"/>
  <c r="G253" i="13"/>
  <c r="F223" i="13"/>
  <c r="AA223" i="13"/>
  <c r="F153" i="13"/>
  <c r="W204" i="13"/>
  <c r="F264" i="13"/>
  <c r="AF115" i="13"/>
  <c r="G115" i="13"/>
  <c r="G168" i="13"/>
  <c r="AF168" i="13"/>
  <c r="AA134" i="13"/>
  <c r="F134" i="13"/>
  <c r="AB273" i="13"/>
  <c r="G196" i="13"/>
  <c r="AF196" i="13"/>
  <c r="G74" i="13"/>
  <c r="AB123" i="13"/>
  <c r="F120" i="13"/>
  <c r="W327" i="13"/>
  <c r="AA207" i="13"/>
  <c r="F207" i="13"/>
  <c r="AA170" i="13"/>
  <c r="F170" i="13"/>
  <c r="AA18" i="13"/>
  <c r="F18" i="13"/>
  <c r="F308" i="13"/>
  <c r="G236" i="13"/>
  <c r="AF236" i="13"/>
  <c r="AA346" i="13"/>
  <c r="F346" i="13"/>
  <c r="AB8" i="13"/>
  <c r="G7" i="13"/>
  <c r="AB233" i="13"/>
  <c r="AB212" i="13"/>
  <c r="AC212" i="13" s="1"/>
  <c r="AB220" i="13"/>
  <c r="W165" i="13"/>
  <c r="AB39" i="13"/>
  <c r="G179" i="13"/>
  <c r="G49" i="13"/>
  <c r="G104" i="13"/>
  <c r="AF104" i="13"/>
  <c r="F321" i="13"/>
  <c r="G138" i="13"/>
  <c r="AB357" i="13"/>
  <c r="W37" i="13"/>
  <c r="W160" i="13"/>
  <c r="F255" i="13"/>
  <c r="AB270" i="13"/>
  <c r="W152" i="13"/>
  <c r="F193" i="13"/>
  <c r="AA193" i="13"/>
  <c r="AA217" i="13"/>
  <c r="F217" i="13"/>
  <c r="W42" i="13"/>
  <c r="AA6" i="13"/>
  <c r="F6" i="13"/>
  <c r="AA205" i="13"/>
  <c r="F205" i="13"/>
  <c r="AB15" i="13"/>
  <c r="F218" i="13"/>
  <c r="AA218" i="13"/>
  <c r="F279" i="13"/>
  <c r="AA345" i="13"/>
  <c r="F345" i="13"/>
  <c r="F25" i="13"/>
  <c r="AA25" i="13"/>
  <c r="G130" i="13"/>
  <c r="AB266" i="13"/>
  <c r="W202" i="13"/>
  <c r="F211" i="13"/>
  <c r="AA211" i="13"/>
  <c r="AB288" i="13"/>
  <c r="AB254" i="13"/>
  <c r="AA249" i="13"/>
  <c r="F249" i="13"/>
  <c r="AA53" i="13"/>
  <c r="F53" i="13"/>
  <c r="G120" i="13"/>
  <c r="F92" i="13"/>
  <c r="AA92" i="13"/>
  <c r="W239" i="13"/>
  <c r="X239" i="13" s="1"/>
  <c r="AF43" i="13"/>
  <c r="G43" i="13"/>
  <c r="F254" i="13"/>
  <c r="G167" i="13"/>
  <c r="AF167" i="13"/>
  <c r="F11" i="13"/>
  <c r="AB325" i="13"/>
  <c r="AF219" i="13"/>
  <c r="G219" i="13"/>
  <c r="G273" i="13"/>
  <c r="AB74" i="13"/>
  <c r="AE74" i="13" s="1"/>
  <c r="W120" i="13"/>
  <c r="G286" i="13"/>
  <c r="F302" i="13"/>
  <c r="W308" i="13"/>
  <c r="Y308" i="13" s="1"/>
  <c r="G8" i="13"/>
  <c r="AA101" i="13"/>
  <c r="F101" i="13"/>
  <c r="AB7" i="13"/>
  <c r="F59" i="13"/>
  <c r="F295" i="13"/>
  <c r="F140" i="13"/>
  <c r="G233" i="13"/>
  <c r="G220" i="13"/>
  <c r="G81" i="13"/>
  <c r="AF81" i="13"/>
  <c r="AA32" i="13"/>
  <c r="F32" i="13"/>
  <c r="AA105" i="13"/>
  <c r="F105" i="13"/>
  <c r="G90" i="13"/>
  <c r="AF90" i="13"/>
  <c r="AB179" i="13"/>
  <c r="F206" i="13"/>
  <c r="AA206" i="13"/>
  <c r="G50" i="13"/>
  <c r="AF353" i="13"/>
  <c r="G353" i="13"/>
  <c r="W12" i="13"/>
  <c r="W321" i="13"/>
  <c r="AA321" i="13" s="1"/>
  <c r="G227" i="13"/>
  <c r="G357" i="13"/>
  <c r="AF22" i="13"/>
  <c r="G22" i="13"/>
  <c r="F160" i="13"/>
  <c r="G270" i="13"/>
  <c r="G173" i="13"/>
  <c r="F81" i="13"/>
  <c r="AA81" i="13"/>
  <c r="W279" i="13"/>
  <c r="AF271" i="13"/>
  <c r="G271" i="13"/>
  <c r="AA197" i="13"/>
  <c r="F197" i="13"/>
  <c r="F202" i="13"/>
  <c r="G96" i="13"/>
  <c r="F231" i="13"/>
  <c r="G288" i="13"/>
  <c r="F15" i="13"/>
  <c r="W291" i="13"/>
  <c r="Y291" i="13" s="1"/>
  <c r="AF309" i="13"/>
  <c r="G309" i="13"/>
  <c r="G126" i="13"/>
  <c r="G100" i="13"/>
  <c r="AB134" i="13"/>
  <c r="F347" i="13"/>
  <c r="AA347" i="13"/>
  <c r="W34" i="13"/>
  <c r="G73" i="13"/>
  <c r="AF73" i="13"/>
  <c r="F114" i="13"/>
  <c r="AA114" i="13"/>
  <c r="G259" i="13"/>
  <c r="AF259" i="13"/>
  <c r="F35" i="13"/>
  <c r="AA35" i="13"/>
  <c r="AF67" i="13"/>
  <c r="G67" i="13"/>
  <c r="AB194" i="13"/>
  <c r="W283" i="13"/>
  <c r="AA252" i="13"/>
  <c r="F252" i="13"/>
  <c r="G290" i="13"/>
  <c r="W164" i="13"/>
  <c r="G97" i="13"/>
  <c r="F319" i="13"/>
  <c r="W357" i="13"/>
  <c r="F154" i="13"/>
  <c r="W141" i="13"/>
  <c r="G248" i="13"/>
  <c r="F68" i="13"/>
  <c r="AA68" i="13"/>
  <c r="F297" i="13"/>
  <c r="G226" i="13"/>
  <c r="F301" i="13"/>
  <c r="AA301" i="13"/>
  <c r="G152" i="13"/>
  <c r="AF152" i="13"/>
  <c r="F171" i="13"/>
  <c r="W324" i="13"/>
  <c r="AA324" i="13" s="1"/>
  <c r="F44" i="13"/>
  <c r="AF68" i="13"/>
  <c r="G68" i="13"/>
  <c r="W21" i="13"/>
  <c r="AF210" i="13"/>
  <c r="G210" i="13"/>
  <c r="AB356" i="13"/>
  <c r="AF159" i="13"/>
  <c r="G159" i="13"/>
  <c r="AB151" i="13"/>
  <c r="G51" i="13"/>
  <c r="G257" i="13"/>
  <c r="AF257" i="13"/>
  <c r="F149" i="13"/>
  <c r="F109" i="13"/>
  <c r="AA109" i="13"/>
  <c r="AB56" i="13"/>
  <c r="AA162" i="13"/>
  <c r="F162" i="13"/>
  <c r="G230" i="13"/>
  <c r="AA180" i="13"/>
  <c r="F180" i="13"/>
  <c r="G291" i="13"/>
  <c r="AB321" i="13"/>
  <c r="AC321" i="13" s="1"/>
  <c r="AF62" i="13"/>
  <c r="G62" i="13"/>
  <c r="F177" i="13"/>
  <c r="AA177" i="13"/>
  <c r="AB142" i="13"/>
  <c r="W258" i="13"/>
  <c r="G132" i="13"/>
  <c r="F271" i="13"/>
  <c r="AA213" i="13"/>
  <c r="F213" i="13"/>
  <c r="G250" i="13"/>
  <c r="AB275" i="13"/>
  <c r="AA82" i="13"/>
  <c r="F82" i="13"/>
  <c r="G61" i="13"/>
  <c r="AF61" i="13"/>
  <c r="W63" i="13"/>
  <c r="F132" i="13"/>
  <c r="AA132" i="13"/>
  <c r="F343" i="13"/>
  <c r="AA343" i="13"/>
  <c r="AB156" i="13"/>
  <c r="AA123" i="13"/>
  <c r="F123" i="13"/>
  <c r="F148" i="13"/>
  <c r="G274" i="13"/>
  <c r="W103" i="13"/>
  <c r="G331" i="13"/>
  <c r="AB280" i="13"/>
  <c r="F291" i="13"/>
  <c r="W55" i="13"/>
  <c r="AB126" i="13"/>
  <c r="G93" i="13"/>
  <c r="AF93" i="13"/>
  <c r="AB165" i="13"/>
  <c r="G134" i="13"/>
  <c r="AB175" i="13"/>
  <c r="G137" i="13"/>
  <c r="W304" i="13"/>
  <c r="G333" i="13"/>
  <c r="F351" i="13"/>
  <c r="AB290" i="13"/>
  <c r="F164" i="13"/>
  <c r="AF316" i="13"/>
  <c r="G316" i="13"/>
  <c r="AB329" i="13"/>
  <c r="AC329" i="13" s="1"/>
  <c r="F13" i="13"/>
  <c r="W94" i="13"/>
  <c r="X94" i="13" s="1"/>
  <c r="W319" i="13"/>
  <c r="AA319" i="13" s="1"/>
  <c r="F357" i="13"/>
  <c r="W154" i="13"/>
  <c r="G55" i="13"/>
  <c r="F33" i="13"/>
  <c r="AA33" i="13"/>
  <c r="W297" i="13"/>
  <c r="Y297" i="13" s="1"/>
  <c r="W171" i="13"/>
  <c r="F324" i="13"/>
  <c r="AA174" i="13"/>
  <c r="F174" i="13"/>
  <c r="AA119" i="13"/>
  <c r="F119" i="13"/>
  <c r="AB63" i="13"/>
  <c r="F21" i="13"/>
  <c r="F185" i="13"/>
  <c r="AA185" i="13"/>
  <c r="G356" i="13"/>
  <c r="G304" i="13"/>
  <c r="AA130" i="13"/>
  <c r="F130" i="13"/>
  <c r="G56" i="13"/>
  <c r="G170" i="13"/>
  <c r="G321" i="13"/>
  <c r="F244" i="13"/>
  <c r="AA244" i="13"/>
  <c r="F258" i="13"/>
  <c r="AB265" i="13"/>
  <c r="G199" i="13"/>
  <c r="G177" i="13"/>
  <c r="W271" i="13"/>
  <c r="AF85" i="13"/>
  <c r="G85" i="13"/>
  <c r="AF318" i="13"/>
  <c r="G318" i="13"/>
  <c r="AB242" i="13"/>
  <c r="AF242" i="13" s="1"/>
  <c r="F350" i="13"/>
  <c r="AA176" i="13"/>
  <c r="F176" i="13"/>
  <c r="F232" i="13"/>
  <c r="G193" i="13"/>
  <c r="AF193" i="13"/>
  <c r="G293" i="13"/>
  <c r="F51" i="13"/>
  <c r="AA51" i="13"/>
  <c r="G156" i="13"/>
  <c r="F159" i="13"/>
  <c r="AA159" i="13"/>
  <c r="F233" i="13"/>
  <c r="W148" i="13"/>
  <c r="AB331" i="13"/>
  <c r="AF182" i="13"/>
  <c r="G182" i="13"/>
  <c r="F55" i="13"/>
  <c r="AB100" i="13"/>
  <c r="G165" i="13"/>
  <c r="G175" i="13"/>
  <c r="F117" i="13"/>
  <c r="AA117" i="13"/>
  <c r="F34" i="13"/>
  <c r="AB137" i="13"/>
  <c r="F354" i="13"/>
  <c r="AA354" i="13"/>
  <c r="G194" i="13"/>
  <c r="F304" i="13"/>
  <c r="F283" i="13"/>
  <c r="W351" i="13"/>
  <c r="AA188" i="13"/>
  <c r="F188" i="13"/>
  <c r="G303" i="13"/>
  <c r="AF303" i="13"/>
  <c r="G329" i="13"/>
  <c r="W13" i="13"/>
  <c r="G48" i="13"/>
  <c r="AB97" i="13"/>
  <c r="F94" i="13"/>
  <c r="F141" i="13"/>
  <c r="AB55" i="13"/>
  <c r="AB248" i="13"/>
  <c r="F128" i="13"/>
  <c r="AA128" i="13"/>
  <c r="AF201" i="13"/>
  <c r="G201" i="13"/>
  <c r="F230" i="13"/>
  <c r="W44" i="13"/>
  <c r="G63" i="13"/>
  <c r="AB304" i="13"/>
  <c r="G151" i="13"/>
  <c r="AB327" i="13"/>
  <c r="W281" i="13"/>
  <c r="AB300" i="13"/>
  <c r="AC300" i="13" s="1"/>
  <c r="AB292" i="13"/>
  <c r="AF292" i="13" s="1"/>
  <c r="AF335" i="13"/>
  <c r="G335" i="13"/>
  <c r="G121" i="13"/>
  <c r="G150" i="13"/>
  <c r="AA70" i="13"/>
  <c r="F70" i="13"/>
  <c r="G324" i="13"/>
  <c r="G53" i="13"/>
  <c r="G54" i="13"/>
  <c r="G183" i="13"/>
  <c r="AF183" i="13"/>
  <c r="W273" i="13"/>
  <c r="AF5" i="13"/>
  <c r="G5" i="13"/>
  <c r="AB263" i="13"/>
  <c r="F147" i="13"/>
  <c r="F76" i="13"/>
  <c r="AA76" i="13"/>
  <c r="W146" i="13"/>
  <c r="AB103" i="13"/>
  <c r="W282" i="13"/>
  <c r="AB36" i="13"/>
  <c r="W39" i="13"/>
  <c r="F214" i="13"/>
  <c r="AA214" i="13"/>
  <c r="F22" i="13"/>
  <c r="W313" i="13"/>
  <c r="W102" i="13"/>
  <c r="AA348" i="13"/>
  <c r="F348" i="13"/>
  <c r="G308" i="13"/>
  <c r="G232" i="13"/>
  <c r="AF171" i="13"/>
  <c r="G171" i="13"/>
  <c r="AB189" i="13"/>
  <c r="G305" i="13"/>
  <c r="F54" i="13"/>
  <c r="F27" i="13"/>
  <c r="G216" i="13"/>
  <c r="G14" i="13"/>
  <c r="F172" i="13"/>
  <c r="G10" i="13"/>
  <c r="AF10" i="13"/>
  <c r="F238" i="13"/>
  <c r="AA238" i="13"/>
  <c r="G228" i="13"/>
  <c r="F48" i="13"/>
  <c r="AA48" i="13"/>
  <c r="F99" i="13"/>
  <c r="W29" i="13"/>
  <c r="G148" i="13"/>
  <c r="W56" i="13"/>
  <c r="W265" i="13"/>
  <c r="AA186" i="13"/>
  <c r="F186" i="13"/>
  <c r="G351" i="13"/>
  <c r="W323" i="13"/>
  <c r="AA352" i="13"/>
  <c r="F352" i="13"/>
  <c r="AF88" i="13"/>
  <c r="G88" i="13"/>
  <c r="G141" i="13"/>
  <c r="AF276" i="13"/>
  <c r="G276" i="13"/>
  <c r="AF87" i="13"/>
  <c r="G87" i="13"/>
  <c r="AB256" i="13"/>
  <c r="AB94" i="13"/>
  <c r="G124" i="13"/>
  <c r="G26" i="13"/>
  <c r="AF26" i="13"/>
  <c r="F50" i="13"/>
  <c r="W190" i="13"/>
  <c r="F30" i="13"/>
  <c r="F262" i="13"/>
  <c r="G327" i="13"/>
  <c r="G107" i="13"/>
  <c r="AF107" i="13"/>
  <c r="G187" i="13"/>
  <c r="F91" i="13"/>
  <c r="AA91" i="13"/>
  <c r="AF278" i="13"/>
  <c r="G278" i="13"/>
  <c r="AB324" i="13"/>
  <c r="AE324" i="13" s="1"/>
  <c r="AB281" i="13"/>
  <c r="G69" i="13"/>
  <c r="AF69" i="13"/>
  <c r="AB202" i="13"/>
  <c r="G78" i="13"/>
  <c r="G263" i="13"/>
  <c r="W147" i="13"/>
  <c r="F260" i="13"/>
  <c r="W139" i="13"/>
  <c r="F39" i="13"/>
  <c r="AA201" i="13"/>
  <c r="F201" i="13"/>
  <c r="G206" i="13"/>
  <c r="AF206" i="13"/>
  <c r="AF84" i="13"/>
  <c r="G84" i="13"/>
  <c r="AB308" i="13"/>
  <c r="AE308" i="13" s="1"/>
  <c r="G237" i="13"/>
  <c r="AF237" i="13"/>
  <c r="G337" i="13"/>
  <c r="AF337" i="13"/>
  <c r="F298" i="13"/>
  <c r="F187" i="13"/>
  <c r="AA187" i="13"/>
  <c r="AB160" i="13"/>
  <c r="W191" i="13"/>
  <c r="AB305" i="13"/>
  <c r="AE305" i="13" s="1"/>
  <c r="AA104" i="13"/>
  <c r="F104" i="13"/>
  <c r="G25" i="13"/>
  <c r="F256" i="13"/>
  <c r="W27" i="13"/>
  <c r="G129" i="13"/>
  <c r="AF129" i="13"/>
  <c r="AB14" i="13"/>
  <c r="AB195" i="13"/>
  <c r="W172" i="13"/>
  <c r="AB59" i="13"/>
  <c r="W136" i="13"/>
  <c r="F263" i="13"/>
  <c r="AF9" i="13"/>
  <c r="G9" i="13"/>
  <c r="W284" i="13"/>
  <c r="AB148" i="13"/>
  <c r="G155" i="13"/>
  <c r="W305" i="13"/>
  <c r="F265" i="13"/>
  <c r="AB351" i="13"/>
  <c r="F208" i="13"/>
  <c r="AA208" i="13"/>
  <c r="G315" i="13"/>
  <c r="AF315" i="13"/>
  <c r="G349" i="13"/>
  <c r="AF349" i="13"/>
  <c r="AA355" i="13"/>
  <c r="F355" i="13"/>
  <c r="G301" i="13"/>
  <c r="AF207" i="13"/>
  <c r="G207" i="13"/>
  <c r="F235" i="13"/>
  <c r="AA235" i="13"/>
  <c r="G256" i="13"/>
  <c r="AF214" i="13"/>
  <c r="G214" i="13"/>
  <c r="AB252" i="13"/>
  <c r="AE252" i="13" s="1"/>
  <c r="G94" i="13"/>
  <c r="W145" i="13"/>
  <c r="G198" i="13"/>
  <c r="AF198" i="13"/>
  <c r="W262" i="13"/>
  <c r="W138" i="13"/>
  <c r="G213" i="13"/>
  <c r="AF213" i="13"/>
  <c r="AB187" i="13"/>
  <c r="F281" i="13"/>
  <c r="AA215" i="13"/>
  <c r="F215" i="13"/>
  <c r="G300" i="13"/>
  <c r="G292" i="13"/>
  <c r="AB121" i="13"/>
  <c r="AB150" i="13"/>
  <c r="F73" i="13"/>
  <c r="AA73" i="13"/>
  <c r="AB54" i="13"/>
  <c r="G281" i="13"/>
  <c r="AA198" i="13"/>
  <c r="F198" i="13"/>
  <c r="G66" i="13"/>
  <c r="AF66" i="13"/>
  <c r="F273" i="13"/>
  <c r="G202" i="13"/>
  <c r="F314" i="13"/>
  <c r="AA314" i="13"/>
  <c r="AA189" i="13"/>
  <c r="F189" i="13"/>
  <c r="AA52" i="13"/>
  <c r="F52" i="13"/>
  <c r="AA62" i="13"/>
  <c r="F62" i="13"/>
  <c r="W260" i="13"/>
  <c r="AA318" i="13"/>
  <c r="F318" i="13"/>
  <c r="F146" i="13"/>
  <c r="G103" i="13"/>
  <c r="F282" i="13"/>
  <c r="F139" i="13"/>
  <c r="F115" i="13"/>
  <c r="AA115" i="13"/>
  <c r="G36" i="13"/>
  <c r="AA69" i="13"/>
  <c r="F69" i="13"/>
  <c r="W22" i="13"/>
  <c r="F313" i="13"/>
  <c r="G82" i="13"/>
  <c r="AF82" i="13"/>
  <c r="F102" i="13"/>
  <c r="F227" i="13"/>
  <c r="AA227" i="13"/>
  <c r="W298" i="13"/>
  <c r="AA298" i="13" s="1"/>
  <c r="G160" i="13"/>
  <c r="F191" i="13"/>
  <c r="G189" i="13"/>
  <c r="AA88" i="13"/>
  <c r="F88" i="13"/>
  <c r="AB25" i="13"/>
  <c r="AA323" i="13"/>
  <c r="X323" i="13"/>
  <c r="Z323" i="13"/>
  <c r="Y323" i="13"/>
  <c r="Y239" i="13"/>
  <c r="AE296" i="13"/>
  <c r="AF296" i="13"/>
  <c r="AC296" i="13"/>
  <c r="AD296" i="13"/>
  <c r="Z284" i="13"/>
  <c r="X284" i="13"/>
  <c r="Y284" i="13"/>
  <c r="AA284" i="13"/>
  <c r="Z296" i="13"/>
  <c r="Y296" i="13"/>
  <c r="AA296" i="13"/>
  <c r="X296" i="13"/>
  <c r="AF325" i="13"/>
  <c r="AD325" i="13"/>
  <c r="AE325" i="13"/>
  <c r="AC325" i="13"/>
  <c r="AD345" i="13"/>
  <c r="AC345" i="13"/>
  <c r="AE345" i="13"/>
  <c r="Z325" i="13"/>
  <c r="AA325" i="13"/>
  <c r="X325" i="13"/>
  <c r="Y325" i="13"/>
  <c r="AF97" i="13"/>
  <c r="AE97" i="13"/>
  <c r="AC97" i="13"/>
  <c r="AD97" i="13"/>
  <c r="Z307" i="13"/>
  <c r="Y307" i="13"/>
  <c r="AA307" i="13"/>
  <c r="X307" i="13"/>
  <c r="AD149" i="13"/>
  <c r="AF149" i="13"/>
  <c r="AC149" i="13"/>
  <c r="AE149" i="13"/>
  <c r="AC354" i="13"/>
  <c r="AE354" i="13"/>
  <c r="AF354" i="13"/>
  <c r="AD354" i="13"/>
  <c r="AF239" i="13"/>
  <c r="AE176" i="13"/>
  <c r="AC176" i="13"/>
  <c r="AD176" i="13"/>
  <c r="AF176" i="13"/>
  <c r="AF122" i="13"/>
  <c r="AD122" i="13"/>
  <c r="AE122" i="13"/>
  <c r="AC122" i="13"/>
  <c r="AC306" i="13"/>
  <c r="Y304" i="13"/>
  <c r="AA304" i="13"/>
  <c r="Z304" i="13"/>
  <c r="X304" i="13"/>
  <c r="AE38" i="13"/>
  <c r="AF38" i="13"/>
  <c r="AC38" i="13"/>
  <c r="AD38" i="13"/>
  <c r="AA262" i="13"/>
  <c r="X262" i="13"/>
  <c r="Z262" i="13"/>
  <c r="Y262" i="13"/>
  <c r="AF328" i="13"/>
  <c r="AC328" i="13"/>
  <c r="AE328" i="13"/>
  <c r="AD328" i="13"/>
  <c r="AF116" i="13"/>
  <c r="AC116" i="13"/>
  <c r="AE116" i="13"/>
  <c r="AD116" i="13"/>
  <c r="Y94" i="13"/>
  <c r="AE329" i="13"/>
  <c r="Z135" i="13"/>
  <c r="AA135" i="13"/>
  <c r="Y135" i="13"/>
  <c r="X135" i="13"/>
  <c r="AD94" i="13"/>
  <c r="AF94" i="13"/>
  <c r="AC94" i="13"/>
  <c r="AE94" i="13"/>
  <c r="AC307" i="13"/>
  <c r="AE307" i="13"/>
  <c r="AD307" i="13"/>
  <c r="AF307" i="13"/>
  <c r="Y290" i="13"/>
  <c r="AA290" i="13"/>
  <c r="Z290" i="13"/>
  <c r="X290" i="13"/>
  <c r="AC50" i="13"/>
  <c r="AE50" i="13"/>
  <c r="AD50" i="13"/>
  <c r="AF50" i="13"/>
  <c r="X8" i="13"/>
  <c r="Z8" i="13"/>
  <c r="Y8" i="13"/>
  <c r="AA8" i="13"/>
  <c r="Y329" i="13"/>
  <c r="Z329" i="13"/>
  <c r="AA329" i="13"/>
  <c r="X329" i="13"/>
  <c r="AF323" i="13"/>
  <c r="AF123" i="13"/>
  <c r="AC123" i="13"/>
  <c r="AE123" i="13"/>
  <c r="AD123" i="13"/>
  <c r="AA209" i="13"/>
  <c r="X209" i="13"/>
  <c r="Z209" i="13"/>
  <c r="Y209" i="13"/>
  <c r="X326" i="13"/>
  <c r="Y326" i="13"/>
  <c r="Z326" i="13"/>
  <c r="AA326" i="13"/>
  <c r="AD304" i="13"/>
  <c r="AC304" i="13"/>
  <c r="AE304" i="13"/>
  <c r="AF304" i="13"/>
  <c r="AF326" i="13"/>
  <c r="AE326" i="13"/>
  <c r="AC326" i="13"/>
  <c r="AD326" i="13"/>
  <c r="X38" i="13"/>
  <c r="AA294" i="13"/>
  <c r="Z294" i="13"/>
  <c r="X294" i="13"/>
  <c r="Y294" i="13"/>
  <c r="AE293" i="13"/>
  <c r="AD293" i="13"/>
  <c r="AC293" i="13"/>
  <c r="AF293" i="13"/>
  <c r="AC286" i="13"/>
  <c r="AE286" i="13"/>
  <c r="AF286" i="13"/>
  <c r="AD286" i="13"/>
  <c r="AA297" i="13"/>
  <c r="X297" i="13"/>
  <c r="AC208" i="13"/>
  <c r="AC74" i="13"/>
  <c r="AD74" i="13"/>
  <c r="AA27" i="13"/>
  <c r="Z27" i="13"/>
  <c r="Y27" i="13"/>
  <c r="X27" i="13"/>
  <c r="Y282" i="13"/>
  <c r="AA282" i="13"/>
  <c r="Z282" i="13"/>
  <c r="X282" i="13"/>
  <c r="AF290" i="13"/>
  <c r="AE290" i="13"/>
  <c r="AD290" i="13"/>
  <c r="AC290" i="13"/>
  <c r="Z305" i="13"/>
  <c r="AA305" i="13"/>
  <c r="X305" i="13"/>
  <c r="Y305" i="13"/>
  <c r="AF298" i="13"/>
  <c r="AE298" i="13"/>
  <c r="AC298" i="13"/>
  <c r="AD298" i="13"/>
  <c r="AF285" i="13"/>
  <c r="X295" i="13"/>
  <c r="Y295" i="13"/>
  <c r="Y292" i="13"/>
  <c r="AA292" i="13"/>
  <c r="Z292" i="13"/>
  <c r="X292" i="13"/>
  <c r="AC140" i="13"/>
  <c r="AE140" i="13"/>
  <c r="AD140" i="13"/>
  <c r="AF140" i="13"/>
  <c r="X293" i="13"/>
  <c r="Z293" i="13"/>
  <c r="Y293" i="13"/>
  <c r="AA293" i="13"/>
  <c r="AE327" i="13"/>
  <c r="AC327" i="13"/>
  <c r="AD327" i="13"/>
  <c r="AF327" i="13"/>
  <c r="Z283" i="13"/>
  <c r="X283" i="13"/>
  <c r="Y283" i="13"/>
  <c r="AA283" i="13"/>
  <c r="AD209" i="13"/>
  <c r="AE209" i="13"/>
  <c r="AC209" i="13"/>
  <c r="AF209" i="13"/>
  <c r="X216" i="13"/>
  <c r="AA216" i="13"/>
  <c r="Y216" i="13"/>
  <c r="Z216" i="13"/>
  <c r="AD8" i="13"/>
  <c r="AF8" i="13"/>
  <c r="AE8" i="13"/>
  <c r="AC8" i="13"/>
  <c r="Z97" i="13"/>
  <c r="AA97" i="13"/>
  <c r="Y165" i="13"/>
  <c r="AE187" i="13"/>
  <c r="AC154" i="13"/>
  <c r="Z55" i="13"/>
  <c r="Z163" i="13"/>
  <c r="Z171" i="13"/>
  <c r="X273" i="13"/>
  <c r="AC189" i="13"/>
  <c r="Z56" i="13"/>
  <c r="Y44" i="13"/>
  <c r="X59" i="13"/>
  <c r="Z204" i="13"/>
  <c r="AC187" i="13"/>
  <c r="AD220" i="13"/>
  <c r="X31" i="13"/>
  <c r="X96" i="13"/>
  <c r="Z54" i="13"/>
  <c r="AC134" i="13"/>
  <c r="Z151" i="13"/>
  <c r="AD288" i="13"/>
  <c r="AE272" i="13"/>
  <c r="AC127" i="13"/>
  <c r="AE270" i="13"/>
  <c r="Z274" i="13"/>
  <c r="Z220" i="13"/>
  <c r="Z28" i="13"/>
  <c r="AC289" i="13"/>
  <c r="AE141" i="13"/>
  <c r="Z192" i="13"/>
  <c r="X254" i="13"/>
  <c r="X148" i="13"/>
  <c r="X173" i="13"/>
  <c r="Z157" i="13"/>
  <c r="AD12" i="13"/>
  <c r="Z34" i="13"/>
  <c r="AC65" i="13"/>
  <c r="AE173" i="13"/>
  <c r="AE175" i="13"/>
  <c r="AD273" i="13"/>
  <c r="AD40" i="13"/>
  <c r="AC121" i="13"/>
  <c r="X171" i="13"/>
  <c r="AE151" i="13"/>
  <c r="Z173" i="13"/>
  <c r="Z270" i="13"/>
  <c r="AE12" i="13"/>
  <c r="AC279" i="13"/>
  <c r="X63" i="13"/>
  <c r="AD357" i="13"/>
  <c r="AC350" i="13"/>
  <c r="Z148" i="13"/>
  <c r="Z260" i="13"/>
  <c r="X256" i="13"/>
  <c r="AC188" i="13"/>
  <c r="Z146" i="13"/>
  <c r="Y280" i="13"/>
  <c r="AC202" i="13"/>
  <c r="Y152" i="13"/>
  <c r="AE247" i="13"/>
  <c r="AE279" i="13"/>
  <c r="X195" i="13"/>
  <c r="AC59" i="13"/>
  <c r="AC331" i="13"/>
  <c r="Z21" i="13"/>
  <c r="AE355" i="13"/>
  <c r="AD165" i="13"/>
  <c r="AC16" i="13"/>
  <c r="AC192" i="13"/>
  <c r="Z272" i="13"/>
  <c r="AE350" i="13"/>
  <c r="Y28" i="13"/>
  <c r="AD16" i="13"/>
  <c r="AD141" i="13"/>
  <c r="Y275" i="13"/>
  <c r="AC124" i="13"/>
  <c r="AD142" i="13"/>
  <c r="Y100" i="13"/>
  <c r="AC39" i="13"/>
  <c r="X21" i="13"/>
  <c r="AE289" i="13"/>
  <c r="Z13" i="13"/>
  <c r="Y357" i="13"/>
  <c r="Y350" i="13"/>
  <c r="AE13" i="13"/>
  <c r="X54" i="13"/>
  <c r="Z263" i="13"/>
  <c r="AC248" i="13"/>
  <c r="AC194" i="13"/>
  <c r="X40" i="13"/>
  <c r="AD102" i="13"/>
  <c r="AD139" i="13"/>
  <c r="Y270" i="13"/>
  <c r="X194" i="13"/>
  <c r="AC357" i="13"/>
  <c r="AD280" i="13"/>
  <c r="X160" i="13"/>
  <c r="Y14" i="13"/>
  <c r="AE21" i="13"/>
  <c r="Z313" i="13"/>
  <c r="Z256" i="13"/>
  <c r="Y54" i="13"/>
  <c r="AE134" i="13"/>
  <c r="Z309" i="13"/>
  <c r="AD287" i="13"/>
  <c r="AD351" i="13"/>
  <c r="X15" i="13"/>
  <c r="Z165" i="13"/>
  <c r="AD21" i="13"/>
  <c r="X220" i="13"/>
  <c r="X351" i="13"/>
  <c r="Y163" i="13"/>
  <c r="X29" i="13"/>
  <c r="AD136" i="13"/>
  <c r="Y338" i="13"/>
  <c r="X202" i="13"/>
  <c r="AC266" i="13"/>
  <c r="AD65" i="13"/>
  <c r="Z310" i="13"/>
  <c r="AC148" i="13"/>
  <c r="AC164" i="13"/>
  <c r="Z153" i="13"/>
  <c r="Y351" i="13"/>
  <c r="AD125" i="13"/>
  <c r="Y13" i="13"/>
  <c r="AD63" i="13"/>
  <c r="Z255" i="13"/>
  <c r="Z44" i="13"/>
  <c r="AD130" i="13"/>
  <c r="AE248" i="13"/>
  <c r="AE156" i="13"/>
  <c r="Y40" i="13"/>
  <c r="Z152" i="13"/>
  <c r="AC147" i="13"/>
  <c r="Y34" i="13"/>
  <c r="AC263" i="13"/>
  <c r="Y150" i="13"/>
  <c r="Y195" i="13"/>
  <c r="Z164" i="13"/>
  <c r="Z12" i="13"/>
  <c r="Y356" i="13"/>
  <c r="AE137" i="13"/>
  <c r="AE14" i="13"/>
  <c r="X310" i="13"/>
  <c r="Z16" i="13"/>
  <c r="AC175" i="13"/>
  <c r="AC165" i="13"/>
  <c r="AD233" i="13"/>
  <c r="Z288" i="13"/>
  <c r="AC158" i="13"/>
  <c r="Z273" i="13"/>
  <c r="AE188" i="13"/>
  <c r="AD33" i="13"/>
  <c r="AE233" i="13"/>
  <c r="X146" i="13"/>
  <c r="AE130" i="13"/>
  <c r="Y279" i="13"/>
  <c r="X103" i="13"/>
  <c r="AC40" i="13"/>
  <c r="AE7" i="13"/>
  <c r="AC125" i="13"/>
  <c r="X13" i="13"/>
  <c r="Z357" i="13"/>
  <c r="X151" i="13"/>
  <c r="AC153" i="13"/>
  <c r="X37" i="13"/>
  <c r="Z281" i="13"/>
  <c r="Y272" i="13"/>
  <c r="X313" i="13"/>
  <c r="AD7" i="13"/>
  <c r="AE16" i="13"/>
  <c r="AD138" i="13"/>
  <c r="Z137" i="13"/>
  <c r="AD29" i="13"/>
  <c r="AD188" i="13"/>
  <c r="Z311" i="13"/>
  <c r="AD338" i="13"/>
  <c r="AD44" i="13"/>
  <c r="AE251" i="13"/>
  <c r="AC150" i="13"/>
  <c r="AE40" i="13"/>
  <c r="AC7" i="13"/>
  <c r="AE331" i="13"/>
  <c r="Z29" i="13"/>
  <c r="X248" i="13"/>
  <c r="AE351" i="13"/>
  <c r="AE55" i="13"/>
  <c r="X270" i="13"/>
  <c r="X30" i="13"/>
  <c r="X288" i="13"/>
  <c r="AC137" i="13"/>
  <c r="AD279" i="13"/>
  <c r="AD256" i="13"/>
  <c r="Z103" i="13"/>
  <c r="Y236" i="13"/>
  <c r="X257" i="13"/>
  <c r="AD254" i="13"/>
  <c r="X338" i="13"/>
  <c r="Z202" i="13"/>
  <c r="Z59" i="13"/>
  <c r="Y281" i="13"/>
  <c r="X247" i="13"/>
  <c r="AE256" i="13"/>
  <c r="AE33" i="13"/>
  <c r="Y327" i="13"/>
  <c r="AD59" i="13"/>
  <c r="Y126" i="13"/>
  <c r="Y37" i="13"/>
  <c r="X154" i="13"/>
  <c r="AC270" i="13"/>
  <c r="Z154" i="13"/>
  <c r="Z40" i="13"/>
  <c r="AD164" i="13"/>
  <c r="AE120" i="13"/>
  <c r="Z254" i="13"/>
  <c r="AC96" i="13"/>
  <c r="AE103" i="13"/>
  <c r="AD195" i="13"/>
  <c r="AC144" i="13"/>
  <c r="AC251" i="13"/>
  <c r="AC31" i="13"/>
  <c r="X150" i="13"/>
  <c r="AC351" i="13"/>
  <c r="Z150" i="13"/>
  <c r="AE127" i="13"/>
  <c r="Y288" i="13"/>
  <c r="Y102" i="13"/>
  <c r="AC23" i="13"/>
  <c r="Y274" i="13"/>
  <c r="X280" i="13"/>
  <c r="AD121" i="13"/>
  <c r="X23" i="13"/>
  <c r="Y29" i="13"/>
  <c r="AE136" i="13"/>
  <c r="AC151" i="13"/>
  <c r="AC100" i="13"/>
  <c r="AE132" i="13"/>
  <c r="AE357" i="13"/>
  <c r="X279" i="13"/>
  <c r="AC13" i="13"/>
  <c r="Y153" i="13"/>
  <c r="AC56" i="13"/>
  <c r="Z195" i="13"/>
  <c r="Y192" i="13"/>
  <c r="AC25" i="13"/>
  <c r="X44" i="13"/>
  <c r="Y173" i="13"/>
  <c r="AD248" i="13"/>
  <c r="X136" i="13"/>
  <c r="AE15" i="13"/>
  <c r="AE54" i="13"/>
  <c r="AE139" i="13"/>
  <c r="AD56" i="13"/>
  <c r="AE179" i="13"/>
  <c r="AE138" i="13"/>
  <c r="Y56" i="13"/>
  <c r="X356" i="13"/>
  <c r="AD148" i="13"/>
  <c r="AD13" i="13"/>
  <c r="AC139" i="13"/>
  <c r="Z271" i="13"/>
  <c r="AD331" i="13"/>
  <c r="AC138" i="13"/>
  <c r="X137" i="13"/>
  <c r="AE194" i="13"/>
  <c r="Z265" i="13"/>
  <c r="AC126" i="13"/>
  <c r="AC157" i="13"/>
  <c r="AD150" i="13"/>
  <c r="Z280" i="13"/>
  <c r="AE121" i="13"/>
  <c r="Y23" i="13"/>
  <c r="AE254" i="13"/>
  <c r="AD258" i="13"/>
  <c r="X102" i="13"/>
  <c r="X100" i="13"/>
  <c r="X263" i="13"/>
  <c r="X16" i="13"/>
  <c r="Z138" i="13"/>
  <c r="X145" i="13"/>
  <c r="Z236" i="13"/>
  <c r="Y271" i="13"/>
  <c r="Y17" i="13"/>
  <c r="X125" i="13"/>
  <c r="AD189" i="13"/>
  <c r="AC142" i="13"/>
  <c r="X155" i="13"/>
  <c r="AE30" i="13"/>
  <c r="AE195" i="13"/>
  <c r="Z191" i="13"/>
  <c r="AE44" i="13"/>
  <c r="AC256" i="13"/>
  <c r="X142" i="13"/>
  <c r="AC54" i="13"/>
  <c r="AD34" i="13"/>
  <c r="X163" i="13"/>
  <c r="AD134" i="13"/>
  <c r="AE25" i="13"/>
  <c r="Z100" i="13"/>
  <c r="Z312" i="13"/>
  <c r="Y154" i="13"/>
  <c r="AC156" i="13"/>
  <c r="Z126" i="13"/>
  <c r="Y22" i="13"/>
  <c r="Y310" i="13"/>
  <c r="AC260" i="13"/>
  <c r="AD146" i="13"/>
  <c r="Y164" i="13"/>
  <c r="AD54" i="13"/>
  <c r="X255" i="13"/>
  <c r="AD158" i="13"/>
  <c r="AC287" i="13"/>
  <c r="AE144" i="13"/>
  <c r="AC136" i="13"/>
  <c r="Y156" i="13"/>
  <c r="Y142" i="13"/>
  <c r="AD15" i="13"/>
  <c r="AE150" i="13"/>
  <c r="X236" i="13"/>
  <c r="AC265" i="13"/>
  <c r="Z194" i="13"/>
  <c r="AC254" i="13"/>
  <c r="AC258" i="13"/>
  <c r="Y254" i="13"/>
  <c r="AE202" i="13"/>
  <c r="X120" i="13"/>
  <c r="AC12" i="13"/>
  <c r="X260" i="13"/>
  <c r="Y145" i="13"/>
  <c r="AE146" i="13"/>
  <c r="AD179" i="13"/>
  <c r="Y121" i="13"/>
  <c r="X56" i="13"/>
  <c r="Z37" i="13"/>
  <c r="Z356" i="13"/>
  <c r="X152" i="13"/>
  <c r="X165" i="13"/>
  <c r="AE263" i="13"/>
  <c r="Y139" i="13"/>
  <c r="Y141" i="13"/>
  <c r="AC146" i="13"/>
  <c r="AC155" i="13"/>
  <c r="AC36" i="13"/>
  <c r="Y309" i="13"/>
  <c r="AE100" i="13"/>
  <c r="X7" i="13"/>
  <c r="Y63" i="13"/>
  <c r="AC247" i="13"/>
  <c r="X156" i="13"/>
  <c r="AE260" i="13"/>
  <c r="X281" i="13"/>
  <c r="X138" i="13"/>
  <c r="Z31" i="13"/>
  <c r="AE125" i="13"/>
  <c r="Y137" i="13"/>
  <c r="Y255" i="13"/>
  <c r="Y265" i="13"/>
  <c r="AD39" i="13"/>
  <c r="AD126" i="13"/>
  <c r="Z258" i="13"/>
  <c r="AC272" i="13"/>
  <c r="AC178" i="13"/>
  <c r="AC44" i="13"/>
  <c r="AD103" i="13"/>
  <c r="AC280" i="13"/>
  <c r="Y151" i="13"/>
  <c r="AE39" i="13"/>
  <c r="X233" i="13"/>
  <c r="AC14" i="13"/>
  <c r="Z14" i="13"/>
  <c r="X55" i="13"/>
  <c r="AC102" i="13"/>
  <c r="Z120" i="13"/>
  <c r="Y311" i="13"/>
  <c r="AE165" i="13"/>
  <c r="X28" i="13"/>
  <c r="AE142" i="13"/>
  <c r="AE59" i="13"/>
  <c r="AC130" i="13"/>
  <c r="Y30" i="13"/>
  <c r="Z17" i="13"/>
  <c r="X274" i="13"/>
  <c r="Z125" i="13"/>
  <c r="Y172" i="13"/>
  <c r="AE124" i="13"/>
  <c r="X258" i="13"/>
  <c r="Z145" i="13"/>
  <c r="Z63" i="13"/>
  <c r="Z247" i="13"/>
  <c r="Y136" i="13"/>
  <c r="AE273" i="13"/>
  <c r="AC34" i="13"/>
  <c r="Z287" i="13"/>
  <c r="AE155" i="13"/>
  <c r="Y125" i="13"/>
  <c r="AC63" i="13"/>
  <c r="AC29" i="13"/>
  <c r="Y12" i="13"/>
  <c r="Y7" i="13"/>
  <c r="X147" i="13"/>
  <c r="AD251" i="13"/>
  <c r="AE158" i="13"/>
  <c r="AD265" i="13"/>
  <c r="X17" i="13"/>
  <c r="AD36" i="13"/>
  <c r="AE287" i="13"/>
  <c r="AC132" i="13"/>
  <c r="Y59" i="13"/>
  <c r="AD137" i="13"/>
  <c r="X272" i="13"/>
  <c r="AD187" i="13"/>
  <c r="AD275" i="13"/>
  <c r="AE265" i="13"/>
  <c r="X266" i="13"/>
  <c r="AC244" i="13"/>
  <c r="X350" i="13"/>
  <c r="AC55" i="13"/>
  <c r="AD23" i="13"/>
  <c r="AC220" i="13"/>
  <c r="Z23" i="13"/>
  <c r="Y248" i="13"/>
  <c r="Y15" i="13"/>
  <c r="Z233" i="13"/>
  <c r="Y247" i="13"/>
  <c r="AE192" i="13"/>
  <c r="AC179" i="13"/>
  <c r="Z7" i="13"/>
  <c r="X327" i="13"/>
  <c r="X126" i="13"/>
  <c r="X204" i="13"/>
  <c r="AE356" i="13"/>
  <c r="Z141" i="13"/>
  <c r="Z257" i="13"/>
  <c r="Y266" i="13"/>
  <c r="Z121" i="13"/>
  <c r="AD25" i="13"/>
  <c r="AC288" i="13"/>
  <c r="AC172" i="13"/>
  <c r="AD156" i="13"/>
  <c r="AC15" i="13"/>
  <c r="AD356" i="13"/>
  <c r="AE34" i="13"/>
  <c r="Y287" i="13"/>
  <c r="Y194" i="13"/>
  <c r="AE244" i="13"/>
  <c r="AE189" i="13"/>
  <c r="AE153" i="13"/>
  <c r="X265" i="13"/>
  <c r="AE96" i="13"/>
  <c r="AC195" i="13"/>
  <c r="X14" i="13"/>
  <c r="AE220" i="13"/>
  <c r="Z127" i="13"/>
  <c r="X287" i="13"/>
  <c r="Y39" i="13"/>
  <c r="X275" i="13"/>
  <c r="AD151" i="13"/>
  <c r="AD172" i="13"/>
  <c r="AE177" i="13"/>
  <c r="X22" i="13"/>
  <c r="Y42" i="13"/>
  <c r="AD30" i="13"/>
  <c r="AD270" i="13"/>
  <c r="Z147" i="13"/>
  <c r="AD157" i="13"/>
  <c r="AD154" i="13"/>
  <c r="X192" i="13"/>
  <c r="Y157" i="13"/>
  <c r="AC103" i="13"/>
  <c r="Y138" i="13"/>
  <c r="Z139" i="13"/>
  <c r="AE280" i="13"/>
  <c r="Z96" i="13"/>
  <c r="X39" i="13"/>
  <c r="AE36" i="13"/>
  <c r="Z102" i="13"/>
  <c r="Y148" i="13"/>
  <c r="AD266" i="13"/>
  <c r="Z142" i="13"/>
  <c r="AC273" i="13"/>
  <c r="X139" i="13"/>
  <c r="X141" i="13"/>
  <c r="Y257" i="13"/>
  <c r="AD155" i="13"/>
  <c r="Y273" i="13"/>
  <c r="AD124" i="13"/>
  <c r="AD100" i="13"/>
  <c r="Y155" i="13"/>
  <c r="AC30" i="13"/>
  <c r="Z22" i="13"/>
  <c r="Z279" i="13"/>
  <c r="AC21" i="13"/>
  <c r="AE154" i="13"/>
  <c r="Y31" i="13"/>
  <c r="AC120" i="13"/>
  <c r="X264" i="13"/>
  <c r="X357" i="13"/>
  <c r="AD194" i="13"/>
  <c r="AD202" i="13"/>
  <c r="AE266" i="13"/>
  <c r="Z15" i="13"/>
  <c r="AE23" i="13"/>
  <c r="AD175" i="13"/>
  <c r="Y312" i="13"/>
  <c r="Y233" i="13"/>
  <c r="X191" i="13"/>
  <c r="Y260" i="13"/>
  <c r="Y220" i="13"/>
  <c r="Z351" i="13"/>
  <c r="Z39" i="13"/>
  <c r="X121" i="13"/>
  <c r="AD153" i="13"/>
  <c r="Z350" i="13"/>
  <c r="AE338" i="13"/>
  <c r="AD144" i="13"/>
  <c r="AD173" i="13"/>
  <c r="AD96" i="13"/>
  <c r="AD192" i="13"/>
  <c r="Z156" i="13"/>
  <c r="Y258" i="13"/>
  <c r="Y16" i="13"/>
  <c r="AE147" i="13"/>
  <c r="Z30" i="13"/>
  <c r="X42" i="13"/>
  <c r="Y191" i="13"/>
  <c r="Y146" i="13"/>
  <c r="AE29" i="13"/>
  <c r="Y147" i="13"/>
  <c r="X34" i="13"/>
  <c r="X271" i="13"/>
  <c r="AD55" i="13"/>
  <c r="X157" i="13"/>
  <c r="Y21" i="13"/>
  <c r="AD263" i="13"/>
  <c r="AE275" i="13"/>
  <c r="X127" i="13"/>
  <c r="AD289" i="13"/>
  <c r="Y264" i="13"/>
  <c r="AD244" i="13"/>
  <c r="Z248" i="13"/>
  <c r="Y202" i="13"/>
  <c r="Y263" i="13"/>
  <c r="Z136" i="13"/>
  <c r="AC275" i="13"/>
  <c r="Y127" i="13"/>
  <c r="AD120" i="13"/>
  <c r="Z266" i="13"/>
  <c r="Z275" i="13"/>
  <c r="X309" i="13"/>
  <c r="X12" i="13"/>
  <c r="Y120" i="13"/>
  <c r="X312" i="13"/>
  <c r="AD14" i="13"/>
  <c r="AE157" i="13"/>
  <c r="Y103" i="13"/>
  <c r="AD350" i="13"/>
  <c r="Y55" i="13"/>
  <c r="Y96" i="13"/>
  <c r="Y171" i="13"/>
  <c r="AE102" i="13"/>
  <c r="Z338" i="13"/>
  <c r="AE288" i="13"/>
  <c r="X311" i="13"/>
  <c r="AE65" i="13"/>
  <c r="AD178" i="13"/>
  <c r="AC173" i="13"/>
  <c r="AC177" i="13"/>
  <c r="Z42" i="13"/>
  <c r="AD247" i="13"/>
  <c r="AE148" i="13"/>
  <c r="X153" i="13"/>
  <c r="AE56" i="13"/>
  <c r="Z264" i="13"/>
  <c r="AE172" i="13"/>
  <c r="AE178" i="13"/>
  <c r="AD127" i="13"/>
  <c r="AC33" i="13"/>
  <c r="AD147" i="13"/>
  <c r="Y256" i="13"/>
  <c r="X164" i="13"/>
  <c r="AD177" i="13"/>
  <c r="Y313" i="13"/>
  <c r="AE258" i="13"/>
  <c r="AC338" i="13"/>
  <c r="Z327" i="13"/>
  <c r="AC141" i="13"/>
  <c r="AD260" i="13"/>
  <c r="AE126" i="13"/>
  <c r="AE164" i="13"/>
  <c r="Z155" i="13"/>
  <c r="AE63" i="13"/>
  <c r="AC356" i="13"/>
  <c r="AD272" i="13"/>
  <c r="Y204" i="13"/>
  <c r="AD132" i="13"/>
  <c r="AC233" i="13"/>
  <c r="AC274" i="13"/>
  <c r="AC255" i="13"/>
  <c r="X158" i="13"/>
  <c r="X289" i="13"/>
  <c r="Z160" i="13"/>
  <c r="AD281" i="13"/>
  <c r="Y331" i="13"/>
  <c r="AC355" i="13"/>
  <c r="X172" i="13"/>
  <c r="X36" i="13"/>
  <c r="Y65" i="13"/>
  <c r="AD31" i="13"/>
  <c r="Y190" i="13"/>
  <c r="AC160" i="13"/>
  <c r="Y38" i="13" l="1"/>
  <c r="Z149" i="13"/>
  <c r="AA328" i="13"/>
  <c r="AE169" i="13"/>
  <c r="X149" i="13"/>
  <c r="Z324" i="13"/>
  <c r="AD282" i="13"/>
  <c r="Y149" i="13"/>
  <c r="AC294" i="13"/>
  <c r="AD169" i="13"/>
  <c r="Z286" i="13"/>
  <c r="Z38" i="13"/>
  <c r="AD294" i="13"/>
  <c r="AF262" i="13"/>
  <c r="AC319" i="13"/>
  <c r="AE294" i="13"/>
  <c r="AD239" i="13"/>
  <c r="AE334" i="13"/>
  <c r="AD284" i="13"/>
  <c r="AD295" i="13"/>
  <c r="AC305" i="13"/>
  <c r="AC239" i="13"/>
  <c r="AF334" i="13"/>
  <c r="AD329" i="13"/>
  <c r="Y285" i="13"/>
  <c r="AD334" i="13"/>
  <c r="AD208" i="13"/>
  <c r="AD292" i="13"/>
  <c r="AD79" i="13"/>
  <c r="AC79" i="13"/>
  <c r="AD324" i="13"/>
  <c r="AA140" i="13"/>
  <c r="AC143" i="13"/>
  <c r="AE299" i="13"/>
  <c r="Y140" i="13"/>
  <c r="AE143" i="13"/>
  <c r="AC299" i="13"/>
  <c r="AC27" i="13"/>
  <c r="Z140" i="13"/>
  <c r="AF143" i="13"/>
  <c r="AD299" i="13"/>
  <c r="X291" i="13"/>
  <c r="AA291" i="13"/>
  <c r="AE27" i="13"/>
  <c r="Z291" i="13"/>
  <c r="AF27" i="13"/>
  <c r="AF208" i="13"/>
  <c r="AA239" i="13"/>
  <c r="Z239" i="13"/>
  <c r="AE292" i="13"/>
  <c r="AF283" i="13"/>
  <c r="AE79" i="13"/>
  <c r="AC292" i="13"/>
  <c r="AC324" i="13"/>
  <c r="AE283" i="13"/>
  <c r="AF324" i="13"/>
  <c r="AC283" i="13"/>
  <c r="AA94" i="13"/>
  <c r="AC169" i="13"/>
  <c r="AE64" i="13"/>
  <c r="AD285" i="13"/>
  <c r="AE99" i="13"/>
  <c r="AA308" i="13"/>
  <c r="X306" i="13"/>
  <c r="AF99" i="13"/>
  <c r="X308" i="13"/>
  <c r="AF64" i="13"/>
  <c r="AC285" i="13"/>
  <c r="AA50" i="13"/>
  <c r="AC308" i="13"/>
  <c r="AD99" i="13"/>
  <c r="Z308" i="13"/>
  <c r="Z306" i="13"/>
  <c r="AD64" i="13"/>
  <c r="AC174" i="13"/>
  <c r="AD321" i="13"/>
  <c r="AF119" i="13"/>
  <c r="AF308" i="13"/>
  <c r="AA306" i="13"/>
  <c r="Z94" i="13"/>
  <c r="AD305" i="13"/>
  <c r="AC301" i="13"/>
  <c r="Y328" i="13"/>
  <c r="AD119" i="13"/>
  <c r="Y319" i="13"/>
  <c r="Y212" i="13"/>
  <c r="X321" i="13"/>
  <c r="AD252" i="13"/>
  <c r="AF301" i="13"/>
  <c r="AA99" i="13"/>
  <c r="Z328" i="13"/>
  <c r="AC119" i="13"/>
  <c r="Z319" i="13"/>
  <c r="AF329" i="13"/>
  <c r="Z212" i="13"/>
  <c r="AF305" i="13"/>
  <c r="AE301" i="13"/>
  <c r="Z99" i="13"/>
  <c r="AE319" i="13"/>
  <c r="AD242" i="13"/>
  <c r="AC216" i="13"/>
  <c r="AD216" i="13"/>
  <c r="AF319" i="13"/>
  <c r="Y97" i="13"/>
  <c r="X99" i="13"/>
  <c r="AF74" i="13"/>
  <c r="Z297" i="13"/>
  <c r="AC320" i="13"/>
  <c r="AC323" i="13"/>
  <c r="AA212" i="13"/>
  <c r="AF282" i="13"/>
  <c r="AF216" i="13"/>
  <c r="AA295" i="13"/>
  <c r="AC282" i="13"/>
  <c r="AE320" i="13"/>
  <c r="AD323" i="13"/>
  <c r="AD300" i="13"/>
  <c r="AD320" i="13"/>
  <c r="Y324" i="13"/>
  <c r="AD170" i="13"/>
  <c r="AD174" i="13"/>
  <c r="AF284" i="13"/>
  <c r="Y50" i="13"/>
  <c r="Z320" i="13"/>
  <c r="Y298" i="13"/>
  <c r="AC242" i="13"/>
  <c r="X324" i="13"/>
  <c r="AC170" i="13"/>
  <c r="AE174" i="13"/>
  <c r="AC284" i="13"/>
  <c r="X50" i="13"/>
  <c r="X320" i="13"/>
  <c r="AC262" i="13"/>
  <c r="AD243" i="13"/>
  <c r="X298" i="13"/>
  <c r="AE242" i="13"/>
  <c r="AA320" i="13"/>
  <c r="AC243" i="13"/>
  <c r="AF170" i="13"/>
  <c r="AD262" i="13"/>
  <c r="AF243" i="13"/>
  <c r="AE306" i="13"/>
  <c r="AE321" i="13"/>
  <c r="AF252" i="13"/>
  <c r="AF306" i="13"/>
  <c r="Y286" i="13"/>
  <c r="Z321" i="13"/>
  <c r="AF321" i="13"/>
  <c r="AC252" i="13"/>
  <c r="X319" i="13"/>
  <c r="AD308" i="13"/>
  <c r="X286" i="13"/>
  <c r="Y321" i="13"/>
  <c r="X64" i="13"/>
  <c r="AC297" i="13"/>
  <c r="AF291" i="13"/>
  <c r="AC135" i="13"/>
  <c r="AF212" i="13"/>
  <c r="AE300" i="13"/>
  <c r="AF297" i="13"/>
  <c r="AD291" i="13"/>
  <c r="AF135" i="13"/>
  <c r="AD212" i="13"/>
  <c r="AF300" i="13"/>
  <c r="AE297" i="13"/>
  <c r="AE291" i="13"/>
  <c r="AE135" i="13"/>
  <c r="AE212" i="13"/>
  <c r="AC295" i="13"/>
  <c r="Z298" i="13"/>
  <c r="Z285" i="13"/>
  <c r="AF295" i="13"/>
  <c r="X285" i="13"/>
  <c r="AA64" i="13"/>
  <c r="Y64" i="13"/>
  <c r="AF279" i="13"/>
  <c r="AF192" i="13"/>
  <c r="AA247" i="13"/>
  <c r="AF126" i="13"/>
  <c r="AA156" i="13"/>
  <c r="AF165" i="13"/>
  <c r="AF247" i="13"/>
  <c r="AA30" i="13"/>
  <c r="AF33" i="13"/>
  <c r="AA16" i="13"/>
  <c r="AA126" i="13"/>
  <c r="AF233" i="13"/>
  <c r="AF256" i="13"/>
  <c r="AF147" i="13"/>
  <c r="AA233" i="13"/>
  <c r="AA258" i="13"/>
  <c r="AF103" i="13"/>
  <c r="AF14" i="13"/>
  <c r="AF12" i="13"/>
  <c r="AF178" i="13"/>
  <c r="AF59" i="13"/>
  <c r="AF137" i="13"/>
  <c r="AA270" i="13"/>
  <c r="AF338" i="13"/>
  <c r="AA63" i="13"/>
  <c r="AA312" i="13"/>
  <c r="AA59" i="13"/>
  <c r="AA173" i="13"/>
  <c r="AF172" i="13"/>
  <c r="AA350" i="13"/>
  <c r="AA7" i="13"/>
  <c r="AA120" i="13"/>
  <c r="AA100" i="13"/>
  <c r="AF188" i="13"/>
  <c r="AA202" i="13"/>
  <c r="AA12" i="13"/>
  <c r="AF142" i="13"/>
  <c r="AF25" i="13"/>
  <c r="AA254" i="13"/>
  <c r="AA164" i="13"/>
  <c r="AF151" i="13"/>
  <c r="AA273" i="13"/>
  <c r="AA264" i="13"/>
  <c r="AA39" i="13"/>
  <c r="AA23" i="13"/>
  <c r="AF125" i="13"/>
  <c r="AF120" i="13"/>
  <c r="AF56" i="13"/>
  <c r="AA351" i="13"/>
  <c r="AA31" i="13"/>
  <c r="AA145" i="13"/>
  <c r="AA103" i="13"/>
  <c r="AF148" i="13"/>
  <c r="AA14" i="13"/>
  <c r="AA288" i="13"/>
  <c r="AA327" i="13"/>
  <c r="AF175" i="13"/>
  <c r="AA147" i="13"/>
  <c r="AA40" i="13"/>
  <c r="AF173" i="13"/>
  <c r="AA42" i="13"/>
  <c r="AF260" i="13"/>
  <c r="AF144" i="13"/>
  <c r="AA154" i="13"/>
  <c r="AA152" i="13"/>
  <c r="AF44" i="13"/>
  <c r="AA146" i="13"/>
  <c r="AA34" i="13"/>
  <c r="AA191" i="13"/>
  <c r="AF156" i="13"/>
  <c r="AF23" i="13"/>
  <c r="AF195" i="13"/>
  <c r="AF248" i="13"/>
  <c r="AA157" i="13"/>
  <c r="AF65" i="13"/>
  <c r="AA15" i="13"/>
  <c r="AF177" i="13"/>
  <c r="AF39" i="13"/>
  <c r="AF127" i="13"/>
  <c r="AF30" i="13"/>
  <c r="AF55" i="13"/>
  <c r="AA263" i="13"/>
  <c r="AF266" i="13"/>
  <c r="AF351" i="13"/>
  <c r="AA44" i="13"/>
  <c r="AF288" i="13"/>
  <c r="AF100" i="13"/>
  <c r="AA255" i="13"/>
  <c r="AF29" i="13"/>
  <c r="AA338" i="13"/>
  <c r="AF124" i="13"/>
  <c r="AF258" i="13"/>
  <c r="AA192" i="13"/>
  <c r="AF102" i="13"/>
  <c r="AF138" i="13"/>
  <c r="AA29" i="13"/>
  <c r="AF141" i="13"/>
  <c r="AF179" i="13"/>
  <c r="AF331" i="13"/>
  <c r="AF265" i="13"/>
  <c r="AA150" i="13"/>
  <c r="AA28" i="13"/>
  <c r="AA127" i="13"/>
  <c r="AA236" i="13"/>
  <c r="AF139" i="13"/>
  <c r="AF40" i="13"/>
  <c r="AA153" i="13"/>
  <c r="AA220" i="13"/>
  <c r="AF154" i="13"/>
  <c r="AF220" i="13"/>
  <c r="AF54" i="13"/>
  <c r="AF13" i="13"/>
  <c r="AF263" i="13"/>
  <c r="AF15" i="13"/>
  <c r="AF251" i="13"/>
  <c r="AA260" i="13"/>
  <c r="AA274" i="13"/>
  <c r="AF157" i="13"/>
  <c r="AA279" i="13"/>
  <c r="AA21" i="13"/>
  <c r="AA138" i="13"/>
  <c r="AA310" i="13"/>
  <c r="AF270" i="13"/>
  <c r="AA22" i="13"/>
  <c r="AF96" i="13"/>
  <c r="AA356" i="13"/>
  <c r="AF130" i="13"/>
  <c r="AA311" i="13"/>
  <c r="AF272" i="13"/>
  <c r="AA37" i="13"/>
  <c r="AA148" i="13"/>
  <c r="AF153" i="13"/>
  <c r="AF287" i="13"/>
  <c r="AA151" i="13"/>
  <c r="AF189" i="13"/>
  <c r="AF63" i="13"/>
  <c r="AA137" i="13"/>
  <c r="AA275" i="13"/>
  <c r="AF244" i="13"/>
  <c r="AA125" i="13"/>
  <c r="AF254" i="13"/>
  <c r="AA195" i="13"/>
  <c r="AA13" i="13"/>
  <c r="AA54" i="13"/>
  <c r="AA266" i="13"/>
  <c r="AF16" i="13"/>
  <c r="AF289" i="13"/>
  <c r="AF146" i="13"/>
  <c r="AF121" i="13"/>
  <c r="AF34" i="13"/>
  <c r="AF158" i="13"/>
  <c r="AA280" i="13"/>
  <c r="AA165" i="13"/>
  <c r="AA204" i="13"/>
  <c r="AA136" i="13"/>
  <c r="AA142" i="13"/>
  <c r="AF357" i="13"/>
  <c r="AA281" i="13"/>
  <c r="AA155" i="13"/>
  <c r="AA265" i="13"/>
  <c r="AF132" i="13"/>
  <c r="AF202" i="13"/>
  <c r="AA56" i="13"/>
  <c r="AA248" i="13"/>
  <c r="AA102" i="13"/>
  <c r="AF194" i="13"/>
  <c r="AA309" i="13"/>
  <c r="AA121" i="13"/>
  <c r="AF136" i="13"/>
  <c r="AA357" i="13"/>
  <c r="AF134" i="13"/>
  <c r="AF36" i="13"/>
  <c r="AA171" i="13"/>
  <c r="AF155" i="13"/>
  <c r="AA194" i="13"/>
  <c r="AA17" i="13"/>
  <c r="AA163" i="13"/>
  <c r="AA96" i="13"/>
  <c r="AA257" i="13"/>
  <c r="AA287" i="13"/>
  <c r="AA271" i="13"/>
  <c r="AF7" i="13"/>
  <c r="AA256" i="13"/>
  <c r="AA55" i="13"/>
  <c r="AF280" i="13"/>
  <c r="AA141" i="13"/>
  <c r="AA313" i="13"/>
  <c r="AF350" i="13"/>
  <c r="AF275" i="13"/>
  <c r="AA139" i="13"/>
  <c r="AF356" i="13"/>
  <c r="AF150" i="13"/>
  <c r="AF164" i="13"/>
  <c r="AF21" i="13"/>
  <c r="AF187" i="13"/>
  <c r="AF273" i="13"/>
  <c r="AA272" i="13"/>
  <c r="AE160" i="13"/>
  <c r="Y289" i="13"/>
  <c r="Z172" i="13"/>
  <c r="AE31" i="13"/>
  <c r="Z331" i="13"/>
  <c r="Z289" i="13"/>
  <c r="AE281" i="13"/>
  <c r="X331" i="13"/>
  <c r="X65" i="13"/>
  <c r="AD355" i="13"/>
  <c r="AE255" i="13"/>
  <c r="Z65" i="13"/>
  <c r="Z158" i="13"/>
  <c r="AC281" i="13"/>
  <c r="Z36" i="13"/>
  <c r="AD255" i="13"/>
  <c r="AD160" i="13"/>
  <c r="X190" i="13"/>
  <c r="AD274" i="13"/>
  <c r="Y160" i="13"/>
  <c r="AE274" i="13"/>
  <c r="Z190" i="13"/>
  <c r="Y158" i="13"/>
  <c r="Y36" i="13"/>
  <c r="AA190" i="13" l="1"/>
  <c r="AF274" i="13"/>
  <c r="AA160" i="13"/>
  <c r="AA36" i="13"/>
  <c r="AA158" i="13"/>
  <c r="AA65" i="13"/>
  <c r="AF255" i="13"/>
  <c r="AF355" i="13"/>
  <c r="AF281" i="13"/>
  <c r="AA289" i="13"/>
  <c r="AA331" i="13"/>
  <c r="AF31" i="13"/>
  <c r="AA172" i="13"/>
  <c r="AF160"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Martin Heller</author>
    <author>Heller, Martin</author>
  </authors>
  <commentList>
    <comment ref="H123" authorId="0" shapeId="0" xr:uid="{00000000-0006-0000-0100-000001000000}">
      <text>
        <r>
          <rPr>
            <b/>
            <sz val="9"/>
            <color indexed="81"/>
            <rFont val="Calibri"/>
            <family val="2"/>
          </rPr>
          <t>Martin Heller:</t>
        </r>
        <r>
          <rPr>
            <sz val="9"/>
            <color indexed="81"/>
            <rFont val="Calibri"/>
            <family val="2"/>
          </rPr>
          <t xml:space="preserve">
LCA data goes directly to orange juice
</t>
        </r>
      </text>
    </comment>
    <comment ref="H129" authorId="0" shapeId="0" xr:uid="{00000000-0006-0000-0100-000002000000}">
      <text>
        <r>
          <rPr>
            <b/>
            <sz val="9"/>
            <color indexed="81"/>
            <rFont val="Calibri"/>
            <family val="2"/>
          </rPr>
          <t>Martin Heller:</t>
        </r>
        <r>
          <rPr>
            <sz val="9"/>
            <color indexed="81"/>
            <rFont val="Calibri"/>
            <family val="2"/>
          </rPr>
          <t xml:space="preserve">
have values for lemon juice directly
</t>
        </r>
      </text>
    </comment>
    <comment ref="H299" authorId="1" shapeId="0" xr:uid="{00000000-0006-0000-0100-000003000000}">
      <text>
        <r>
          <rPr>
            <b/>
            <sz val="9"/>
            <color indexed="81"/>
            <rFont val="Tahoma"/>
            <family val="2"/>
          </rPr>
          <t>Heller, Martin:</t>
        </r>
        <r>
          <rPr>
            <sz val="9"/>
            <color indexed="81"/>
            <rFont val="Tahoma"/>
            <family val="2"/>
          </rPr>
          <t xml:space="preserve">
impacts of milk production are allocated to milk solids on a dry weight basis in order to better represent the quantity of farm milk required to produce concentrated dairy products (such as butter, cream, condensed and powdered milk) in FCID recipe files.  "Milk, water" is subsequently set to a zero value.</t>
        </r>
      </text>
    </comment>
    <comment ref="H300" authorId="1" shapeId="0" xr:uid="{00000000-0006-0000-0100-000004000000}">
      <text>
        <r>
          <rPr>
            <b/>
            <sz val="9"/>
            <color indexed="81"/>
            <rFont val="Tahoma"/>
            <family val="2"/>
          </rPr>
          <t>Heller, Martin:</t>
        </r>
        <r>
          <rPr>
            <sz val="9"/>
            <color indexed="81"/>
            <rFont val="Tahoma"/>
            <family val="2"/>
          </rPr>
          <t xml:space="preserve">
impacts of milk production are allocated to milk solids on a dry weight basis in order to better represent the quantity of farm milk required to produce concentrated dairy products (such as butter, cream, condensed and powdered milk) in FCID recipe files.  "Milk, water" is subsequently set to a zero value.</t>
        </r>
      </text>
    </comment>
    <comment ref="H301" authorId="1" shapeId="0" xr:uid="{00000000-0006-0000-0100-000005000000}">
      <text>
        <r>
          <rPr>
            <b/>
            <sz val="9"/>
            <color indexed="81"/>
            <rFont val="Tahoma"/>
            <family val="2"/>
          </rPr>
          <t>Heller, Martin:</t>
        </r>
        <r>
          <rPr>
            <sz val="9"/>
            <color indexed="81"/>
            <rFont val="Tahoma"/>
            <family val="2"/>
          </rPr>
          <t xml:space="preserve">
impacts of milk production are allocated to milk solids on a dry weight basis in order to better represent the quantity of farm milk required to produce concentrated dairy products (such as butter, cream, condensed and powdered milk) in FCID recipe files.  "Milk, water" is subsequently set to a zero value.</t>
        </r>
      </text>
    </comment>
    <comment ref="G330" authorId="0" shapeId="0" xr:uid="{00000000-0006-0000-0100-000006000000}">
      <text>
        <r>
          <rPr>
            <b/>
            <sz val="9"/>
            <color indexed="81"/>
            <rFont val="Calibri"/>
            <family val="2"/>
          </rPr>
          <t>Martin Heller:</t>
        </r>
        <r>
          <rPr>
            <sz val="9"/>
            <color indexed="81"/>
            <rFont val="Calibri"/>
            <family val="2"/>
          </rPr>
          <t xml:space="preserve">
these should remain zero</t>
        </r>
      </text>
    </comment>
    <comment ref="H355" authorId="0" shapeId="0" xr:uid="{00000000-0006-0000-0100-000007000000}">
      <text>
        <r>
          <rPr>
            <b/>
            <sz val="9"/>
            <color indexed="81"/>
            <rFont val="Calibri"/>
            <family val="2"/>
          </rPr>
          <t>Martin Heller:</t>
        </r>
        <r>
          <rPr>
            <sz val="9"/>
            <color indexed="81"/>
            <rFont val="Calibri"/>
            <family val="2"/>
          </rPr>
          <t xml:space="preserve">
using factor difference between roasted coffe bean and instant coffee powder as a proxy for difference between tea and instant tea.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Heller, Martin</author>
    <author>Martin Heller</author>
    <author>Team Meyer</author>
    <author/>
  </authors>
  <commentList>
    <comment ref="AE3" authorId="0" shapeId="0" xr:uid="{00000000-0006-0000-0200-000001000000}">
      <text>
        <r>
          <rPr>
            <b/>
            <sz val="10"/>
            <color indexed="81"/>
            <rFont val="Calibri"/>
            <family val="2"/>
          </rPr>
          <t>Heller, Martin:</t>
        </r>
        <r>
          <rPr>
            <sz val="10"/>
            <color indexed="81"/>
            <rFont val="Calibri"/>
            <family val="2"/>
          </rPr>
          <t xml:space="preserve">
reference: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r>
      </text>
    </comment>
    <comment ref="AE4" authorId="0" shapeId="0" xr:uid="{00000000-0006-0000-0200-000002000000}">
      <text>
        <r>
          <rPr>
            <b/>
            <sz val="10"/>
            <color indexed="81"/>
            <rFont val="Calibri"/>
            <family val="2"/>
          </rPr>
          <t>Heller, Martin:</t>
        </r>
        <r>
          <rPr>
            <sz val="10"/>
            <color indexed="81"/>
            <rFont val="Calibri"/>
            <family val="2"/>
          </rPr>
          <t xml:space="preserve">
reference: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r>
      </text>
    </comment>
    <comment ref="AE5" authorId="0" shapeId="0" xr:uid="{00000000-0006-0000-0200-000003000000}">
      <text>
        <r>
          <rPr>
            <b/>
            <sz val="10"/>
            <color indexed="81"/>
            <rFont val="Calibri"/>
            <family val="2"/>
          </rPr>
          <t>Heller, Martin:</t>
        </r>
        <r>
          <rPr>
            <sz val="10"/>
            <color indexed="81"/>
            <rFont val="Calibri"/>
            <family val="2"/>
          </rPr>
          <t xml:space="preserve">
reference: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r>
      </text>
    </comment>
    <comment ref="AJ104" authorId="1" shapeId="0" xr:uid="{00000000-0006-0000-0200-000004000000}">
      <text>
        <r>
          <rPr>
            <b/>
            <sz val="10"/>
            <color indexed="81"/>
            <rFont val="Calibri"/>
            <family val="2"/>
          </rPr>
          <t>Martin Heller:</t>
        </r>
        <r>
          <rPr>
            <sz val="10"/>
            <color indexed="81"/>
            <rFont val="Calibri"/>
            <family val="2"/>
          </rPr>
          <t xml:space="preserve">
removed "biogenic energy" of feeds, as included in report, as this is not how other values here are represented.  In the Phase 2 report, it indicates that this gross bioenergy contained in feed represents 83% of total.  511*.83=424.  This was subtracted from the value of 436 MJ/lb for feed, and 8MJ/lb for cattle rearing was added.</t>
        </r>
      </text>
    </comment>
    <comment ref="AH106" authorId="0" shapeId="0" xr:uid="{00000000-0006-0000-0200-000005000000}">
      <text>
        <r>
          <rPr>
            <b/>
            <sz val="10"/>
            <color indexed="81"/>
            <rFont val="Calibri"/>
            <family val="2"/>
          </rPr>
          <t>Heller, Martin:</t>
        </r>
        <r>
          <rPr>
            <sz val="10"/>
            <color indexed="81"/>
            <rFont val="Calibri"/>
            <family val="2"/>
          </rPr>
          <t xml:space="preserve">
including land use increases value by 3x, to 84.1</t>
        </r>
      </text>
    </comment>
    <comment ref="BF106" authorId="0" shapeId="0" xr:uid="{00000000-0006-0000-0200-000006000000}">
      <text>
        <r>
          <rPr>
            <b/>
            <sz val="10"/>
            <color indexed="81"/>
            <rFont val="Calibri"/>
            <family val="2"/>
          </rPr>
          <t>Heller, Martin:</t>
        </r>
        <r>
          <rPr>
            <sz val="10"/>
            <color indexed="81"/>
            <rFont val="Calibri"/>
            <family val="2"/>
          </rPr>
          <t xml:space="preserve">
including land use increases value by 3x, to 84.1</t>
        </r>
      </text>
    </comment>
    <comment ref="AI108" authorId="0" shapeId="0" xr:uid="{00000000-0006-0000-0200-000007000000}">
      <text>
        <r>
          <rPr>
            <b/>
            <sz val="10"/>
            <color indexed="81"/>
            <rFont val="Calibri"/>
            <family val="2"/>
          </rPr>
          <t>Heller, Martin:</t>
        </r>
        <r>
          <rPr>
            <sz val="10"/>
            <color indexed="81"/>
            <rFont val="Calibri"/>
            <family val="2"/>
          </rPr>
          <t xml:space="preserve">
=46.3 kg CO2e/kg CW when including land use change</t>
        </r>
      </text>
    </comment>
    <comment ref="BG108" authorId="0" shapeId="0" xr:uid="{00000000-0006-0000-0200-000008000000}">
      <text>
        <r>
          <rPr>
            <b/>
            <sz val="10"/>
            <color indexed="81"/>
            <rFont val="Calibri"/>
            <family val="2"/>
          </rPr>
          <t>Heller, Martin:</t>
        </r>
        <r>
          <rPr>
            <sz val="10"/>
            <color indexed="81"/>
            <rFont val="Calibri"/>
            <family val="2"/>
          </rPr>
          <t xml:space="preserve">
=46.3 kg CO2e/kg CW when including land use change</t>
        </r>
      </text>
    </comment>
    <comment ref="AG355" authorId="2" shapeId="0" xr:uid="{00000000-0006-0000-0200-000009000000}">
      <text>
        <r>
          <rPr>
            <b/>
            <sz val="10"/>
            <color indexed="81"/>
            <rFont val="Calibri"/>
            <family val="2"/>
          </rPr>
          <t>Team Meyer:</t>
        </r>
        <r>
          <rPr>
            <sz val="10"/>
            <color indexed="81"/>
            <rFont val="Calibri"/>
            <family val="2"/>
          </rPr>
          <t xml:space="preserve">
95% transportation from Uganda and retail</t>
        </r>
      </text>
    </comment>
    <comment ref="AI355" authorId="2" shapeId="0" xr:uid="{00000000-0006-0000-0200-00000A000000}">
      <text>
        <r>
          <rPr>
            <b/>
            <sz val="10"/>
            <color indexed="81"/>
            <rFont val="Calibri"/>
            <family val="2"/>
          </rPr>
          <t>Team Meyer:</t>
        </r>
        <r>
          <rPr>
            <sz val="10"/>
            <color indexed="81"/>
            <rFont val="Calibri"/>
            <family val="2"/>
          </rPr>
          <t xml:space="preserve">
95% transport from Uganda and retail</t>
        </r>
      </text>
    </comment>
    <comment ref="AT355" authorId="3" shapeId="0" xr:uid="{00000000-0006-0000-0200-00000B000000}">
      <text>
        <r>
          <rPr>
            <sz val="10"/>
            <color rgb="FF000000"/>
            <rFont val="Calibri"/>
            <family val="2"/>
          </rPr>
          <t>Team Meyer:
95% transportation from Uganda and retail</t>
        </r>
      </text>
    </comment>
    <comment ref="AV355" authorId="2" shapeId="0" xr:uid="{00000000-0006-0000-0200-00000C000000}">
      <text>
        <r>
          <rPr>
            <b/>
            <sz val="10"/>
            <color indexed="81"/>
            <rFont val="Calibri"/>
            <family val="2"/>
          </rPr>
          <t>Team Meyer:</t>
        </r>
        <r>
          <rPr>
            <sz val="10"/>
            <color indexed="81"/>
            <rFont val="Calibri"/>
            <family val="2"/>
          </rPr>
          <t xml:space="preserve">
95% transportation from Uganda and retail</t>
        </r>
      </text>
    </comment>
    <comment ref="BG355" authorId="3" shapeId="0" xr:uid="{00000000-0006-0000-0200-00000D000000}">
      <text>
        <r>
          <rPr>
            <sz val="10"/>
            <color rgb="FF000000"/>
            <rFont val="Calibri"/>
            <family val="2"/>
          </rPr>
          <t>Team Meyer:
95% transport from Uganda and retail</t>
        </r>
      </text>
    </comment>
    <comment ref="AH412" authorId="0" shapeId="0" xr:uid="{00000000-0006-0000-0200-00000E000000}">
      <text>
        <r>
          <rPr>
            <b/>
            <sz val="10"/>
            <color indexed="81"/>
            <rFont val="Calibri"/>
            <family val="2"/>
          </rPr>
          <t>Heller, Martin:</t>
        </r>
        <r>
          <rPr>
            <sz val="10"/>
            <color indexed="81"/>
            <rFont val="Calibri"/>
            <family val="2"/>
          </rPr>
          <t xml:space="preserve">
this value reported directly in report; no adjustments necessary</t>
        </r>
      </text>
    </comment>
    <comment ref="AG470" authorId="3" shapeId="0" xr:uid="{00000000-0006-0000-0200-00000F000000}">
      <text>
        <r>
          <rPr>
            <sz val="10"/>
            <color rgb="FF000000"/>
            <rFont val="Calibri"/>
            <family val="2"/>
          </rPr>
          <t xml:space="preserve">52% of this is airfreight
</t>
        </r>
      </text>
    </comment>
    <comment ref="AI470" authorId="3" shapeId="0" xr:uid="{00000000-0006-0000-0200-000010000000}">
      <text>
        <r>
          <rPr>
            <sz val="10"/>
            <color rgb="FF000000"/>
            <rFont val="Calibri"/>
            <family val="2"/>
          </rPr>
          <t>airfreight is 55%</t>
        </r>
      </text>
    </comment>
    <comment ref="AT470" authorId="3" shapeId="0" xr:uid="{00000000-0006-0000-0200-000011000000}">
      <text>
        <r>
          <rPr>
            <sz val="10"/>
            <color rgb="FF000000"/>
            <rFont val="Calibri"/>
            <family val="2"/>
          </rPr>
          <t xml:space="preserve">52% of this is airfreight
</t>
        </r>
      </text>
    </comment>
    <comment ref="AV470" authorId="3" shapeId="0" xr:uid="{00000000-0006-0000-0200-000012000000}">
      <text>
        <r>
          <rPr>
            <sz val="10"/>
            <color rgb="FF000000"/>
            <rFont val="Calibri"/>
            <family val="2"/>
          </rPr>
          <t xml:space="preserve">52% of this is airfreight
</t>
        </r>
      </text>
    </comment>
    <comment ref="BG470" authorId="3" shapeId="0" xr:uid="{00000000-0006-0000-0200-000013000000}">
      <text>
        <r>
          <rPr>
            <sz val="10"/>
            <color rgb="FF000000"/>
            <rFont val="Calibri"/>
            <family val="2"/>
          </rPr>
          <t>airfreight is 55%</t>
        </r>
      </text>
    </comment>
    <comment ref="AH471" authorId="3" shapeId="0" xr:uid="{00000000-0006-0000-0200-000014000000}">
      <text>
        <r>
          <rPr>
            <sz val="10"/>
            <color rgb="FF000000"/>
            <rFont val="Calibri"/>
            <family val="2"/>
          </rPr>
          <t xml:space="preserve">these are up-to-dock values, per kg liveweight
</t>
        </r>
      </text>
    </comment>
    <comment ref="BF471" authorId="3" shapeId="0" xr:uid="{00000000-0006-0000-0200-000015000000}">
      <text>
        <r>
          <rPr>
            <sz val="10"/>
            <color rgb="FF000000"/>
            <rFont val="Calibri"/>
            <family val="2"/>
          </rPr>
          <t xml:space="preserve">these are up-to-dock values, per kg liveweight
</t>
        </r>
      </text>
    </comment>
    <comment ref="AH472" authorId="3" shapeId="0" xr:uid="{00000000-0006-0000-0200-000016000000}">
      <text>
        <r>
          <rPr>
            <sz val="10"/>
            <color rgb="FF000000"/>
            <rFont val="Calibri"/>
            <family val="2"/>
          </rPr>
          <t>these are up-to-dock values, per kg liveweight</t>
        </r>
      </text>
    </comment>
    <comment ref="BF472" authorId="3" shapeId="0" xr:uid="{00000000-0006-0000-0200-000017000000}">
      <text>
        <r>
          <rPr>
            <sz val="10"/>
            <color rgb="FF000000"/>
            <rFont val="Calibri"/>
            <family val="2"/>
          </rPr>
          <t>these are up-to-dock values, per kg liveweight</t>
        </r>
      </text>
    </comment>
    <comment ref="AH473" authorId="3" shapeId="0" xr:uid="{00000000-0006-0000-0200-000018000000}">
      <text>
        <r>
          <rPr>
            <sz val="10"/>
            <color rgb="FF000000"/>
            <rFont val="Calibri"/>
            <family val="2"/>
          </rPr>
          <t>these are up-to-dock values, per kg liveweight</t>
        </r>
      </text>
    </comment>
    <comment ref="BF473" authorId="3" shapeId="0" xr:uid="{00000000-0006-0000-0200-000019000000}">
      <text>
        <r>
          <rPr>
            <sz val="10"/>
            <color rgb="FF000000"/>
            <rFont val="Calibri"/>
            <family val="2"/>
          </rPr>
          <t>these are up-to-dock values, per kg liveweight</t>
        </r>
      </text>
    </comment>
    <comment ref="AH474" authorId="3" shapeId="0" xr:uid="{00000000-0006-0000-0200-00001A000000}">
      <text>
        <r>
          <rPr>
            <sz val="10"/>
            <color rgb="FF000000"/>
            <rFont val="Calibri"/>
            <family val="2"/>
          </rPr>
          <t>these are up-to-dock values, per kg liveweight</t>
        </r>
      </text>
    </comment>
    <comment ref="BF474" authorId="3" shapeId="0" xr:uid="{00000000-0006-0000-0200-00001B000000}">
      <text>
        <r>
          <rPr>
            <sz val="10"/>
            <color rgb="FF000000"/>
            <rFont val="Calibri"/>
            <family val="2"/>
          </rPr>
          <t>these are up-to-dock values, per kg liveweight</t>
        </r>
      </text>
    </comment>
    <comment ref="AH475" authorId="3" shapeId="0" xr:uid="{00000000-0006-0000-0200-00001C000000}">
      <text>
        <r>
          <rPr>
            <sz val="10"/>
            <color rgb="FF000000"/>
            <rFont val="Calibri"/>
            <family val="2"/>
          </rPr>
          <t>these are up-to-dock values, per kg liveweight</t>
        </r>
      </text>
    </comment>
    <comment ref="BF475" authorId="3" shapeId="0" xr:uid="{00000000-0006-0000-0200-00001D000000}">
      <text>
        <r>
          <rPr>
            <sz val="10"/>
            <color rgb="FF000000"/>
            <rFont val="Calibri"/>
            <family val="2"/>
          </rPr>
          <t>these are up-to-dock values, per kg liveweight</t>
        </r>
      </text>
    </comment>
    <comment ref="AH476" authorId="3" shapeId="0" xr:uid="{00000000-0006-0000-0200-00001E000000}">
      <text>
        <r>
          <rPr>
            <sz val="10"/>
            <color rgb="FF000000"/>
            <rFont val="Calibri"/>
            <family val="2"/>
          </rPr>
          <t>these are up-to-dock values, per kg liveweight</t>
        </r>
      </text>
    </comment>
    <comment ref="BF476" authorId="3" shapeId="0" xr:uid="{00000000-0006-0000-0200-00001F000000}">
      <text>
        <r>
          <rPr>
            <sz val="10"/>
            <color rgb="FF000000"/>
            <rFont val="Calibri"/>
            <family val="2"/>
          </rPr>
          <t>these are up-to-dock values, per kg liveweight</t>
        </r>
      </text>
    </comment>
    <comment ref="AH477" authorId="3" shapeId="0" xr:uid="{00000000-0006-0000-0200-000020000000}">
      <text>
        <r>
          <rPr>
            <sz val="10"/>
            <color rgb="FF000000"/>
            <rFont val="Calibri"/>
            <family val="2"/>
          </rPr>
          <t>these are up-to-dock values, per kg liveweight</t>
        </r>
      </text>
    </comment>
    <comment ref="BF477" authorId="3" shapeId="0" xr:uid="{00000000-0006-0000-0200-000021000000}">
      <text>
        <r>
          <rPr>
            <sz val="10"/>
            <color rgb="FF000000"/>
            <rFont val="Calibri"/>
            <family val="2"/>
          </rPr>
          <t>these are up-to-dock values, per kg liveweight</t>
        </r>
      </text>
    </comment>
    <comment ref="AH478" authorId="3" shapeId="0" xr:uid="{00000000-0006-0000-0200-000022000000}">
      <text>
        <r>
          <rPr>
            <sz val="10"/>
            <color rgb="FF000000"/>
            <rFont val="Calibri"/>
            <family val="2"/>
          </rPr>
          <t>these are up-to-dock values, per kg liveweight</t>
        </r>
      </text>
    </comment>
    <comment ref="BF478" authorId="3" shapeId="0" xr:uid="{00000000-0006-0000-0200-000023000000}">
      <text>
        <r>
          <rPr>
            <sz val="10"/>
            <color rgb="FF000000"/>
            <rFont val="Calibri"/>
            <family val="2"/>
          </rPr>
          <t>these are up-to-dock values, per kg liveweight</t>
        </r>
      </text>
    </comment>
    <comment ref="AH479" authorId="3" shapeId="0" xr:uid="{00000000-0006-0000-0200-000024000000}">
      <text>
        <r>
          <rPr>
            <sz val="10"/>
            <color rgb="FF000000"/>
            <rFont val="Calibri"/>
            <family val="2"/>
          </rPr>
          <t>these are up-to-dock values, per kg liveweight</t>
        </r>
      </text>
    </comment>
    <comment ref="BF479" authorId="3" shapeId="0" xr:uid="{00000000-0006-0000-0200-000025000000}">
      <text>
        <r>
          <rPr>
            <sz val="10"/>
            <color rgb="FF000000"/>
            <rFont val="Calibri"/>
            <family val="2"/>
          </rPr>
          <t>these are up-to-dock values, per kg liveweight</t>
        </r>
      </text>
    </comment>
    <comment ref="AH480" authorId="3" shapeId="0" xr:uid="{00000000-0006-0000-0200-000026000000}">
      <text>
        <r>
          <rPr>
            <sz val="10"/>
            <color rgb="FF000000"/>
            <rFont val="Calibri"/>
            <family val="2"/>
          </rPr>
          <t>these are up-to-dock values, per kg liveweight</t>
        </r>
      </text>
    </comment>
    <comment ref="BF480" authorId="3" shapeId="0" xr:uid="{00000000-0006-0000-0200-000027000000}">
      <text>
        <r>
          <rPr>
            <sz val="10"/>
            <color rgb="FF000000"/>
            <rFont val="Calibri"/>
            <family val="2"/>
          </rPr>
          <t>these are up-to-dock values, per kg liveweight</t>
        </r>
      </text>
    </comment>
    <comment ref="AH481" authorId="3" shapeId="0" xr:uid="{00000000-0006-0000-0200-000028000000}">
      <text>
        <r>
          <rPr>
            <sz val="10"/>
            <color rgb="FF000000"/>
            <rFont val="Calibri"/>
            <family val="2"/>
          </rPr>
          <t>these are up-to-dock values, per kg liveweight</t>
        </r>
      </text>
    </comment>
    <comment ref="BF481" authorId="3" shapeId="0" xr:uid="{00000000-0006-0000-0200-000029000000}">
      <text>
        <r>
          <rPr>
            <sz val="10"/>
            <color rgb="FF000000"/>
            <rFont val="Calibri"/>
            <family val="2"/>
          </rPr>
          <t>these are up-to-dock values, per kg liveweight</t>
        </r>
      </text>
    </comment>
    <comment ref="AH482" authorId="3" shapeId="0" xr:uid="{00000000-0006-0000-0200-00002A000000}">
      <text>
        <r>
          <rPr>
            <sz val="10"/>
            <color rgb="FF000000"/>
            <rFont val="Calibri"/>
            <family val="2"/>
          </rPr>
          <t>these are up-to-dock values, per kg liveweight</t>
        </r>
      </text>
    </comment>
    <comment ref="BF482" authorId="3" shapeId="0" xr:uid="{00000000-0006-0000-0200-00002B000000}">
      <text>
        <r>
          <rPr>
            <sz val="10"/>
            <color rgb="FF000000"/>
            <rFont val="Calibri"/>
            <family val="2"/>
          </rPr>
          <t>these are up-to-dock values, per kg liveweight</t>
        </r>
      </text>
    </comment>
    <comment ref="AH483" authorId="3" shapeId="0" xr:uid="{00000000-0006-0000-0200-00002C000000}">
      <text>
        <r>
          <rPr>
            <sz val="10"/>
            <color rgb="FF000000"/>
            <rFont val="Calibri"/>
            <family val="2"/>
          </rPr>
          <t>these are up-to-dock values, per kg liveweight</t>
        </r>
      </text>
    </comment>
    <comment ref="BF483" authorId="3" shapeId="0" xr:uid="{00000000-0006-0000-0200-00002D000000}">
      <text>
        <r>
          <rPr>
            <sz val="10"/>
            <color rgb="FF000000"/>
            <rFont val="Calibri"/>
            <family val="2"/>
          </rPr>
          <t>these are up-to-dock values, per kg liveweight</t>
        </r>
      </text>
    </comment>
    <comment ref="AH484" authorId="3" shapeId="0" xr:uid="{00000000-0006-0000-0200-00002E000000}">
      <text>
        <r>
          <rPr>
            <sz val="10"/>
            <color rgb="FF000000"/>
            <rFont val="Calibri"/>
            <family val="2"/>
          </rPr>
          <t>these are up-to-dock values, per kg liveweight</t>
        </r>
      </text>
    </comment>
    <comment ref="BF484" authorId="3" shapeId="0" xr:uid="{00000000-0006-0000-0200-00002F000000}">
      <text>
        <r>
          <rPr>
            <sz val="10"/>
            <color rgb="FF000000"/>
            <rFont val="Calibri"/>
            <family val="2"/>
          </rPr>
          <t>these are up-to-dock values, per kg liveweight</t>
        </r>
      </text>
    </comment>
    <comment ref="AH485" authorId="3" shapeId="0" xr:uid="{00000000-0006-0000-0200-000030000000}">
      <text>
        <r>
          <rPr>
            <sz val="10"/>
            <color rgb="FF000000"/>
            <rFont val="Calibri"/>
            <family val="2"/>
          </rPr>
          <t>these are up-to-dock values, per kg liveweight</t>
        </r>
      </text>
    </comment>
    <comment ref="BF485" authorId="3" shapeId="0" xr:uid="{00000000-0006-0000-0200-000031000000}">
      <text>
        <r>
          <rPr>
            <sz val="10"/>
            <color rgb="FF000000"/>
            <rFont val="Calibri"/>
            <family val="2"/>
          </rPr>
          <t>these are up-to-dock values, per kg liveweight</t>
        </r>
      </text>
    </comment>
    <comment ref="AH486" authorId="3" shapeId="0" xr:uid="{00000000-0006-0000-0200-000032000000}">
      <text>
        <r>
          <rPr>
            <sz val="10"/>
            <color rgb="FF000000"/>
            <rFont val="Calibri"/>
            <family val="2"/>
          </rPr>
          <t>these are up-to-dock values, per kg liveweight</t>
        </r>
      </text>
    </comment>
    <comment ref="BF486" authorId="3" shapeId="0" xr:uid="{00000000-0006-0000-0200-000033000000}">
      <text>
        <r>
          <rPr>
            <sz val="10"/>
            <color rgb="FF000000"/>
            <rFont val="Calibri"/>
            <family val="2"/>
          </rPr>
          <t>these are up-to-dock values, per kg liveweight</t>
        </r>
      </text>
    </comment>
    <comment ref="AH487" authorId="3" shapeId="0" xr:uid="{00000000-0006-0000-0200-000034000000}">
      <text>
        <r>
          <rPr>
            <sz val="10"/>
            <color rgb="FF000000"/>
            <rFont val="Calibri"/>
            <family val="2"/>
          </rPr>
          <t>these are up-to-dock values, per kg liveweight</t>
        </r>
      </text>
    </comment>
    <comment ref="BF487" authorId="3" shapeId="0" xr:uid="{00000000-0006-0000-0200-000035000000}">
      <text>
        <r>
          <rPr>
            <sz val="10"/>
            <color rgb="FF000000"/>
            <rFont val="Calibri"/>
            <family val="2"/>
          </rPr>
          <t>these are up-to-dock values, per kg liveweight</t>
        </r>
      </text>
    </comment>
    <comment ref="AH488" authorId="3" shapeId="0" xr:uid="{00000000-0006-0000-0200-000036000000}">
      <text>
        <r>
          <rPr>
            <sz val="10"/>
            <color rgb="FF000000"/>
            <rFont val="Calibri"/>
            <family val="2"/>
          </rPr>
          <t>these are up-to-dock values, per kg liveweight</t>
        </r>
      </text>
    </comment>
    <comment ref="BF488" authorId="3" shapeId="0" xr:uid="{00000000-0006-0000-0200-000037000000}">
      <text>
        <r>
          <rPr>
            <sz val="10"/>
            <color rgb="FF000000"/>
            <rFont val="Calibri"/>
            <family val="2"/>
          </rPr>
          <t>these are up-to-dock values, per kg liveweight</t>
        </r>
      </text>
    </comment>
    <comment ref="AH489" authorId="3" shapeId="0" xr:uid="{00000000-0006-0000-0200-000038000000}">
      <text>
        <r>
          <rPr>
            <sz val="10"/>
            <color rgb="FF000000"/>
            <rFont val="Calibri"/>
            <family val="2"/>
          </rPr>
          <t>these are up-to-dock values, per kg liveweight</t>
        </r>
      </text>
    </comment>
    <comment ref="BF489" authorId="3" shapeId="0" xr:uid="{00000000-0006-0000-0200-000039000000}">
      <text>
        <r>
          <rPr>
            <sz val="10"/>
            <color rgb="FF000000"/>
            <rFont val="Calibri"/>
            <family val="2"/>
          </rPr>
          <t>these are up-to-dock values, per kg liveweight</t>
        </r>
      </text>
    </comment>
    <comment ref="AH490" authorId="3" shapeId="0" xr:uid="{00000000-0006-0000-0200-00003A000000}">
      <text>
        <r>
          <rPr>
            <sz val="10"/>
            <color rgb="FF000000"/>
            <rFont val="Calibri"/>
            <family val="2"/>
          </rPr>
          <t>these are up-to-dock values, per kg liveweight</t>
        </r>
      </text>
    </comment>
    <comment ref="BF490" authorId="3" shapeId="0" xr:uid="{00000000-0006-0000-0200-00003B000000}">
      <text>
        <r>
          <rPr>
            <sz val="10"/>
            <color rgb="FF000000"/>
            <rFont val="Calibri"/>
            <family val="2"/>
          </rPr>
          <t>these are up-to-dock values, per kg liveweight</t>
        </r>
      </text>
    </comment>
    <comment ref="AH491" authorId="3" shapeId="0" xr:uid="{00000000-0006-0000-0200-00003C000000}">
      <text>
        <r>
          <rPr>
            <sz val="10"/>
            <color rgb="FF000000"/>
            <rFont val="Calibri"/>
            <family val="2"/>
          </rPr>
          <t>these are up-to-dock values, per kg liveweight</t>
        </r>
      </text>
    </comment>
    <comment ref="BF491" authorId="3" shapeId="0" xr:uid="{00000000-0006-0000-0200-00003D000000}">
      <text>
        <r>
          <rPr>
            <sz val="10"/>
            <color rgb="FF000000"/>
            <rFont val="Calibri"/>
            <family val="2"/>
          </rPr>
          <t>these are up-to-dock values, per kg liveweight</t>
        </r>
      </text>
    </comment>
    <comment ref="AH492" authorId="3" shapeId="0" xr:uid="{00000000-0006-0000-0200-00003E000000}">
      <text>
        <r>
          <rPr>
            <sz val="10"/>
            <color rgb="FF000000"/>
            <rFont val="Calibri"/>
            <family val="2"/>
          </rPr>
          <t xml:space="preserve">these are up-to-dock values, per kg liveweight
</t>
        </r>
      </text>
    </comment>
    <comment ref="BF492" authorId="3" shapeId="0" xr:uid="{00000000-0006-0000-0200-00003F000000}">
      <text>
        <r>
          <rPr>
            <sz val="10"/>
            <color rgb="FF000000"/>
            <rFont val="Calibri"/>
            <family val="2"/>
          </rPr>
          <t xml:space="preserve">these are up-to-dock values, per kg liveweight
</t>
        </r>
      </text>
    </comment>
    <comment ref="AF493" authorId="3" shapeId="0" xr:uid="{00000000-0006-0000-0200-000040000000}">
      <text>
        <r>
          <rPr>
            <sz val="10"/>
            <color rgb="FF000000"/>
            <rFont val="Calibri"/>
            <family val="2"/>
          </rPr>
          <t xml:space="preserve">fishing sub-total
</t>
        </r>
      </text>
    </comment>
    <comment ref="AH493" authorId="3" shapeId="0" xr:uid="{00000000-0006-0000-0200-000041000000}">
      <text>
        <r>
          <rPr>
            <sz val="10"/>
            <color rgb="FF000000"/>
            <rFont val="Calibri"/>
            <family val="2"/>
          </rPr>
          <t xml:space="preserve">fishing sub-total
</t>
        </r>
      </text>
    </comment>
    <comment ref="AJ493" authorId="3" shapeId="0" xr:uid="{00000000-0006-0000-0200-000042000000}">
      <text>
        <r>
          <rPr>
            <sz val="10"/>
            <color rgb="FF000000"/>
            <rFont val="Calibri"/>
            <family val="2"/>
          </rPr>
          <t xml:space="preserve">fishing sub-total
</t>
        </r>
      </text>
    </comment>
    <comment ref="AS493" authorId="3" shapeId="0" xr:uid="{00000000-0006-0000-0200-000043000000}">
      <text>
        <r>
          <rPr>
            <sz val="10"/>
            <color rgb="FF000000"/>
            <rFont val="Calibri"/>
            <family val="2"/>
          </rPr>
          <t xml:space="preserve">fishing sub-total
</t>
        </r>
      </text>
    </comment>
    <comment ref="AW493" authorId="3" shapeId="0" xr:uid="{00000000-0006-0000-0200-000044000000}">
      <text>
        <r>
          <rPr>
            <sz val="10"/>
            <color rgb="FF000000"/>
            <rFont val="Calibri"/>
            <family val="2"/>
          </rPr>
          <t xml:space="preserve">fishing sub-total
</t>
        </r>
      </text>
    </comment>
    <comment ref="BF493" authorId="3" shapeId="0" xr:uid="{00000000-0006-0000-0200-000045000000}">
      <text>
        <r>
          <rPr>
            <sz val="10"/>
            <color rgb="FF000000"/>
            <rFont val="Calibri"/>
            <family val="2"/>
          </rPr>
          <t xml:space="preserve">fishing sub-total
</t>
        </r>
      </text>
    </comment>
    <comment ref="AF494" authorId="3" shapeId="0" xr:uid="{00000000-0006-0000-0200-000046000000}">
      <text>
        <r>
          <rPr>
            <sz val="10"/>
            <color rgb="FF000000"/>
            <rFont val="Calibri"/>
            <family val="2"/>
          </rPr>
          <t>fishing sub-total</t>
        </r>
      </text>
    </comment>
    <comment ref="AG494" authorId="3" shapeId="0" xr:uid="{00000000-0006-0000-0200-000047000000}">
      <text>
        <r>
          <rPr>
            <sz val="10"/>
            <color rgb="FF000000"/>
            <rFont val="Calibri"/>
            <family val="2"/>
          </rPr>
          <t>air transport is 38% of this</t>
        </r>
      </text>
    </comment>
    <comment ref="AH494" authorId="3" shapeId="0" xr:uid="{00000000-0006-0000-0200-000048000000}">
      <text>
        <r>
          <rPr>
            <sz val="10"/>
            <color rgb="FF000000"/>
            <rFont val="Calibri"/>
            <family val="2"/>
          </rPr>
          <t>fishing sub-total</t>
        </r>
      </text>
    </comment>
    <comment ref="AI494" authorId="3" shapeId="0" xr:uid="{00000000-0006-0000-0200-000049000000}">
      <text>
        <r>
          <rPr>
            <sz val="10"/>
            <color rgb="FF000000"/>
            <rFont val="Calibri"/>
            <family val="2"/>
          </rPr>
          <t>air transport is 36%</t>
        </r>
      </text>
    </comment>
    <comment ref="AJ494" authorId="3" shapeId="0" xr:uid="{00000000-0006-0000-0200-00004A000000}">
      <text>
        <r>
          <rPr>
            <sz val="10"/>
            <color rgb="FF000000"/>
            <rFont val="Calibri"/>
            <family val="2"/>
          </rPr>
          <t>fishing sub-total</t>
        </r>
      </text>
    </comment>
    <comment ref="AS494" authorId="3" shapeId="0" xr:uid="{00000000-0006-0000-0200-00004B000000}">
      <text>
        <r>
          <rPr>
            <sz val="10"/>
            <color rgb="FF000000"/>
            <rFont val="Calibri"/>
            <family val="2"/>
          </rPr>
          <t>fishing sub-total</t>
        </r>
      </text>
    </comment>
    <comment ref="AT494" authorId="3" shapeId="0" xr:uid="{00000000-0006-0000-0200-00004C000000}">
      <text>
        <r>
          <rPr>
            <sz val="10"/>
            <color rgb="FF000000"/>
            <rFont val="Calibri"/>
            <family val="2"/>
          </rPr>
          <t>air transport is 38% of this</t>
        </r>
      </text>
    </comment>
    <comment ref="AV494" authorId="3" shapeId="0" xr:uid="{00000000-0006-0000-0200-00004D000000}">
      <text>
        <r>
          <rPr>
            <sz val="10"/>
            <color rgb="FF000000"/>
            <rFont val="Calibri"/>
            <family val="2"/>
          </rPr>
          <t>air transport is 38% of this</t>
        </r>
      </text>
    </comment>
    <comment ref="AW494" authorId="3" shapeId="0" xr:uid="{00000000-0006-0000-0200-00004E000000}">
      <text>
        <r>
          <rPr>
            <sz val="10"/>
            <color rgb="FF000000"/>
            <rFont val="Calibri"/>
            <family val="2"/>
          </rPr>
          <t>fishing sub-total</t>
        </r>
      </text>
    </comment>
    <comment ref="BF494" authorId="3" shapeId="0" xr:uid="{00000000-0006-0000-0200-00004F000000}">
      <text>
        <r>
          <rPr>
            <sz val="10"/>
            <color rgb="FF000000"/>
            <rFont val="Calibri"/>
            <family val="2"/>
          </rPr>
          <t>fishing sub-total</t>
        </r>
      </text>
    </comment>
    <comment ref="BG494" authorId="3" shapeId="0" xr:uid="{00000000-0006-0000-0200-000050000000}">
      <text>
        <r>
          <rPr>
            <sz val="10"/>
            <color rgb="FF000000"/>
            <rFont val="Calibri"/>
            <family val="2"/>
          </rPr>
          <t>air transport is 36%</t>
        </r>
      </text>
    </comment>
    <comment ref="AW495" authorId="3" shapeId="0" xr:uid="{00000000-0006-0000-0200-000051000000}">
      <text>
        <r>
          <rPr>
            <sz val="10"/>
            <color rgb="FF000000"/>
            <rFont val="Calibri"/>
            <family val="2"/>
          </rPr>
          <t>Includes Oil Production
	-Robert Meyer</t>
        </r>
      </text>
    </comment>
    <comment ref="BF495" authorId="3" shapeId="0" xr:uid="{00000000-0006-0000-0200-000052000000}">
      <text>
        <r>
          <rPr>
            <sz val="10"/>
            <color rgb="FF000000"/>
            <rFont val="Calibri"/>
            <family val="2"/>
          </rPr>
          <t>Includes Oil Production
	-Robert Meyer</t>
        </r>
      </text>
    </comment>
    <comment ref="AW496" authorId="3" shapeId="0" xr:uid="{00000000-0006-0000-0200-000053000000}">
      <text>
        <r>
          <rPr>
            <sz val="10"/>
            <color rgb="FF000000"/>
            <rFont val="Calibri"/>
            <family val="2"/>
          </rPr>
          <t>Includes Oil Production
	-Robert Meyer</t>
        </r>
      </text>
    </comment>
    <comment ref="AF510" authorId="3" shapeId="0" xr:uid="{00000000-0006-0000-0200-000054000000}">
      <text>
        <r>
          <rPr>
            <sz val="10"/>
            <color rgb="FF000000"/>
            <rFont val="Calibri"/>
            <family val="2"/>
          </rPr>
          <t xml:space="preserve">production, processing and packaging
</t>
        </r>
      </text>
    </comment>
    <comment ref="AH510" authorId="3" shapeId="0" xr:uid="{00000000-0006-0000-0200-000055000000}">
      <text>
        <r>
          <rPr>
            <sz val="10"/>
            <color rgb="FF000000"/>
            <rFont val="Calibri"/>
            <family val="2"/>
          </rPr>
          <t xml:space="preserve">production, processing and packaging
</t>
        </r>
      </text>
    </comment>
    <comment ref="AL510" authorId="3" shapeId="0" xr:uid="{00000000-0006-0000-0200-000056000000}">
      <text>
        <r>
          <rPr>
            <sz val="10"/>
            <color rgb="FF000000"/>
            <rFont val="Calibri"/>
            <family val="2"/>
          </rPr>
          <t xml:space="preserve">production, processing and packaging
</t>
        </r>
      </text>
    </comment>
    <comment ref="AY510" authorId="3" shapeId="0" xr:uid="{00000000-0006-0000-0200-000057000000}">
      <text>
        <r>
          <rPr>
            <sz val="10"/>
            <color rgb="FF000000"/>
            <rFont val="Calibri"/>
            <family val="2"/>
          </rPr>
          <t xml:space="preserve">production, processing and packaging
</t>
        </r>
      </text>
    </comment>
    <comment ref="AF511" authorId="3" shapeId="0" xr:uid="{00000000-0006-0000-0200-000058000000}">
      <text>
        <r>
          <rPr>
            <sz val="10"/>
            <color rgb="FF000000"/>
            <rFont val="Calibri"/>
            <family val="2"/>
          </rPr>
          <t>production, processing and packaging</t>
        </r>
      </text>
    </comment>
    <comment ref="AH511" authorId="3" shapeId="0" xr:uid="{00000000-0006-0000-0200-000059000000}">
      <text>
        <r>
          <rPr>
            <sz val="10"/>
            <color rgb="FF000000"/>
            <rFont val="Calibri"/>
            <family val="2"/>
          </rPr>
          <t xml:space="preserve">production, processing and packaging
</t>
        </r>
      </text>
    </comment>
    <comment ref="AF519" authorId="3" shapeId="0" xr:uid="{00000000-0006-0000-0200-00005A000000}">
      <text>
        <r>
          <rPr>
            <sz val="10"/>
            <color rgb="FF000000"/>
            <rFont val="Calibri"/>
            <family val="2"/>
          </rPr>
          <t xml:space="preserve">fishing only
</t>
        </r>
      </text>
    </comment>
    <comment ref="AH519" authorId="3" shapeId="0" xr:uid="{00000000-0006-0000-0200-00005B000000}">
      <text>
        <r>
          <rPr>
            <sz val="10"/>
            <color rgb="FF000000"/>
            <rFont val="Calibri"/>
            <family val="2"/>
          </rPr>
          <t xml:space="preserve">fishing only
</t>
        </r>
      </text>
    </comment>
    <comment ref="AJ519" authorId="3" shapeId="0" xr:uid="{00000000-0006-0000-0200-00005C000000}">
      <text>
        <r>
          <rPr>
            <sz val="10"/>
            <color rgb="FF000000"/>
            <rFont val="Calibri"/>
            <family val="2"/>
          </rPr>
          <t xml:space="preserve">fishing only
</t>
        </r>
      </text>
    </comment>
    <comment ref="AS519" authorId="3" shapeId="0" xr:uid="{00000000-0006-0000-0200-00005D000000}">
      <text>
        <r>
          <rPr>
            <sz val="10"/>
            <color rgb="FF000000"/>
            <rFont val="Calibri"/>
            <family val="2"/>
          </rPr>
          <t xml:space="preserve">fishing only
</t>
        </r>
      </text>
    </comment>
    <comment ref="AW519" authorId="3" shapeId="0" xr:uid="{00000000-0006-0000-0200-00005E000000}">
      <text>
        <r>
          <rPr>
            <sz val="10"/>
            <color rgb="FF000000"/>
            <rFont val="Calibri"/>
            <family val="2"/>
          </rPr>
          <t xml:space="preserve">fishing only
</t>
        </r>
      </text>
    </comment>
    <comment ref="BF519" authorId="3" shapeId="0" xr:uid="{00000000-0006-0000-0200-00005F000000}">
      <text>
        <r>
          <rPr>
            <sz val="10"/>
            <color rgb="FF000000"/>
            <rFont val="Calibri"/>
            <family val="2"/>
          </rPr>
          <t xml:space="preserve">fishing only
</t>
        </r>
      </text>
    </comment>
    <comment ref="AF520" authorId="3" shapeId="0" xr:uid="{00000000-0006-0000-0200-000060000000}">
      <text>
        <r>
          <rPr>
            <sz val="10"/>
            <color rgb="FF000000"/>
            <rFont val="Calibri"/>
            <family val="2"/>
          </rPr>
          <t>fishing only</t>
        </r>
      </text>
    </comment>
    <comment ref="AH520" authorId="3" shapeId="0" xr:uid="{00000000-0006-0000-0200-000061000000}">
      <text>
        <r>
          <rPr>
            <sz val="10"/>
            <color rgb="FF000000"/>
            <rFont val="Calibri"/>
            <family val="2"/>
          </rPr>
          <t>fishing only</t>
        </r>
      </text>
    </comment>
    <comment ref="AJ520" authorId="3" shapeId="0" xr:uid="{00000000-0006-0000-0200-000062000000}">
      <text>
        <r>
          <rPr>
            <sz val="10"/>
            <color rgb="FF000000"/>
            <rFont val="Calibri"/>
            <family val="2"/>
          </rPr>
          <t>fishing only</t>
        </r>
      </text>
    </comment>
    <comment ref="AS520" authorId="3" shapeId="0" xr:uid="{00000000-0006-0000-0200-000063000000}">
      <text>
        <r>
          <rPr>
            <sz val="10"/>
            <color rgb="FF000000"/>
            <rFont val="Calibri"/>
            <family val="2"/>
          </rPr>
          <t>fishing only</t>
        </r>
      </text>
    </comment>
    <comment ref="AW520" authorId="3" shapeId="0" xr:uid="{00000000-0006-0000-0200-000064000000}">
      <text>
        <r>
          <rPr>
            <sz val="10"/>
            <color rgb="FF000000"/>
            <rFont val="Calibri"/>
            <family val="2"/>
          </rPr>
          <t>fishing only</t>
        </r>
      </text>
    </comment>
    <comment ref="BF520" authorId="3" shapeId="0" xr:uid="{00000000-0006-0000-0200-000065000000}">
      <text>
        <r>
          <rPr>
            <sz val="10"/>
            <color rgb="FF000000"/>
            <rFont val="Calibri"/>
            <family val="2"/>
          </rPr>
          <t>fishing only</t>
        </r>
      </text>
    </comment>
    <comment ref="AF521" authorId="3" shapeId="0" xr:uid="{00000000-0006-0000-0200-000066000000}">
      <text>
        <r>
          <rPr>
            <sz val="10"/>
            <color rgb="FF000000"/>
            <rFont val="Calibri"/>
            <family val="2"/>
          </rPr>
          <t>fishing only</t>
        </r>
      </text>
    </comment>
    <comment ref="AH521" authorId="3" shapeId="0" xr:uid="{00000000-0006-0000-0200-000067000000}">
      <text>
        <r>
          <rPr>
            <sz val="10"/>
            <color rgb="FF000000"/>
            <rFont val="Calibri"/>
            <family val="2"/>
          </rPr>
          <t>fishing only</t>
        </r>
      </text>
    </comment>
    <comment ref="AJ521" authorId="3" shapeId="0" xr:uid="{00000000-0006-0000-0200-000068000000}">
      <text>
        <r>
          <rPr>
            <sz val="10"/>
            <color rgb="FF000000"/>
            <rFont val="Calibri"/>
            <family val="2"/>
          </rPr>
          <t>fishing only</t>
        </r>
      </text>
    </comment>
    <comment ref="AS521" authorId="3" shapeId="0" xr:uid="{00000000-0006-0000-0200-000069000000}">
      <text>
        <r>
          <rPr>
            <sz val="10"/>
            <color rgb="FF000000"/>
            <rFont val="Calibri"/>
            <family val="2"/>
          </rPr>
          <t>fishing only</t>
        </r>
      </text>
    </comment>
    <comment ref="AW521" authorId="3" shapeId="0" xr:uid="{00000000-0006-0000-0200-00006A000000}">
      <text>
        <r>
          <rPr>
            <sz val="10"/>
            <color rgb="FF000000"/>
            <rFont val="Calibri"/>
            <family val="2"/>
          </rPr>
          <t>fishing only</t>
        </r>
      </text>
    </comment>
    <comment ref="BF521" authorId="3" shapeId="0" xr:uid="{00000000-0006-0000-0200-00006B000000}">
      <text>
        <r>
          <rPr>
            <sz val="10"/>
            <color rgb="FF000000"/>
            <rFont val="Calibri"/>
            <family val="2"/>
          </rPr>
          <t>fishing only</t>
        </r>
      </text>
    </comment>
    <comment ref="AF522" authorId="3" shapeId="0" xr:uid="{00000000-0006-0000-0200-00006C000000}">
      <text>
        <r>
          <rPr>
            <sz val="10"/>
            <color rgb="FF000000"/>
            <rFont val="Calibri"/>
            <family val="2"/>
          </rPr>
          <t>fishing only</t>
        </r>
      </text>
    </comment>
    <comment ref="AH522" authorId="3" shapeId="0" xr:uid="{00000000-0006-0000-0200-00006D000000}">
      <text>
        <r>
          <rPr>
            <sz val="10"/>
            <color rgb="FF000000"/>
            <rFont val="Calibri"/>
            <family val="2"/>
          </rPr>
          <t>fishing only</t>
        </r>
      </text>
    </comment>
    <comment ref="AJ522" authorId="3" shapeId="0" xr:uid="{00000000-0006-0000-0200-00006E000000}">
      <text>
        <r>
          <rPr>
            <sz val="10"/>
            <color rgb="FF000000"/>
            <rFont val="Calibri"/>
            <family val="2"/>
          </rPr>
          <t>fishing only</t>
        </r>
      </text>
    </comment>
    <comment ref="AS522" authorId="3" shapeId="0" xr:uid="{00000000-0006-0000-0200-00006F000000}">
      <text>
        <r>
          <rPr>
            <sz val="10"/>
            <color rgb="FF000000"/>
            <rFont val="Calibri"/>
            <family val="2"/>
          </rPr>
          <t>fishing only</t>
        </r>
      </text>
    </comment>
    <comment ref="AW522" authorId="3" shapeId="0" xr:uid="{00000000-0006-0000-0200-000070000000}">
      <text>
        <r>
          <rPr>
            <sz val="10"/>
            <color rgb="FF000000"/>
            <rFont val="Calibri"/>
            <family val="2"/>
          </rPr>
          <t>fishing only</t>
        </r>
      </text>
    </comment>
    <comment ref="BF522" authorId="3" shapeId="0" xr:uid="{00000000-0006-0000-0200-000071000000}">
      <text>
        <r>
          <rPr>
            <sz val="10"/>
            <color rgb="FF000000"/>
            <rFont val="Calibri"/>
            <family val="2"/>
          </rPr>
          <t>fishing only</t>
        </r>
      </text>
    </comment>
    <comment ref="AF523" authorId="3" shapeId="0" xr:uid="{00000000-0006-0000-0200-000072000000}">
      <text>
        <r>
          <rPr>
            <sz val="10"/>
            <color rgb="FF000000"/>
            <rFont val="Calibri"/>
            <family val="2"/>
          </rPr>
          <t>fishing only</t>
        </r>
      </text>
    </comment>
    <comment ref="AH523" authorId="3" shapeId="0" xr:uid="{00000000-0006-0000-0200-000073000000}">
      <text>
        <r>
          <rPr>
            <sz val="10"/>
            <color rgb="FF000000"/>
            <rFont val="Calibri"/>
            <family val="2"/>
          </rPr>
          <t>fishing only</t>
        </r>
      </text>
    </comment>
    <comment ref="AJ523" authorId="3" shapeId="0" xr:uid="{00000000-0006-0000-0200-000074000000}">
      <text>
        <r>
          <rPr>
            <sz val="10"/>
            <color rgb="FF000000"/>
            <rFont val="Calibri"/>
            <family val="2"/>
          </rPr>
          <t>fishing only</t>
        </r>
      </text>
    </comment>
    <comment ref="AS523" authorId="3" shapeId="0" xr:uid="{00000000-0006-0000-0200-000075000000}">
      <text>
        <r>
          <rPr>
            <sz val="10"/>
            <color rgb="FF000000"/>
            <rFont val="Calibri"/>
            <family val="2"/>
          </rPr>
          <t>fishing only</t>
        </r>
      </text>
    </comment>
    <comment ref="AW523" authorId="3" shapeId="0" xr:uid="{00000000-0006-0000-0200-000076000000}">
      <text>
        <r>
          <rPr>
            <sz val="10"/>
            <color rgb="FF000000"/>
            <rFont val="Calibri"/>
            <family val="2"/>
          </rPr>
          <t>fishing only</t>
        </r>
      </text>
    </comment>
    <comment ref="BF523" authorId="3" shapeId="0" xr:uid="{00000000-0006-0000-0200-000077000000}">
      <text>
        <r>
          <rPr>
            <sz val="10"/>
            <color rgb="FF000000"/>
            <rFont val="Calibri"/>
            <family val="2"/>
          </rPr>
          <t>fishing only</t>
        </r>
      </text>
    </comment>
    <comment ref="AF524" authorId="3" shapeId="0" xr:uid="{00000000-0006-0000-0200-000078000000}">
      <text>
        <r>
          <rPr>
            <sz val="10"/>
            <color rgb="FF000000"/>
            <rFont val="Calibri"/>
            <family val="2"/>
          </rPr>
          <t>fishing only</t>
        </r>
      </text>
    </comment>
    <comment ref="AH524" authorId="3" shapeId="0" xr:uid="{00000000-0006-0000-0200-000079000000}">
      <text>
        <r>
          <rPr>
            <sz val="10"/>
            <color rgb="FF000000"/>
            <rFont val="Calibri"/>
            <family val="2"/>
          </rPr>
          <t>fishing only</t>
        </r>
      </text>
    </comment>
    <comment ref="AJ524" authorId="3" shapeId="0" xr:uid="{00000000-0006-0000-0200-00007A000000}">
      <text>
        <r>
          <rPr>
            <sz val="10"/>
            <color rgb="FF000000"/>
            <rFont val="Calibri"/>
            <family val="2"/>
          </rPr>
          <t>fishing only</t>
        </r>
      </text>
    </comment>
    <comment ref="AS524" authorId="3" shapeId="0" xr:uid="{00000000-0006-0000-0200-00007B000000}">
      <text>
        <r>
          <rPr>
            <sz val="10"/>
            <color rgb="FF000000"/>
            <rFont val="Calibri"/>
            <family val="2"/>
          </rPr>
          <t>fishing only</t>
        </r>
      </text>
    </comment>
    <comment ref="AW524" authorId="3" shapeId="0" xr:uid="{00000000-0006-0000-0200-00007C000000}">
      <text>
        <r>
          <rPr>
            <sz val="10"/>
            <color rgb="FF000000"/>
            <rFont val="Calibri"/>
            <family val="2"/>
          </rPr>
          <t>fishing only</t>
        </r>
      </text>
    </comment>
    <comment ref="BF524" authorId="3" shapeId="0" xr:uid="{00000000-0006-0000-0200-00007D000000}">
      <text>
        <r>
          <rPr>
            <sz val="10"/>
            <color rgb="FF000000"/>
            <rFont val="Calibri"/>
            <family val="2"/>
          </rPr>
          <t>fishing only</t>
        </r>
      </text>
    </comment>
    <comment ref="A608" authorId="3" shapeId="0" xr:uid="{00000000-0006-0000-0200-00007E000000}">
      <text>
        <r>
          <rPr>
            <sz val="10"/>
            <color rgb="FF000000"/>
            <rFont val="Calibri"/>
            <family val="2"/>
          </rPr>
          <t>Functional Unit is hectares, not mass based
	-Robert Meyer</t>
        </r>
      </text>
    </comment>
    <comment ref="AJ608" authorId="3" shapeId="0" xr:uid="{00000000-0006-0000-0200-00007F000000}">
      <text>
        <r>
          <rPr>
            <sz val="10"/>
            <color rgb="FF000000"/>
            <rFont val="Calibri"/>
            <family val="2"/>
          </rPr>
          <t>value is higher here because it does not include the negative contribution of grain displaced by molasses co-product (also does not include transport and milling)</t>
        </r>
      </text>
    </comment>
    <comment ref="AS608" authorId="3" shapeId="0" xr:uid="{00000000-0006-0000-0200-000080000000}">
      <text>
        <r>
          <rPr>
            <sz val="10"/>
            <color rgb="FF000000"/>
            <rFont val="Calibri"/>
            <family val="2"/>
          </rPr>
          <t>value is higher here because it does not include the negative contribution of grain displaced by  molasses co-product (also does not include transport and milling)</t>
        </r>
      </text>
    </comment>
    <comment ref="AI788" authorId="1" shapeId="0" xr:uid="{00000000-0006-0000-0200-000081000000}">
      <text>
        <r>
          <rPr>
            <b/>
            <sz val="10"/>
            <color indexed="81"/>
            <rFont val="Calibri"/>
            <family val="2"/>
          </rPr>
          <t>Martin Heller:</t>
        </r>
        <r>
          <rPr>
            <sz val="10"/>
            <color indexed="81"/>
            <rFont val="Calibri"/>
            <family val="2"/>
          </rPr>
          <t xml:space="preserve">
emissions to factory gate are 1704.3g/6pack = 0.762 kg CO2e/kg
</t>
        </r>
      </text>
    </comment>
    <comment ref="BG788" authorId="0" shapeId="0" xr:uid="{00000000-0006-0000-0200-000082000000}">
      <text>
        <r>
          <rPr>
            <b/>
            <sz val="10"/>
            <color indexed="81"/>
            <rFont val="Calibri"/>
            <family val="2"/>
          </rPr>
          <t>Heller, Martin:</t>
        </r>
        <r>
          <rPr>
            <sz val="10"/>
            <color indexed="81"/>
            <rFont val="Calibri"/>
            <family val="2"/>
          </rPr>
          <t xml:space="preserve">
emissions to factory gate are 1704.3g/6pack = 0.762 kg CO2e/kg</t>
        </r>
      </text>
    </comment>
    <comment ref="AQ1366" authorId="1" shapeId="0" xr:uid="{00000000-0006-0000-0200-000083000000}">
      <text>
        <r>
          <rPr>
            <b/>
            <sz val="10"/>
            <color indexed="81"/>
            <rFont val="Calibri"/>
            <family val="2"/>
          </rPr>
          <t>Martin Heller:</t>
        </r>
        <r>
          <rPr>
            <sz val="10"/>
            <color indexed="81"/>
            <rFont val="Calibri"/>
            <family val="2"/>
          </rPr>
          <t xml:space="preserve">
avoided fertilizer
</t>
        </r>
      </text>
    </comment>
    <comment ref="BD1366" authorId="1" shapeId="0" xr:uid="{00000000-0006-0000-0200-000084000000}">
      <text>
        <r>
          <rPr>
            <b/>
            <sz val="10"/>
            <color indexed="81"/>
            <rFont val="Calibri"/>
            <family val="2"/>
          </rPr>
          <t>Martin Heller:</t>
        </r>
        <r>
          <rPr>
            <sz val="10"/>
            <color indexed="81"/>
            <rFont val="Calibri"/>
            <family val="2"/>
          </rPr>
          <t xml:space="preserve">
avoided fertilizer</t>
        </r>
      </text>
    </comment>
    <comment ref="AY1477" authorId="1" shapeId="0" xr:uid="{00000000-0006-0000-0200-000085000000}">
      <text>
        <r>
          <rPr>
            <b/>
            <sz val="10"/>
            <color indexed="81"/>
            <rFont val="Calibri"/>
            <family val="2"/>
          </rPr>
          <t>Martin Heller:</t>
        </r>
        <r>
          <rPr>
            <sz val="10"/>
            <color indexed="81"/>
            <rFont val="Calibri"/>
            <family val="2"/>
          </rPr>
          <t xml:space="preserve">
post-harvest cooling</t>
        </r>
      </text>
    </comment>
    <comment ref="AY1478" authorId="1" shapeId="0" xr:uid="{00000000-0006-0000-0200-000086000000}">
      <text>
        <r>
          <rPr>
            <b/>
            <sz val="10"/>
            <color indexed="81"/>
            <rFont val="Calibri"/>
            <family val="2"/>
          </rPr>
          <t>Martin Heller:</t>
        </r>
        <r>
          <rPr>
            <sz val="10"/>
            <color indexed="81"/>
            <rFont val="Calibri"/>
            <family val="2"/>
          </rPr>
          <t xml:space="preserve">
post-harvest cooling</t>
        </r>
      </text>
    </comment>
    <comment ref="AY1479" authorId="1" shapeId="0" xr:uid="{00000000-0006-0000-0200-000087000000}">
      <text>
        <r>
          <rPr>
            <b/>
            <sz val="10"/>
            <color indexed="81"/>
            <rFont val="Calibri"/>
            <family val="2"/>
          </rPr>
          <t>Martin Heller:</t>
        </r>
        <r>
          <rPr>
            <sz val="10"/>
            <color indexed="81"/>
            <rFont val="Calibri"/>
            <family val="2"/>
          </rPr>
          <t xml:space="preserve">
post-harvest cooling</t>
        </r>
      </text>
    </comment>
    <comment ref="AY1480" authorId="1" shapeId="0" xr:uid="{00000000-0006-0000-0200-000088000000}">
      <text>
        <r>
          <rPr>
            <b/>
            <sz val="10"/>
            <color indexed="81"/>
            <rFont val="Calibri"/>
            <family val="2"/>
          </rPr>
          <t>Martin Heller:</t>
        </r>
        <r>
          <rPr>
            <sz val="10"/>
            <color indexed="81"/>
            <rFont val="Calibri"/>
            <family val="2"/>
          </rPr>
          <t xml:space="preserve">
post-harvest cooling</t>
        </r>
      </text>
    </comment>
    <comment ref="AL1481" authorId="1" shapeId="0" xr:uid="{00000000-0006-0000-0200-000089000000}">
      <text>
        <r>
          <rPr>
            <b/>
            <sz val="10"/>
            <color indexed="81"/>
            <rFont val="Calibri"/>
            <family val="2"/>
          </rPr>
          <t>Martin Heller:</t>
        </r>
        <r>
          <rPr>
            <sz val="10"/>
            <color indexed="81"/>
            <rFont val="Calibri"/>
            <family val="2"/>
          </rPr>
          <t xml:space="preserve">
excluding contribution from drying because biomass energy (rice hulls) are used.</t>
        </r>
      </text>
    </comment>
  </commentList>
</comments>
</file>

<file path=xl/sharedStrings.xml><?xml version="1.0" encoding="utf-8"?>
<sst xmlns="http://schemas.openxmlformats.org/spreadsheetml/2006/main" count="38018" uniqueCount="4438">
  <si>
    <t>FOOD TYPE</t>
  </si>
  <si>
    <t>SUB TYPE</t>
  </si>
  <si>
    <t>FOOD FORM</t>
  </si>
  <si>
    <t>PRODUCT OR PRODUCTION SPECIFICS</t>
  </si>
  <si>
    <t>COMPARES PRODUCTION STRATEGIES / METHODS?</t>
  </si>
  <si>
    <t>COUNTRY OF ORIGIN</t>
  </si>
  <si>
    <t>CED, LCIA METHOD AND UNIT</t>
  </si>
  <si>
    <t>reported variance</t>
  </si>
  <si>
    <t>GHGE, LCIA METHOD AND UNIT</t>
  </si>
  <si>
    <t>Other (specify)</t>
  </si>
  <si>
    <t>MJ/kg</t>
  </si>
  <si>
    <t>Dairy</t>
  </si>
  <si>
    <t>Fluid Milk, Cow</t>
  </si>
  <si>
    <t>Fresh or Not Specified</t>
  </si>
  <si>
    <t>Liquid Milk</t>
  </si>
  <si>
    <t>No</t>
  </si>
  <si>
    <t>USA</t>
  </si>
  <si>
    <t>Greg Thoma a; Jennie Popp b; Darin Nutter c; David Shonnard d; Richard Ulrich a; Marty Matlock e; Dae Soo Kim a; Zara Neiderman e; Nathan Kemper b; Cashion East a; Felix Adomd d</t>
  </si>
  <si>
    <t>a Ralph E. Martin Department of Chemical Engineering, University of Arkansas, 3202 Bell Engineering Center,Fayetteville, AR 72701-1201, United States b Department of Agricultural Economics and Agribusiness, University of Arkansas, 217 Agriculture Building, Fayetteville, AR 72701, United States c Department of Mechanical Engineering, University of Arkansas, 204 Mechanical Engineering Building, Fayetteville, AR 72701, United States d Department of Chemical Engineering and Sustainable Futures Institute, Michigan Technological University, 1400 Townsend Drive, Houghton, MI 49931-1295, United States e Department of Biological and Agricultural Engineering, University of Arkansas, 203 Engineering Hall, Fayetteville, AR 72701, United States</t>
  </si>
  <si>
    <t>Peer Reviewed Journal</t>
  </si>
  <si>
    <t>Yes</t>
  </si>
  <si>
    <t xml:space="preserve">Cradle-to-farm gate; farm to processor transportation; processing, packaging and distribution; retail channels; consumer transportation and storage; post consumer waste management; supply chain loss/waste; </t>
  </si>
  <si>
    <t>1 kg of milk consumed</t>
  </si>
  <si>
    <t>IPPC (2006)</t>
  </si>
  <si>
    <t>Meat</t>
  </si>
  <si>
    <t>lowland farms</t>
  </si>
  <si>
    <t>England &amp; Wales</t>
  </si>
  <si>
    <t>A.K. Jones, D.L. Jones, P. Cross</t>
  </si>
  <si>
    <t>Bangor University, UK</t>
  </si>
  <si>
    <t>economic allocation among sheep farm outputs</t>
  </si>
  <si>
    <t>1 kg LW</t>
  </si>
  <si>
    <t>dressing yield=50.8%, 65.8% boneless meat</t>
  </si>
  <si>
    <t>CV=33%</t>
  </si>
  <si>
    <t>IPPC, 2007, 100 year</t>
  </si>
  <si>
    <t>highland farms</t>
  </si>
  <si>
    <t>CV=23%</t>
  </si>
  <si>
    <t>hill farms</t>
  </si>
  <si>
    <t>A.K. Jones; D.L. Jones; P. Cross</t>
  </si>
  <si>
    <t>CV=34%</t>
  </si>
  <si>
    <t>Eggs</t>
  </si>
  <si>
    <t>Eggs, Chicken</t>
  </si>
  <si>
    <t>Barn</t>
  </si>
  <si>
    <t>Netherlands</t>
  </si>
  <si>
    <t>S.E.M. Dekker (a); I.J.M. de Boer (b); I. Vermeij (c ); A.J.A. Aarnink (c ); P.W.G. Groot Koerkamp (a,c)</t>
  </si>
  <si>
    <t>(a) Farm Technology Group, Wageningen University, The Netherlands; (b) Animal Production Systems Group, Wageningen University, The Netherlands; (c ) Wageningen UR Livestock Research, The Netherlands</t>
  </si>
  <si>
    <t>1 kg eggs at farm gate</t>
  </si>
  <si>
    <t>2.666 to 2.685</t>
  </si>
  <si>
    <t>IPCC 2006</t>
  </si>
  <si>
    <t>Free range</t>
  </si>
  <si>
    <t>2.74 to 2.754</t>
  </si>
  <si>
    <t>Organic</t>
  </si>
  <si>
    <t>2.533 to 2.547</t>
  </si>
  <si>
    <t>Conventional enriched cage</t>
  </si>
  <si>
    <t>Beef</t>
  </si>
  <si>
    <t>grass finished; delivered to USA</t>
  </si>
  <si>
    <t>Australia</t>
  </si>
  <si>
    <t>Stephen Wiedemann (a); Eugene McGahan (a); Caoilinn Murphy (a); Ming-Jia Yan (a); Beverley Henry (b); Greg Thoma (c); Stewart Ledgard (d)</t>
  </si>
  <si>
    <t>(a) FSA Consulting, Australia; (b) Institute for Future Environments, Queensland University of Technology, Brisbane,Australia; (c) Ralph E. Martin Department of Chemical Engineering, University of Arkansas, Fayetteville, AR; (d) AgResearch Ruakura Research Centre, Hamilton , New Zealand</t>
  </si>
  <si>
    <t>GHG assoc with LU/dLUC included bur reported separately</t>
  </si>
  <si>
    <t>kg boneless beef, retail-ready in US</t>
  </si>
  <si>
    <t>IPPC AR4 (2007), 100 y</t>
  </si>
  <si>
    <t>delivered to USA</t>
  </si>
  <si>
    <t>kg bone-in lamb, retail-ready in US</t>
  </si>
  <si>
    <t>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</si>
  <si>
    <t>mid-fed (115 days on grain); delivered to USA</t>
  </si>
  <si>
    <t>long-fed (330 days on grain); delivered to USA</t>
  </si>
  <si>
    <t>Represents national farm demographics for liquid milk production</t>
  </si>
  <si>
    <t>(a);Greg Thoma (a); Jennie Popp (b); David Shonnard (d); Darin Nutter (c); Marty Matlock (e); Richard Ulrich (a); Wayne Kellogg (f); Dae Soo Kim (a); Zara Neiderman (e); Nathan Kemper (b); Felix Adom (d); Cashion East (a)</t>
  </si>
  <si>
    <t>(a) Ralph E. Martin Department of Chemical Engineering, 1 University of Arkansas, Fayetteville, AR 72701, USA; (b) Department of Agricultural Economics and Agribusiness, 1 University of Arkansas, Fayetteville, AR 72701, USA; (c) Department of Mechanical Engineering, 1 University of Arkansas, Fayetteville, AR 72701, USA; (d) Department of Chemical Engineering and Sustainable Futures Institute, Michigan Technological University, 1400 Townsend Drive, Houghton, MI 49931, USA; (e) Department of Biological and Agricultural Engineering, 1 University of Arkansas, Fayetteville, AR 72701, USA; (f) Department of Animal Sciences, 1 University of Arkansas, Fayetteville, AR 72701, USA</t>
  </si>
  <si>
    <t>GHG during production including manure management and enteric methane emissions</t>
  </si>
  <si>
    <t>1 kg of fat and protein corrected milk (FPCM; 4% fat, 3.3% protein)</t>
  </si>
  <si>
    <t>IPCC (2006) and IPCC (2007)</t>
  </si>
  <si>
    <t>Conventional milk in Galicia (Spain)</t>
  </si>
  <si>
    <t>Spain</t>
  </si>
  <si>
    <t>A. Hospido; M.T. Moreira; G. Feijoo</t>
  </si>
  <si>
    <t>Department of Chemical Engineering, Institute of Technology, University of Santiago de Compostela, 15782</t>
  </si>
  <si>
    <t>1 L of packaged liquid milk ready to be delivered from dairy to retail</t>
  </si>
  <si>
    <t>1L = .001cubic meters; milk density = 1035 kg/cubic meter</t>
  </si>
  <si>
    <t>BUWAL250 (1996)</t>
  </si>
  <si>
    <t>IPCC (2001)</t>
  </si>
  <si>
    <t>Denmark</t>
  </si>
  <si>
    <t>Nicolaj Ingemann Nielsen a; Malene Jørgensen b; Inger Knude Rasmussen b</t>
  </si>
  <si>
    <t>AgroTech A/S, Institute for Agri Technology and Food Innovation, Agro Food Park 15, 8200 Aarhus N, Denmark; Knowledge Centre for Agriculture, Poultry, Agro Food Park 15, 8200 Aarhus N, Denmark.</t>
  </si>
  <si>
    <t>NGO Report</t>
  </si>
  <si>
    <t>Combination of aloc and conseq approach. manure produced used to offset manure earlier in LC</t>
  </si>
  <si>
    <t>1.34 to 1.86</t>
  </si>
  <si>
    <t>Liquid milk generated at alpine farms in Italy</t>
  </si>
  <si>
    <t>Italy</t>
  </si>
  <si>
    <t>Chiara A. Penati; Alberto Tamburini, Luciana Bava; Maddalena Zucali; Anna Sandrucci</t>
  </si>
  <si>
    <t>Dipartimento di Scienze Agrarie e Ambientali, Università di Milano, Italy</t>
  </si>
  <si>
    <t>Cradle-to-farm gate; processes and transport of feed to farm</t>
  </si>
  <si>
    <t>1 kg of fat protein corrected milk (FPCM, 4.0% of fat content and 3.2% of protein content)</t>
  </si>
  <si>
    <t>N/A</t>
  </si>
  <si>
    <t>IPCC, 2007</t>
  </si>
  <si>
    <t>USA Cheddar Cheese</t>
  </si>
  <si>
    <t>Daesoo Kim; Greg Thoma; Darin Nutter; Franco Milani; Rick Ulrich; Greg Norris</t>
  </si>
  <si>
    <t>Cradle-to-grave: particular emphasis on unit operations under the control of typical cheese-processing plants</t>
  </si>
  <si>
    <t>CV=18.8%</t>
  </si>
  <si>
    <t>USA Mozzarella Cheese</t>
  </si>
  <si>
    <t>CV=17%</t>
  </si>
  <si>
    <t>aggregate eggs - 38% cage, 6% organic, 54% free range</t>
  </si>
  <si>
    <t>Sweden</t>
  </si>
  <si>
    <t>Christel Cederberg; Ulf Sonesson; Maria Henriksson; Veronica Sund; Jennifer Davis</t>
  </si>
  <si>
    <t>The Swedish Institute for Food and Biotechnology</t>
  </si>
  <si>
    <t>Industry Based Report</t>
  </si>
  <si>
    <t>GHG during production - feed and manure</t>
  </si>
  <si>
    <t>1 kg egg at farm gate</t>
  </si>
  <si>
    <t>Free range egg production</t>
  </si>
  <si>
    <t>UK</t>
  </si>
  <si>
    <t>R. C. Taylor (a); H. Omed (b); and G. Edwards-Jones (b)</t>
  </si>
  <si>
    <t>(a) British Trust for Ornithology, The Nunnery, Thetford, Norfolk; (b) School of the Environment, Natural Resources and Geography, Bangor University, Bangor, Wales, UK</t>
  </si>
  <si>
    <t>Including packaging, mixed farming methods</t>
  </si>
  <si>
    <t>I kg egg</t>
  </si>
  <si>
    <t>IPCC, 2006</t>
  </si>
  <si>
    <t>Semi-Cured Gouda Cheese</t>
  </si>
  <si>
    <t>Roline Broekema; Gerard Kramer</t>
  </si>
  <si>
    <t>Blonk Consultants</t>
  </si>
  <si>
    <t>Private Consulting Firm</t>
  </si>
  <si>
    <t>Cradle-to-farm gate; processing, transportation, retail inputs, and incineratino of spoilage/waste</t>
  </si>
  <si>
    <t>1 kg packaged cheese</t>
  </si>
  <si>
    <t>CV=14.3%</t>
  </si>
  <si>
    <t>Semi-Skim Milk</t>
  </si>
  <si>
    <t>yes</t>
  </si>
  <si>
    <t>Cradle-to-farm gate; processing, transportation, retail inputs, and spoilage/waste treatment</t>
  </si>
  <si>
    <t>1 kg packaged semi-skimmed pasteurized milk</t>
  </si>
  <si>
    <t>CV=11.7%</t>
  </si>
  <si>
    <t>IPCC, 2005</t>
  </si>
  <si>
    <t>Semi-Hard Cheese</t>
  </si>
  <si>
    <t>Johanna Berlin</t>
  </si>
  <si>
    <t>Environmental Systems Analysis, Chalmers University of Technology, SE-412 96 Goeteborg, Sweden; SIK AB, The Swedish Institute for Food and Biotechnology, P.O. Box 5401, SE-402 29 Goeteborg, Sweden</t>
  </si>
  <si>
    <t>Cradle-to-grave/waste disposal</t>
  </si>
  <si>
    <t>1 kg of Angsgarden cheese wrapped in plastic</t>
  </si>
  <si>
    <t>IPCC, 1995</t>
  </si>
  <si>
    <t>Pasturized Milk, Used LCA data from seven dairy plants of different capacities processing 36% of raw milk in Serbia</t>
  </si>
  <si>
    <t>Serbia</t>
  </si>
  <si>
    <t>Ilija Djekic (a); Jelena Miocinovic (b); Igor Tomasevic (b); Nada Smigic (a); Nikola Tomic (a)</t>
  </si>
  <si>
    <t>(a) Department of Food Safety and Quality Management, University of Belgrade - Faculty of Agriculture, Belgrade, Republic of Serbia; (b) Department of Animal Origin products Technology, University of Belgrade - Faculty of Agriculture, Belgrade, Republic of Serbia</t>
  </si>
  <si>
    <t>Looked at 3 Subsystems: 1) Dairy Farm, 2) Dairy Plant, 3) Waste Treatment</t>
  </si>
  <si>
    <t>1 kg of final product</t>
  </si>
  <si>
    <t>Ultra High Temperature (UHT) Milk, Used LCA data from seven dairy plants of different capacities processing 36% of raw milk in Serbia</t>
  </si>
  <si>
    <t>Yogurt, Cow</t>
  </si>
  <si>
    <t>Used LCA data from seven dairy plants of different capacities processing 36% of raw milk in Serbia</t>
  </si>
  <si>
    <t>Fluid Milk, Cream</t>
  </si>
  <si>
    <t>Butter</t>
  </si>
  <si>
    <t>Other (Specify)</t>
  </si>
  <si>
    <t>Processed - liquid egg</t>
  </si>
  <si>
    <t>USA (Midwest)</t>
  </si>
  <si>
    <t>Nathan Pelletier (a); Maro Ibarburu (b); Hongwei Xin (b)</t>
  </si>
  <si>
    <t>(a) Global Ecologic Environmental Consulting and Management Services, Canada; (b) Egg Industry Center, Iowa State University, IA, USA</t>
  </si>
  <si>
    <t>transport supply chains talk only about best and worst case observed in their data</t>
  </si>
  <si>
    <t>I tonne egg at facility gate</t>
  </si>
  <si>
    <t>*1/1000</t>
  </si>
  <si>
    <t>7.48 to 4.9</t>
  </si>
  <si>
    <t>ISO 14044, IPCC 2006</t>
  </si>
  <si>
    <t>Shell egg processed</t>
  </si>
  <si>
    <t>6.45 to 4.32</t>
  </si>
  <si>
    <t>Average egg production</t>
  </si>
  <si>
    <t>Nathan Pelletier (a); Maro Ibarburu (b); and Hongwei Xin (b)</t>
  </si>
  <si>
    <t>(a) Global Ecologic Environmental Consulting and Management Services, Canada; (b) Egg Industry Center, Iowa State University, USA</t>
  </si>
  <si>
    <t>Egg 'production' alone - assumed farm gate</t>
  </si>
  <si>
    <t>1 metric ton eggs</t>
  </si>
  <si>
    <t>EcoInvent 2010</t>
  </si>
  <si>
    <t>Vegetables</t>
  </si>
  <si>
    <t>Tomatoes</t>
  </si>
  <si>
    <t>Tomato Sauce - tomatoes processed in France</t>
  </si>
  <si>
    <t>France</t>
  </si>
  <si>
    <t>Giulia Palma (a); Martine Padilla (a); Mounia Saheb (a); Sophie Colvine(b); Yasemin Tatar (a); Ahmet Tugulay(a); Imene Kellou (a)</t>
  </si>
  <si>
    <t>(a) CIHEAM-Institut Agronomique Méditerranéen de Montpellier 3191 route de Mende 34093 Montpellier Cedex 5 France; (b) AMITOM Lotissement les valérianes 84700 Sorgues France</t>
  </si>
  <si>
    <t>Conference Proceedings</t>
  </si>
  <si>
    <t>Disposal of packaging</t>
  </si>
  <si>
    <t>From ag.prod. to packaging disposal</t>
  </si>
  <si>
    <t>I kg packaged processed tomatoes</t>
  </si>
  <si>
    <t>Ecoinvent (V2) database</t>
  </si>
  <si>
    <t>Turkey</t>
  </si>
  <si>
    <t>Tomato puree</t>
  </si>
  <si>
    <t>Michele Manfredi (a); Giuseppe Vignali (a)</t>
  </si>
  <si>
    <t>(a) Department of Industrial Engineering, University of Parma, Viale delle Scienze 181/A, 43124, Parma –Italy</t>
  </si>
  <si>
    <t xml:space="preserve">From ag.prod. to retail, with 5.5% (avg 4-7) of transport attributed to cultivation </t>
  </si>
  <si>
    <t>700g packaged tomatoes</t>
  </si>
  <si>
    <t>/0.7</t>
  </si>
  <si>
    <t>Ecoinvent V2.2</t>
  </si>
  <si>
    <t>(ISO 14040, 2006)</t>
  </si>
  <si>
    <t>Misc. Milk Products in Candad; Cradle to Production Gate Analysis</t>
  </si>
  <si>
    <t>Canada</t>
  </si>
  <si>
    <t>(a) X. P. C. Verge; (b) D. Maxime; (a) J. A. Dyer; (a) R. L. Desjardins; (c) Y. Arcand; (a) A. Vanderzaag</t>
  </si>
  <si>
    <t>(a) Agriculture and Agri-Food Canada, Ottawa ON, K2A 1G6, Canada; (b) Interuniversity Research Cebtre for the Lice Cycle of Products, Processes and Services (CIRAIG), Polytechnique Montreal, Montreal QC, H3C 3A7, Canada; (c) Agrigulture and Agri-Food Canada, Cambridge ON, N3H 3Z9, Canada</t>
  </si>
  <si>
    <t>Cradle to Processing Exit</t>
  </si>
  <si>
    <t>Cottage Cheese</t>
  </si>
  <si>
    <t>Sour Cream</t>
  </si>
  <si>
    <t>Includes packaging in polystyrene tubs (4 x 125 g)</t>
  </si>
  <si>
    <t>Includes packaging in polycoated carton (0.5gal)</t>
  </si>
  <si>
    <t>Fluid Milk, Buttermilk</t>
  </si>
  <si>
    <t>Buttermilk, Misc. Milk Products in Candad; Cradle to Production Gate Analysis</t>
  </si>
  <si>
    <t>Dairy Products, Fozen</t>
  </si>
  <si>
    <t>Dairy Powders</t>
  </si>
  <si>
    <t>Fluid Milk, Concentrate</t>
  </si>
  <si>
    <t>Canned</t>
  </si>
  <si>
    <t>Tomato purée</t>
  </si>
  <si>
    <t>A. Del Borghi (a); M. Gallo (a); C. Strazza (a); M. Del Borghi (a);</t>
  </si>
  <si>
    <t>(a) Department of Civil, Chemical and Environmental Engineering (DICCA), University of Genoa, Via all’Opera Pia 15, 16145 Genova, Italy</t>
  </si>
  <si>
    <t>disposal of packaging</t>
  </si>
  <si>
    <t>Glass bottle with metal lid 700 g</t>
  </si>
  <si>
    <t>1 kg of packaged product</t>
  </si>
  <si>
    <t>International EPD System</t>
  </si>
  <si>
    <t>Glass bottle with metal lid 350 g</t>
  </si>
  <si>
    <t>Carton-based container 200 g</t>
  </si>
  <si>
    <t>Carton-based container with plastic cap 500 g</t>
  </si>
  <si>
    <t>Carton-based container with plastic cap 1000 g</t>
  </si>
  <si>
    <t>Chopped tomato</t>
  </si>
  <si>
    <t>Glass bottle with metal lid 330 g</t>
  </si>
  <si>
    <t>Open top tin-plated steel can and lid 400 g</t>
  </si>
  <si>
    <t>Peeled tomato</t>
  </si>
  <si>
    <t>Open top tin-plated steel can and lid 800 g</t>
  </si>
  <si>
    <t>Paste (local foods)</t>
  </si>
  <si>
    <t>Sonja Brodt (a); Klaas Jan Kramer (b); Alissa Kendall (c); Gail Feenstra (a)</t>
  </si>
  <si>
    <t>(a)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t>
  </si>
  <si>
    <t>Local (within state) transport</t>
  </si>
  <si>
    <t>1 kg canned, consumer ready product</t>
  </si>
  <si>
    <t>Interviews and published data</t>
  </si>
  <si>
    <t>Ecoinvent 2008, IPCC 2006</t>
  </si>
  <si>
    <t>Diced tomato (local foods)</t>
  </si>
  <si>
    <t>Paste (national transport)</t>
  </si>
  <si>
    <t>National (within country) transport</t>
  </si>
  <si>
    <t>Diced tomato (national transport)</t>
  </si>
  <si>
    <t>Conventional Austria Greenhouse grown</t>
  </si>
  <si>
    <t>Austria</t>
  </si>
  <si>
    <t>Michaela Clarissa Theurl(a,b); Helmut Haberl (b) ;Karl-Heinz Erb (b); Thomas Lindenthal (a)</t>
  </si>
  <si>
    <t>(a) Research Institute of Organic Agriculture Austria,
 Seidengasse 33-35/13, 1070 Vienna, Austria; (b) Institute of Social Ecology Vienna (SEC), Alpen-Adria
 Universitaet Klagenfurt, Graz, Wien,
 Schottenfeldgasse 29, 1070 Vienna, Austria</t>
  </si>
  <si>
    <t>Until market</t>
  </si>
  <si>
    <t>1 kg loose tomatoes</t>
  </si>
  <si>
    <t>IPCC 2006, 100 years</t>
  </si>
  <si>
    <t>Organic tunnel Austria grown</t>
  </si>
  <si>
    <t>Conventional Multi tunnel Spain grown</t>
  </si>
  <si>
    <t>Conventional open field Italy grown</t>
  </si>
  <si>
    <t>1 kg packaged tomato</t>
  </si>
  <si>
    <t>1 kg processed and packed tomato</t>
  </si>
  <si>
    <t>Fruit</t>
  </si>
  <si>
    <t>Bananas</t>
  </si>
  <si>
    <t xml:space="preserve">Organic grown </t>
  </si>
  <si>
    <t>Ecuador</t>
  </si>
  <si>
    <t>Laura Roibása (a); Aziz Elbehrib (b); Almudena Hospidoa (a)</t>
  </si>
  <si>
    <t>(a) Department of Chemical Engineering, Institute of Technology, University of Santiago de Compostela, 15782 Santiago de Compostela, Galicia, Spain; (b) Trade and Markets Division (EST), Food and Agriculture Organization of the United Nations,
 Viale delle Terme di Caracalla, 00153 Rome, Italy</t>
  </si>
  <si>
    <t>Waste disposal</t>
  </si>
  <si>
    <t>Cradle to Grave</t>
  </si>
  <si>
    <t>1 kg banana</t>
  </si>
  <si>
    <t>ISO 14067</t>
  </si>
  <si>
    <t>Conventional grown</t>
  </si>
  <si>
    <t>ISO 14068</t>
  </si>
  <si>
    <t>Global</t>
  </si>
  <si>
    <t>Pierre Gerber; Theun Vellinga; Klaas Dietze; Alessandra Falcucci; Guya Gianni; Jerome Mounsey; Luigi Maiorano; Carolyn Opio; Daniela Sironi; Olaf Thieme; Viola Weiler</t>
  </si>
  <si>
    <t>Food and Agriculture Organization of the United Nations, Animal Production and Health Division</t>
  </si>
  <si>
    <t>Cradle to Farm Gate; Processing to Retail</t>
  </si>
  <si>
    <t>1 kg FPCM</t>
  </si>
  <si>
    <t>1.776 to 3.024</t>
  </si>
  <si>
    <t>Margarine</t>
  </si>
  <si>
    <t>Katarina Nilsson; Anna Flysjö; Jennifer Davis; Sarah Sim; Nicole Unger; Simon Bell</t>
  </si>
  <si>
    <t>500 g of packaged product</t>
  </si>
  <si>
    <t>Multiply results by 2</t>
  </si>
  <si>
    <t>Germany</t>
  </si>
  <si>
    <t>Cereals and Grains</t>
  </si>
  <si>
    <t>Bread</t>
  </si>
  <si>
    <t>White bread, medium slices, plastic bag</t>
  </si>
  <si>
    <t>Namy Espinoza-Orias; Heinz Stichnothe; Adisa Azapagic</t>
  </si>
  <si>
    <t>800g loaf of sliced bread</t>
  </si>
  <si>
    <t>Multiply results by 1.25</t>
  </si>
  <si>
    <t>PAS-2050 Compliant, IPCC 2006</t>
  </si>
  <si>
    <t>White bread, thick slices, plastic bag</t>
  </si>
  <si>
    <t>Wholemeal bread, medium slices, plastic bag</t>
  </si>
  <si>
    <t>Wholemeal bread, thick slices, plastic bag</t>
  </si>
  <si>
    <t>Pork</t>
  </si>
  <si>
    <t>backyard production</t>
  </si>
  <si>
    <t>global</t>
  </si>
  <si>
    <t>MacLeod, M., Gerber, P., Mottet, A., Tempio, G., Falcucci, A., Opio, C., Vellinga, T., Henderson, B. &amp; Steinfeld, H</t>
  </si>
  <si>
    <t>UN FAO Animal Production and Health Division</t>
  </si>
  <si>
    <t>Government Report</t>
  </si>
  <si>
    <t>kg carcass weight</t>
  </si>
  <si>
    <t>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</si>
  <si>
    <t>intermediate production</t>
  </si>
  <si>
    <t>LUC due to soybeans adds ~0.5 kg CO2e/kg CW here</t>
  </si>
  <si>
    <t>IPPC, 2007, 100 yr</t>
  </si>
  <si>
    <t>industrial production</t>
  </si>
  <si>
    <t>LUC due to soybeans adds ~1.0 kg CO2e/kg CW here</t>
  </si>
  <si>
    <t>North America</t>
  </si>
  <si>
    <t>Chicken</t>
  </si>
  <si>
    <t>LUC due to soybeans ~1.0 kg CO2e/kg CW here</t>
  </si>
  <si>
    <t>N. America</t>
  </si>
  <si>
    <t>LUC due to soybeans ~1.1 kg CO2e/kg CW here</t>
  </si>
  <si>
    <t>kg egg</t>
  </si>
  <si>
    <t>normal operation</t>
  </si>
  <si>
    <t>USA, Northern Great Plains</t>
  </si>
  <si>
    <t>Christopher D. Lupo, David E. Clay, Jennifer L. Benning, and James J. Stone</t>
  </si>
  <si>
    <t>C.D. Lupo, J.L. Benning, and J.J. Stone, Dep. of Civil and Environmental Engineering,South Dakota School of Mines and Technology, Rapid City, SD 57701; D.E. Clay, Dep. of Plant Sciences, South Dakota State Univ., Brookings, SD 57007.</t>
  </si>
  <si>
    <t>no</t>
  </si>
  <si>
    <t>kg standard carcass weight</t>
  </si>
  <si>
    <t>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</si>
  <si>
    <t>ReCiPe midpoint</t>
  </si>
  <si>
    <t>early weaning</t>
  </si>
  <si>
    <t>fast-track backgrounding</t>
  </si>
  <si>
    <t>grassfed</t>
  </si>
  <si>
    <t>feedlot finishing</t>
  </si>
  <si>
    <t>USA, Upper Midwest</t>
  </si>
  <si>
    <t>Nathan Pelletier a,*, Rich Pirog b, Rebecca Rasmussen b</t>
  </si>
  <si>
    <t>a School for Resource and Environmental Studies, Dalhousie University, Suite 5010, 6100 University Ave., Halifax, Nova Scotia, Canada B3H 3J5 b Leopold Center for Sustainable Agriculture, 209 Curtis Hall, Iowa State University, Ames, Iowa 50011-1050, United States</t>
  </si>
  <si>
    <t>cradle to farm gate</t>
  </si>
  <si>
    <t>kg live weight</t>
  </si>
  <si>
    <t>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</si>
  <si>
    <t>background/feedlot finish</t>
  </si>
  <si>
    <t>pasture finishing</t>
  </si>
  <si>
    <t>feedlot finishing (ave of 2002 &amp; 2004 data)</t>
  </si>
  <si>
    <t>Australia (New South Wales)</t>
  </si>
  <si>
    <t>Peters, Gregory M; Rowley, Hazel V; Wiedemann, Stephen; Tucker, Robyn; Short, Michael D;Schulz, Matthias</t>
  </si>
  <si>
    <t>UNSW Water Research Centre, The University of New South Wales, UNSW Sydney, NSW 2052, and FSA Consulting, Toowoomba, Queensland, Australia</t>
  </si>
  <si>
    <t>processing plant gate</t>
  </si>
  <si>
    <t>kg hot standard carcass weight</t>
  </si>
  <si>
    <t>primary energy</t>
  </si>
  <si>
    <t>organic (ave of 2002 &amp; 2004 data)</t>
  </si>
  <si>
    <t>Australia (Victoria)</t>
  </si>
  <si>
    <t>(ave of 2002 &amp; 2004 data)</t>
  </si>
  <si>
    <t>Australia (Western)</t>
  </si>
  <si>
    <t>Phase 1 study: on-farm data are representative of the U.S. Department of Agriculture’s Roman L. Hruska Meat Animal Research Center (USMARC) located in Clay Center, Nebraska.  Including only 2011 values here</t>
  </si>
  <si>
    <t>n</t>
  </si>
  <si>
    <t>Thomas Battagliese, Juliana Andrade, Isabel Schulze, Bruce Uhlman, Cristian Barcan</t>
  </si>
  <si>
    <t>BASF Corporation, 100 Park Avenue, Florham Park, NJ, 07932</t>
  </si>
  <si>
    <t>1 pound of consumed,boneless, edible beef</t>
  </si>
  <si>
    <t>*0.45359237 to convert to kg</t>
  </si>
  <si>
    <t>Karen A. Beauchemin *, H. Henry Janzen, Shannan M. Little, Tim A. McAllister, Sean M. McGinn</t>
  </si>
  <si>
    <t>Agriculture and Agri-Food Canada, Lethbridge, AB, Canada T1J 4B1</t>
  </si>
  <si>
    <t>considers cow-calf &amp; feedlot operations; to farm gae</t>
  </si>
  <si>
    <t>IPPC, 2001</t>
  </si>
  <si>
    <t>suckler cow-calf beef</t>
  </si>
  <si>
    <t>European Union</t>
  </si>
  <si>
    <t>Thu Lan T. Nguyen*, John E. Hermansen, Lisbeth Mogensen</t>
  </si>
  <si>
    <t>Aarhus University, Faculty of Agricultural Sciences, Department of Agroecology and Environment, Blichers Alle´ 20, Postbox 50, DK-8830 Tjele, Denmark</t>
  </si>
  <si>
    <t>land use is considered separately; not inlcuded here</t>
  </si>
  <si>
    <t>kg meat (slaughter weight)</t>
  </si>
  <si>
    <t>Impact 2002+</t>
  </si>
  <si>
    <t>IPPC, 2007</t>
  </si>
  <si>
    <t>dairy bull calf steers, 24 mo. at slaughter</t>
  </si>
  <si>
    <t>2005 base year</t>
  </si>
  <si>
    <t>Opio, C., Gerber, P., Mottet, A., Falcucci, A., Tempio, G., MacLeod, M., Vellinga, T., Henderson, B.
&amp; Steinfeld, H</t>
  </si>
  <si>
    <t>Food and Agriculture Organization of the United Nations (FAO)</t>
  </si>
  <si>
    <t>soil C not included due to uncertainty</t>
  </si>
  <si>
    <t>N America</t>
  </si>
  <si>
    <t>kg FPCM</t>
  </si>
  <si>
    <t>Fluid Milk, Buffalo</t>
  </si>
  <si>
    <t>Buffalo Milk, 2005 base year</t>
  </si>
  <si>
    <t>Sheep</t>
  </si>
  <si>
    <t>Fluid Milk, Sheep</t>
  </si>
  <si>
    <t>Goat</t>
  </si>
  <si>
    <t>assume same as sheep, above</t>
  </si>
  <si>
    <t>conventional (w hormone growth promotants</t>
  </si>
  <si>
    <t>US</t>
  </si>
  <si>
    <t>J. L. Capper*2 and D. J. Hayes†</t>
  </si>
  <si>
    <t>*Department of Animal Sciences, Washington State University, Pullman 99164; and †Department of Economics, Iowa State University, Ames 50011</t>
  </si>
  <si>
    <t>natural (W/o HGP)</t>
  </si>
  <si>
    <t>grass-fed (no HGP)</t>
  </si>
  <si>
    <t>suckler cow-calf beef with stocker phase</t>
  </si>
  <si>
    <t>US (California)</t>
  </si>
  <si>
    <t>K. R. Stackhouse-Lawson,* C. A. Rotz,† J. W. Oltjen,* and F. M. Mitloehner*2</t>
  </si>
  <si>
    <t>*Department of Animal Science, University of California, Davis 95616; †USDA-ARS, Pasture Systems and Watershed Management Research Unit, University Park, PA 16802</t>
  </si>
  <si>
    <t>modeled using IFSM</t>
  </si>
  <si>
    <t>suckler cow-calf beef without stocker phase</t>
  </si>
  <si>
    <t>dairy beef (holstein)</t>
  </si>
  <si>
    <t>intensive beef breed cow-calf herd</t>
  </si>
  <si>
    <t>L. Mogensen a,n,1, T.Kristensen a, N.I.Nielsen b, P.Spleth b, M.Henriksson c, C. Swensson c, A.Hessle d, M.Vestergaard e</t>
  </si>
  <si>
    <t>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t>
  </si>
  <si>
    <t>land use change and soil C presented separately; not included here</t>
  </si>
  <si>
    <t>extensive beef breed cow-calf herd</t>
  </si>
  <si>
    <t>dairy beef, steer (harvested at 25 mo.)</t>
  </si>
  <si>
    <t>Argentina</t>
  </si>
  <si>
    <t>Marieke Head, Maartje Sevenster, Harry Croezen</t>
  </si>
  <si>
    <t>CE Delft; Delft Netherlands</t>
  </si>
  <si>
    <t>impacts through retail in the Netherlands</t>
  </si>
  <si>
    <t>kg product type (?)</t>
  </si>
  <si>
    <t>ReCiPe (hierarchic endpoint)</t>
  </si>
  <si>
    <t>Brazil</t>
  </si>
  <si>
    <t>Ireland</t>
  </si>
  <si>
    <t>Poland</t>
  </si>
  <si>
    <t>conventional</t>
  </si>
  <si>
    <t>organic</t>
  </si>
  <si>
    <t>nature</t>
  </si>
  <si>
    <t>Beef Cuts, (spent dairy cows)</t>
  </si>
  <si>
    <t>Minced Beef, conventional (spent dairy cows)</t>
  </si>
  <si>
    <t>Minced Beef, organic (spent dairy cows)</t>
  </si>
  <si>
    <t>AH 1 star</t>
  </si>
  <si>
    <t>AH 2 star</t>
  </si>
  <si>
    <t>United Kingdom</t>
  </si>
  <si>
    <t>Jumbo bewust</t>
  </si>
  <si>
    <t>Milieukeur</t>
  </si>
  <si>
    <t>label rouge</t>
  </si>
  <si>
    <t>corn</t>
  </si>
  <si>
    <t>scharrel</t>
  </si>
  <si>
    <t>volwaard</t>
  </si>
  <si>
    <t>Duck</t>
  </si>
  <si>
    <t>Veal</t>
  </si>
  <si>
    <t>rosé, conventional</t>
  </si>
  <si>
    <t>rosé, organic</t>
  </si>
  <si>
    <t>rosé, 1 star (van Drie)</t>
  </si>
  <si>
    <t>Meat Substitutes</t>
  </si>
  <si>
    <t>Falafel, Tivall</t>
  </si>
  <si>
    <t>Vegetable Patty</t>
  </si>
  <si>
    <t>Groentenschijf, Vivera (Veggie Patty)</t>
  </si>
  <si>
    <t>Meatless</t>
  </si>
  <si>
    <t>Meatless made from lupine and wheat</t>
  </si>
  <si>
    <t>Quorn</t>
  </si>
  <si>
    <t>Quorn Mince</t>
  </si>
  <si>
    <t>Tofu</t>
  </si>
  <si>
    <t>certified</t>
  </si>
  <si>
    <t>certified, organic</t>
  </si>
  <si>
    <t>uncertified</t>
  </si>
  <si>
    <t>uncertified, organic</t>
  </si>
  <si>
    <t>Valess</t>
  </si>
  <si>
    <t>Valess, Schnitzel made from milk</t>
  </si>
  <si>
    <t>conventional, whole milk</t>
  </si>
  <si>
    <t>organic, whole milk</t>
  </si>
  <si>
    <t>pasture (weidegang), whole milk</t>
  </si>
  <si>
    <t>conventional, semi-skim</t>
  </si>
  <si>
    <t>organic, semi-skim</t>
  </si>
  <si>
    <t>pasture (weidegang), semi-skim</t>
  </si>
  <si>
    <t>conventional, skim</t>
  </si>
  <si>
    <t>organic, skim</t>
  </si>
  <si>
    <t>pasture (weidegang), skim</t>
  </si>
  <si>
    <t>conventional, buttermilk</t>
  </si>
  <si>
    <t>organic, buttermilk</t>
  </si>
  <si>
    <t>pasture, buttermilk</t>
  </si>
  <si>
    <t>Fluid Milk, Goat</t>
  </si>
  <si>
    <t>Cheese, Cow</t>
  </si>
  <si>
    <t>cow, old, conventional</t>
  </si>
  <si>
    <t>cow, old, organic</t>
  </si>
  <si>
    <t>cow, old, pasture</t>
  </si>
  <si>
    <t>cow, medium, conventional</t>
  </si>
  <si>
    <t>cow, medium, organic</t>
  </si>
  <si>
    <t>cow, medium, pasture</t>
  </si>
  <si>
    <t>cow, young, conventional</t>
  </si>
  <si>
    <t>cow, young, organic</t>
  </si>
  <si>
    <t>cow, young, pasture</t>
  </si>
  <si>
    <t>Cheese, Goat</t>
  </si>
  <si>
    <t>goat, old, conventional</t>
  </si>
  <si>
    <t>goat, old, organic</t>
  </si>
  <si>
    <t>goat, medium, conventional</t>
  </si>
  <si>
    <t>goat, medium, organic</t>
  </si>
  <si>
    <t>goat, young, conventional</t>
  </si>
  <si>
    <t>goat, young, organic</t>
  </si>
  <si>
    <t>Cheese, Buffalo</t>
  </si>
  <si>
    <t>buffalo, mozzarella</t>
  </si>
  <si>
    <t>cow, mozzarella</t>
  </si>
  <si>
    <t>conventional, cow, whole,</t>
  </si>
  <si>
    <t>organic, cow, whole,</t>
  </si>
  <si>
    <t>pasture, cow, whole,</t>
  </si>
  <si>
    <t>conventional, cow, semi-skim,</t>
  </si>
  <si>
    <t>organic, cow, semi-skim,</t>
  </si>
  <si>
    <t>pasture, cow, semi-skim,</t>
  </si>
  <si>
    <t>conventional, cow, skim,</t>
  </si>
  <si>
    <t>organic, cow, skim,</t>
  </si>
  <si>
    <t>pasture, cow, skim,</t>
  </si>
  <si>
    <t>battery</t>
  </si>
  <si>
    <t>enriched cage</t>
  </si>
  <si>
    <t>barn (scharrel)</t>
  </si>
  <si>
    <t>1 star (scharrel +)</t>
  </si>
  <si>
    <t>rondeel</t>
  </si>
  <si>
    <t>free range</t>
  </si>
  <si>
    <t>grass</t>
  </si>
  <si>
    <t>omega-3</t>
  </si>
  <si>
    <t>60% corn</t>
  </si>
  <si>
    <t>fresh bananas</t>
  </si>
  <si>
    <t>Anthony J. Craig(a); Yossi Sheffi (a); Edgar E. Blanco (c)</t>
  </si>
  <si>
    <t>(a) Engineering Systems Division Massachusetts Institute of Technology; (b) Center for Transportation &amp; Logistics
 Massachusetts Institute of Technology</t>
  </si>
  <si>
    <t>Tracked fro 1 box banana, yet 1 kg impact also reported</t>
  </si>
  <si>
    <t>1 box banana</t>
  </si>
  <si>
    <t>/18.14 (one box = 18.14 kg)</t>
  </si>
  <si>
    <t>2007 IPCC 100 year</t>
  </si>
  <si>
    <t>Costa Rica</t>
  </si>
  <si>
    <t>Erik Svanes  (a); Anna K. S. Aronsson (b)</t>
  </si>
  <si>
    <t>(a) Department of Food and Packaging, Ostfold Research,
 Gamle Bedding vei 2b,
 1671 Fredrikstad, Norway; (b) Swedish Institute for Food and Biotechnology, P.O. Box 5401,
 40229 Gothenburg, Sweden</t>
  </si>
  <si>
    <t>Cradle to grave</t>
  </si>
  <si>
    <t>Nataša Sikirica</t>
  </si>
  <si>
    <t>Soil &amp; More International Hoofdstraat 24 3972 LA Driebergen The Netherlands</t>
  </si>
  <si>
    <t>Private consulting firm report</t>
  </si>
  <si>
    <t>Only production and washing</t>
  </si>
  <si>
    <t>Honduras</t>
  </si>
  <si>
    <t>Pineapple</t>
  </si>
  <si>
    <t>1 kg pineapple</t>
  </si>
  <si>
    <t>Boki Luske</t>
  </si>
  <si>
    <t>Cradle to shelf</t>
  </si>
  <si>
    <t>1 ton banana</t>
  </si>
  <si>
    <t>/1000</t>
  </si>
  <si>
    <t>White Loaf Bread - Industrial Production</t>
  </si>
  <si>
    <t>Michael Bimpeh; Ernest Djokoto; Henry Doe; Roberto Jequier</t>
  </si>
  <si>
    <t>KTH, Life Cycle Assessment Course (1N1800)</t>
  </si>
  <si>
    <t xml:space="preserve"> kg bread ready for consumption</t>
  </si>
  <si>
    <t>White Loaf Bread - Home Production</t>
  </si>
  <si>
    <t>Conventional Rye Bread</t>
  </si>
  <si>
    <t>Finland</t>
  </si>
  <si>
    <t>(a) Juha Gronroos; (a) Jyri Seppala; (b) Pasi Voutilainen; (c) Pentti Seuri; (d) Kauko Koikkalainen</t>
  </si>
  <si>
    <t xml:space="preserve">(a)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t>
  </si>
  <si>
    <t>Cradle to Transport to Retail</t>
  </si>
  <si>
    <t>1000kg bread transported to retailer</t>
  </si>
  <si>
    <t>Divide quantities by 1000</t>
  </si>
  <si>
    <t>Organic Rye Bread</t>
  </si>
  <si>
    <t>Conventional Milk</t>
  </si>
  <si>
    <t>1000L of milk transported to retailer</t>
  </si>
  <si>
    <t>Convert to m3 (1L = .001 m3) then multiply by milk density (1035 kg/m3)</t>
  </si>
  <si>
    <t>Organic Milk</t>
  </si>
  <si>
    <t>Potatoes</t>
  </si>
  <si>
    <t>Non organic</t>
  </si>
  <si>
    <t>Williams, A.G. (a) Audsley, E (a); and Sandars, D.L. (a);</t>
  </si>
  <si>
    <t>(a) Natural Resource Management Institute, Cranfield University. Silsoe Research Institute.</t>
  </si>
  <si>
    <t>Farm gate values reported</t>
  </si>
  <si>
    <t>1 ton potato</t>
  </si>
  <si>
    <t>reported value/1000</t>
  </si>
  <si>
    <t>Wheat Bread, non organic</t>
  </si>
  <si>
    <t>1 ton of bread wheat</t>
  </si>
  <si>
    <t>Wheat Bread, organic</t>
  </si>
  <si>
    <t>Rapeseed</t>
  </si>
  <si>
    <t>non organic</t>
  </si>
  <si>
    <t>1 ton rapeseed</t>
  </si>
  <si>
    <t>1 ton Dead weight</t>
  </si>
  <si>
    <t>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</si>
  <si>
    <t>ha</t>
  </si>
  <si>
    <t>100% suckler</t>
  </si>
  <si>
    <t>Lowland</t>
  </si>
  <si>
    <t>Hill &amp; Upland</t>
  </si>
  <si>
    <t>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</si>
  <si>
    <t>Heavier finishing</t>
  </si>
  <si>
    <t>Indoor breeding</t>
  </si>
  <si>
    <t>Outdoor breeding</t>
  </si>
  <si>
    <t>Free range non organic</t>
  </si>
  <si>
    <t>reported value/1000/.658  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t>
  </si>
  <si>
    <t>1 ton eggs</t>
  </si>
  <si>
    <t>100% cage non organic</t>
  </si>
  <si>
    <t>100% free range non organic</t>
  </si>
  <si>
    <t>10000 litre milk</t>
  </si>
  <si>
    <t>reported value/10300</t>
  </si>
  <si>
    <t>20% autumn calving herd</t>
  </si>
  <si>
    <t>1 ton tomatoes</t>
  </si>
  <si>
    <t>Nutrient Film Technique</t>
  </si>
  <si>
    <t>Rockwool base</t>
  </si>
  <si>
    <t>Rye Bread on Industrial Scale</t>
  </si>
  <si>
    <t>Jan Stentoft Arlbjørn; Jesper Kronborg Jensen</t>
  </si>
  <si>
    <t>University of Southern Denmark, Department of Entrepreneurship and Relationship Management</t>
  </si>
  <si>
    <t>1 kg rye bread</t>
  </si>
  <si>
    <t>IPCC (2007)</t>
  </si>
  <si>
    <t>Oils and Fats</t>
  </si>
  <si>
    <t>Palm Oil</t>
  </si>
  <si>
    <t>Ivan Muñoz; Jannick Hoejrup Schmidt; Randi Dalgaard</t>
  </si>
  <si>
    <t>LCA consultants, Skibbrogade 5, 1, 9000, Aalborg, Denmark</t>
  </si>
  <si>
    <t>Cradle to Refinery Gate</t>
  </si>
  <si>
    <t>1 ton refined veg oil at refinery gate</t>
  </si>
  <si>
    <t>reported value / 1000</t>
  </si>
  <si>
    <t>Incl. LUC, IPCC (2006)</t>
  </si>
  <si>
    <t>Soybean Oil</t>
  </si>
  <si>
    <t>Rapeseed Oil</t>
  </si>
  <si>
    <t>Sunflower Oil</t>
  </si>
  <si>
    <t>Peanut Oil</t>
  </si>
  <si>
    <t>Olive Oil</t>
  </si>
  <si>
    <t>Cyprus</t>
  </si>
  <si>
    <t>M. Avraamides; D. Fatta</t>
  </si>
  <si>
    <t>Department of Civil and Environmental Engineering, University of Cyprus, 75 Kallipoleos Street, 1678 Nicosia, Cyprus</t>
  </si>
  <si>
    <t>1 Liter EVOO extracted</t>
  </si>
  <si>
    <t>reported value / .001 m3 / density of EVOO (920 kg/m3)</t>
  </si>
  <si>
    <t>(a) Benedetta Nucci; (a) Monica Puccini; (b) Luigi Pelagagge; (a) Sandra Vitolo; (a) Cristiano Nicolella</t>
  </si>
  <si>
    <t>(a) Department of Civil and Industrial Engineering, University of Pisa, Largo Lucio Lazzarino 1, 56122 Pisa, Italy; (b) SALOV e Società Alimentare Lucchese Oli e Vini S.p.A., Via Montramito 1600, 55040 Massarosa, Italy</t>
  </si>
  <si>
    <t>1 L of sunflower oil refined and packaged</t>
  </si>
  <si>
    <t>reported value / .001 m3 / density of Sun Oil (920 kg/m3)</t>
  </si>
  <si>
    <t>Olive oil</t>
  </si>
  <si>
    <t>Olive Oil, Scenario 1A</t>
  </si>
  <si>
    <t>Sicily</t>
  </si>
  <si>
    <t>Roberta Salomone; Giuseppe Ioppolo</t>
  </si>
  <si>
    <t>Department SEA, University of Messina, Piazza S. Pugliatti, 1, 98122 Messina, Italy</t>
  </si>
  <si>
    <t>1000 kg of olives</t>
  </si>
  <si>
    <t>4000kg olives makes 760 liters of oil: reported value*(4000kg/760L)/.001m3/density (920kg/m3)</t>
  </si>
  <si>
    <t>kg CO2 / kg olive oil, CML 2 baseline 2000</t>
  </si>
  <si>
    <t>Olive Oil, Scenario 4B</t>
  </si>
  <si>
    <t>4000kg olives makes 800 liters of oil: reported value*(4000kg/800L)/.001m3/density (920kg/m3)</t>
  </si>
  <si>
    <t>kg CO2 / kg olive oil, CML 2 baseline 2003</t>
  </si>
  <si>
    <t>Olive Oil, Scenario 5C</t>
  </si>
  <si>
    <t>kg CO2 / kg olive oil, CML 2 baseline 2004</t>
  </si>
  <si>
    <t>Olive Oil, Scenario 8D</t>
  </si>
  <si>
    <t>2000kg olives makes 400 liters of oil: reported value*(2000kg/400L)/.001m3/density (920kg/m3)</t>
  </si>
  <si>
    <t>kg CO2 / kg olive oil, CML 2 baseline 2007</t>
  </si>
  <si>
    <t>National Pork production, Swedish industry 2005</t>
  </si>
  <si>
    <t>1 kg carcass weight</t>
  </si>
  <si>
    <t>edible boneless weight = 0.667*carcass weight</t>
  </si>
  <si>
    <t>National Beef production, Swedish industry 2005</t>
  </si>
  <si>
    <t>Energy Corrected Milk, Sweden 2005</t>
  </si>
  <si>
    <t>1 kg milk</t>
  </si>
  <si>
    <t>National Chicken production, Swedish industry 2005</t>
  </si>
  <si>
    <t>Sweeteners</t>
  </si>
  <si>
    <t>Honey</t>
  </si>
  <si>
    <t>Honey Production in the US</t>
  </si>
  <si>
    <t>(a) Alissa Kendall; (b) Juhong Yuan; (c) Sonja B. Brodt</t>
  </si>
  <si>
    <t xml:space="preserve">(a) Department of Civil and Environmental Engineering, University of California, Davis, One Shields Ave., Davis, CA 95616, USA; (b) Institute of Transportation Studies, University of California, Davis, One Shields Ave., Davis, CA, USA; (c) Agricultural Sustainability Institute, University of California, Davis, One Shields Ave., Davis, CA, USA </t>
  </si>
  <si>
    <t>Starts at hive management (not construction) through processing</t>
  </si>
  <si>
    <t>1 kg of processed honey</t>
  </si>
  <si>
    <t>None</t>
  </si>
  <si>
    <t>Range 0.39 - 1.39</t>
  </si>
  <si>
    <t>Beverages</t>
  </si>
  <si>
    <t>Grapes, Wine</t>
  </si>
  <si>
    <t>Wine Grapes in Napa California</t>
  </si>
  <si>
    <t>USA, Napa CA</t>
  </si>
  <si>
    <t>(a) Kerri L. Steenwerth; (b) Emma B. Strong; (a) Rachel F. Greenhut; (c) Larry Williams; (b) Alissa Kendall</t>
  </si>
  <si>
    <t>(a) USDA/ARS Crops Pathology and Genetics Research Unit,
 Davis, CA 95616, USA; (b) Civil and Environmental Engineering Department, U. C. Davis,
 Davis, CA 95616, USA; (c) Viticulture and Enology Department, U. C. Davis, Davis, CA 95616,
 USA</t>
  </si>
  <si>
    <t>Cradle to Farm-gate</t>
  </si>
  <si>
    <t>1 tonne wine grapes</t>
  </si>
  <si>
    <t>Reported Value / 1000</t>
  </si>
  <si>
    <t>Wine Grapes in Lodi California</t>
  </si>
  <si>
    <t>USA, Lodi CA</t>
  </si>
  <si>
    <t>Organic Potatoes</t>
  </si>
  <si>
    <t>Czech Republic</t>
  </si>
  <si>
    <t>Jan Moudrý Jr; Zuzana Jelínková; Martina Jarešová; Radek Plch; Jan Moudrý; Petr Konvalina;</t>
  </si>
  <si>
    <t>The Department of Applied Plant Biotechnology, Faculty of Agriculture, University of South Bohemia, Studentská 13, 37005 Cveské Budevjovice, Czech Republic.</t>
  </si>
  <si>
    <t>Cradle to food preparation facility</t>
  </si>
  <si>
    <t>1 kg potato</t>
  </si>
  <si>
    <t>Conventional Potatoes</t>
  </si>
  <si>
    <t>Peeled organic potatoes</t>
  </si>
  <si>
    <t>1 kg peeled potato</t>
  </si>
  <si>
    <t>Peeled conventional potatoes</t>
  </si>
  <si>
    <t>Mashed organic potatoes</t>
  </si>
  <si>
    <t>1 kg mashed potato</t>
  </si>
  <si>
    <t>Mashed conventional potatoes</t>
  </si>
  <si>
    <t>Potato chips - organic</t>
  </si>
  <si>
    <t>1 kg potato chips</t>
  </si>
  <si>
    <t>Potato chips - conventional</t>
  </si>
  <si>
    <t>King Edward table potatoes, Ostergotland</t>
  </si>
  <si>
    <t>Elin Röös; Cecilia Sundberg; Per-Anders Hansson</t>
  </si>
  <si>
    <t>Department of Energy and Technology, Swedish University of Agricultural Sciences, P.O. Box 7032, 750 07 Uppsala, Sweden</t>
  </si>
  <si>
    <t>Cradle to Retail</t>
  </si>
  <si>
    <t>1 kg table potatoes in 2 kg bag</t>
  </si>
  <si>
    <t>none</t>
  </si>
  <si>
    <t>0.1-0.16</t>
  </si>
  <si>
    <t>IPCC 2006, Ecoinvent 2007</t>
  </si>
  <si>
    <t>Lettuce</t>
  </si>
  <si>
    <t>Organic Lettuce</t>
  </si>
  <si>
    <t>Greece</t>
  </si>
  <si>
    <t>Spyros Foteinis (a); Efthalia Chatzisymeon (b);</t>
  </si>
  <si>
    <t>(a) School of Environmental Engineering, Technical University of Crete, Polytechneioupolis, GR-73100 Chania, Greece; (b) Institute for Infrastructure and Environment, School of Engineering, The University of Edinburgh, Edinburgh EH9 3JL, United Kingdom</t>
  </si>
  <si>
    <t>Until farm gate</t>
  </si>
  <si>
    <t>I ton Lettuce</t>
  </si>
  <si>
    <t>IPCC 2013</t>
  </si>
  <si>
    <t>Conventional Lettuce</t>
  </si>
  <si>
    <t>/1001</t>
  </si>
  <si>
    <t>Barley</t>
  </si>
  <si>
    <t>Open Field Barley</t>
  </si>
  <si>
    <t>G. Bartzas (a); D. Zaharaki (b); K. Komnitsas (b);</t>
  </si>
  <si>
    <t>(a) 6 National Technical University of Athens, School of Mining and Metallurgical Engineering, 15780 Athens, Greece; (b) 7 Technical University of Crete, School of Mineral Resources Engineering, 73100 Chania, Greece</t>
  </si>
  <si>
    <t>Cradle to farm gate</t>
  </si>
  <si>
    <t>1 kg barley</t>
  </si>
  <si>
    <t>IPCC 2006, Eccoinvent v3.1, Hischier et. al., Ga Bi software</t>
  </si>
  <si>
    <t>Standard Greenhouse</t>
  </si>
  <si>
    <t>1 kg lettuce</t>
  </si>
  <si>
    <t>Open Field Lettuce</t>
  </si>
  <si>
    <t>Open Field</t>
  </si>
  <si>
    <t>Mercedes Romero-Gámeza (a); Eric Audsley (b); Elisa M. Suárez-Reya (a)</t>
  </si>
  <si>
    <t>(a) IFAPA (Instituto de Investigación y Formación Agraria y Pesquera), Camino de Purchil S/N, 18004 Granada, Spain (b) Centre for Environmental Risks and Futures, Cranfield University, Cranfield, Bedford MK43 0AL, UK</t>
  </si>
  <si>
    <t>Until farm gate (impacts of 6 levels of N use were reported in study, the "optimum" declared value is reported here)</t>
  </si>
  <si>
    <t>1 tonne lettuce</t>
  </si>
  <si>
    <t>Plastic mulch</t>
  </si>
  <si>
    <t>Plastic mulch combined with fleece</t>
  </si>
  <si>
    <t>greenhouse grown</t>
  </si>
  <si>
    <t>Escarole</t>
  </si>
  <si>
    <t>1 tonne escarole</t>
  </si>
  <si>
    <t>Greenhouse</t>
  </si>
  <si>
    <t>Romaine/cos</t>
  </si>
  <si>
    <t>Maria G.A. Gunady (a); Wahidul Biswas (b); Vicky A. Solah (a); Anthony P. James (a)</t>
  </si>
  <si>
    <t>(a) School of Public Health, Curtin Health Innovation Research Institute, Curtin University, GPO Box U1987, Perth 6845, Western Australia, Australia; (b) Centre for Excellence in Cleaner Production, Curtin University, GPO Box U1987, Perth 6845, Western Australia, Australia</t>
  </si>
  <si>
    <t>No processing has been mentioned here, only packaging</t>
  </si>
  <si>
    <t>1 kJ of energy</t>
  </si>
  <si>
    <t>CO2 emitted in g/1.38g lettuce per kJ</t>
  </si>
  <si>
    <t>Button mushroom</t>
  </si>
  <si>
    <t>CO2 emitted in g/1.09 g mushrooms per kJ</t>
  </si>
  <si>
    <t>Strawberries</t>
  </si>
  <si>
    <t>Generic Strawberries</t>
  </si>
  <si>
    <t>CO2 emitted in g/0.746 g strawberries per kJ</t>
  </si>
  <si>
    <t>Geneviève Doublet 
(a); Niels Jungbluth (a); Matthias Stucki (a); Salome Schori</t>
  </si>
  <si>
    <t>(a) ESU-services Ltd.</t>
  </si>
  <si>
    <t>Farm to finished product, transport to retail and downstream not included</t>
  </si>
  <si>
    <t>1 litre orange juice</t>
  </si>
  <si>
    <t>*1.048 kg/l</t>
  </si>
  <si>
    <t>Bern Model – IPCC 2007</t>
  </si>
  <si>
    <t>NFC, without resetting trees</t>
  </si>
  <si>
    <t>USA, Florida</t>
  </si>
  <si>
    <t>Puneet Dwivedi (a); Thomas Spreen (b); Renée Goodrich-Schneider (c)</t>
  </si>
  <si>
    <t>(a) School of Forestry &amp; Environmental Studies, Yale University, New Haven, CT, USA
; (b) Food and Resource Economics Department, University of Florida, Gainesville, FL, USA; (c) Food Science and Human Nutrition, University of Florida, Gainesville, FL, USA</t>
  </si>
  <si>
    <t>Until point of sale.</t>
  </si>
  <si>
    <t>1.893 L carton</t>
  </si>
  <si>
    <t>*(1.048 kg/l)/1.893L</t>
  </si>
  <si>
    <t>ISO 14040</t>
  </si>
  <si>
    <t>NFC, with resetting of trees</t>
  </si>
  <si>
    <t>Apples</t>
  </si>
  <si>
    <t>Swedish IP certified</t>
  </si>
  <si>
    <t>Davida Johansson (a); Helena Karlén (a); Lars Mogren (a);</t>
  </si>
  <si>
    <t>(a) Swedish University of Agricultural Sciences,
 Department of Biosystems and Technology</t>
  </si>
  <si>
    <t>Master's Thesis</t>
  </si>
  <si>
    <t>No processing, instead sorting has been accounted for</t>
  </si>
  <si>
    <t>1 kg apples</t>
  </si>
  <si>
    <t>Swedish organic certified</t>
  </si>
  <si>
    <t>Only production</t>
  </si>
  <si>
    <t>Italian IP certified</t>
  </si>
  <si>
    <t>EcoInvent 2015</t>
  </si>
  <si>
    <t>Hawkes Bay region</t>
  </si>
  <si>
    <t>New Zealand</t>
  </si>
  <si>
    <t>L. Mila` i Canals (a); G.M. Burnip (b); S.J. Cowell (c)</t>
  </si>
  <si>
    <t xml:space="preserve">(a) Chemistry Department, Universitat Auto`noma de Barcelona, ES-08193 Bellaterra, Barcelona, Catalonia, Spain; (b) The Horticulture and Food Research Institute of New Zealand Ltd., P.O. Box 51, Lincoln (Canterbury), New Zealand; (c) Centre for Environmental Strategy, The University of Surrey, Guildford (Surrey) GU2 7XH, United Kingdom; </t>
  </si>
  <si>
    <t>Reported values from farm alone - the paper also had "reference" values from industry standard procedure</t>
  </si>
  <si>
    <t>1 tonne apples</t>
  </si>
  <si>
    <t>ISO 2000a</t>
  </si>
  <si>
    <t>Central Otago region</t>
  </si>
  <si>
    <t>Fresh Fruit</t>
  </si>
  <si>
    <t>Switzerland</t>
  </si>
  <si>
    <t>Patrik Mouron (a); Thomas Nemecek (b)
; Roland W. Scholz (a); Olaf Weber (a)</t>
  </si>
  <si>
    <t>(a) Swiss Federal Institute of Technology, Department of Environmental Sciences, Institute for Human-Environment Systems, ETH Zentrum, CHN J76.1, CH-8092 Zurich, Switzerland (b) Agroscope FAL Reckenholz, Swiss Federal Research Station of Agroecology and Agriculture, CH-8046 Zurich, Switzerland</t>
  </si>
  <si>
    <t>Only average values reported in paper are transferred here. Compares management practices on different farms, but has more of a manager/people focus than process focus.</t>
  </si>
  <si>
    <t>1 ha tilled</t>
  </si>
  <si>
    <t>Avg yield = 31.4 t/ha. Conversion = /31400 (assumed metric ton)</t>
  </si>
  <si>
    <t>SALCA database Version 031a</t>
  </si>
  <si>
    <t>0.051 to 0.121</t>
  </si>
  <si>
    <t>Conventional production</t>
  </si>
  <si>
    <t>Sarah Keyes;</t>
  </si>
  <si>
    <t>Dalhousie University, Halifax, Nova Scotia</t>
  </si>
  <si>
    <t>Cradle to retail</t>
  </si>
  <si>
    <t>1 ton apples</t>
  </si>
  <si>
    <t>Recipe H</t>
  </si>
  <si>
    <t>Organic production</t>
  </si>
  <si>
    <t>Table potatoes</t>
  </si>
  <si>
    <t>Tommie Ponsioen (a); Hans Blonk (a)</t>
  </si>
  <si>
    <t>1 ton of potatoes</t>
  </si>
  <si>
    <t>Potato Chips</t>
  </si>
  <si>
    <t>1 ton of frozen chips</t>
  </si>
  <si>
    <t>Winter wheat - small holdings</t>
  </si>
  <si>
    <t>Alina Syp (a); Antoni Faber (a); Magdalena Borzęcka-Walker (a); Dariusz Osuch (b)</t>
  </si>
  <si>
    <t>(a) Institute of Soil Science and Plant Cultivation – State Research Institute, Department of Agrometorology and Applied Informatics, Czartoryskich 8, 24-100 Puławy, Poland; (b) Institute of Agricultural and Food Economics – National Research Institute, Agricultural Accountancy Department, Świętokrzyska 20, 00-002 Warsaw, Poland</t>
  </si>
  <si>
    <t>DEA study instead of LCA - appears to talk only about ag production</t>
  </si>
  <si>
    <t>1 kg wheat</t>
  </si>
  <si>
    <t>IPCC 2007</t>
  </si>
  <si>
    <t>Winter wheat - medium holdings</t>
  </si>
  <si>
    <t>Winter wheat - large holdings</t>
  </si>
  <si>
    <t>Mushroom</t>
  </si>
  <si>
    <t>F.J. Leivaa(a); J.C. Saenz-Díez (b); E. Martínez (a); E. Jiménez (b); J. Blancoa (a);</t>
  </si>
  <si>
    <t>(a) Department of Mechanical Engineering, University of la Rioja, Edificio Departamental—C/Luis de Ulloa, 20, 26004 Logro ̃no, La Rioja, Spain (b) Department of Electrical Engineering, University of la Rioja, Edificio Departamental—C/Luis de Ulloa, 20, 26004 Logro ̃no, La Rioja, Spain</t>
  </si>
  <si>
    <t>Assumed all produce is distributed as soon as it is grown. Cradle to farm gate to consumer</t>
  </si>
  <si>
    <t>1 kg mushroom</t>
  </si>
  <si>
    <t>CML Leiden 2000</t>
  </si>
  <si>
    <t>Seasonal - May supply</t>
  </si>
  <si>
    <t>Spain, UK</t>
  </si>
  <si>
    <t>Chris Foster (a); Catarina Guében (a); Mark Holmes (b); Jeremy Wiltshire (b); Sarah Wynn (b);</t>
  </si>
  <si>
    <t>(a) EuGeos Limited, UK; (b) ADAS, UK;</t>
  </si>
  <si>
    <t>Until retail</t>
  </si>
  <si>
    <t>1 kg raspberry</t>
  </si>
  <si>
    <t>IPCC 2006, PAS 2050:2008.</t>
  </si>
  <si>
    <t>Seasonal - July supply</t>
  </si>
  <si>
    <t>Seasonal - November supply</t>
  </si>
  <si>
    <t>Citrus Fruits</t>
  </si>
  <si>
    <t>Conventional - Average of mandarins and oranges</t>
  </si>
  <si>
    <t xml:space="preserve">Eduardo Aguilera (a); Gloria Guzmán (a); Antonio Alonso(a); </t>
  </si>
  <si>
    <t>(a) Agro-ecosystems History Laboratory, Universidad Pablo de Olavide, Carretera de Utrera, km. 1, 41013 Seville, Spain</t>
  </si>
  <si>
    <t>1 kg product</t>
  </si>
  <si>
    <t>Fruits</t>
  </si>
  <si>
    <t>Conventional - Average of apples, pears, plums, table grapes, peach, apricot, figs</t>
  </si>
  <si>
    <t>Fruits, Subtropical</t>
  </si>
  <si>
    <t>Conventional - Average of Avocado, mango, banana</t>
  </si>
  <si>
    <t>Legumes and Nuts</t>
  </si>
  <si>
    <t>Treenuts</t>
  </si>
  <si>
    <t>Conventional - Average of Almond,hazelnut, carob tree</t>
  </si>
  <si>
    <t>Conventional - wine grapes</t>
  </si>
  <si>
    <t>Conventional - olives</t>
  </si>
  <si>
    <t>organic - Average of mandarins and oranges</t>
  </si>
  <si>
    <t>Organic - Average of apples, pears, plums, table grapes, peach, apricot, figs</t>
  </si>
  <si>
    <t>Organic - Average of Avocado, mango, banana</t>
  </si>
  <si>
    <t>organic - Average of Almond,hazelnut, carob tree</t>
  </si>
  <si>
    <t>Organic - wine grapes</t>
  </si>
  <si>
    <t>Organic - olives</t>
  </si>
  <si>
    <t>Broccoli</t>
  </si>
  <si>
    <t>UK grown broccoli sold in UK</t>
  </si>
  <si>
    <t>Llorenç Milà i Canals (a); Ivan Muñoz (a); Almudena Hospido (a); Katharina Plassmann (b); Sarah McLaren (a);</t>
  </si>
  <si>
    <t>(a) Centre for Environmental Strategy, University of Surrey (UK) (b) Bangor University, (UK)</t>
  </si>
  <si>
    <t>Capital goods - Machinery included but not buildings. Land Use reported in sq. m. includes cropping, retail, transport, waste disposal, etc.</t>
  </si>
  <si>
    <t>1 kg broccoli on plate</t>
  </si>
  <si>
    <t>CML 2001 method</t>
  </si>
  <si>
    <t>Frozen</t>
  </si>
  <si>
    <t>waste disposal</t>
  </si>
  <si>
    <t>Spanish grown broccoli sold in UK</t>
  </si>
  <si>
    <t>UK outdoor grown lettuce, sold in UK</t>
  </si>
  <si>
    <t>1 kg lettuce at market</t>
  </si>
  <si>
    <t>UK indoor grown lettuce, sold in UK</t>
  </si>
  <si>
    <t>1 kg lettuce on plate</t>
  </si>
  <si>
    <t>lettuce</t>
  </si>
  <si>
    <t>Spanish grown lettuce sold in UK</t>
  </si>
  <si>
    <t>Ugandan lettuce sold in UK</t>
  </si>
  <si>
    <t>Uganda</t>
  </si>
  <si>
    <t>UK grown beans soldin UK</t>
  </si>
  <si>
    <t>1 kg green beans on plate</t>
  </si>
  <si>
    <t>Ugandan beans sold in UK</t>
  </si>
  <si>
    <t>Kenyan beans sold in UK</t>
  </si>
  <si>
    <t>Kenya</t>
  </si>
  <si>
    <t>Vincenzo Girgenti (a); Cristiana Peano (a); Michele Bounous (a); Claudio Baudino (b);</t>
  </si>
  <si>
    <t>(a) Dipartimento di Scienze Agrarie, Forestali e Alimentari, Università degli Studi di Torino, Via Leonardo da Vinci 44, 10095 Grugliasco, TO, Italy; (b) AgrifruttaSoc. Coop. Agr., Via Beinette 6, 12016 Peveragno, CN, Italy</t>
  </si>
  <si>
    <t>waste disposal - packaging</t>
  </si>
  <si>
    <t>Cradle to grave, without use phase, but with packaging disposal</t>
  </si>
  <si>
    <t>125 g box</t>
  </si>
  <si>
    <t>values/0.125</t>
  </si>
  <si>
    <t>ISO 14040 (2006)</t>
  </si>
  <si>
    <t>Conventional - highbush</t>
  </si>
  <si>
    <t>Kumar Venkat;</t>
  </si>
  <si>
    <t>CleanMetrics Corp, Portland, USA</t>
  </si>
  <si>
    <t>Until Farm gate</t>
  </si>
  <si>
    <t>Organic - highbush</t>
  </si>
  <si>
    <t>Until Farm gate, land use change assumed from conventional to organic hence increase in soil carbon</t>
  </si>
  <si>
    <t>Conventional - Fuji</t>
  </si>
  <si>
    <t>Organic - McIntosh, Golden Delicious</t>
  </si>
  <si>
    <t>Conventional - Granny Smith</t>
  </si>
  <si>
    <t>Organic - Granny Smith, Golden delicious</t>
  </si>
  <si>
    <t>Conventional - Chardonnay</t>
  </si>
  <si>
    <t>Organic - Chardonnay</t>
  </si>
  <si>
    <t>Organic - Cabarnet sauvignon</t>
  </si>
  <si>
    <t>Conventional - Thompson Seedless</t>
  </si>
  <si>
    <t>Organic - Thompson seedless</t>
  </si>
  <si>
    <t>Conventional</t>
  </si>
  <si>
    <t>Almonds</t>
  </si>
  <si>
    <t>Walnuts</t>
  </si>
  <si>
    <t>Conventional - Chandler</t>
  </si>
  <si>
    <t>Organic - Terminal bearing</t>
  </si>
  <si>
    <t>Conventional - Iceberg</t>
  </si>
  <si>
    <t>Organic - Leaf</t>
  </si>
  <si>
    <t>Wesley W. Ingwersen;</t>
  </si>
  <si>
    <t>US Environmental Protection Agency, National Risk Management Research Laboratory, Sustainable Technology Division;</t>
  </si>
  <si>
    <t>1 serving of fruit</t>
  </si>
  <si>
    <t>reported value/0.165 (1 serving pineapple = 165 g)</t>
  </si>
  <si>
    <t>Asparagus</t>
  </si>
  <si>
    <t>asparagus</t>
  </si>
  <si>
    <t>Franziska Stoessel (a); Ronnie Juraske (a); Stephan Pfister (a); Stefanie Hellweg (a);</t>
  </si>
  <si>
    <t>(a) Institute of Environmental Engineering, ETH Zurich, CH-8093 Zürich</t>
  </si>
  <si>
    <t>Until point of sale. Machinery on farm considered but only fuel use - not manufacture/buildings</t>
  </si>
  <si>
    <t xml:space="preserve">1 kg of product </t>
  </si>
  <si>
    <t>0.75to 13.49</t>
  </si>
  <si>
    <t>SimaPro 7 &amp; Ecoinvent v2.0.1</t>
  </si>
  <si>
    <t>0.32to 4.37</t>
  </si>
  <si>
    <t>banana</t>
  </si>
  <si>
    <t>1 kg of product</t>
  </si>
  <si>
    <t>0.37to 0.47</t>
  </si>
  <si>
    <t>tomato</t>
  </si>
  <si>
    <t>0.31to 1.07</t>
  </si>
  <si>
    <t>pear</t>
  </si>
  <si>
    <t>0.25to 0.62</t>
  </si>
  <si>
    <t>Fruits, Citrus</t>
  </si>
  <si>
    <t>0.25to 0.61</t>
  </si>
  <si>
    <t>Cucumber</t>
  </si>
  <si>
    <t>cucumber</t>
  </si>
  <si>
    <t>0.31to 2.13</t>
  </si>
  <si>
    <t>apple</t>
  </si>
  <si>
    <t>0.22to 0.65</t>
  </si>
  <si>
    <t>vine tomato</t>
  </si>
  <si>
    <t>0.31to 1.03</t>
  </si>
  <si>
    <t>Grapes</t>
  </si>
  <si>
    <t>grapes</t>
  </si>
  <si>
    <t>0.23to 0.49</t>
  </si>
  <si>
    <t>bell pepper</t>
  </si>
  <si>
    <t>0.57to 1.67</t>
  </si>
  <si>
    <t>potato</t>
  </si>
  <si>
    <t>0.13to 0.47</t>
  </si>
  <si>
    <t>Avocado</t>
  </si>
  <si>
    <t>avocado</t>
  </si>
  <si>
    <t>0.65to 1.56</t>
  </si>
  <si>
    <t>melon</t>
  </si>
  <si>
    <t>0.19to 0.45</t>
  </si>
  <si>
    <t>kiwi</t>
  </si>
  <si>
    <t>0.46to 0.77</t>
  </si>
  <si>
    <t>strawberry</t>
  </si>
  <si>
    <t>0.16to 0.36</t>
  </si>
  <si>
    <t>Leek</t>
  </si>
  <si>
    <t>leek</t>
  </si>
  <si>
    <t>0.43to 0.48</t>
  </si>
  <si>
    <t>Onions</t>
  </si>
  <si>
    <t>onion</t>
  </si>
  <si>
    <t>Carrots</t>
  </si>
  <si>
    <t>carrot</t>
  </si>
  <si>
    <t>Cauliflower</t>
  </si>
  <si>
    <t>cauliflower</t>
  </si>
  <si>
    <t>0.33to 0.47</t>
  </si>
  <si>
    <t>pineapple</t>
  </si>
  <si>
    <t>0.29to 0.45</t>
  </si>
  <si>
    <t>fennel</t>
  </si>
  <si>
    <t>0.37to 0.56</t>
  </si>
  <si>
    <t>broccoli</t>
  </si>
  <si>
    <t>0.38to 0.51</t>
  </si>
  <si>
    <t>Eggplant</t>
  </si>
  <si>
    <t>eggplant</t>
  </si>
  <si>
    <t>0.64to 2.92</t>
  </si>
  <si>
    <t>Fennel, Cauliflower, Broccoli</t>
  </si>
  <si>
    <t>fennel, cauliflower, broccoli</t>
  </si>
  <si>
    <t>0.37to 0.53</t>
  </si>
  <si>
    <t>zucchini</t>
  </si>
  <si>
    <t>0.19to 0.34</t>
  </si>
  <si>
    <t>Spinach</t>
  </si>
  <si>
    <t>spinach</t>
  </si>
  <si>
    <t>0.11to 0.27</t>
  </si>
  <si>
    <t>scan level, average US</t>
  </si>
  <si>
    <t>Thoma, Greg; Nutter, Darin; Ulrich, Rick; Maxwell, Charles; Frank, Jason; East, Cashion</t>
  </si>
  <si>
    <t>University of Arkansas</t>
  </si>
  <si>
    <t>cradle to grave, although farm gate reported explicitly</t>
  </si>
  <si>
    <t>4 oz boneless serving</t>
  </si>
  <si>
    <t>4 oz = 0.113 kg</t>
  </si>
  <si>
    <t>95% CI: 8.84 - 11.65</t>
  </si>
  <si>
    <t>100yr IPCC 2007</t>
  </si>
  <si>
    <t>Northern Germany, 2010/2011</t>
  </si>
  <si>
    <t>K, Reckmann; I. Traulsen; J. Krieter</t>
  </si>
  <si>
    <t>Institute of Animal Breeding and Husbandry, Christian-Albrechts-University, Olshausenstraße 40, D-24098 Kiel, Germany</t>
  </si>
  <si>
    <t>1 kg slaughter weight pork</t>
  </si>
  <si>
    <t>CML 2 Baseline 200 (IPCC 2006)</t>
  </si>
  <si>
    <t>Flanders</t>
  </si>
  <si>
    <t>Belgium</t>
  </si>
  <si>
    <t>Graham A. McAuliffe a,b,⁎, Deborah V. Chapman b, Colin L. Sage a</t>
  </si>
  <si>
    <t>a Department of Geography, University College Cork, O'Donovan's Road, Cork, Ireland; b School of Biological, Earth and Environmental Sciences, University College Cork, Distillery Fields, North Mall, Cork, Ireland</t>
  </si>
  <si>
    <t>crop production to delivery of pork to Antwerp in Belgium</t>
  </si>
  <si>
    <t>1 kg carcass weight pig meat</t>
  </si>
  <si>
    <t>organic; indoor fattening</t>
  </si>
  <si>
    <t>Niels Halberg1*, John E. Hermansen2, Ib Sillebak Kristensen2, Jørgen Eriksen2, Niels Tvedegaard3,Bjørn Molt Petersen2</t>
  </si>
  <si>
    <t>1 International Centre for Research in Organic Food Systems, PO Box 50, 8830 Tjele, Denmark; 2 Faculty of Agricultural Sciences, University of Aarhus, Department of Agroecology &amp; Environment, PO Box 50, 8830 Tjele, Denmark;3 Institute of Food and Resource Economics, Rolighedsvej 25, 1958 Frederiksberg C, Denmark</t>
  </si>
  <si>
    <t>pig production only</t>
  </si>
  <si>
    <t>dressing yield=72.4%, boneless = 0.729*carcass  from Weights, Measures, and Conversion Factors for Agricultural Commodities and Their Products.</t>
  </si>
  <si>
    <t>EDIP 97</t>
  </si>
  <si>
    <t>organic; free range</t>
  </si>
  <si>
    <t>organic; tent system</t>
  </si>
  <si>
    <t>commodity production, high profitability</t>
  </si>
  <si>
    <t>Upper Midwest US</t>
  </si>
  <si>
    <t>N. Pelletier, P. Lammers, D. Stender, R. Pirog</t>
  </si>
  <si>
    <t>a School for Resource and Environmental Studies, Dalhousie University, Canada; b Department of Animal Science, Iowa State University, United States; c Iowa State University Extension, United States; d Leopold Center for Sustainable Agriculture, Iowa State University, United States</t>
  </si>
  <si>
    <t>commodity production, low profitability</t>
  </si>
  <si>
    <t>deep bedded niche production, high profitability</t>
  </si>
  <si>
    <t>deep bedded niche production, low profitability</t>
  </si>
  <si>
    <t>southern Australia (deep litter housing)</t>
  </si>
  <si>
    <t>Austalia</t>
  </si>
  <si>
    <t>Stephen Wiedemann, Eugene McGahan, Shelly Grist and Tim Grant</t>
  </si>
  <si>
    <t>Australian Government Rural Industries Research and Development Corp.</t>
  </si>
  <si>
    <t>cradle to slaughterhouse gate</t>
  </si>
  <si>
    <t>northern Australia (conventional housing)</t>
  </si>
  <si>
    <t>ave of 27 farms</t>
  </si>
  <si>
    <t>M.A. Dolman a,b,n, H.C.J.Vrolijk a, I.J.M.deBoer b</t>
  </si>
  <si>
    <t>a Agricultural EconomicsResearchInstitute,WageningenUniversityandResearchCentre,POBox29703,NL-2502LS,TheNetherlands
b Animal ProductionSystemsGroup,WageningenUniversity,TheNetherlands</t>
  </si>
  <si>
    <t>100 kg slaughter weight</t>
  </si>
  <si>
    <t>/100/.729</t>
  </si>
  <si>
    <t>EU</t>
  </si>
  <si>
    <t>Department of Agroecology, Aarhus University, Tjele, Denmark</t>
  </si>
  <si>
    <t>Dourmad, J. Y.; Ryschawy, J.; Trousson, T.; Bonneau, M.; Gonzàlez, J.; Houwers, H. W. J.;Hviid, M.; Zimmer, C.; Nguyen, T. L. T.; Morgensen, L.</t>
  </si>
  <si>
    <t>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t>
  </si>
  <si>
    <t>1 kg live weight</t>
  </si>
  <si>
    <t>SD=.085</t>
  </si>
  <si>
    <t>100 yr IPCC 2006</t>
  </si>
  <si>
    <t>adapted conventional</t>
  </si>
  <si>
    <t>SD=0.602</t>
  </si>
  <si>
    <t>SD=0.228</t>
  </si>
  <si>
    <t>traditional</t>
  </si>
  <si>
    <t>SD=1.086</t>
  </si>
  <si>
    <t>comparison farm</t>
  </si>
  <si>
    <t>Dr Craig Jones, Dr Jean-Yves Cherruault</t>
  </si>
  <si>
    <t>Sustain Ltd</t>
  </si>
  <si>
    <t>eco-designed farm</t>
  </si>
  <si>
    <t>IPCC 2008</t>
  </si>
  <si>
    <t>N. Pelletier</t>
  </si>
  <si>
    <t>School for Resource and Environmental Studies, Dalhousie University, Kenneth C. Rowe Management Building, 6100 University Avenue, Suite 5010, Halifax,Nova Scotia, Canada, B3H 3J5</t>
  </si>
  <si>
    <t>1 tonne live weight broiler poultry</t>
  </si>
  <si>
    <t>/1000/.56  (paper estimates 56% of live weight is edible)</t>
  </si>
  <si>
    <t>CED v 1.03</t>
  </si>
  <si>
    <t>CML 2 Baseline 2000</t>
  </si>
  <si>
    <t>national average, 2006</t>
  </si>
  <si>
    <t>X. P. C. Vergé ,* J. A. Dyer ,†1 R. L. Desjardins ,*2 and D. Worth *</t>
  </si>
  <si>
    <t>* Agriculture and Agri-Food Canada, K. W. Neatby Building, 960 Carling Avenue,Ottawa, Ontario, Canada, K1A 0C6; and † 122A Hexam Street,Cambridge, Ontario, Canada, N3H 3Z9</t>
  </si>
  <si>
    <t>/0.56 (borrowing estimate of edible fraction of live from Pelletier, 2008)</t>
  </si>
  <si>
    <t>turkey</t>
  </si>
  <si>
    <t>standard indoor</t>
  </si>
  <si>
    <t>I. Leinonen ,*1 A. G. Williams ,† J. Wiseman ,‡ J. Guy ,* and I. Kyriazakis *</t>
  </si>
  <si>
    <t>* School of Agriculture, Food, and Rural Development, Newcastle University, Newcastle upon Tyne, NE1 7RU United Kingdom; † School of Applied Sciences, Cranfield University, Bedford,MK43 0AL United Kingdom; and ‡ School of Biosciences, University of Nottingham,Sutton Bonington Campus, LE12 5RD United Kingdom</t>
  </si>
  <si>
    <t>1000 kg edible carcass weight</t>
  </si>
  <si>
    <t>SD=.44</t>
  </si>
  <si>
    <t>SD=.52</t>
  </si>
  <si>
    <t>SD=.62</t>
  </si>
  <si>
    <t>Fish and Seafood</t>
  </si>
  <si>
    <t>weighted ave of Atlantic, Indian &amp; Pacific ocean captures</t>
  </si>
  <si>
    <t>A. Hospido; P. Tyedmers</t>
  </si>
  <si>
    <t xml:space="preserve">a Chemical Engineering Department, Institute of Technology, University of Santiago de Compostela,15782Santia go de Compostela, Spain b School for Resource and Environmental Studies (SRES), Faculty of Management, Dalhousie University, Halifax, NS, Canada </t>
  </si>
  <si>
    <t>delivered to Galician port</t>
  </si>
  <si>
    <t>1 tonne frozen unprocessed tuna</t>
  </si>
  <si>
    <t>france</t>
  </si>
  <si>
    <t>Emmanuelle Roque d’Orbcastel a, Jean-Paul Blancheton a,*, Joe¨ l Aubin b</t>
  </si>
  <si>
    <t>a IFREMER, Station d’Aquaculture Expe´rimentale, Laboratoire de Recherche Piscicole de Me´diterrane´e, Chemin de Maguelone, 34250 Palavas-les-Flots, France bUMR INRA/Agrocampus 1069 SAS Sol Agro et hydrosyste`me Spatialisation, Equipe FIELDS, 65 rue de Saint Brieuc, CS 84 215, F-35 042 Rennes Cedex, France</t>
  </si>
  <si>
    <t>assumed at farm gate</t>
  </si>
  <si>
    <t>1 ton fish</t>
  </si>
  <si>
    <t>fresh mussels</t>
  </si>
  <si>
    <t>Diego Iribarren*, Maria Teresa Moreira, Gumersindo Feijoo</t>
  </si>
  <si>
    <t>Department of Chemical Engineering, School of Engineering, University of Santiago de Compostela, Ru´a Lope Go´mez de Marzoa s/n, 15782 Santiago de Compostela, Spain</t>
  </si>
  <si>
    <t>1 kg dry edible mussel flesh</t>
  </si>
  <si>
    <t>CML 2001</t>
  </si>
  <si>
    <t>canned mussels</t>
  </si>
  <si>
    <t>frozen boiled mussels</t>
  </si>
  <si>
    <t>Ian Vázquez-Rowe∗, Ma Teresa Moreira, Gumersindo Feijoo</t>
  </si>
  <si>
    <t>Department of Chemical Engineering, School of Engineering, University of Santiago de Compostela, 15782 Santiago de Compostela, Spain</t>
  </si>
  <si>
    <t>delivered to port; using mass allocation</t>
  </si>
  <si>
    <t>1 ton of landed round Atlantic horse mackerel</t>
  </si>
  <si>
    <t>CML 2000</t>
  </si>
  <si>
    <t>Spain (Galicia)</t>
  </si>
  <si>
    <t>cradle to grave</t>
  </si>
  <si>
    <t>500 g of raw gutted fresh hake fillet</t>
  </si>
  <si>
    <t>*2</t>
  </si>
  <si>
    <t>Biodynamic Method</t>
  </si>
  <si>
    <t>Spain (NW, Ribeiro)</t>
  </si>
  <si>
    <t>Pedro Villanueva-Rey (1); Ian Vázquez-Rowe (2); Ma Teresa Moreira (1); Gumersindo Feijoo (1)</t>
  </si>
  <si>
    <t xml:space="preserve">(1) Department of Chemical Engineering, Institute of Technology, University of Santiago de Compostela. 15782 – Santiago de Compostela, Spain.  (2) Public Research Centre Henri Tudor (CRPHT) / Resource Centre for Environmental Technologies (CRTE) - 66, rue de Luxembourg - P.B. 144, L-4002, Esch-sur-Alzette, Luxembourg. </t>
  </si>
  <si>
    <t>Only agricultural stage researched</t>
  </si>
  <si>
    <t>1.1 kg of collected grape</t>
  </si>
  <si>
    <t>reported value x (10/11)</t>
  </si>
  <si>
    <t>IPCC 2006b.</t>
  </si>
  <si>
    <t>Intermediate Biodynamic-Conventional Method</t>
  </si>
  <si>
    <t>Conventional Method</t>
  </si>
  <si>
    <t>Spray Dried Soluble Coffee</t>
  </si>
  <si>
    <t>Sebastien Humbert; Yves Loerincik; Vincent Rossi; Manuele Margni; Olivier Jolliet</t>
  </si>
  <si>
    <t>All except retail</t>
  </si>
  <si>
    <t>1 dl cup of coffee ready to be drunk, at the consumer’s home</t>
  </si>
  <si>
    <t>reported value / density (1g/ml) --&gt; (RV x 1000g)/(100ml x 1 g/ml)</t>
  </si>
  <si>
    <t>Drip Filter Coffee (no waste)</t>
  </si>
  <si>
    <t>Capsule Espresso Coffee</t>
  </si>
  <si>
    <t>Espresso</t>
  </si>
  <si>
    <t>Sybille Büsser; Niels Jungbluth</t>
  </si>
  <si>
    <t>ESU-services Ltd. – fair consulting in sustainability, Margrit-Rainer-Str. 11c, 8050 Zürich,</t>
  </si>
  <si>
    <t>Consulting Group</t>
  </si>
  <si>
    <t>Production, packaging, transport (roastery to house), cooking/brewing</t>
  </si>
  <si>
    <t>1 cup of coffee</t>
  </si>
  <si>
    <t>reported value / density (1g/ml) --&gt; (RV x 1000g)/(236.588ml/cup x 1 g/ml)</t>
  </si>
  <si>
    <t>Black Coffee</t>
  </si>
  <si>
    <t>Black Instant Coffee</t>
  </si>
  <si>
    <t>Tea</t>
  </si>
  <si>
    <t>Kenyan Tea, Large Scale Production</t>
  </si>
  <si>
    <t>Adisa Azapagic (1);  John Bore (2); Beatrice Cheserek (2); Samson Kamunya (2); Aziz Elbehri (3)</t>
  </si>
  <si>
    <t>(1) School of Chemical Engineering and Analytical Science, The Mill, Sackville Street, The University of Manchester, Manchester M13 9PL, UK; (2) Tea Research Foundation of Kenya, Off Kericho-Nakuru Road, P.O Box 820, 20200 Kericho, Kenya; (3) Food and Agricultural Organization of the United Nations, Viale delle Terme di Caracalla, 00153 Rome, Italy</t>
  </si>
  <si>
    <t>1 kg of dry tea</t>
  </si>
  <si>
    <t>Kenyan Tea, Small Scale Production</t>
  </si>
  <si>
    <t>India</t>
  </si>
  <si>
    <t>Geneviève Doublet; Niels Jungbluth</t>
  </si>
  <si>
    <t>ESU-services Ltd. – fair consulting in sustainability, Kanzleistr. 4, CH-8610 Uster</t>
  </si>
  <si>
    <t>250ml of tea ready for consumption (reference flow = 1.75g dry tea leaves)</t>
  </si>
  <si>
    <t>reported value / density (250.44g/250ml) --&gt; (RV x 1000g/kg)/(250.44g/250ml)</t>
  </si>
  <si>
    <t>Darjeeling Tea, organic teabag</t>
  </si>
  <si>
    <t>Darjeeling Tea, conventional loose</t>
  </si>
  <si>
    <t>Darjeeling Tea, conventional tea bag</t>
  </si>
  <si>
    <t>Darjeeling Tea, organic loose w/o distribution</t>
  </si>
  <si>
    <t>Carbonated Drinks</t>
  </si>
  <si>
    <t>Carbonated Beverages, Glass Packaging</t>
  </si>
  <si>
    <t>David Amienyo; Haruna Gujba; Heinz Stichnothe; Adisa Azapagic</t>
  </si>
  <si>
    <t>1 L of carbonated drink</t>
  </si>
  <si>
    <t>reported value / density of soda (1.042 kg/L)</t>
  </si>
  <si>
    <t>Carbonated Beverages, Aluminum Packaging</t>
  </si>
  <si>
    <t>Carbonated Beverages, PET 0.5 L Packaging</t>
  </si>
  <si>
    <t>Carbonated Beverages, PET 2 L Packaging</t>
  </si>
  <si>
    <t>Common Octopus, delivered to import ports; average of 3 reported</t>
  </si>
  <si>
    <t>Mauritania (Spanish fleet)</t>
  </si>
  <si>
    <t>Ian Va´zquez-Rowe n, Marı´a TeresaMoreira,GumersindoFeijoo</t>
  </si>
  <si>
    <t>Department ofChemicalEngineering,SchoolofEngineering,UniversityofSantiagodeCompostela.15782–SantiagodeCompostela,Spain</t>
  </si>
  <si>
    <t>delivered to port</t>
  </si>
  <si>
    <t>24 kg frozen octopus</t>
  </si>
  <si>
    <t>Tasmania</t>
  </si>
  <si>
    <t>Anna Farmery a,*, Caleb Gardner a,1, Bridget S. Green a,2, Sarah Jennings b,3</t>
  </si>
  <si>
    <t>a Institute for Marine and Antarctic Studies, University of Tasmania, Hobart, Tasmania 7001, Australia; b School of Economics and Finance, University of Tasmania, Hobart, Tasmania 7001, Australia</t>
  </si>
  <si>
    <t>delivered to Beijing, China</t>
  </si>
  <si>
    <t>1 kg of live lobster at the point of arrival in the main export market of Beijing, China</t>
  </si>
  <si>
    <t>CML Baseline 2000</t>
  </si>
  <si>
    <t>Fresh (Raw)</t>
  </si>
  <si>
    <t>Norway</t>
  </si>
  <si>
    <t>Friederike Ziegler, Ulf Winther, Erik Skontorp Hognes, Andreas Emanuelsson, Veronica Sund,and Harald Ellingsen</t>
  </si>
  <si>
    <t>SIK, PO Box 5401, SE-402 29 G¨oteborg, Sweden</t>
  </si>
  <si>
    <t>1 kg edible seafood at wholesaler</t>
  </si>
  <si>
    <t>frozen</t>
  </si>
  <si>
    <t>Fresh (Live)</t>
  </si>
  <si>
    <t>Saltfish</t>
  </si>
  <si>
    <t>wild, fillet, Truck to Berlin</t>
  </si>
  <si>
    <t>wild, round, bulk freight/train to Moscow</t>
  </si>
  <si>
    <t>wild, deskinned fillet, truck to Moscow</t>
  </si>
  <si>
    <t>Maine, US</t>
  </si>
  <si>
    <t>John Driscoll ∗, Catherine Boyd, Peter Tyedmers</t>
  </si>
  <si>
    <t>School for Resource and Environmental Studies, Dalhousie University, 6100 University Ave, Suite 5010, Halifax, Nova Scotia B3H 4R2, Canada</t>
  </si>
  <si>
    <t>The boundaries of the analyses encompassed those processes required for the provision and/or use of the vessel, gear, bait, fuel, and post-capture storage and transport of live lobster. The models of post-capture transport reflected common distribution networks for lobster caught in the Maine and LFA 34 fisheries (e.g., regional distribution for Maine lobster, and distribution todistant U.S. markets for LFA 34 lobster)</t>
  </si>
  <si>
    <t>one metric ton of live lobster, caught in calendar year 2006, delivered to a live storage facility in Boston, Massachusetts, and stored for 72 h.</t>
  </si>
  <si>
    <t>Nova Scotia, Canada</t>
  </si>
  <si>
    <t>one metric ton of live lobster caught in the 2005–2006 fishing season and delivered to Las Vegas,Nevada</t>
  </si>
  <si>
    <t xml:space="preserve">canned </t>
  </si>
  <si>
    <t>Benedikt Buschspies; Sunnie J. Tolle; Niels Jungbluth</t>
  </si>
  <si>
    <t>ESU services consulting, Switzerland</t>
  </si>
  <si>
    <t>landed in Denmark, processed &amp; packaged, trucked to Switzerland</t>
  </si>
  <si>
    <t>1 kg fish fillet sold in Swiss supermarket</t>
  </si>
  <si>
    <t>2 kg fish fillet sold in Swiss supermarket</t>
  </si>
  <si>
    <t>3 kg fish fillet sold in Swiss supermarket</t>
  </si>
  <si>
    <t>Cured or Pickled</t>
  </si>
  <si>
    <t>farmed in Norway, processed &amp; packaged, transported by truck to Switzerland</t>
  </si>
  <si>
    <t>4 kg fish fillet sold in Swiss supermarket</t>
  </si>
  <si>
    <t>J. Aubin a,*, E. Papatryphon b, H.M.G. van der Werf a, S. Chatzifotis c</t>
  </si>
  <si>
    <t xml:space="preserve">a INRA, Agrocampus Rennes, UMR1069, Sol Agronomie Spatialisation, 65 rue de Saint Brieuc, CS 84215, F-35042 Rennes Cedex, France b Scientific Cooperation Unit, European Food Safety Authority (EFSA), Largo Natale Palli 5/A, l-431 Parma, Italy c Institute of Aquaculture, Hellenic Centre for Marine Research, PO Box 2214, G-71003 Heraklion, Greece </t>
  </si>
  <si>
    <t>to farm gate</t>
  </si>
  <si>
    <t>1 tonne live fish</t>
  </si>
  <si>
    <t>Salmon, Farmed</t>
  </si>
  <si>
    <t>Pelletier, Nathan; Tyedmers, Peter; Sonesson, Ulf; Scholz, Astrid; Ziegler, Friederike; Flysjo, Anna; Kruse, Sarah; Cancino, Beatriz; Silverman, Howard</t>
  </si>
  <si>
    <t>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t>
  </si>
  <si>
    <t>1 tonne live weight</t>
  </si>
  <si>
    <t>Chile</t>
  </si>
  <si>
    <t>British Columbia, Canada</t>
  </si>
  <si>
    <t>Nathan W. Ayer a,*, Peter H. Tyedmers b</t>
  </si>
  <si>
    <t>a Jacques Whitford, 3 Spectacle Lake Drive, Dartmouth, Nova Scotia B3B 1W8, Canada b School for Resource and Environmental Studies, Dalhousie University, Kenneth C. Rowe Management Building, 6100 University Avenue, Suite 5010, Halifax, Nova Scotia B3H 3J5, Canada</t>
  </si>
  <si>
    <t>1 tonne live weight fish</t>
  </si>
  <si>
    <t>Indonesia</t>
  </si>
  <si>
    <t>Nathan Pelletier and Peter Tyedmers</t>
  </si>
  <si>
    <t>School for Resource and Environmental Studies Suite 5010, 6100 University Ave. Dalhousie University Nova Scotia, Canada B3H 3J5</t>
  </si>
  <si>
    <t>cradle to market port</t>
  </si>
  <si>
    <t>1 tonne of frozen, packaged, lake-cultured Indonesian tilapia fillets to container ports in Chicago</t>
  </si>
  <si>
    <t>1 tonne of frozen, packaged, lake-cultured Indonesian tilapia fillets to container ports in Rotterdam</t>
  </si>
  <si>
    <t>Other</t>
  </si>
  <si>
    <t>Svenska Lantchips Potato Chips ("Crisps")</t>
  </si>
  <si>
    <t>Katarina Nilsson; Veronica Sund; Britta Florén</t>
  </si>
  <si>
    <t>TemaNord, Nordic Council of Ministers, Copenhagen 2011</t>
  </si>
  <si>
    <t>Cradle to Retailer</t>
  </si>
  <si>
    <t>200g package of crisps at retailer</t>
  </si>
  <si>
    <t>Reported Value x 5</t>
  </si>
  <si>
    <t>Candy</t>
  </si>
  <si>
    <t>Foam Sweet Candy, Ahlgren’s Cars Candy</t>
  </si>
  <si>
    <t>125g of packaged sweets at retailer</t>
  </si>
  <si>
    <t>Reported Value x 8</t>
  </si>
  <si>
    <t>Foam Sweet Candy, Stora Zoo jelly sweet candy</t>
  </si>
  <si>
    <t>Cradle to Factory Gate</t>
  </si>
  <si>
    <t>2kg of jelly sweets ready for transport to retailer</t>
  </si>
  <si>
    <t>Reported Value / 2</t>
  </si>
  <si>
    <t>Nygårda cola soft drink</t>
  </si>
  <si>
    <t>33cl bottle of cola transported to local retailer</t>
  </si>
  <si>
    <t>Convert to mL, divide by density ((RV x 1000g/kg) / (1.042g/mL x 10ml/cl))</t>
  </si>
  <si>
    <t>Cocoa Beans, Cocoa Monoculture</t>
  </si>
  <si>
    <t>Budi Utomo (1)(2); Shabbir H. Gheewala (1)(2); Adi A. Prawoto (3); Sebastien Bonnet  (1)(2); Athikom Bangviwat (1)(2)</t>
  </si>
  <si>
    <t>(1) The Joint Graduate School of Energy and Environment, King Mongkut's University of Technology Thonburi, Bangkok, Thailand  (2) Centre for Energy Technology and Environment, Ministry of Education, Bangkok, Thailand  (3) Indonesian Coffee and Cocoa Research Institute (ICCRI), Indonesia</t>
  </si>
  <si>
    <t>Cradle to Farm Gate</t>
  </si>
  <si>
    <t>1 metric ton of cocoa pod</t>
  </si>
  <si>
    <t>Cocoa Beans, Cocoa-Rubber Agroforestry</t>
  </si>
  <si>
    <t>Cocoa Beans, Cocoa-Coconut Agroforestry</t>
  </si>
  <si>
    <t>Iceland</t>
  </si>
  <si>
    <t>Fulton, Sarah</t>
  </si>
  <si>
    <t>cradle to port in UK (Grimsby)</t>
  </si>
  <si>
    <t>1 kg frozen fillet</t>
  </si>
  <si>
    <t>Ecoinvent CED</t>
  </si>
  <si>
    <t>Alaska, US</t>
  </si>
  <si>
    <t>China (Hainan Province)</t>
  </si>
  <si>
    <t>Ling Cao,*,† James S. Diana,† Gregory A. Keoleian,† and Qiuming Lai‡</t>
  </si>
  <si>
    <t>†School of Natural Resources and Environment, University of Michigan, Ann Arbor, Michigan 48109, United States ‡Ocean College, Hainan University, Haikou, China</t>
  </si>
  <si>
    <t>cardle to farm gate (note that paper considers impact to export destination, but specific values are not reported)</t>
  </si>
  <si>
    <t>1 metric ton live weight shrimp</t>
  </si>
  <si>
    <t>Erik Svanes &amp; Mie Vold &amp; Ole Jørgen Hanssen</t>
  </si>
  <si>
    <t>Ostfold Research, Gamle Bedding vei 2b, 1671 Kraakeroey, Norway</t>
  </si>
  <si>
    <t>mass allocation, cradle to retailer in Sweden</t>
  </si>
  <si>
    <t>1 kg wetpack cod</t>
  </si>
  <si>
    <t>CML 2 baseline 2000</t>
  </si>
  <si>
    <t>mass allocation, cradle to institutional user in Sweden</t>
  </si>
  <si>
    <t>1 kg cod fishburger</t>
  </si>
  <si>
    <t>mass allocation, cradle to distribution center in UK</t>
  </si>
  <si>
    <t>1 kg processed cod loin</t>
  </si>
  <si>
    <t>Tunisia</t>
  </si>
  <si>
    <t>M.A. Jerbi a,∗, J. Aubinb, K. Garnaouic, L. Achoura, A. Kacema</t>
  </si>
  <si>
    <t>a 03 UR 09-01 “Génome, Diagnostic Immunitaire et Valorisation”, Institut Supérieur de Biotechnologie de Monastir, Université de Monastir, Tunisia  b UMR INRA/Agrocampus Ouest 1069 Sol Agro et hydrosystème Spatialisation, 65 rue de Saint Brieuc, CS 84 215, F-35 042 Rennes Cedex, France c L’Aquaculture Tunisienne Chott Mariem, Tunisia</t>
  </si>
  <si>
    <t>1 tonne live fish weight</t>
  </si>
  <si>
    <t>Peanuts</t>
  </si>
  <si>
    <t>Small farms &lt;0.5 ha</t>
  </si>
  <si>
    <t>Iran</t>
  </si>
  <si>
    <t>Amin Nikkhah (a); Surur Khorramdel (b); Mehdi Khojastehpour (a); Bagher Emadi (a); Alireza Taheri-Rad (a)</t>
  </si>
  <si>
    <t>(a) Department of Biosystems Engineering, Ferdowsi University of Mashhad, Mashhad, Iran; (b) Department of Agronomy, Faculty of Agriculture, Ferdowsi University of Mashhad, Mashhad, Iran</t>
  </si>
  <si>
    <t>Only production is considered.</t>
  </si>
  <si>
    <t>1 tonne peanut (including husk)</t>
  </si>
  <si>
    <t>Medium farms 0.5-1 ha</t>
  </si>
  <si>
    <t>Large farms &gt;1 ha</t>
  </si>
  <si>
    <t>High input production</t>
  </si>
  <si>
    <t>Maria Clea Brito de Figueiredo (a); Marlos Alves Bezerra (a); Thomas Nemecek (d); Jose Potting (b); Viviane da Silva Barros (c); Luiz Augusto Lopes Serrano (a)
; Rubens Sonsol Gondim (a)</t>
  </si>
  <si>
    <t>(a) Embrapa Tropical Agroindustry, Ceara, Brazil; (b) KTH Royal Institute of Technology, Stockholm, Sweden; (c) Semi-arid Federal University, Rio Grande do Norte, Brazil; (d) Agroscope, Institute for Sustainability Sciences, Zurich, Switzerland;</t>
  </si>
  <si>
    <t>Cradle to farm exit gate</t>
  </si>
  <si>
    <t>Recipe midpoint approach</t>
  </si>
  <si>
    <t>low input Multi Cropping</t>
  </si>
  <si>
    <t>Cashew Apples, High input production</t>
  </si>
  <si>
    <t>Cashew Apples, low input Multi Cropping</t>
  </si>
  <si>
    <t>USA (california)</t>
  </si>
  <si>
    <t>Alissa Kendall (a); Elias Marvinney (a); Sonja Brodt (a); and Weiyuan Zhu (a);</t>
  </si>
  <si>
    <t>(a) Department of Civil and Environmental Engineering, University of California–Davis, One Shields Avenue, Davis, CA 95618;</t>
  </si>
  <si>
    <t>Use of co-products for animal feed/biomass fuel/mulching</t>
  </si>
  <si>
    <t>Economic allocation values. Hulling and Shelling included in farm procesing</t>
  </si>
  <si>
    <t>1 kg almond kernel</t>
  </si>
  <si>
    <t>Milk Chocolate Packed in Aluminium Foil Based Packaging</t>
  </si>
  <si>
    <t>ESU-services Ltd., Uster, Switzerland</t>
  </si>
  <si>
    <t>1 kg chocolate wrapped in 100g bars and aluminium foil based packaging</t>
  </si>
  <si>
    <t>Dark Chocolate Packed in Aluminium Foil Based Packaging</t>
  </si>
  <si>
    <t>White Chocolate Packed in Aluminium Foil Based Packaging</t>
  </si>
  <si>
    <t>Chocolate with Saltunas Packed in Aluminium Foil Based Packaging</t>
  </si>
  <si>
    <t>Corn, Chips</t>
  </si>
  <si>
    <t>Corn Chips</t>
  </si>
  <si>
    <t>Tim Grant (1) (2); Tom Beer (2)</t>
  </si>
  <si>
    <t>(1) RMIT Centre for Design; (2) CSIRO Marine and Atmospheric Research</t>
  </si>
  <si>
    <t>400g packet of corn chips</t>
  </si>
  <si>
    <t>Reported Value x 2.5</t>
  </si>
  <si>
    <t>Cacao</t>
  </si>
  <si>
    <t>Traditional Cacao</t>
  </si>
  <si>
    <t>David Pérez Neira</t>
  </si>
  <si>
    <t>(1) Department of Economics and Statistics, Universidad de León, León (Spain); (2) Prometeo Researcher, Secretaria de Educación Superior, Ciencia Tecnología e Innovación de la República del Ecuador, Universidad Estatal de Milagro, Milagro (Ecuador).</t>
  </si>
  <si>
    <t>1kg chocolate</t>
  </si>
  <si>
    <t>Technified Cacao</t>
  </si>
  <si>
    <t>Cereal</t>
  </si>
  <si>
    <t>Breakfast Cereal (minus consumption)</t>
  </si>
  <si>
    <t>(1) Harish Kumar Jeswania; (2) Richard Burkinshawb; (1) Adisa Azapagica</t>
  </si>
  <si>
    <t>(1) School of Chemical Engineering and Analytical Science, The Mill, Sackville Street, The University of Manchester, Manchester M13 9PL, United Kingdom; (2) Kellogg Management Services (Europe) Limited, The Kellogg Building, Talbot Road, Manchester, M16 0PU, United Kingdom</t>
  </si>
  <si>
    <t>1kg cereal</t>
  </si>
  <si>
    <t>CML 2001, Updated April 2013</t>
  </si>
  <si>
    <t>Breakfast Cereal (includes consumption with milk)</t>
  </si>
  <si>
    <t>Sidharta Sahirman Ardiansyah</t>
  </si>
  <si>
    <t>Universitas Jenderal Soedirman, Purwokerto, Indonesia</t>
  </si>
  <si>
    <t>Cradle to Processing Gate</t>
  </si>
  <si>
    <t>1kg tofu</t>
  </si>
  <si>
    <t>Soy Burger</t>
  </si>
  <si>
    <t>A. Ertug Ercina (1); Maite M. Aldayab (2); Arjen Y. Hoekstraa (1)</t>
  </si>
  <si>
    <t>(1) Twente Water Centre, University of Twente, P.O. Box 217, 7500 AE Enschede, The Netherlands; (2) United Nations Environment Programme, Division of Technology, Industry and Economics, Sustainable Consumption and Production Branch, 15, rue de Milan F-75441, Paris, France</t>
  </si>
  <si>
    <t>150g soy burger</t>
  </si>
  <si>
    <t>Reported Value x (20/3)</t>
  </si>
  <si>
    <t>Soy Milk</t>
  </si>
  <si>
    <t>1 liter soy milk</t>
  </si>
  <si>
    <t>Reported value / density of soy milk (1.08 kg/L)</t>
  </si>
  <si>
    <t>Crop Rotation, Wheat after Wheat</t>
  </si>
  <si>
    <t>New South Whales (NW)</t>
  </si>
  <si>
    <t>Aaron Simmons (1); Sally Muir (2); Pip Brock (3); David Herridge (4)</t>
  </si>
  <si>
    <t>(1)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t>
  </si>
  <si>
    <t>1 tonne of wheat</t>
  </si>
  <si>
    <t>Crop Rotation, Wheat after Canola</t>
  </si>
  <si>
    <t>Crop Rotation, Wheat after Chickpea</t>
  </si>
  <si>
    <t>New South Whales (SW)</t>
  </si>
  <si>
    <t>Crop Rotation, Wheat after Field Peas</t>
  </si>
  <si>
    <t>Rice</t>
  </si>
  <si>
    <t>Rice - Using measured field emissions and GWP_100</t>
  </si>
  <si>
    <t>California</t>
  </si>
  <si>
    <t>Sonja Brodt (1); Alissa Kendall (2); Yaser Mohammadi (1)(3) Aslihan Arslan (1); Juhong Yuan (2); In-Sung Lee (2); Bruce Linquist (3)</t>
  </si>
  <si>
    <t>(1) Agricultural Sustainability Institute, University of California, 1 Shields Ave., Davis, CA 95616, USA; (2) Department of Civil and Environmental Engineering, University of California, 1 Shields Ave., Davis, CA 95616, USA ;(3) Department of Plant Sciences, University of California, 1 Shields Ave., Davis, CA 95616, USA</t>
  </si>
  <si>
    <t>Cradle to Processing</t>
  </si>
  <si>
    <t>1 kg rice</t>
  </si>
  <si>
    <t>Seungdo Kim and Bruce E. Dale</t>
  </si>
  <si>
    <t>Department of Chemical Engineering &amp; Materials Science, Room 2527, Engineering Building, Michigan State University, East Lansing, MI</t>
  </si>
  <si>
    <t>derived from system expansion approach to assigning net energy to corn ethanol</t>
  </si>
  <si>
    <t>kg corn oil</t>
  </si>
  <si>
    <t>MJ (net energy)</t>
  </si>
  <si>
    <t>kg corn gluten meal</t>
  </si>
  <si>
    <t>average across US ; accounts for regional variation</t>
  </si>
  <si>
    <t>Seungdo Kim &amp; Bruce E. Dale</t>
  </si>
  <si>
    <t>direct land use change included in the form of changes in soil organic carbon</t>
  </si>
  <si>
    <t>kg soybean oil</t>
  </si>
  <si>
    <t>+/-0.5</t>
  </si>
  <si>
    <t>canned</t>
  </si>
  <si>
    <t>Portugal</t>
  </si>
  <si>
    <t>Cheila Almeida, Sofia Vaz, and Friederike Ziegler</t>
  </si>
  <si>
    <t>SIK–The Swedish Institute for Food and Biotechnology, Sustainable Food Production, P.O. Box 5401, SE-402 29 G¨oteborg, Sweden</t>
  </si>
  <si>
    <t>transported to grocery in Lisbon, Portugal</t>
  </si>
  <si>
    <t>1 kg edible</t>
  </si>
  <si>
    <t>100 y, CML-IA baseline</t>
  </si>
  <si>
    <t>Nathan Ayer a,*, Shelly Martin b, Robert L. Dwyer c, Langley Gace c, Lise Laurin a</t>
  </si>
  <si>
    <t>a EarthShift Global LLC, 31 Leach Rd. Kittery, ME 03904 USA b EarthShift, 830 Taft Road Huntington, VT 05462 USA c International Copper Association, USA</t>
  </si>
  <si>
    <t>1 metric ton mature live weight fish</t>
  </si>
  <si>
    <t>100y, ReCiPe</t>
  </si>
  <si>
    <t>Ingrid E. van Putten, Anna K. Farmery, Bridget S. Green, Alistair J. Hobday, Lilly Lim-Camacho, Ana Norman-L´opez, and Robert W. Parker</t>
  </si>
  <si>
    <t>Commonwealth Scientific and Industrial Research Organization, Oceans and Atmosphere, in Hobart, Tasmania, Australia.</t>
  </si>
  <si>
    <t>cradle to import market port in US</t>
  </si>
  <si>
    <t>1 kg frozen lobster tail</t>
  </si>
  <si>
    <t>100y, CML</t>
  </si>
  <si>
    <t>Majid Dekamin a, *, Hadi Veisi b, Edwin Safari c, Houman Liaghati b, Korus Khoshbakht b, Mohammad G. Dekamin d</t>
  </si>
  <si>
    <t>a Faculty of Agriculture Sciences, University of Mohaghegh Ardabili, Ardabil, Iran b Environmental Sciences Research Institute (ESRI), Shahid Beheshti University, Tehran, Iran c Department of Environmental Engineering, University of Tehran, Tehran, Iran d Department of Chemistry, Iran University of Science &amp; Technology, Tehran 16846-13114, Iran</t>
  </si>
  <si>
    <t>1 tonne live rainbow trout</t>
  </si>
  <si>
    <t>100y, CML 2 Baseline 2000</t>
  </si>
  <si>
    <t>Dried</t>
  </si>
  <si>
    <t>average US wheat production</t>
  </si>
  <si>
    <t>Gerhard Piringer and Laura J. Steinberg</t>
  </si>
  <si>
    <t>Department of Civil and Environmental Engineering Tulane University New Orleans, LA 70118</t>
  </si>
  <si>
    <t>1 kg wheat grain</t>
  </si>
  <si>
    <t>Canola</t>
  </si>
  <si>
    <t>N. Pelletier,  N. Arsenault, P. Tyedmers</t>
  </si>
  <si>
    <t>School for Resource and Environmental Studies, Dalhousie University, Kenneth C. Rowe Management Building, 6100 University Avenue, Suite 5010, Halifax, NS, Canada</t>
  </si>
  <si>
    <t>1kg at farm gate</t>
  </si>
  <si>
    <t>CED v. 1.03</t>
  </si>
  <si>
    <t>100y CML 2 Baseline 2000</t>
  </si>
  <si>
    <t>Kyle Meisterling a,*, Constantine Samaras a,b, Vanessa Schweizer a</t>
  </si>
  <si>
    <t>a Department of Engineering and Public Policy, Carnegie Mellon University, 5000 Forbes Avenue, Pittsburgh, PA b Department of Civil and Environmental Engineering, Carnegie Mellon University, 5000 Forbes Avenue, Pittsburgh, PA 15213, USA15213, USA</t>
  </si>
  <si>
    <t>0.67 kg whole-wheat flour</t>
  </si>
  <si>
    <t>/.67</t>
  </si>
  <si>
    <t>100y, IPCC 2001</t>
  </si>
  <si>
    <t>Cooked</t>
  </si>
  <si>
    <t>10% milled</t>
  </si>
  <si>
    <t>Japan</t>
  </si>
  <si>
    <t>Poritosh Roy a,*, Tsutomu Ijiri b, Daisuke Nei a, Takahiro Orikasa a, Hiroshi Okadome a, Nobutaka Nakamura a, Takeo Shiina a,*</t>
  </si>
  <si>
    <t>a Distribution Engineering Laboratory, National Food Research Institute, Kannondai 2-1-12, Tsukuba-shi, Ibaraki 305-8642, Japan b Forage Rice Research Team (Kanto Region), National Agricultural Research Center, Kannondai 3-1-1, Tsukuba-shi, Ibaraki 305-8666, Japan</t>
  </si>
  <si>
    <t>cradle to cooked rice, including waste, in Japanese households; assuming paper bag</t>
  </si>
  <si>
    <t>1 kg cooked rice</t>
  </si>
  <si>
    <t>2% milled</t>
  </si>
  <si>
    <t>5% milled</t>
  </si>
  <si>
    <t>brown rice</t>
  </si>
  <si>
    <t>parboiled rice</t>
  </si>
  <si>
    <t>germinated brown rice</t>
  </si>
  <si>
    <t>Fluid Milk and its coproducts</t>
  </si>
  <si>
    <t>yes - allocation method includes 100% emissions from dairy</t>
  </si>
  <si>
    <t>Anna Flysjö; Christel Cederberg; Maria Henriksson; Stewart Ledgard</t>
  </si>
  <si>
    <t>1 kg Energy-Corrected Milk (ECM)</t>
  </si>
  <si>
    <t>yes - allocation models uses system expansion replacing beef only</t>
  </si>
  <si>
    <t>yes - allocation models uses system expansion replacing mix of meat</t>
  </si>
  <si>
    <t>yes - allocation model using physical causality allocation</t>
  </si>
  <si>
    <t>yes - allocation model using economic allocation</t>
  </si>
  <si>
    <t>yes - allocation model using protein allocation</t>
  </si>
  <si>
    <t>yes - allocation model using mass allocation</t>
  </si>
  <si>
    <t>Florence Van Stappen a*, Astrid Loriers b*, Michaël Mathot b, Viviane Planchon b, Didier Stilmant b, Frédéric Debode c</t>
  </si>
  <si>
    <t>aAgricultural Machines and Facilities Unit, Walloon Agricultural Research Centre (CRA-W), 146 chaussée de Namur, 5030 Gembloux, Belgium  b Farming Systems, Territory and Information Technologies Unit, CRA-W, 100 rue du Serpont, 6800 Libramont, Belgium c Authentication and traceability of agricultural products Unit, CRA-W, 24 chaussée de Namur, 5030 Gembloux, Belgium</t>
  </si>
  <si>
    <t>1 kg fresh matter (15% moisture)</t>
  </si>
  <si>
    <t>ecoinvent</t>
  </si>
  <si>
    <t>IPCC, 2013</t>
  </si>
  <si>
    <t>dried</t>
  </si>
  <si>
    <t>white milled, delivered to local supermarket</t>
  </si>
  <si>
    <t>Italy, Vercelli district</t>
  </si>
  <si>
    <t>Gian Andrea Blengini*, Mirko Busto</t>
  </si>
  <si>
    <t>DITAG – Land, Environment and Geo-Engineering Department, Politecnico di Torino, Corso Duca degli Abruzzi 24, 10129 Turin, Italy</t>
  </si>
  <si>
    <t>cradle to supermarket</t>
  </si>
  <si>
    <t>1kg delivered to Italian supermarket</t>
  </si>
  <si>
    <t>non-renewable energy</t>
  </si>
  <si>
    <t>Processed</t>
  </si>
  <si>
    <t>Peanut butter</t>
  </si>
  <si>
    <t xml:space="preserve">USA  </t>
  </si>
  <si>
    <t>James McCarty (a, b); Heather Sandefur (a, b); Marty Matlock (a, b); Greg Thoma (c); Dae Soo Kim(c)</t>
  </si>
  <si>
    <t>(a) Department of Agricultural and Biological Engineering, University of Arkansas, Fayetteville, AR
; (b) Center for Agricultural and Rural Sustainability, University of Arkansas, Fayetteville, AR
;
 (c) Ralph E. Martin Department of Chemical Engineering, University of Arkansas, Fayetteville, AR;</t>
  </si>
  <si>
    <t>Waste disposal (packaging to landfill, etc)</t>
  </si>
  <si>
    <t>Cradle to grave, including waste disposal to landfill etc.</t>
  </si>
  <si>
    <t>1 kg peanut butter</t>
  </si>
  <si>
    <t>1.24 to 6.71, std.dev = 1.61</t>
  </si>
  <si>
    <t>IPCC 2007 GWP</t>
  </si>
  <si>
    <t>Yes - Conv and Org</t>
  </si>
  <si>
    <t>M.A. Thomassen (1); K.J. van Calker (2); M.C.J. Smits (3); G.L. Iepema (4); I.J.M. de Boer  (1)</t>
  </si>
  <si>
    <t>(1) Animal Production Systems Group, Wageningen University and Research Centre, P.O. Box 338, 6700 AH Wageningen, The Netherlands;(2) Agricultural Economic Research Institute, Wageningen University and Research Centre, The Netherlands;(3) Animal Sciences Group, Wageningen, University and Research Centre, The Netherlands;(4) Louis Bolk Institute, The Netherlands</t>
  </si>
  <si>
    <t>1 kg of Fat and Protein Corrected Milk leaving the Farm Gate</t>
  </si>
  <si>
    <t>n/a</t>
  </si>
  <si>
    <t>0.1, std. dev.</t>
  </si>
  <si>
    <t>0.3, std. dev.</t>
  </si>
  <si>
    <t>raw canesugar; reporting  "state average" values here</t>
  </si>
  <si>
    <t>M.A. RENOUF1,3, M.K. WEGENER2,3</t>
  </si>
  <si>
    <t>1 School of Geography, Planning and Architecture, 2 School of Natural and Rural Systems Management, The University of Queensland, St. Lucia, Qld  3Cooperative Research Centre for Sugar Industry Innovation through Biotechnology</t>
  </si>
  <si>
    <t>through to raw sugar</t>
  </si>
  <si>
    <t>1 tonne raw sugar</t>
  </si>
  <si>
    <t>honey</t>
  </si>
  <si>
    <t>national average</t>
  </si>
  <si>
    <t>María Mujica, Gabriel Blanco, Estela Santalla</t>
  </si>
  <si>
    <t>Facultad de Ingeniería. INTELYMEC. Universidad Nacional del Centro de la Provincia
de Buenos Aires UNCPBA</t>
  </si>
  <si>
    <t>delivered to Buenos Aires seaport</t>
  </si>
  <si>
    <t>kg honey</t>
  </si>
  <si>
    <t>+/-0.17</t>
  </si>
  <si>
    <t>100 y, IPCC 2007</t>
  </si>
  <si>
    <t>Cocoa Liquor</t>
  </si>
  <si>
    <t>Ghana</t>
  </si>
  <si>
    <t>Augustine Ntiamoah a, George Afrane b</t>
  </si>
  <si>
    <t>a Chemical Engineering Department, Kwame Nkrumah University of Science &amp; Technology, Kumasi, Ghana b Koforidua Polytechnic, Koforidua, Ghana</t>
  </si>
  <si>
    <t>processing of 1 kg cocoa bean</t>
  </si>
  <si>
    <t>1 kg cocoa beans processed</t>
  </si>
  <si>
    <t>/0.31948  ; reported inventory gives wt of products from processing of 1 kg cocoa beans; assuming mass allocation</t>
  </si>
  <si>
    <t>100y, CML 2001</t>
  </si>
  <si>
    <t>/0.23125  ; reported inventory gives wt of products from processing of 1 kg cocoa beans; assuming mass allocation</t>
  </si>
  <si>
    <t>Cocoa Cake</t>
  </si>
  <si>
    <t>/0.26875  ; reported inventory gives wt of products from processing of 1 kg cocoa beans; assuming mass allocation</t>
  </si>
  <si>
    <t>/0.075  ; reported inventory gives wt of products from processing of 1 kg cocoa beans; assuming mass allocation</t>
  </si>
  <si>
    <t xml:space="preserve">China </t>
  </si>
  <si>
    <t>Yuexian Liu (a,b); Vibeke Langer (a); Henning Høgh-Jensen (c); Henrik Egelyng (d)</t>
  </si>
  <si>
    <t>(a) Department of Agriculture and Ecology, Faculty of Life Sciences, University of Copenhagen, Højbakkegaard Alle 9, DK-2630 Taastrup, Denmark
; (b) Information Institute, Beijing Academy of Agriculture and Forestry, Beijing 100094, P.R. China; (c) Department of Policy Analysis, National Environmental Research Institute, Aarhus University, Frederiksborgvej 399, DK-4000 Roskilde, Denmark
; (d) Danish Institute for International Studies, Strandgade 56, DK-1401 Copenhagen, Denmark</t>
  </si>
  <si>
    <t>Farm to retail point; average of one beijing farm and one liaoning farm taken for hilly land representation</t>
  </si>
  <si>
    <t>1 tonne of pears</t>
  </si>
  <si>
    <t>Conventional grown pears - hilly land (Liaoning)</t>
  </si>
  <si>
    <t>Farm to retail point</t>
  </si>
  <si>
    <t>Organic Pear grown in lowlands (Beijing)</t>
  </si>
  <si>
    <t>Conventional grown pears - lowlands (Beijing)</t>
  </si>
  <si>
    <t>Central Portugal, mixed orchard</t>
  </si>
  <si>
    <t>Filipa Figueiredo (a); António Peres (b); Érica G. Castanheira (a); Filipe Maia (e); Manuel Feliciano (b); António Ramos (c,d); João Carneiro (c,d); Fausto Freire (a); M. Ângelo Rodrigues (b); Vlad C. Coroama (a);</t>
  </si>
  <si>
    <t>(a) ADAI-LAETA (Center for Industrial Ecology) Department of Mechanical Engineering. University of Coimbra Rua Luís Reis Santos, 3030-788 Coimbra, Portugal; (b) Mountain Research Centre (CIMO), ESA- Polytechnic Institute of Bragança Campus de Sta Apolónia, Apartado 1172, 5301-854 Bragança, Portugal; (c) Escola Superior Agrária de Castelo BrancoQta. Sra de Mércules, Apartado 119, 6001-909 Castelo Branco, Portugal; (d) CERNAS – Centro de Estudos de Recursos Naturais, Ambiente e Sociedade Campus de Sta Apolónia, Apartado 1172, 5301-854 Bragança, Portugal; (e) School of Agriculture, Polytechnic Institute of Bragança</t>
  </si>
  <si>
    <t>Cold storage included</t>
  </si>
  <si>
    <t>Farm to retail</t>
  </si>
  <si>
    <t>1 kg fruit</t>
  </si>
  <si>
    <t>North Portugal, dedicated orchard</t>
  </si>
  <si>
    <t>Malawian tea</t>
  </si>
  <si>
    <t>J.L. Taulo; A.B. Sebitosi</t>
  </si>
  <si>
    <t>Department of Mechanical &amp; Mechatronic Engineering, Stellenbosch University, P/Bag X1, Matieland 7602, South Africa</t>
  </si>
  <si>
    <t>Processing Only (withering, rolling, oxidation, drying, sorting)</t>
  </si>
  <si>
    <t>1 kg dried tea leaves</t>
  </si>
  <si>
    <t>CML 2000, 100 yr</t>
  </si>
  <si>
    <t>Elena Tamburini *, Paola Pedrini †, Maria Gabriella Marchetti †, Elisa Anna Fano † and Giuseppe Castaldelli</t>
  </si>
  <si>
    <t>Department of Life Science and Biotechnology, University of Ferrara, Via L. Borsari, 46, 44100 Ferrara, Italy</t>
  </si>
  <si>
    <t>1 kg fresh crops</t>
  </si>
  <si>
    <t>CML baseline 2 2002</t>
  </si>
  <si>
    <t>traditional intensive farming</t>
  </si>
  <si>
    <t>Chicory Lettuce, traditional intensive farming</t>
  </si>
  <si>
    <t>grass-based system</t>
  </si>
  <si>
    <t>Fabienne Rabiera, *, Rocco Lioyb, Christian Paulc, Florence Van Stappena, Didier Stilmanta, Michaël Mathota</t>
  </si>
  <si>
    <t>aWalloon Agricultural Research Centre, 146, Chaussée de Namur, 5030 Gembloux, BelgiumbConvis s.c. Zone artisanale et commerciale 4, 9004 Ettelbruck, Luxembourg , c SPIGVA, Rue du Carmel, 1 6900 Marloie, Belgium</t>
  </si>
  <si>
    <t>kg Live weight</t>
  </si>
  <si>
    <t>grass-corn based system</t>
  </si>
  <si>
    <t>study considers co-product diest; recording only control diet here.</t>
  </si>
  <si>
    <t>Canada (Ontario and Quebec)</t>
  </si>
  <si>
    <t>S. G. Mackenzie*1, I. Leinonen1, N. Ferguson2 and I. Kyriazakis1</t>
  </si>
  <si>
    <t>School of Agriculture, Food and Rural Development, Newcastle University, Newcastle upon Tyne, NE1 7RU, UK  
2 Trouw Nutrition Canada, 150 Research Ln, Guelph, ON N1G 4T2, Canada</t>
  </si>
  <si>
    <t>IMPACT 2002+</t>
  </si>
  <si>
    <t>Thomas Winklera, Kerstin Schopfa, Ralf Aschemanna,*, Wilfried Winiwarterb</t>
  </si>
  <si>
    <t>a) University of Graz, Institute of Systems Sciences, Innovation and Sustainability Research, Merangasse 18, 8010 Graz, Austria b) International Institute for Applied Systems Analysis, Schlossplatz 1, 2361 Laxenburg, Austria</t>
  </si>
  <si>
    <t>farm to fork</t>
  </si>
  <si>
    <t>production methods in Chinese region known for particular fruit production</t>
  </si>
  <si>
    <t>China</t>
  </si>
  <si>
    <t>Ming Yan1 &amp; Kun Cheng1 &amp; Qian Yue1 &amp; Yu Yan1 &amp; Robert M. Rees3 &amp; Genxing Pan1,2,3</t>
  </si>
  <si>
    <t>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t>
  </si>
  <si>
    <t>Oranges</t>
  </si>
  <si>
    <t>Hard Maize</t>
  </si>
  <si>
    <t>Peru</t>
  </si>
  <si>
    <t>Karin Bartl,*,† Francesca Verones,‡ and Stefanie Hellweg‡</t>
  </si>
  <si>
    <t>†Institute of Agricultural Sciences−Animal Nutrition, ETH Zurich, 8092 Zurich, Switzerland ‡Institute of Environmental Engineering, ETH Zurich, 8093 Zurich, Switzerland</t>
  </si>
  <si>
    <t>no delivery to market included</t>
  </si>
  <si>
    <t>1 kg</t>
  </si>
  <si>
    <t>ReCiPe</t>
  </si>
  <si>
    <t>Mandarins</t>
  </si>
  <si>
    <t>Oatmeal</t>
  </si>
  <si>
    <t>Kirsi Usva, Merja Saarinen, Juha-Matti Katajajuuri and Sirpa Kurppa</t>
  </si>
  <si>
    <t>MTT Agrifood Research Finland, Biotechnology and Food Research, FI-31600 Jokioinen, Finland</t>
  </si>
  <si>
    <t>no?</t>
  </si>
  <si>
    <t>IPCC, 2001</t>
  </si>
  <si>
    <t>Beer</t>
  </si>
  <si>
    <t>Medium Strength</t>
  </si>
  <si>
    <t>greenhouse production</t>
  </si>
  <si>
    <t>Annachiara Forte a,⁎, Amalia Zucaro a, Gionata De Vico a, Angelo Fierro a,b</t>
  </si>
  <si>
    <t>a Dipartimento di Biologia, Università di Napoli Federico II, Italy
b Laboratorio di Urbanistica e di Pianificazione del Territorio (LUPT), Università di Napoli Federico II, Italy</t>
  </si>
  <si>
    <t>1 kg edible snail meat</t>
  </si>
  <si>
    <t>Fabio Gresta,1 Anna I. De Luca,1 Alfio Strano,1 Giacomo Falcone,1 Carmelo Santonoceto,1 Umberto Anastasi,2 Giovanni Gulisano1</t>
  </si>
  <si>
    <t>1Department of Agriculture (AGRARIA), Mediterranean University of Reggio Calabria;2Department of Agricultural and Food Science (DISPA), University of Catania, Italy</t>
  </si>
  <si>
    <t>cradle to gate</t>
  </si>
  <si>
    <t>used reported yield to convert to 1 kg guar seed</t>
  </si>
  <si>
    <t>IPCC GWP 100a</t>
  </si>
  <si>
    <t>Mexico</t>
  </si>
  <si>
    <t>Marta Astiera,∗, Yair Merlín-Uribeb, Laura Villamil-Echeverric, Alfredo Garciarreald,
Mayra E. Gavitob, Omar R. Maserab</t>
  </si>
  <si>
    <t>a Centro de Investigaciones en Geografía Ambiental, Universidad Nacional Autónoma de México, Antigua Carretera a Pátzcuaro No. 8701, Col. Ex-Hacienda de San José de La Huerta C.P. 58190, Morelia, Michoacán, Mexico b Centro de Investigaciones en Ecosistemas, Universidad Nacional Autónoma de México, Antigua Carretera a Pátzcuaro No. 8701, Col. Ex-Hacienda de San José de La Huerta C.P. 58190, Morelia, Michoacán, Mexico c Programa de Biología, Facultad de Ciencias Básicas, Corporación Universitaria Santa Rosa de Cabal, UNISARC Kilómetro 4 Vía Santa Rosa de Cabal – Chinchiná (Caldas) Santa Rosa de Cabal, Risaralda, Colombia d Licienciatura en Ciencias Ambientales, Escuela Nacional de Estudios Superiores, Universidad Nacional Autónoma de México, Antigua Carretera a Pátzcuaro No. 8701, Col. Ex-Hacienda de San José de La Huerta C.P. 58190, Morelia, Michoacán, Mexico</t>
  </si>
  <si>
    <t>energy &amp; GHGE balances around farm production</t>
  </si>
  <si>
    <t>reported per ha; converted to per kg with reported yield</t>
  </si>
  <si>
    <t>Cassava Starch</t>
  </si>
  <si>
    <t>ave. of three farms</t>
  </si>
  <si>
    <t>Thailand</t>
  </si>
  <si>
    <t>Phairat Usubharatana and Harnpon Phungrassami</t>
  </si>
  <si>
    <t>Chemical Engineering Dept, Thammasat Univ, Pathumthani, Thailand</t>
  </si>
  <si>
    <t>cradle to processor gate</t>
  </si>
  <si>
    <t>1000 kg dry native starch</t>
  </si>
  <si>
    <t>Indonesia/Malaysia</t>
  </si>
  <si>
    <t>Jannick H. Schmidt</t>
  </si>
  <si>
    <t>2.-0 LCA consultants, Skibbrogade 5, 1, 9000 Aalborg, Denmark</t>
  </si>
  <si>
    <t>consequential LCA; results presented here exclude indirect land use changes and biogenic carbon uptake</t>
  </si>
  <si>
    <t>tonne refined oil</t>
  </si>
  <si>
    <t>Europe</t>
  </si>
  <si>
    <t>Ukraine</t>
  </si>
  <si>
    <t>Mustafa Özilgena, Esra Sorgüvenb</t>
  </si>
  <si>
    <t>a Department of Food Engineering, Faculty of Engineering, Yeditepe University, 34755 Kayisdagi Istanbul, Turkey b Department of Mechanical Engineering, Faculty of Engineering, Yeditepe University, Atas¸ ehir 34755, Kayisdagi Istanbul, Turkey</t>
  </si>
  <si>
    <t>only accounts CO2 emissions, therfore not logging GHGE</t>
  </si>
  <si>
    <t>ton packaged oil</t>
  </si>
  <si>
    <t>Hazelnut in Bag</t>
  </si>
  <si>
    <t>Roberto Volpe (1
); Simona Messineo (2); Maurizio Volpe (1); Antonio Messineo (1)</t>
  </si>
  <si>
    <t>(1) Facoltà di Ingegneria e Architettura, Università degli Studi di Enna “Kore”, Cittadella Universitaria, Enna 94100, Italy; E-Mails: roberto.volpe@unikore.it (R.V.); maurizio.volpe@unikore.it (M.V.); (2) Siciliacque S.p.A., Via Gioacchino di Marzo, Palermo 90144, Italy</t>
  </si>
  <si>
    <t>cradle to packaging gate (includes transpo after packaging to retail)</t>
  </si>
  <si>
    <t>kg packaged product</t>
  </si>
  <si>
    <t>Peanut in Bag</t>
  </si>
  <si>
    <t>Italy / Argentina</t>
  </si>
  <si>
    <t>Hazelnut paste in US</t>
  </si>
  <si>
    <t>Peanut paste in US</t>
  </si>
  <si>
    <t>Hazelnut paste in EU Market</t>
  </si>
  <si>
    <t>Peanut paste in EU Market</t>
  </si>
  <si>
    <t>Pistachio</t>
  </si>
  <si>
    <t>Pistachio in Bag</t>
  </si>
  <si>
    <t>Almond in Bag</t>
  </si>
  <si>
    <t>Hazelnut, Spread</t>
  </si>
  <si>
    <t>Hazelnut spread cream in jar US</t>
  </si>
  <si>
    <t>Hazelnut spread cream in jar EU</t>
  </si>
  <si>
    <t>Almond paste, US Market</t>
  </si>
  <si>
    <t>Almond paste, EU market</t>
  </si>
  <si>
    <t>Hazelnut, Chocolate covered</t>
  </si>
  <si>
    <t>Chocolate covered hazelnut</t>
  </si>
  <si>
    <t>Chocolate covered almond</t>
  </si>
  <si>
    <t>small scale mechanized roast method factories, Ghana to US</t>
  </si>
  <si>
    <t>West Africa</t>
  </si>
  <si>
    <t>Martin Agyemang (1); Qinghua Zhu (2); Yihui Tian (3)</t>
  </si>
  <si>
    <t>(1)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t>
  </si>
  <si>
    <t>cradle to retail gate</t>
  </si>
  <si>
    <t>1000kg of cashew kernels</t>
  </si>
  <si>
    <t>large scale mechanied roast method factories, Ghana to US</t>
  </si>
  <si>
    <t>large scale thermal steam method factories, Ghana to US</t>
  </si>
  <si>
    <t>small scale thermal steam method factories, Ghana to US</t>
  </si>
  <si>
    <t>large scale electric steam method factories, Ghana to US</t>
  </si>
  <si>
    <t>small scale electric steam method factories, Ghana to US</t>
  </si>
  <si>
    <t>small scale mechanized roast method factories, Ghana (Raw) to Vietnam (Packaging) to US (Retail)</t>
  </si>
  <si>
    <t>large scale mechanied roast method factories, Ghana (Raw) to Vietnam (Packaging) to US (Retail)</t>
  </si>
  <si>
    <t>Essential Oil, orange</t>
  </si>
  <si>
    <t>Marco Beccali a, Maurizio Cellura a,*, Maria Iudicello a, Marina Mistretta b</t>
  </si>
  <si>
    <t>a Dipartimento di Ricerche Energetiche e Ambientali (D.R.E.AM.), Università di Palermo, Viale delle Scienze, 90128 Palermo, Italy b Dipartimento di Arte, Scienza e Tecnica del Costruire (D.A.S.TE.C.), Università Mediterranea di Reggio Calabria, Salita Melissari, 89124 Reggio Calabria, Italy</t>
  </si>
  <si>
    <t>cradle to distribution firms in Italy, USA &amp; Japan</t>
  </si>
  <si>
    <t>Essential Oil, Lemon</t>
  </si>
  <si>
    <t>Natural Orange Juice</t>
  </si>
  <si>
    <t>Natural Lemon Juice</t>
  </si>
  <si>
    <t>Orange Juice Concentrate</t>
  </si>
  <si>
    <t>Lemon Juice Concentrate</t>
  </si>
  <si>
    <t>Spanish-style green table, packed in tins, ave. of 3 tin sizes</t>
  </si>
  <si>
    <t>G.M. CAPPELLETTI*, G.M. NICOLETTI1 and C. RUSSO1</t>
  </si>
  <si>
    <t>1Dipartimento di Scienze Economico-Aziendali, Giuridiche, Merceologiche e Geografiche (SEAGMeG), Università degli Studi di Foggia, Via Caggese, 1, 71100 Foggia, ItalyBIOAGROMED (Istituto per la Ricerca e le Applicazioni Biotecnologiche per la Sicurezza e la Valorizzazione dei Prodotti Tipici e di Qualità), Università degli Studi di Foggia, Foggia, Italy1Dipartimento di Scienze Economico-Aziendali, Giuridiche, Merceologiche e Geografiche (SEAGMeG), Università degli Studi di Foggia, Via Caggese, 1, 71100 Foggia, Italy</t>
  </si>
  <si>
    <t>cradle to factory gate</t>
  </si>
  <si>
    <t>100 kg of drained packaged olives, including pit</t>
  </si>
  <si>
    <t>/100</t>
  </si>
  <si>
    <t>Spanish-style green table, packed in glass jars, ave. of 6 jar sizes</t>
  </si>
  <si>
    <t>Cristiana Peano (a); Claudio Baudino (a, b); Nadia Tecco (a); Vincenzo Girgenti (a);</t>
  </si>
  <si>
    <t>(a) Department of Agricultural, Forestry and Food Sciences, University of Turin, Turin, Italy
; (b) Ortofruit Italia, Saluzzo, Italy;</t>
  </si>
  <si>
    <t>packaging waste disposal</t>
  </si>
  <si>
    <t>/0.25</t>
  </si>
  <si>
    <t>NRE e Impact 2002 þ v. 2.04:</t>
  </si>
  <si>
    <t>IPCC GWP 100a:</t>
  </si>
  <si>
    <t>Blue berries</t>
  </si>
  <si>
    <t>0.125g</t>
  </si>
  <si>
    <t>/0.125</t>
  </si>
  <si>
    <t>Small farms &lt;1 ha</t>
  </si>
  <si>
    <t>Alireza Sabzevari (a); Hamed Kouchaki-Penchah (b); Ashkan Nabavi-Pelesaraei (c)</t>
  </si>
  <si>
    <t>(a) Department of Agricultural Machinery Engineering, Faculty of Agriculture, Dezful Branch, Islamic Azad University, Dezful, IRAN; (b) Department of Agricultural Machinery Engineering, Faculty of Agricultural Engineering and Technology, University of Tehran, Karaj, IRAN; (c) Young Researchers and Elite Club, Langroud Branch,
 Islamic Azad University, Langroud, IRAN;</t>
  </si>
  <si>
    <t>production only</t>
  </si>
  <si>
    <t>1 tonne of Hazelnut</t>
  </si>
  <si>
    <t>CML method;</t>
  </si>
  <si>
    <t>Medium farms 1&lt;ha&lt;3</t>
  </si>
  <si>
    <t>Large farms &gt;3 ha</t>
  </si>
  <si>
    <t>large scale organic orange juice</t>
  </si>
  <si>
    <t>Marie Trydeman Knudsen (a); Gustavo Fonseca de Almeida (b); Vibeke Langer (a); Lucimar Santiago de Abreu (c) Niels Halberg (d)</t>
  </si>
  <si>
    <t>(a) Department of Agriculture and Ecology, Faculty of Life Sciences, University of Copenhagen, Taastrup, Denmark; (b) Centre of Agricultural Sciences, Federal University of São Carlos, 330, Araras, São Paulo, Brazil; (c) Embrapa Environment,
 P.O. Box 69, Jaguariúna, São Paulo, Brazil; (d) International Centre for Research in Organic Food Systems
 (ICROFS);</t>
  </si>
  <si>
    <t>Cradle to retail, residue use included</t>
  </si>
  <si>
    <t>1 tonne oranges at farm gate</t>
  </si>
  <si>
    <t>EDIP97, IPCC 2007</t>
  </si>
  <si>
    <t>Small scale organic orange orchard</t>
  </si>
  <si>
    <t>Cradle to farm gate only</t>
  </si>
  <si>
    <t>1 tonne oranges at farm gate and 1 litre of OJ sold to denmark</t>
  </si>
  <si>
    <t>/1000 until farm gate, then (*1.048)kg/L</t>
  </si>
  <si>
    <t>Small scale conventional orange orchards</t>
  </si>
  <si>
    <t>Growth</t>
  </si>
  <si>
    <t>Elisabet Vinyes (a); Carles M. Gasol (a, b); Luis Asin (c); Simo Alegre (c)
, Pere Munoz (a, d);</t>
  </si>
  <si>
    <t>(a) Sostenipra Research Group, Universitat Autonoma de Barcelona, 08193 Bellaterra, Barcelona, Spain; (b) Inedit Innovacio s.l. Research Park of UAB, UAB Campus, 08193 Bellaterra, Spain ; (c) Institute for Research and Technology in Food and Agriculture (IRTA), 25198 Lleida, Spain
; (d) Institute for Research and Technology in Food and Agriculture (IRTA), 08348 Cabrils, Barcelona, Spain</t>
  </si>
  <si>
    <t>Production alone</t>
  </si>
  <si>
    <t>1 kg peaches</t>
  </si>
  <si>
    <t>Low yield</t>
  </si>
  <si>
    <t>Moderate</t>
  </si>
  <si>
    <t>High yield</t>
  </si>
  <si>
    <t>Blackberry, Andean</t>
  </si>
  <si>
    <t>Andean Blackberry</t>
  </si>
  <si>
    <t>Columbia</t>
  </si>
  <si>
    <t>Sophie Graefe (a,b); Jeimar Tapasco (a); Alonso Gonzalez (a)</t>
  </si>
  <si>
    <t>(a) Int. Cent. Trop. Agric. ZCIAT), Recta Cali-Palmira km 17, Cali, Colombia; (b) Georg-August-Univ. Göttingen, Trop. Silvic. For. Ecol., Büsgenweg 1, 37077 Göttingen, Germ., sgraefe@gwdg.de</t>
  </si>
  <si>
    <t>1 tonne fruit</t>
  </si>
  <si>
    <t>RV / 1000</t>
  </si>
  <si>
    <t>Lulo</t>
  </si>
  <si>
    <t>Passion Fruit</t>
  </si>
  <si>
    <t>Tree Tomato</t>
  </si>
  <si>
    <t>Golden Berry</t>
  </si>
  <si>
    <t>Avacado</t>
  </si>
  <si>
    <t>Mango</t>
  </si>
  <si>
    <t>Apples, grown and consumed in UK</t>
  </si>
  <si>
    <t>Marian Michalsky; Peter S. Hooda</t>
  </si>
  <si>
    <t>School of Geography, Geology and the Environment, Kingston University London, Kingston upon Thames, Surrey KT1
 2EE, United Kingdom</t>
  </si>
  <si>
    <t>Cradle to Retail Gate</t>
  </si>
  <si>
    <t>kg fruit/veg</t>
  </si>
  <si>
    <t>DEFRA 2013</t>
  </si>
  <si>
    <t>Cherries, grown and consumed in UK</t>
  </si>
  <si>
    <t>Strawberries, grown and used in UK</t>
  </si>
  <si>
    <t>Garlic, grown and used in UK</t>
  </si>
  <si>
    <t>Peas, grown and used in UK</t>
  </si>
  <si>
    <t>Apples, grown in Europe and used in UK</t>
  </si>
  <si>
    <t>Cherries, grown in Europe and used in UK</t>
  </si>
  <si>
    <t>Strawberries, grown in Europe and used in UK</t>
  </si>
  <si>
    <t>Garlic, grown in Europe and used in UK</t>
  </si>
  <si>
    <t>Peas, grown in Europe and used in UK</t>
  </si>
  <si>
    <t>Apples, NOT grown in Europe and used in UK</t>
  </si>
  <si>
    <t>Cherries, NOT grown in Europe and used in UK</t>
  </si>
  <si>
    <t>Strawberries, NOT grown in Europe and used in UK</t>
  </si>
  <si>
    <t>Garlic, NOT grown in Europe and used in UK</t>
  </si>
  <si>
    <t>Peas, NOT grown in Europe and used in UK</t>
  </si>
  <si>
    <t>Gold Kiwi</t>
  </si>
  <si>
    <t>Karin
 Muller (a); Allister Holmes (b); Markus Deurer (c); Brent E. Clothier (c)</t>
  </si>
  <si>
    <t>(a)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t>
  </si>
  <si>
    <t>kg fruit produced</t>
  </si>
  <si>
    <t>0.058, std err</t>
  </si>
  <si>
    <t>Green Kiwi</t>
  </si>
  <si>
    <t>0.013, std err</t>
  </si>
  <si>
    <t>Green Kiwi, Integrated Cultivar</t>
  </si>
  <si>
    <t>0.017, std err</t>
  </si>
  <si>
    <t>Green Kiwi, Organic Cultivar</t>
  </si>
  <si>
    <t>0.055, std err</t>
  </si>
  <si>
    <t>Caged Hens</t>
  </si>
  <si>
    <t>I. Leinonen (a); A. G. Williams (b); J. Wiseman (c); J. Guy (a); I. Kyriazakis (a)</t>
  </si>
  <si>
    <t>(a)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t>
  </si>
  <si>
    <t>1000kg eggs</t>
  </si>
  <si>
    <t>0.21, std. dev.</t>
  </si>
  <si>
    <t>Barned Hens</t>
  </si>
  <si>
    <t>0.26, std. dev.</t>
  </si>
  <si>
    <t>Free Range Hens</t>
  </si>
  <si>
    <t>0.27, std. dev.</t>
  </si>
  <si>
    <t>Organic Hens</t>
  </si>
  <si>
    <t>0.34, std. dev.</t>
  </si>
  <si>
    <t>Whole Tomatoes</t>
  </si>
  <si>
    <t>Ahmet Karakaya (a
); Mustafa Özilgen (a,b)</t>
  </si>
  <si>
    <t>(a) Department of Chemical Engineering, Yeditepe University, Kayisdagi, 34755 Istanbul, Turkey; (b) Department of Food Engineering, Yeditepe University, Kayisdagi, 34755 Istanbul, Turkey</t>
  </si>
  <si>
    <t>Cradle to Retail and Waste Disposal/Recycling</t>
  </si>
  <si>
    <t>1 tonne tomatoes</t>
  </si>
  <si>
    <t>Tomato Paste</t>
  </si>
  <si>
    <t>Whole Peeled Tomatoes</t>
  </si>
  <si>
    <t>Diced Tomatoes</t>
  </si>
  <si>
    <t>Tomato Juice</t>
  </si>
  <si>
    <t>cultivation in open-field with compost plus mineral
 fertilizers</t>
  </si>
  <si>
    <t>Julia Martínez-Blanco (a); Pere Muñoz (b); Assumpció Antón (b,c); Joan Rieradevall (a,d)</t>
  </si>
  <si>
    <t>(a)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t>
  </si>
  <si>
    <t>1 tonne of tomatoes</t>
  </si>
  <si>
    <t>ISO 2006</t>
  </si>
  <si>
    <t>cultivation in open-field with mineral fertilizers</t>
  </si>
  <si>
    <t>cultivation under greenhouse with compost plus
 mineral fertilizers</t>
  </si>
  <si>
    <t>cultivation under greenhouse with mineral
 fertilizers</t>
  </si>
  <si>
    <t>Winter Lettuce cultivated in a hoop house in Michigan and consumed in Michigan</t>
  </si>
  <si>
    <t>Rachel Plawecki (1); Rich Pirog (1,2); Adam Montri (3); Michael W. Hamm(1,2,4,5)</t>
  </si>
  <si>
    <t>(1) Department of Community, Agriculture, Recreation and Resource Studies, Michigan State University, East Lansing, MI 48824, USA.; (2) Center for Regional Food Systems, Michigan State University, East Lansing, MI 48824, USA; (3) Department of Horticulture, Michigan State University, East Lansing, MI 48824, USA.; (4) Department of Plant, Soil and Microbial Sciences, Michigan State University, East Lansing, MI 48824, USA.; (5) Department of Food Science and Human Nutrition, Michigan State University, East Lansing, MI 48824, USA.</t>
  </si>
  <si>
    <t>GHG Protocol and Eco-Indicator 99</t>
  </si>
  <si>
    <t>Winter Lettuce cultivated outdoors in CA then transported to Michigan</t>
  </si>
  <si>
    <t>peaches</t>
  </si>
  <si>
    <t>Carlo Ingrao (a, b); Donald Huisingh (c); Agata Matarazzo (b
); Caterina Tricase (a); Maria Teresa Clasadonte (b);</t>
  </si>
  <si>
    <t>(a) Department of Economics, University of Foggia, Via Romolo Caggese, 1, 71121 Foggia Italy
; (b) Department of Economics and Business, University of Catania, Corso Italia, 55, 95129 Catania Italy
; (c) University of Tennessee, Institute for a Secure and Sustainable Environment, 311 Conference Centre Building, Knoxville, TN 37996-4134, USA</t>
  </si>
  <si>
    <t>waste disposal - plastic boxes for fertiliser transport</t>
  </si>
  <si>
    <t>Production only</t>
  </si>
  <si>
    <t>1 ha of peach orchard</t>
  </si>
  <si>
    <t>Conversion = 31500kg/ha.yr (mentioned in paper)</t>
  </si>
  <si>
    <t>Orange fruit</t>
  </si>
  <si>
    <t>Leda Coltro (a); Anna Lúcia Mourad (a); Rojane M. Kletecke (a); Taíssa A. Mendonça (a); Sílvia P. M. Germer (a);</t>
  </si>
  <si>
    <t>(a) CETEA—Packaging Technology Center,
 ITAL—Institute of Food Technology,
 P.O. Box 139, 13070-178 Campinas, SP, Brazil</t>
  </si>
  <si>
    <t>Cradle to gate</t>
  </si>
  <si>
    <t>1000 kg of orange</t>
  </si>
  <si>
    <t>Greenhouse strawberries</t>
  </si>
  <si>
    <t>Benyamin Khoshnevisan (a); Shahin Rafiee (a); Hossein Mousazadeh (a);</t>
  </si>
  <si>
    <t>(a) Department of Agricultural Machinery Engineering, Faculty of Agricultural Engineering and Technology, University of Tehran, Karaj, Iran</t>
  </si>
  <si>
    <t>Agricultural production</t>
  </si>
  <si>
    <t>1 ton of strawberries</t>
  </si>
  <si>
    <t>CML method</t>
  </si>
  <si>
    <t>Open field strawberries</t>
  </si>
  <si>
    <t>Organic Carrots</t>
  </si>
  <si>
    <t>Raghu KC (a)</t>
  </si>
  <si>
    <t>(a) Lappeenranta University of Technology;</t>
  </si>
  <si>
    <t>1 kg carrots</t>
  </si>
  <si>
    <t>CML2001</t>
  </si>
  <si>
    <t>Integrated production</t>
  </si>
  <si>
    <t>A. Lo Giudice (a); C. Mbohwa (a); M.T. Clasadonte (b); C. Ingrao (c);</t>
  </si>
  <si>
    <t>(a) Department of Quality and Operations Management Faculty of Engineering and the Built Environment, University of Johannesburg South Africa Doornfontein 2028, Johannesburg, South Africa; (b)Department of Economics and Business, University of Catania, Corso Italia 55, 95129, Catania, Italy</t>
  </si>
  <si>
    <t>1 ton oranges</t>
  </si>
  <si>
    <t>Waste volatisation - heating of greenhouse</t>
  </si>
  <si>
    <t>Joana Almeida (a); Wouter M.J. Achten (a); Bruno Verbist (a); Reindert F. Heuts (a); Eddie Schrevens (a); and Bart Muys (a);</t>
  </si>
  <si>
    <t>(a) KU Leuven–University of Leuven, Division Forest, Nature and Landscape, Celestijnenlaan 200 E box 2411, BE-3001 Leuven, Belgium.</t>
  </si>
  <si>
    <t>1 kg tomato</t>
  </si>
  <si>
    <t>Natural gas heating of greenhouse</t>
  </si>
  <si>
    <t>Cogeneration heating of greenhouse</t>
  </si>
  <si>
    <t>Sajor-Caju Mushrooms, Small Farm (&lt; 20,000 kg per year)</t>
  </si>
  <si>
    <t>S. Ueawiwatsakul (a); T. Mungcharoen (b); R. Tongpool (c)</t>
  </si>
  <si>
    <t>(a) Thailand Advanced Institute of science and
 Technology and Tokyo Institute of Technology (TAIST-Tokyo Tech), Faculty of Engineering, Kesetsart University, Bangkok 10900, Thailand; (b) Faculty of Engineering, Kasetsart University,
 Bangkok 10900, Thailand;(c) National Metal and Materials Technology Center,
 Pathumthani, 12120, Thailand</t>
  </si>
  <si>
    <t>1 kg of sajor-caju</t>
  </si>
  <si>
    <t>Sajor-Caju Mushrooms, Medium Farm (20,000-40,000 kg per year)</t>
  </si>
  <si>
    <t>Sajor-Caju Mushrooms, Large Farm (&gt; 40,000 kg per year)</t>
  </si>
  <si>
    <t>Cucumber, grown in greenhouse</t>
  </si>
  <si>
    <t>Benyamin Khoshnevisan (a); Sean Clark (b); Shahin Rafiee (a); Mahmoud Omid (a); Hossein Mousazadeh (a)</t>
  </si>
  <si>
    <t>tonne of crop</t>
  </si>
  <si>
    <t>Tomato, grown in greenhouse</t>
  </si>
  <si>
    <t>Fluid Milk</t>
  </si>
  <si>
    <t>É.G. Castanheira (a); A.C. Dias (b); L. Arroja (b); R. Amaro (c)</t>
  </si>
  <si>
    <t>(a) ADAI, Department of Mechanical Engineering – University of Coimbra, 3030-788 Coimbra, Portugal; (b) CESAM, Department of Environment and Planning – University of Aveiro, 3810-193 Aveiro, Portugal; (c) CERNAS, Escola Superior Agrária, Instituto Politécnico de Coimbra, 3040-316 Coimbra, Portugal</t>
  </si>
  <si>
    <t>1 tonne raw milk delivered to farm gate</t>
  </si>
  <si>
    <t>DairyCo</t>
  </si>
  <si>
    <t>Agriculture and Horticulture
 Development Board, UK</t>
  </si>
  <si>
    <t>1 liter of FCMP</t>
  </si>
  <si>
    <t>RV x (1000L/1m^3) x (1m^3/1035kg)</t>
  </si>
  <si>
    <t>0.266, std. dev.</t>
  </si>
  <si>
    <t>European consumption in country of production</t>
  </si>
  <si>
    <t>Llorenç Milà i Canals1*, Sarah J. Cowell1,2, Sarah Sim1 and Lauren Basson1</t>
  </si>
  <si>
    <t>1 Centre for Environmental Strategy, University of Surrey (D3), GU2 7XH Guildford (Surrey), UK, 2 Sustainability and Society, Landcare Research, PO Box 40, Lincoln 7640, New Zealand</t>
  </si>
  <si>
    <t>cradle to retail; reporting average of 4 seasons</t>
  </si>
  <si>
    <t>yes, during storage</t>
  </si>
  <si>
    <t>1 kg apples at European retail outlet</t>
  </si>
  <si>
    <t>European consumption, European production, not consumed in country of production</t>
  </si>
  <si>
    <t>European consumption, New Zealand production</t>
  </si>
  <si>
    <t>European consumption, other southern hemisphere country production</t>
  </si>
  <si>
    <t>Southern Hemisphere, not new zealand</t>
  </si>
  <si>
    <t>Publication Year</t>
  </si>
  <si>
    <t>Publication Authors</t>
  </si>
  <si>
    <t>Publication Author Affiliations</t>
  </si>
  <si>
    <t>Publication Source Type</t>
  </si>
  <si>
    <t>LC Stage: Ag Production</t>
  </si>
  <si>
    <t>LC Stage: LU/LUC</t>
  </si>
  <si>
    <t>LC Stage: Transport Farm to Processing</t>
  </si>
  <si>
    <t>LC Stage: Processing</t>
  </si>
  <si>
    <t>LC Stage: Packaging</t>
  </si>
  <si>
    <t>LC Stage: Transport Processing to Retail</t>
  </si>
  <si>
    <t>LC Stage: Retail</t>
  </si>
  <si>
    <t>LC Stage: Transport Retail to Consumer</t>
  </si>
  <si>
    <t>LC Stage: Household Storge</t>
  </si>
  <si>
    <t>LC Stage: Prep and Cooking</t>
  </si>
  <si>
    <t>LC Stage: Dishwashing</t>
  </si>
  <si>
    <t>LC Stage: Capital Goods</t>
  </si>
  <si>
    <t>LC Stage: Other</t>
  </si>
  <si>
    <t>LC Stage: Notes</t>
  </si>
  <si>
    <t>Inclusion of Food Waste?</t>
  </si>
  <si>
    <t>Results at Intermediary Stages?</t>
  </si>
  <si>
    <t>Reported Functional Unit</t>
  </si>
  <si>
    <t>Adjustment of FU for KG Edible Food</t>
  </si>
  <si>
    <t>CED, FARM GATE (MJ/kg)</t>
  </si>
  <si>
    <t>CED, TOTAL LC (MJ/kg)</t>
  </si>
  <si>
    <t>GHGE, FARM GATE (kg CO2e/kg)</t>
  </si>
  <si>
    <t>GHGE, TOTAL LC (kg CO2e/kg)</t>
  </si>
  <si>
    <t>Values</t>
  </si>
  <si>
    <t>StdDev of CED, TOTAL LC (MJ/kg)</t>
  </si>
  <si>
    <t>Max of CED, TOTAL LC (MJ/kg)</t>
  </si>
  <si>
    <t>Min of CED, TOTAL LC (MJ/kg)</t>
  </si>
  <si>
    <t>Average of CED, TOTAL LC (MJ/kg)</t>
  </si>
  <si>
    <t>Count of Studies CED, TOTAL LC (MJ/kg)</t>
  </si>
  <si>
    <t>Grand Total</t>
  </si>
  <si>
    <t>Count of GHGE, TOTAL LC (kg CO2e/kg)</t>
  </si>
  <si>
    <t>Max of GHGE, TOTAL LC (kg CO2e/kg)</t>
  </si>
  <si>
    <t>Average of GHGE, TOTAL LC (kg CO2e/kg)</t>
  </si>
  <si>
    <t>Min of GHGE, TOTAL LC (kg CO2e/kg)</t>
  </si>
  <si>
    <t>StdDev of GHGE, TOTAL LC (kg CO2e/kg)</t>
  </si>
  <si>
    <t>ENERGY USE MJ/kg</t>
  </si>
  <si>
    <t>GHG Emissions (kg CO2eq/kg)</t>
  </si>
  <si>
    <t>FCID_Code</t>
  </si>
  <si>
    <t>FCID_Desc</t>
  </si>
  <si>
    <t>Comments_0308</t>
  </si>
  <si>
    <t>N_Cases</t>
  </si>
  <si>
    <t>N-average</t>
  </si>
  <si>
    <t>Std. Dev</t>
  </si>
  <si>
    <t>Alfalfa, seed</t>
  </si>
  <si>
    <t>weight of dry seed</t>
  </si>
  <si>
    <t>Alfalfa sprouts are the human food item.</t>
  </si>
  <si>
    <t>Almond</t>
  </si>
  <si>
    <t>weight of nutmeat</t>
  </si>
  <si>
    <t>Almond, oil</t>
  </si>
  <si>
    <t>weight of oil</t>
  </si>
  <si>
    <t>Amaranth, grain</t>
  </si>
  <si>
    <t>dry weight of grain; include Amaranth flour</t>
  </si>
  <si>
    <t>Amaranth, leafy</t>
  </si>
  <si>
    <t>weight of leaf</t>
  </si>
  <si>
    <t>Includes Tampala, Chinese spinach, lambsquarter, and pokeweed (pokeberry).</t>
  </si>
  <si>
    <t>Apple, dried</t>
  </si>
  <si>
    <t>dry weight; excluding peel, core, stem</t>
  </si>
  <si>
    <t>Apple, fruit with peel</t>
  </si>
  <si>
    <t>weight of apple; including peel, excluding core and stem</t>
  </si>
  <si>
    <t>Apple, juice</t>
  </si>
  <si>
    <t>weight of juice at single strength (or standard dilution)</t>
  </si>
  <si>
    <t>Apple, peeled fruit</t>
  </si>
  <si>
    <t>weight of apple; excluding peel, core and stem</t>
  </si>
  <si>
    <t>Apple, sauce</t>
  </si>
  <si>
    <t>weight of applesauce</t>
  </si>
  <si>
    <t>Apricot</t>
  </si>
  <si>
    <t>weight of pulp, with or without peel; excluding pit</t>
  </si>
  <si>
    <t>Includes Japanese apricot.</t>
  </si>
  <si>
    <t>Apricot, dried</t>
  </si>
  <si>
    <t>dry weight of pulp, with or without peel; excluding pit</t>
  </si>
  <si>
    <t>Apricot, juice</t>
  </si>
  <si>
    <t>Arrowroot, flour</t>
  </si>
  <si>
    <t>dry weight of flour</t>
  </si>
  <si>
    <t>Artichoke, globe</t>
  </si>
  <si>
    <t>edible portion of flowerhead</t>
  </si>
  <si>
    <t>Artichoke, Jerusalem</t>
  </si>
  <si>
    <t>edible portion of tuber</t>
  </si>
  <si>
    <t>Arugula</t>
  </si>
  <si>
    <t>weight of leaves</t>
  </si>
  <si>
    <t>weight of edible portion of spears/stems</t>
  </si>
  <si>
    <t>weight of pulp; excluding skin and pit</t>
  </si>
  <si>
    <t>Balsam pear</t>
  </si>
  <si>
    <t>weight of whole fruit</t>
  </si>
  <si>
    <t>Includes Balsam apple, Chinese cucumber, and Bittermelon.</t>
  </si>
  <si>
    <t>Bamboo, shoots</t>
  </si>
  <si>
    <t>weight of shoots</t>
  </si>
  <si>
    <t>Bamboo shoots are the human food item.</t>
  </si>
  <si>
    <t>Banana</t>
  </si>
  <si>
    <t>weight of pulp; excluding peel; juice</t>
  </si>
  <si>
    <t>Banana, dried</t>
  </si>
  <si>
    <t>dry weight of dried pulp; excluding peel (include weight of fruit from chips)</t>
  </si>
  <si>
    <t>Barley, bran</t>
  </si>
  <si>
    <t>dry weight of bran</t>
  </si>
  <si>
    <t>Barley, flour</t>
  </si>
  <si>
    <t>Includes malt and whole barley.</t>
  </si>
  <si>
    <t>Barley, pearled barley</t>
  </si>
  <si>
    <t>dry weight of barley</t>
  </si>
  <si>
    <t>Basil, dried leaves</t>
  </si>
  <si>
    <t>dry weight of leaves and stems</t>
  </si>
  <si>
    <t>Basil, fresh leaves</t>
  </si>
  <si>
    <t>weight of leaves and stems</t>
  </si>
  <si>
    <t>Bean,  great northern, seed</t>
  </si>
  <si>
    <t>dry weight of bean</t>
  </si>
  <si>
    <t>Bean, black, seed</t>
  </si>
  <si>
    <t>Includes black turtle bean, Bayo, and brown bean.</t>
  </si>
  <si>
    <t>Bean, broad, seed</t>
  </si>
  <si>
    <t>Also called fava bean.</t>
  </si>
  <si>
    <t>Bean, broad, succulent</t>
  </si>
  <si>
    <t>weight of bean and pod</t>
  </si>
  <si>
    <t>Bean, cowpea, seed</t>
  </si>
  <si>
    <t>Includes cowpea, crowder pea, blackeye pea, and southern pea.</t>
  </si>
  <si>
    <t>Bean, cowpea, succulent</t>
  </si>
  <si>
    <t>weight of bean; excluding pod</t>
  </si>
  <si>
    <t>Bean, kidney, seed</t>
  </si>
  <si>
    <t>Bean, lima, seed</t>
  </si>
  <si>
    <t>Bean, lima, succulent</t>
  </si>
  <si>
    <t>Bean, mung, seed</t>
  </si>
  <si>
    <t>Bean sprouts are the human food item.</t>
  </si>
  <si>
    <t>Bean, navy, seed</t>
  </si>
  <si>
    <t>Includes pea bean.</t>
  </si>
  <si>
    <t>Bean, pink, seed</t>
  </si>
  <si>
    <t>Bean, pinto, seed</t>
  </si>
  <si>
    <t>Include calico and red Mexican bean.</t>
  </si>
  <si>
    <t>Bean, snap, succulent</t>
  </si>
  <si>
    <t>Includes green bean, string bean, runner bean, and wax bean.</t>
  </si>
  <si>
    <t>Bee pollen</t>
  </si>
  <si>
    <t>N/A - Does not exist in "commodity vocabulary" weight basis file in current or previous release</t>
  </si>
  <si>
    <t>#N/A</t>
  </si>
  <si>
    <t>Beef, fat</t>
  </si>
  <si>
    <t>weight of nutrient fat only; includes  nutrient fat from beef meat</t>
  </si>
  <si>
    <t>Beef, liver</t>
  </si>
  <si>
    <t>weight of organ including nutrient fat</t>
  </si>
  <si>
    <t>Beef, meat</t>
  </si>
  <si>
    <t>weight of meat; excluding the weight of bone, and all nutrient fat</t>
  </si>
  <si>
    <t>Consider veal as equivalent to beef. Include bison and buffalo.</t>
  </si>
  <si>
    <t>Beef, meat byproducts</t>
  </si>
  <si>
    <t>weight of meat; excluding bone; may contain some fat</t>
  </si>
  <si>
    <t>Includes brain, heart, lung, sweetbread, tail, tripe, tongue, and head.</t>
  </si>
  <si>
    <t>Beef, meat, dried</t>
  </si>
  <si>
    <t>weight of dried meat; excluding bones, and trimmable fat</t>
  </si>
  <si>
    <t>Beet, garden, roots</t>
  </si>
  <si>
    <t>weight of roots; juice</t>
  </si>
  <si>
    <t>Beet, garden, tops</t>
  </si>
  <si>
    <t>Include pumpkin leaves.</t>
  </si>
  <si>
    <t>Beet, sugar</t>
  </si>
  <si>
    <t>dry weight of sugar (sucrose)</t>
  </si>
  <si>
    <t>Sucrose is a disaccharide obtained from sugar cane and sugar beet.</t>
  </si>
  <si>
    <t>Beet, sugar, molasses</t>
  </si>
  <si>
    <t>weight of molasses</t>
  </si>
  <si>
    <t>Belgium endive</t>
  </si>
  <si>
    <t>Also called Witloof chicory.</t>
  </si>
  <si>
    <t>Blackberry</t>
  </si>
  <si>
    <t>weight of berry</t>
  </si>
  <si>
    <t>Includes Andean blackberry, Arctic blackberry, bingleberry, black satin berry, boysenberry, brombeere, California blackberry, Cherokee blackberry, chesterberry, Cheyenne blackberry, common blackberry, coryberry, darrowberry, dewberry, dirksen thornless be</t>
  </si>
  <si>
    <t>Blackberry, juice</t>
  </si>
  <si>
    <t>Blueberry</t>
  </si>
  <si>
    <t>Includes highbush blueberry and lowbush blueberry.</t>
  </si>
  <si>
    <t>Boysenberry</t>
  </si>
  <si>
    <t>Brazil nut</t>
  </si>
  <si>
    <t>Breadfruit</t>
  </si>
  <si>
    <t>weight of pulp; excluding peel</t>
  </si>
  <si>
    <t>weight of flower heads and adjoining stems</t>
  </si>
  <si>
    <t>Broccoli, Chinese</t>
  </si>
  <si>
    <t>weight of flower buds, adjoining stems and leaves</t>
  </si>
  <si>
    <t>Brussels sprouts</t>
  </si>
  <si>
    <t>weight of leaf sprouts</t>
  </si>
  <si>
    <t>Buckwheat</t>
  </si>
  <si>
    <t>dry weight of groats; whole groat flour</t>
  </si>
  <si>
    <t>Burdock</t>
  </si>
  <si>
    <t>weight of roots</t>
  </si>
  <si>
    <t>Butternut</t>
  </si>
  <si>
    <t>Cabbage</t>
  </si>
  <si>
    <t>Cabbage, Chinese, bok choy</t>
  </si>
  <si>
    <t>Cabbage, Chinese, mustard</t>
  </si>
  <si>
    <t>Cabbage, Chinese, napa</t>
  </si>
  <si>
    <t>Cactus</t>
  </si>
  <si>
    <t>Includes Prickly pear, Cactus pads and flowers, Nopales, and Aloe vera.</t>
  </si>
  <si>
    <t>Cantaloupe</t>
  </si>
  <si>
    <t>weight of pulp; excluding seeds and outer rind</t>
  </si>
  <si>
    <t>Includes casaba, muskmelon, and wintermelon.</t>
  </si>
  <si>
    <t>Carob</t>
  </si>
  <si>
    <t>dry weight of bean; flour</t>
  </si>
  <si>
    <t>Carrot</t>
  </si>
  <si>
    <t>weight of roots, with or without peel, excluding tops</t>
  </si>
  <si>
    <t>Carrot, juice</t>
  </si>
  <si>
    <t>Cashew</t>
  </si>
  <si>
    <t>Cassava</t>
  </si>
  <si>
    <t>weight of root; dry tapioca</t>
  </si>
  <si>
    <t>Includes tapioca.</t>
  </si>
  <si>
    <t>Includes Broccoflower and green cauliflower.</t>
  </si>
  <si>
    <t>Celery</t>
  </si>
  <si>
    <t>weight of leaf stalk</t>
  </si>
  <si>
    <t>Celery, juice</t>
  </si>
  <si>
    <t>weight of juice as single strength (or standard dilution)</t>
  </si>
  <si>
    <t>Chayote, fruit</t>
  </si>
  <si>
    <t>weight of fruit</t>
  </si>
  <si>
    <t>Also called Christophine, and Mirliton.</t>
  </si>
  <si>
    <t>Cherry</t>
  </si>
  <si>
    <t>weight of fruit; including skin; excluding pit and stem</t>
  </si>
  <si>
    <t>Includes sweet cherry and sour or tart cherry.</t>
  </si>
  <si>
    <t>Cherry, juice</t>
  </si>
  <si>
    <t>Chestnut</t>
  </si>
  <si>
    <t>weight of  nutmeat</t>
  </si>
  <si>
    <t>Chicken, fat</t>
  </si>
  <si>
    <t>weight of nutrient fat only; includes weight of nutrient fat from chicken meat and skin</t>
  </si>
  <si>
    <t>Chicken, liver</t>
  </si>
  <si>
    <t>weight of organ;  including nutrient fat</t>
  </si>
  <si>
    <t>Chicken, meat</t>
  </si>
  <si>
    <t>weight of flesh; excluding the weight of bone, total nutrient fat, and skin</t>
  </si>
  <si>
    <t>Chicken, meat byproducts</t>
  </si>
  <si>
    <t>weight of meat; excluding bone; may include some trimmable fat and/or skin</t>
  </si>
  <si>
    <t>Includes giblets (heart), necks, gizzard, feet, and tail.</t>
  </si>
  <si>
    <t>Chicken, skin</t>
  </si>
  <si>
    <t>weight of skin only (0 grams nutrient fat)</t>
  </si>
  <si>
    <t>Chickpea, seed</t>
  </si>
  <si>
    <t>Also called garbanzo bean.</t>
  </si>
  <si>
    <t>Chicory, roots</t>
  </si>
  <si>
    <t>Chicory, tops</t>
  </si>
  <si>
    <t>Chinese waxgourd</t>
  </si>
  <si>
    <t>weight of flesh; including or excluding peel</t>
  </si>
  <si>
    <t>Includes Togan and wintermelon.</t>
  </si>
  <si>
    <t>Chive, fresh leaves</t>
  </si>
  <si>
    <t>weight of fresh leaves</t>
  </si>
  <si>
    <t>Includes Chinese chives.</t>
  </si>
  <si>
    <t>Cilantro, leaves</t>
  </si>
  <si>
    <t>Includes Chinese parsley and coriander leaves.</t>
  </si>
  <si>
    <t>Cinnamon</t>
  </si>
  <si>
    <t>dry weight of spice: stick or ground powder</t>
  </si>
  <si>
    <t>Citron</t>
  </si>
  <si>
    <t>Citrus hybrids</t>
  </si>
  <si>
    <t>weight of pulp; excluding seeds and peel</t>
  </si>
  <si>
    <t>Includes tangelo, Tangor, Chironja, and Calamondin.</t>
  </si>
  <si>
    <t>Cocoa bean, chocolate</t>
  </si>
  <si>
    <t>weight of chocolate; cocoa butter</t>
  </si>
  <si>
    <t>Cocoa bean, powder</t>
  </si>
  <si>
    <t>weight of powder</t>
  </si>
  <si>
    <t>Coconut, dried</t>
  </si>
  <si>
    <t>dry weight of meat; excluding milk and shell</t>
  </si>
  <si>
    <t>Coconut, meat</t>
  </si>
  <si>
    <t>weight of meat; excluding milk and shell</t>
  </si>
  <si>
    <t>includes coconut, water</t>
  </si>
  <si>
    <t>Coconut, milk</t>
  </si>
  <si>
    <t>weight of milk only; excluding meat and shell</t>
  </si>
  <si>
    <t>Coconut, oil</t>
  </si>
  <si>
    <t>Coffee, instant</t>
  </si>
  <si>
    <t>dry weight of powder or granules</t>
  </si>
  <si>
    <t>Coffee, roasted bean</t>
  </si>
  <si>
    <t>Collards</t>
  </si>
  <si>
    <t>Coriander, seed</t>
  </si>
  <si>
    <t>weight of seed</t>
  </si>
  <si>
    <t>Includes Chinese parsley and cilantro seed.</t>
  </si>
  <si>
    <t>Corn, field, bran</t>
  </si>
  <si>
    <t>Corn, field, flour</t>
  </si>
  <si>
    <t>dry weight of whole grain flour; masa harina</t>
  </si>
  <si>
    <t>Corn, field, meal</t>
  </si>
  <si>
    <t>dry weight of whole grain or degermed meal; dry weight of corn ingredient from corn or cornmeal based chips or snacks; dry weight of hominy</t>
  </si>
  <si>
    <t>Includes hominy.</t>
  </si>
  <si>
    <t>Corn, field, oil</t>
  </si>
  <si>
    <t>Corn, field, starch</t>
  </si>
  <si>
    <t>dry weight of corn starch</t>
  </si>
  <si>
    <t>Corn, field, syrup</t>
  </si>
  <si>
    <t>weight of syrup</t>
  </si>
  <si>
    <t>Corn, pop</t>
  </si>
  <si>
    <t>weight of kernels; excluding cob and husk</t>
  </si>
  <si>
    <t>Corn, sweet</t>
  </si>
  <si>
    <t>Cottonseed, oil</t>
  </si>
  <si>
    <t>Cranberry</t>
  </si>
  <si>
    <t>Cranberry, dried</t>
  </si>
  <si>
    <t>dry weight of berry</t>
  </si>
  <si>
    <t>Cranberry, juice</t>
  </si>
  <si>
    <t>Cress, garden</t>
  </si>
  <si>
    <t>weight of flesh and seeds; including or excluding peel</t>
  </si>
  <si>
    <t>Currant, dried</t>
  </si>
  <si>
    <t>Includes red and black currants.</t>
  </si>
  <si>
    <t>Dandelion, leaves</t>
  </si>
  <si>
    <t>Dasheen, corm</t>
  </si>
  <si>
    <t>weight of the corm</t>
  </si>
  <si>
    <t>Includes taro.</t>
  </si>
  <si>
    <t>Dasheen, leaves</t>
  </si>
  <si>
    <t>weight of the leaves</t>
  </si>
  <si>
    <t>Date</t>
  </si>
  <si>
    <t>weight of fruit, excluding pit</t>
  </si>
  <si>
    <t>Dill, seed</t>
  </si>
  <si>
    <t>dry weight of seed</t>
  </si>
  <si>
    <t>Dillweed</t>
  </si>
  <si>
    <t>Egg, white</t>
  </si>
  <si>
    <t>weight of egg white</t>
  </si>
  <si>
    <t>Egg, whole</t>
  </si>
  <si>
    <t>weight of white and yolk; excluding shell</t>
  </si>
  <si>
    <t>Egg, yolk</t>
  </si>
  <si>
    <t>weight of egg yolk</t>
  </si>
  <si>
    <t>weight of whole vegetable; including seeds, with or without peel</t>
  </si>
  <si>
    <t>Endive</t>
  </si>
  <si>
    <t>Includes escarole.</t>
  </si>
  <si>
    <t>Fennel, Florence</t>
  </si>
  <si>
    <t>Includes Italian and sweet fennel.</t>
  </si>
  <si>
    <t>Fig</t>
  </si>
  <si>
    <t>Fig, dried</t>
  </si>
  <si>
    <t>dry weight of fruit</t>
  </si>
  <si>
    <t>Fish-freshwater finfish</t>
  </si>
  <si>
    <t>weight of edible portion; excluding head, tail, scales, fins, viscera, inedible bones and skin</t>
  </si>
  <si>
    <t>See Appendix A (”The Fish List”) for categorization of various fish species into appropriate FC, ie, for species that are specifically fresh water fish, salt water fish, crustacean-shellfish, and mollusc-shellfish.</t>
  </si>
  <si>
    <t>Fish-freshwater finfish, farm raised</t>
  </si>
  <si>
    <t>See Appendix A.</t>
  </si>
  <si>
    <t>Fish-saltwater finfish, other</t>
  </si>
  <si>
    <t>Fish-shellfish, crustacean</t>
  </si>
  <si>
    <t>weight of edible portion; excluding shell, gills, and viscera</t>
  </si>
  <si>
    <t>Fish-shellfish, mollusc</t>
  </si>
  <si>
    <t>weight of edible portion; excluding shells</t>
  </si>
  <si>
    <t>Flax seed, oil</t>
  </si>
  <si>
    <t>weight of oil; nutrient fat from flax seeds</t>
  </si>
  <si>
    <t>Also called Solin.</t>
  </si>
  <si>
    <t>Flax, seed</t>
  </si>
  <si>
    <t>Garlic, bulb</t>
  </si>
  <si>
    <t>dry weight of bulb; excluding skin (outer scales)</t>
  </si>
  <si>
    <t>same as Garlic, bulb includes great headed garlic, serpent garlic, and elephant garlic.</t>
  </si>
  <si>
    <t>Ginger</t>
  </si>
  <si>
    <t>weight of roots; excluding peel</t>
  </si>
  <si>
    <t>Ginger, dried</t>
  </si>
  <si>
    <t>dry weight of roots; excluding peel</t>
  </si>
  <si>
    <t>Ginseng, dried</t>
  </si>
  <si>
    <t>dry weight of roots</t>
  </si>
  <si>
    <t>Goat, fat</t>
  </si>
  <si>
    <t>weight of nutrient fat only; include nutrient fat from goat meat</t>
  </si>
  <si>
    <t>Goat, meat</t>
  </si>
  <si>
    <t>weight of meat; excluding weight of bone, and all nutrient fat and skin</t>
  </si>
  <si>
    <t>Goat, meat byproducts</t>
  </si>
  <si>
    <t>Includes brain, heart, and head.</t>
  </si>
  <si>
    <t>Gooseberry</t>
  </si>
  <si>
    <t>Grape</t>
  </si>
  <si>
    <t>weight of grape, with skin, and with or without seeds</t>
  </si>
  <si>
    <t>Includes Muscadine.</t>
  </si>
  <si>
    <t>Grape, juice</t>
  </si>
  <si>
    <t>Includes hardy kiwifruit</t>
  </si>
  <si>
    <t>Grape, leaves</t>
  </si>
  <si>
    <t>Grape, raisin</t>
  </si>
  <si>
    <t>dry weight of raisin</t>
  </si>
  <si>
    <t>Includes Zante currant.</t>
  </si>
  <si>
    <t>Grape, wine and sherry</t>
  </si>
  <si>
    <t>weight of wine or sherry</t>
  </si>
  <si>
    <t>Grapefruit</t>
  </si>
  <si>
    <t>weight of pulp; excluding seeds and rind</t>
  </si>
  <si>
    <t>Includes Uniq fruit</t>
  </si>
  <si>
    <t>Grapefruit, juice</t>
  </si>
  <si>
    <t>Guar, seed</t>
  </si>
  <si>
    <t>weight of bean</t>
  </si>
  <si>
    <t>Guava</t>
  </si>
  <si>
    <t>Hazelnut</t>
  </si>
  <si>
    <t>Also called filbert.</t>
  </si>
  <si>
    <t>Herbs, other</t>
  </si>
  <si>
    <t>See Appendix B (“The Herb List”).  Note that some herbs are not included in this list as they are unique FCs and are cited in this vocabulary separately.  These latter include: basil, chive, coriander (cilantro), leaf, dill (dillweed), fennel, Florence (I</t>
  </si>
  <si>
    <t>weight of honey</t>
  </si>
  <si>
    <t>Honeydew melon</t>
  </si>
  <si>
    <t>Hop</t>
  </si>
  <si>
    <t>weight of dried hops</t>
  </si>
  <si>
    <t>Horseradish</t>
  </si>
  <si>
    <t>weight of root, ground</t>
  </si>
  <si>
    <t>Huckleberry</t>
  </si>
  <si>
    <t>Kale</t>
  </si>
  <si>
    <t>Includes mizuna.</t>
  </si>
  <si>
    <t>Kiwifruit, fuzzy</t>
  </si>
  <si>
    <t>weight of pulp and peel.</t>
  </si>
  <si>
    <t>Kohlrabi</t>
  </si>
  <si>
    <t>Kumquat</t>
  </si>
  <si>
    <t>weight of fruit; including peel; excluding seeds</t>
  </si>
  <si>
    <t>weight of whole plant; including leaves and bulb</t>
  </si>
  <si>
    <t>Includes lady leek and wild leek</t>
  </si>
  <si>
    <t>Lemon</t>
  </si>
  <si>
    <t>Lemon, juice</t>
  </si>
  <si>
    <t>Lemon, peel</t>
  </si>
  <si>
    <t>weight of peel only</t>
  </si>
  <si>
    <t>Lentil, seed</t>
  </si>
  <si>
    <t>dry weight of edible seed</t>
  </si>
  <si>
    <t>Lettuce, head</t>
  </si>
  <si>
    <t>weight of leaves; juice</t>
  </si>
  <si>
    <t>Lettuce, leaf</t>
  </si>
  <si>
    <t>Includes romaine.</t>
  </si>
  <si>
    <t>Lime</t>
  </si>
  <si>
    <t>Australian desert lime, Australian finger lime, Australian round lime, Brown River finger lime, Mount White lime, New Guinea wild lime, Russell River lime, Sweet lime, Tahiti Lime.</t>
  </si>
  <si>
    <t>Lime, juice</t>
  </si>
  <si>
    <t>Australian desert lime, Australian finger lime, Australian round lime, Brown River finger lime, Kumquat, Lemon, Lime, Mount White lime, New Guinea wild lime, Russell River lime, Sweet lime, Tahiti Lime</t>
  </si>
  <si>
    <t>Lychee</t>
  </si>
  <si>
    <t>Macadamia nut</t>
  </si>
  <si>
    <t>Mango, dried</t>
  </si>
  <si>
    <t>weight of dried pulp</t>
  </si>
  <si>
    <t>Mango, juice</t>
  </si>
  <si>
    <t>Maple syrup</t>
  </si>
  <si>
    <t>Maple, sugar</t>
  </si>
  <si>
    <t>dry weight of sugar</t>
  </si>
  <si>
    <t>Marjoram</t>
  </si>
  <si>
    <t>Includes oregano.</t>
  </si>
  <si>
    <t>Meat, game</t>
  </si>
  <si>
    <t>weight of meat; excluding bone, trimmable fat and skin</t>
  </si>
  <si>
    <t>Includes armadillo, bear, beaver, caribou, deer, elk, frog, groundhog, moose, snake, opossum, raccoon, squirrel, turtle.</t>
  </si>
  <si>
    <t>Milk, fat</t>
  </si>
  <si>
    <t>weight of nutrient fat only</t>
  </si>
  <si>
    <t>Milk, nonfat solids</t>
  </si>
  <si>
    <t>Remaining weight of milk after subtracting milk fat and moisture content of milk</t>
  </si>
  <si>
    <t>Includes casein; also, includes lactose added to items that are neither commercial baby foods nor infant formulas.</t>
  </si>
  <si>
    <t>Milk, water</t>
  </si>
  <si>
    <t>Moisture content of milk</t>
  </si>
  <si>
    <t>Millet, grain</t>
  </si>
  <si>
    <t>dry weight of grain</t>
  </si>
  <si>
    <t>Mulberry</t>
  </si>
  <si>
    <t>Includes Juneberry.</t>
  </si>
  <si>
    <t>weight of caps or caps and stems</t>
  </si>
  <si>
    <t xml:space="preserve">Includes oyster, shiitake, and  button mushroom.                                                                                                                                          </t>
  </si>
  <si>
    <t>Mustard greens</t>
  </si>
  <si>
    <t>Nectarine</t>
  </si>
  <si>
    <t>weight of pulp; including peel; excluding pit and stem</t>
  </si>
  <si>
    <t>Oat, bran</t>
  </si>
  <si>
    <t>Oat, flour</t>
  </si>
  <si>
    <t>Oat, groats/rolled oats</t>
  </si>
  <si>
    <t>dry weight</t>
  </si>
  <si>
    <t>Okra</t>
  </si>
  <si>
    <t>weight of pods; including seeds</t>
  </si>
  <si>
    <t>Olive</t>
  </si>
  <si>
    <t>weight of fruit; excluding pit</t>
  </si>
  <si>
    <t>Olive, oil</t>
  </si>
  <si>
    <t>Onion, bulb</t>
  </si>
  <si>
    <t>weight of bulb; excluding outer skin</t>
  </si>
  <si>
    <t>Includes Daylily; Fritillaria, bulb; Lily; Chinese onion, bulb.</t>
  </si>
  <si>
    <t>Onion, bulb, dried</t>
  </si>
  <si>
    <t>dry weight of bulb; excluding outer skin</t>
  </si>
  <si>
    <t>Onion, green</t>
  </si>
  <si>
    <t>weight of bulb or bulb and leaves</t>
  </si>
  <si>
    <t>Includes Elegans hosta; Fritillaria, leaves, Kurrat; Beltsville bunching onion; Macrostem onion, pearl onion, potato onion, tree onion, and, Welsh onion</t>
  </si>
  <si>
    <t>Orange</t>
  </si>
  <si>
    <t>Orange, juice</t>
  </si>
  <si>
    <t>Orange, peel</t>
  </si>
  <si>
    <t>Palm heart, leaves</t>
  </si>
  <si>
    <t>weight of stem and leaves</t>
  </si>
  <si>
    <t>Palm, oil</t>
  </si>
  <si>
    <t>Papaya</t>
  </si>
  <si>
    <t>weight of pulp; excluding peel and seeds</t>
  </si>
  <si>
    <t>Papaya, dried</t>
  </si>
  <si>
    <t>Papaya, juice</t>
  </si>
  <si>
    <t>Parsley, dried leaves</t>
  </si>
  <si>
    <t>dried weight of leaves and stems</t>
  </si>
  <si>
    <t>Parsley, leaves</t>
  </si>
  <si>
    <t>Parsnip</t>
  </si>
  <si>
    <t>weight of roots with or without peel</t>
  </si>
  <si>
    <t>Passionfruit</t>
  </si>
  <si>
    <t>Passionfruit, juice</t>
  </si>
  <si>
    <t>Pea, dry</t>
  </si>
  <si>
    <t>dry weight of pea</t>
  </si>
  <si>
    <t>Pea, edible podded, succulent</t>
  </si>
  <si>
    <t>weight of pea and pod</t>
  </si>
  <si>
    <t>Pea, pigeon, seed</t>
  </si>
  <si>
    <t>Pea, pigeon, succulent</t>
  </si>
  <si>
    <t>weight of pea</t>
  </si>
  <si>
    <t>In U.S. presently, usually found as canned pigeon peas.</t>
  </si>
  <si>
    <t>Pea, succulent</t>
  </si>
  <si>
    <t>weight of peas</t>
  </si>
  <si>
    <t>Peach</t>
  </si>
  <si>
    <t>Peach, dried</t>
  </si>
  <si>
    <t>weight of dried pulp, with or without peel; excluding pit</t>
  </si>
  <si>
    <t>Peach, juice</t>
  </si>
  <si>
    <t>Peanut</t>
  </si>
  <si>
    <t>weight of nutmeat; excluding shell</t>
  </si>
  <si>
    <t>Peanut, butter</t>
  </si>
  <si>
    <t>weight of ground peanuts; excluding shell</t>
  </si>
  <si>
    <t>Peanut, oil</t>
  </si>
  <si>
    <t>Pear</t>
  </si>
  <si>
    <t>weight of pulp, with or without peel; excluding core and stem</t>
  </si>
  <si>
    <t>Include Asian (Oriental) pear.</t>
  </si>
  <si>
    <t>Pear, dried</t>
  </si>
  <si>
    <t>weight of dried pulp, with or without peel</t>
  </si>
  <si>
    <t>Pear, juice</t>
  </si>
  <si>
    <t>Pecan</t>
  </si>
  <si>
    <t>Pepper, bell</t>
  </si>
  <si>
    <t>weight of flesh; excluding seeds and stem</t>
  </si>
  <si>
    <t>Includes sweet pepper, cooking pepper, pimento, and banana pepper.</t>
  </si>
  <si>
    <t>Pepper, bell, dried</t>
  </si>
  <si>
    <t>dry weight of flesh only</t>
  </si>
  <si>
    <t>Pepper, black and white</t>
  </si>
  <si>
    <t>dry weight of pepper</t>
  </si>
  <si>
    <t>Pepper, nonbell</t>
  </si>
  <si>
    <t>weight of flesh, with or without seeds; excluding stem</t>
  </si>
  <si>
    <t>Pepper, nonbell, dried</t>
  </si>
  <si>
    <t>dry weight of flesh or flesh and seeds</t>
  </si>
  <si>
    <t>Peppermint</t>
  </si>
  <si>
    <t>Includes other mints (Mentha spp.) except spearmint.</t>
  </si>
  <si>
    <t>Peppermint, oil</t>
  </si>
  <si>
    <t>Persimmon</t>
  </si>
  <si>
    <t>weight of entire fruit, pulp and peel</t>
  </si>
  <si>
    <t>Pine nut</t>
  </si>
  <si>
    <t>Also called pignolia.</t>
  </si>
  <si>
    <t>weight of pulp; excluding leaves and outer peel</t>
  </si>
  <si>
    <t>Pineapple, dried</t>
  </si>
  <si>
    <t>weight of dried pulp only</t>
  </si>
  <si>
    <t>Pineapple, juice</t>
  </si>
  <si>
    <t>Plantain</t>
  </si>
  <si>
    <t>weight of pulp; excluding skin</t>
  </si>
  <si>
    <t>Plantain, dried</t>
  </si>
  <si>
    <t>Plum</t>
  </si>
  <si>
    <t>weight of pulp with peel; excluding pit</t>
  </si>
  <si>
    <t>Includes American plum; Klamath plum; Beach plum; Canada plum; Cherry plum; Chickasaw plum; Damson plum; Japanese plum; Plumcot; and Sloe.</t>
  </si>
  <si>
    <t>Plum, prune, dried</t>
  </si>
  <si>
    <t>weight of dried flesh, with or without peel; excluding pit</t>
  </si>
  <si>
    <t>Plum, prune, fresh</t>
  </si>
  <si>
    <t>weight of plum, with peel; excluding pit</t>
  </si>
  <si>
    <t>Plum, prune, juice</t>
  </si>
  <si>
    <t>Pomegranate</t>
  </si>
  <si>
    <t>Seeds are usually not consumed.</t>
  </si>
  <si>
    <t>Pomegranate, juice</t>
  </si>
  <si>
    <t>Pork, fat</t>
  </si>
  <si>
    <t>weight of nutrient  fat only; includes weight of nutrient fat from meat</t>
  </si>
  <si>
    <t>Pork, liver</t>
  </si>
  <si>
    <t>Pork, meat</t>
  </si>
  <si>
    <t>Pork, meat byproducts</t>
  </si>
  <si>
    <t>weight of meat; excluding bone; may include some trimmable fat and skin</t>
  </si>
  <si>
    <t>Includes ears, jowl, chitterlings, stomach (maw), fatback, and feet.</t>
  </si>
  <si>
    <t>Pork, skin</t>
  </si>
  <si>
    <t>dry weight of skin including nutrient fat</t>
  </si>
  <si>
    <t>e.g., pork rind snacks.</t>
  </si>
  <si>
    <t>Potato, chips</t>
  </si>
  <si>
    <t>weight of potato from chip or stick, with or without peel</t>
  </si>
  <si>
    <t>Potato, dry (granules/ flakes)</t>
  </si>
  <si>
    <t>dry weight of granules or flakes</t>
  </si>
  <si>
    <t>Potato, flour</t>
  </si>
  <si>
    <t>dry weight of flour or potato starch</t>
  </si>
  <si>
    <t>Potato, tuber, w/o peel</t>
  </si>
  <si>
    <t>weight of tuber;  excluding peel</t>
  </si>
  <si>
    <t>Potato, tuber, w/peel</t>
  </si>
  <si>
    <t>weight of tuber;  including peel</t>
  </si>
  <si>
    <t>Poultry, other, fat</t>
  </si>
  <si>
    <t>weight of nutrient  fat only; includes weight of nutrient fat from meat and skin</t>
  </si>
  <si>
    <t>Includes dove, duck, emu, goose, guinea hen, ostrich, partridge, pheasant, pigeon, quail, squab, wild duck.</t>
  </si>
  <si>
    <t>Poultry, other, liver</t>
  </si>
  <si>
    <t>weight of organ, including nutrient fat</t>
  </si>
  <si>
    <t>Poultry, other, meat</t>
  </si>
  <si>
    <t>weight of meat; excluding weight of bone, and all nutrient fat, and skin</t>
  </si>
  <si>
    <t>Poultry, other, meat byproducts</t>
  </si>
  <si>
    <t>weight of meat; excluding bone; may contain some trimmable fat and/or skin</t>
  </si>
  <si>
    <t>Includes dove, duck, emu, goose, guinea hen, ostrich, partridge, pheasant, pigeon, quail, squab, wild duck. Byproducts include (as for chicken) giblets, gizzard, neck, feet, and tail, as applicable to species of poultry.</t>
  </si>
  <si>
    <t>Poultry, other, skin</t>
  </si>
  <si>
    <t>Psyllium, seed</t>
  </si>
  <si>
    <t>dry weight of psyllium husks</t>
  </si>
  <si>
    <t>Pumpkin</t>
  </si>
  <si>
    <t>Pumpkin, seed</t>
  </si>
  <si>
    <t>weight of dried seed only</t>
  </si>
  <si>
    <t>Rabbit, meat</t>
  </si>
  <si>
    <t>Radicchio</t>
  </si>
  <si>
    <t>Radish, Oriental, roots</t>
  </si>
  <si>
    <t>Radish, roots</t>
  </si>
  <si>
    <t>Rapeseed, oil</t>
  </si>
  <si>
    <t>Includes canola oil.</t>
  </si>
  <si>
    <t>Raspberry</t>
  </si>
  <si>
    <t>Includes black raspberry, red raspberry, bababerry, blackcap, framboise, frambueso, himbeere, keriberry, mayberry, thimbleberry, tulameen, yellow raspberry.</t>
  </si>
  <si>
    <t>Raspberry, juice</t>
  </si>
  <si>
    <t>Rhubarb</t>
  </si>
  <si>
    <t>weight of stalks; excluding leaves</t>
  </si>
  <si>
    <t>Rice, bran</t>
  </si>
  <si>
    <t>Rice, brown</t>
  </si>
  <si>
    <t>dry weight of grain or brown rice flour</t>
  </si>
  <si>
    <t>Rice, flour</t>
  </si>
  <si>
    <t>Rice, white</t>
  </si>
  <si>
    <t>Rutabaga</t>
  </si>
  <si>
    <t>weight of roots; excluding tops</t>
  </si>
  <si>
    <t>Rye, flour</t>
  </si>
  <si>
    <t>Rye, grain</t>
  </si>
  <si>
    <t>dry weight of grain; weight of whole grain flour</t>
  </si>
  <si>
    <t>Safflower, oil</t>
  </si>
  <si>
    <t>Savory</t>
  </si>
  <si>
    <t>weight of leaves and flower buds</t>
  </si>
  <si>
    <t>Includes summer and winter savory.</t>
  </si>
  <si>
    <t>Seaweed</t>
  </si>
  <si>
    <t>weight of vegetation (wet and dry)</t>
  </si>
  <si>
    <t>Includes algae, Irish moss, kelp, spirulina, agar, laver, and wakame.</t>
  </si>
  <si>
    <t>Sesame, oil</t>
  </si>
  <si>
    <t>Sesame, seed</t>
  </si>
  <si>
    <t>Shallot, bulb</t>
  </si>
  <si>
    <t>weight of bulb; excluding skin</t>
  </si>
  <si>
    <t>Sheep, fat</t>
  </si>
  <si>
    <t>weight of nutrient fat only; includes nutrient fat from meat</t>
  </si>
  <si>
    <t>Sheep, liver</t>
  </si>
  <si>
    <t>Sheep, meat</t>
  </si>
  <si>
    <t>weight of meat; excluding weight of bone, total nutrient fat and skin</t>
  </si>
  <si>
    <t>Sheep, meat byproducts</t>
  </si>
  <si>
    <t>weight of meat; excluding bones; may include some trimmable fat and/or skin</t>
  </si>
  <si>
    <t>Includes brain and tongue.</t>
  </si>
  <si>
    <t>Sorghum, syrup</t>
  </si>
  <si>
    <t>Soursop</t>
  </si>
  <si>
    <t>Soybean, flour</t>
  </si>
  <si>
    <t>dry weight of flour, soy meal, soy protein concentrate and isolate</t>
  </si>
  <si>
    <t>Soybean, oil</t>
  </si>
  <si>
    <t>Includes lecithin.</t>
  </si>
  <si>
    <t>Soybean, seed</t>
  </si>
  <si>
    <t>dry weight of seed or bean</t>
  </si>
  <si>
    <t>Soybean, soy milk</t>
  </si>
  <si>
    <t>total weight of milk</t>
  </si>
  <si>
    <t>Spices, other</t>
  </si>
  <si>
    <t>See Appendix C (“The Spice List”).  Note that this list does not include some spices that are unique FCs and are listed separately in this Commodity Vocabulary.  These latter spices include: cinnamon, dill (seed), coriander (cilantro)-seed, and  black and</t>
  </si>
  <si>
    <t>Squash, summer</t>
  </si>
  <si>
    <t>weight of flesh, seeds and peel</t>
  </si>
  <si>
    <t>Includes crookneck squash, kampyo,  scallop squash, straightneck squash, vegetable marrow, and zucchini.</t>
  </si>
  <si>
    <t>Squash, winter</t>
  </si>
  <si>
    <t>weight of flesh; excluding seeds and peel</t>
  </si>
  <si>
    <t>Includes butternut squash, hubbard squash, calabaza, acorn squash, and spaghetti squash.</t>
  </si>
  <si>
    <t>Strawberry</t>
  </si>
  <si>
    <t>weight of berry; excluding leaf cap</t>
  </si>
  <si>
    <t>Strawberry, juice</t>
  </si>
  <si>
    <t>Sugarcane, molasses</t>
  </si>
  <si>
    <t>Includes blackstrap molasses.</t>
  </si>
  <si>
    <t>Sugarcane, sugar</t>
  </si>
  <si>
    <t>dry weight of cane sugar (sucrose)</t>
  </si>
  <si>
    <t>Sunflower, oil</t>
  </si>
  <si>
    <t>Sunflower, seed</t>
  </si>
  <si>
    <t>dry weight of seeds</t>
  </si>
  <si>
    <t>Sweet potato</t>
  </si>
  <si>
    <t>weight of roots, with or without peel; juice</t>
  </si>
  <si>
    <t>Swiss chard</t>
  </si>
  <si>
    <t>weight of leaves and stalks</t>
  </si>
  <si>
    <t>Tamarind</t>
  </si>
  <si>
    <t>weight of pulp, including seeds; excluding peel; juice</t>
  </si>
  <si>
    <t>Tangerine</t>
  </si>
  <si>
    <t>Include clementine and mandarin.</t>
  </si>
  <si>
    <t>Tangerine, juice</t>
  </si>
  <si>
    <t>Include+G148 clementine and mandarin.</t>
  </si>
  <si>
    <t>Tanier, corm</t>
  </si>
  <si>
    <t>weight of corm</t>
  </si>
  <si>
    <t>Also called Cocoyam.</t>
  </si>
  <si>
    <t>Tea, dried</t>
  </si>
  <si>
    <t>dry weight of tea leaves</t>
  </si>
  <si>
    <t>Tea, instant</t>
  </si>
  <si>
    <t>dry weight of powder</t>
  </si>
  <si>
    <t>Tomatillo</t>
  </si>
  <si>
    <t>weight of fruit; excluding outer husks</t>
  </si>
  <si>
    <t>Tomato</t>
  </si>
  <si>
    <t>weight of pulp, seeds and skin; tomatoes without skin but with seed (example canned whole tomatoes)</t>
  </si>
  <si>
    <t>Tomato, dried</t>
  </si>
  <si>
    <t>weight of dried tomato (may include skin and/or seeds)</t>
  </si>
  <si>
    <t>Tomato, juice</t>
  </si>
  <si>
    <t>Tomato, paste</t>
  </si>
  <si>
    <t>weight of concentrated tomato pulp from food described as paste; excluding seeds and skin</t>
  </si>
  <si>
    <t>Tomato, puree</t>
  </si>
  <si>
    <t>weight of concentrated tomato pulp (from food described as puree or sauce); excluding seeds and skin</t>
  </si>
  <si>
    <t>Triticale, flour</t>
  </si>
  <si>
    <t>Turkey, fat</t>
  </si>
  <si>
    <t>weight of nutrient  fat only; includes nutrient fat from meat and skin</t>
  </si>
  <si>
    <t>Turkey, liver</t>
  </si>
  <si>
    <t>Turkey, meat</t>
  </si>
  <si>
    <t>weight of meat; excluding bone, all nutrient fat, and skin</t>
  </si>
  <si>
    <t>Turkey, meat byproducts</t>
  </si>
  <si>
    <t>weight of meat; excluding bone (may contain some fat and/or skin)</t>
  </si>
  <si>
    <t>Includes gizzard, heart, neck, and tail.</t>
  </si>
  <si>
    <t>Turkey, skin</t>
  </si>
  <si>
    <t>Turmeric</t>
  </si>
  <si>
    <t>Turnip, greens</t>
  </si>
  <si>
    <t>Turnip, roots</t>
  </si>
  <si>
    <t>Vinegar</t>
  </si>
  <si>
    <t>Weight of vinegar made from apple, grape or rice juice in recipe</t>
  </si>
  <si>
    <t>Walnut</t>
  </si>
  <si>
    <t>Water chestnut</t>
  </si>
  <si>
    <t>weight of tuber</t>
  </si>
  <si>
    <t>Water, direct, bottled</t>
  </si>
  <si>
    <t>Water, direct, tap</t>
  </si>
  <si>
    <t>Water, indirect, all sources</t>
  </si>
  <si>
    <t>Watercress</t>
  </si>
  <si>
    <t>weight of leaves and stems; juice</t>
  </si>
  <si>
    <t>Watermelon</t>
  </si>
  <si>
    <t>weight of pulp and rind; excluding seeds</t>
  </si>
  <si>
    <t>To include weight of pickled watermelon rind.</t>
  </si>
  <si>
    <t>Watermelon, juice</t>
  </si>
  <si>
    <t>Wheat, bran</t>
  </si>
  <si>
    <t>Wheat, flour</t>
  </si>
  <si>
    <t>Wheat, germ</t>
  </si>
  <si>
    <t>dry weight of germ</t>
  </si>
  <si>
    <t>Wheat, grain</t>
  </si>
  <si>
    <t>Include whole kernel, cracked wheat, whole grain flour, bulgur, couscous.</t>
  </si>
  <si>
    <t>Wild rice</t>
  </si>
  <si>
    <t>Yam bean</t>
  </si>
  <si>
    <t>Also called jicama.</t>
  </si>
  <si>
    <t>Yam, true</t>
  </si>
  <si>
    <t>MJ / kg</t>
  </si>
  <si>
    <t>Convenetional - Cabarnet sauvignon</t>
  </si>
  <si>
    <t>Squash, Summer</t>
  </si>
  <si>
    <t>Farmed trout, flow through system farm</t>
  </si>
  <si>
    <t>Farmed Trout, recirculation system farm</t>
  </si>
  <si>
    <t>Horse Mackerel, captured by purse seiners</t>
  </si>
  <si>
    <t>Horse Mackerel, captured by bottom trawlers</t>
  </si>
  <si>
    <t>Hake Fillets, captured by offshore long lining fleet</t>
  </si>
  <si>
    <t>Hake Fillets, captured by offshore trawling fleet</t>
  </si>
  <si>
    <t>fresh Tasmanian Southern Rock lobster airfreighted; recording basecase here</t>
  </si>
  <si>
    <t>Salmon, farmed, gutted, head on, trucked to Paris</t>
  </si>
  <si>
    <t>Salmon, farmed, gutted, head on, trucked to Oslo</t>
  </si>
  <si>
    <t>Salmon, farmed, gutted, head on, trucked to Moscow</t>
  </si>
  <si>
    <t>Salmon, farmed, gutted, head on, air to Tokyo</t>
  </si>
  <si>
    <t>Salmon, farmed, container freight to Shanghai</t>
  </si>
  <si>
    <t>Salmon, farmed, fillet, truck to Paris</t>
  </si>
  <si>
    <t>Mussels, farmed, truck to paris</t>
  </si>
  <si>
    <t>Atlantic Cod, wild caught, gutted, head on, truck to paris</t>
  </si>
  <si>
    <t>Atlantic Cod, wild caught, fillet, truck to Oslo</t>
  </si>
  <si>
    <t>Atlantic Cod, wild, fillet, truck to Paris</t>
  </si>
  <si>
    <t>Atlantic Cod, wild, fillet, truck/container to Paris via processing in China</t>
  </si>
  <si>
    <t>Atlantic Cod, wild, truck to Lisbon</t>
  </si>
  <si>
    <t>Haddock, wild, gutted, head on, Truck/RoRo vessel to London</t>
  </si>
  <si>
    <t>Haddock, wild, gutted, head on, Truck/bulk freight to London</t>
  </si>
  <si>
    <t>Mackerel, wild, round, container freighter to Tokyo</t>
  </si>
  <si>
    <t>Mackerel, wild, round, bulk freight/train to Moscow</t>
  </si>
  <si>
    <t>American Lobster, caught in Maine, delivered live to Boston, MA, stored live for 72 hrs</t>
  </si>
  <si>
    <t>American Lobster, caught in Lobster Fishing Area 34, delivered to Las Vegas, NV</t>
  </si>
  <si>
    <t>Atlantic Cod</t>
  </si>
  <si>
    <t>Salmon, filleted, brined &amp; smoked</t>
  </si>
  <si>
    <t>Farmed Trout, flow-through system</t>
  </si>
  <si>
    <t>Farmed Sea Bass, marine-based cages</t>
  </si>
  <si>
    <t>Farmed Turbot, land-based re-circulating system</t>
  </si>
  <si>
    <t>Salmon, Farmed, conventional marine net-pen system</t>
  </si>
  <si>
    <t>Salmon, Farmed, marine floating bag system</t>
  </si>
  <si>
    <t>Salmon, Farmed, land-based saltwater flow-through system</t>
  </si>
  <si>
    <t>Farm Raised Arctic Char, land-based freshwater recirculating system</t>
  </si>
  <si>
    <t>Tilapia, lake-cultured in Indonesia, delivered to Rotterdam</t>
  </si>
  <si>
    <t>Tilapia, lake-cultured in Indonesia, delivered to Chicago</t>
  </si>
  <si>
    <t>Atlantic Cod, fillet, delivered to Grimsby, UK</t>
  </si>
  <si>
    <t>Atlantic Cod, fillet, delivered by air to Grimsby, UK</t>
  </si>
  <si>
    <t>Alaskan Pollock, fillet, trawler/mothership system, processing in china</t>
  </si>
  <si>
    <t>Alaskan Pollock, fillet, catcher/processor system</t>
  </si>
  <si>
    <t>Alaskan Salmon, fillet, processed in Alaska</t>
  </si>
  <si>
    <t>Alaskan Salmon, fillet, processed in China</t>
  </si>
  <si>
    <t>Farmed shrimp, intensive farming</t>
  </si>
  <si>
    <t>Farmed shrimp, semi-intensive farming</t>
  </si>
  <si>
    <t>Atlantic Cod, Wetpack - autoline fisheries, delivered to Sweden</t>
  </si>
  <si>
    <t>Atlantic Cod, Fishburgers - autoline fisheries, delivered to Sweden</t>
  </si>
  <si>
    <t>Atlantic Cod, Loin - autoline fisheries, delivered to UK</t>
  </si>
  <si>
    <t xml:space="preserve">Farmed Sea Bass, traditional rearing raceways </t>
  </si>
  <si>
    <t>Farmed Sea Bass, cascade rearing raceways</t>
  </si>
  <si>
    <t>Canned Sardines, purse seine fishery, includes olive oil &amp; salt</t>
  </si>
  <si>
    <t>Fresh Sardines, purse seine fishery</t>
  </si>
  <si>
    <t>Frozen Sardines, purse seine fishery</t>
  </si>
  <si>
    <t>Atlantic Salmon, copper alloy mesh net pens</t>
  </si>
  <si>
    <t>Atlantic Salmon, nylon net pens</t>
  </si>
  <si>
    <t>Tropical Rock Lobster, frozen tail shipped from N. Australia to US</t>
  </si>
  <si>
    <t>Farmed Rainbow Trout, flow-through production system</t>
  </si>
  <si>
    <t>Farmed Rainbow Trout, semi-closed recirc. system</t>
  </si>
  <si>
    <t>Farmed Rainbow Trout, recirculating system</t>
  </si>
  <si>
    <t>Snails, semi-intensive rearing system in Southern Italy</t>
  </si>
  <si>
    <t>Zea Maize, conventional</t>
  </si>
  <si>
    <t>Zea Maize, organic</t>
  </si>
  <si>
    <r>
      <t>CO</t>
    </r>
    <r>
      <rPr>
        <b/>
        <vertAlign val="subscript"/>
        <sz val="12"/>
        <color rgb="FF000000"/>
        <rFont val="Calibri"/>
        <family val="2"/>
      </rPr>
      <t xml:space="preserve">2 </t>
    </r>
    <r>
      <rPr>
        <b/>
        <sz val="12"/>
        <color rgb="FF000000"/>
        <rFont val="Calibri"/>
        <family val="2"/>
      </rPr>
      <t>eq / kg</t>
    </r>
  </si>
  <si>
    <t>Apple juice</t>
  </si>
  <si>
    <t>Grape juice</t>
  </si>
  <si>
    <t>Pineapple juice</t>
  </si>
  <si>
    <t>Prune juice</t>
  </si>
  <si>
    <t>Lamb</t>
  </si>
  <si>
    <t>Pecans</t>
  </si>
  <si>
    <t xml:space="preserve">CED </t>
  </si>
  <si>
    <t xml:space="preserve">GHG </t>
  </si>
  <si>
    <t>Corn, field</t>
  </si>
  <si>
    <t>Hazelnuts, paste</t>
  </si>
  <si>
    <t>snail</t>
  </si>
  <si>
    <t>Tomato juice</t>
  </si>
  <si>
    <t>Tomato paste</t>
  </si>
  <si>
    <t>/1000/.72  filet yield (72%) from Table 4.5 of http://brage.bibsys.no/xmlui/bitstream/handle/11250/186065/deependra%20acharya.pdf?sequence=1</t>
  </si>
  <si>
    <t>/1000/.52  from http://www.fao.org/docrep/003/t0219e/T0219E01.htm#ch1</t>
  </si>
  <si>
    <t>/1000/.58 from http://www.fao.org/docrep/003/t0219e/T0219E01.htm#ch1</t>
  </si>
  <si>
    <t>/1000/.57 from http://www.fao.org/docrep/003/t0219e/T0219E01.htm#ch1</t>
  </si>
  <si>
    <t>/1000/.65 assuming 65% fillet yield, ave of high and low FY from http://onlinelibrary.wiley.com/doi/10.1111/j.1745-4573.2010.00214.x/abstract</t>
  </si>
  <si>
    <t>/1000/.44 68% round to headed&amp;gutted, 65% headed&amp;gutted to skinless fillet, from http://www.chefs-resources.com/seafood/seafood-yields/</t>
  </si>
  <si>
    <t>/1000/.48  from http://www.brownetrading.com/species-spotlight/farm-raised-turbot-from-spain/</t>
  </si>
  <si>
    <t>/1000/.31  ~31% meat yield, from DOI:10.1021/jf900237g</t>
  </si>
  <si>
    <t>/24/.79  79% meats from http://www.fao.org/docrep/003/t0219e/T0219E01.htm#ch1</t>
  </si>
  <si>
    <t>date</t>
  </si>
  <si>
    <t>/1000/.72  fillet yield (72%) from Table 4.5 of http://brage.bibsys.no/xmlui/bitstream/handle/11250/186065/deependra%20acharya.pdf?sequence=1</t>
  </si>
  <si>
    <t>0.250kg</t>
  </si>
  <si>
    <t>onion, bulb</t>
  </si>
  <si>
    <t>chicken</t>
  </si>
  <si>
    <t>almond</t>
  </si>
  <si>
    <t>lentil, seed</t>
  </si>
  <si>
    <t>Fish-saltwater finfish</t>
  </si>
  <si>
    <t>tropical fruit</t>
  </si>
  <si>
    <t>berry</t>
  </si>
  <si>
    <t>brassica greens</t>
  </si>
  <si>
    <t>roots</t>
  </si>
  <si>
    <t>tree fruit</t>
  </si>
  <si>
    <t>greens</t>
  </si>
  <si>
    <t>citrus</t>
  </si>
  <si>
    <t>brassica roots</t>
  </si>
  <si>
    <t>kale</t>
  </si>
  <si>
    <t>dried herbs</t>
  </si>
  <si>
    <t>fresh herbs</t>
  </si>
  <si>
    <t>nut</t>
  </si>
  <si>
    <t>brassica</t>
  </si>
  <si>
    <t>spices</t>
  </si>
  <si>
    <t>Apricot, dried, uncooked</t>
  </si>
  <si>
    <t>Commodity_base</t>
  </si>
  <si>
    <t>StoneFruits</t>
  </si>
  <si>
    <t>Apricot, raw</t>
  </si>
  <si>
    <t>Apricot nectar</t>
  </si>
  <si>
    <t>TotalCaloricSweeteners</t>
  </si>
  <si>
    <t>Almonds, unroasted</t>
  </si>
  <si>
    <t>TreeNuts</t>
  </si>
  <si>
    <t>Almond oil</t>
  </si>
  <si>
    <t>OtherOils</t>
  </si>
  <si>
    <t>Apple, dried, uncooked</t>
  </si>
  <si>
    <t>Apple, raw</t>
  </si>
  <si>
    <t>ApplesFromJuice</t>
  </si>
  <si>
    <t>Applesauce, stewed apples, unsweetened</t>
  </si>
  <si>
    <t>Artichoke, Jerusalem, raw</t>
  </si>
  <si>
    <t>TotalVegetables</t>
  </si>
  <si>
    <t>Artichoke, globe (French), cooked, from fresh, fat not added in cooking</t>
  </si>
  <si>
    <t>Lettuce, arugula, raw</t>
  </si>
  <si>
    <t>Asparagus, raw</t>
  </si>
  <si>
    <t>Avocado, raw</t>
  </si>
  <si>
    <t>Pear, raw</t>
  </si>
  <si>
    <t>TotalFruit</t>
  </si>
  <si>
    <t>Pear, dried, uncooked</t>
  </si>
  <si>
    <t>Pear nectar</t>
  </si>
  <si>
    <t>Banana, raw</t>
  </si>
  <si>
    <t>LegumesDried</t>
  </si>
  <si>
    <t>Peas, cowpeas, field peas, or blackeye peas (not dried), cooked, from fresh, fat not added in cooking</t>
  </si>
  <si>
    <t>Cowpeas, dry, cooked, fat not added in cooking</t>
  </si>
  <si>
    <t>Red kidney beans, dry, cooked, fat not added in cooking</t>
  </si>
  <si>
    <t>Beans, lima, raw</t>
  </si>
  <si>
    <t>Beans, lima, immature, cooked, from fresh, fat not added in cooking</t>
  </si>
  <si>
    <t>Mung beans, fat not added in cooking</t>
  </si>
  <si>
    <t>Pink beans, dry, cooked, fat not added in cooking</t>
  </si>
  <si>
    <t>Beet greens, raw</t>
  </si>
  <si>
    <t>TotalLeafyVeg</t>
  </si>
  <si>
    <t>Beets, raw</t>
  </si>
  <si>
    <t>TotalRootsAndTubers</t>
  </si>
  <si>
    <t>Sugar, raw</t>
  </si>
  <si>
    <t>Molasses</t>
  </si>
  <si>
    <t>Endive, chicory, escarole, or romaine lettuce, raw</t>
  </si>
  <si>
    <t>Blackberries, raw</t>
  </si>
  <si>
    <t>Berries</t>
  </si>
  <si>
    <t>Blackberry juice</t>
  </si>
  <si>
    <t>Blueberries, raw</t>
  </si>
  <si>
    <t>Boysenberries, raw</t>
  </si>
  <si>
    <t>Brazil nuts</t>
  </si>
  <si>
    <t>Broccoli, raw</t>
  </si>
  <si>
    <t>BroccoliAndCauliflower</t>
  </si>
  <si>
    <t>Brussels sprouts, raw</t>
  </si>
  <si>
    <t>TotalBrassica</t>
  </si>
  <si>
    <t>Buckwheat groats, cooked, fat not added in cooking</t>
  </si>
  <si>
    <t>TotalGrain</t>
  </si>
  <si>
    <t>Burdock, cooked, fat not added in cooking</t>
  </si>
  <si>
    <t>Cabbage, green, raw</t>
  </si>
  <si>
    <t>Cabbage, Chinese, raw</t>
  </si>
  <si>
    <t>Mustard greens, raw</t>
  </si>
  <si>
    <t>Cactus, raw</t>
  </si>
  <si>
    <t>Cantaloupe (muskmelon), raw</t>
  </si>
  <si>
    <t>Melons</t>
  </si>
  <si>
    <t>Carob powder or flour</t>
  </si>
  <si>
    <t>Carrot juice</t>
  </si>
  <si>
    <t>Carrots, raw</t>
  </si>
  <si>
    <t>Cashew nuts, dry roasted</t>
  </si>
  <si>
    <t>Cassava (yuca blanca), cooked, fat not added in cooking</t>
  </si>
  <si>
    <t>Cauliflower, raw</t>
  </si>
  <si>
    <t>Celery, raw</t>
  </si>
  <si>
    <t>Celery juice</t>
  </si>
  <si>
    <t>Cherries, sweet, raw (Queen Anne, Bing)</t>
  </si>
  <si>
    <t>Chestnuts, roasted</t>
  </si>
  <si>
    <t>Chicken skin</t>
  </si>
  <si>
    <t>Chicory</t>
  </si>
  <si>
    <t>Chives, raw</t>
  </si>
  <si>
    <t>Cilantro, raw</t>
  </si>
  <si>
    <t>Cocoa powder, not reconstituted (no dry milk)</t>
  </si>
  <si>
    <t>Coconut oil</t>
  </si>
  <si>
    <t>Coconut meat, fresh</t>
  </si>
  <si>
    <t>Coconut milk (liquid expressed from grated coconut meat, water added)</t>
  </si>
  <si>
    <t>Coconut meat, dried, sweetened</t>
  </si>
  <si>
    <t>Coffee, made from powdered instant, regular</t>
  </si>
  <si>
    <t>Coffee, made from ground, regular</t>
  </si>
  <si>
    <t>Collards, raw</t>
  </si>
  <si>
    <t>Corn oil</t>
  </si>
  <si>
    <t>SaladCookingOils</t>
  </si>
  <si>
    <t>Corn syrup, light or dark</t>
  </si>
  <si>
    <t>Corn, raw</t>
  </si>
  <si>
    <t>SweetCorn</t>
  </si>
  <si>
    <t>Popcorn, air-popped (no butter or no oil added)</t>
  </si>
  <si>
    <t>Cottonseed oil</t>
  </si>
  <si>
    <t>Cranberries, raw</t>
  </si>
  <si>
    <t>Cranberries, dried</t>
  </si>
  <si>
    <t>Cranberry juice, 100%, not a blend</t>
  </si>
  <si>
    <t>Cress, raw</t>
  </si>
  <si>
    <t>Cucumber, raw</t>
  </si>
  <si>
    <t>Cucumbers</t>
  </si>
  <si>
    <t>Currants, dried</t>
  </si>
  <si>
    <t>Dasheen, boiled</t>
  </si>
  <si>
    <t>Egg, white only, raw</t>
  </si>
  <si>
    <t>Egg, whole, raw</t>
  </si>
  <si>
    <t>Egg, yolk only, raw</t>
  </si>
  <si>
    <t>EggsNoShell</t>
  </si>
  <si>
    <t>Eggplant, raw</t>
  </si>
  <si>
    <t>Fennel bulb, raw</t>
  </si>
  <si>
    <t>Fig, raw</t>
  </si>
  <si>
    <t>Fig, dried, uncooked</t>
  </si>
  <si>
    <t>Flaxseed oil</t>
  </si>
  <si>
    <t>Flax seeds</t>
  </si>
  <si>
    <t>Garlic, raw</t>
  </si>
  <si>
    <t>Grapes, raw, NS as to type</t>
  </si>
  <si>
    <t>Grapefruit, raw</t>
  </si>
  <si>
    <t>Grapefruit juice, freshly squeezed</t>
  </si>
  <si>
    <t>OtherCitrusFruits</t>
  </si>
  <si>
    <t>Guava, raw</t>
  </si>
  <si>
    <t>TropicalFruits</t>
  </si>
  <si>
    <t>Filberts, hazelnuts</t>
  </si>
  <si>
    <t>Honeydew melon, raw</t>
  </si>
  <si>
    <t>Huckleberries, raw</t>
  </si>
  <si>
    <t>Kale, cooked, from fresh, fat not added in cooking</t>
  </si>
  <si>
    <t>Kiwi fruit, raw</t>
  </si>
  <si>
    <t>Kohlrabi, raw</t>
  </si>
  <si>
    <t>Kumquat, raw</t>
  </si>
  <si>
    <t>Leek, raw</t>
  </si>
  <si>
    <t>Lemon, raw</t>
  </si>
  <si>
    <t>Lemon juice, freshly squeezed</t>
  </si>
  <si>
    <t>Lentils, dry, cooked, fat not added in cooking</t>
  </si>
  <si>
    <t>Lime, raw</t>
  </si>
  <si>
    <t>Lime juice, freshly squeezed</t>
  </si>
  <si>
    <t>Lychee, raw</t>
  </si>
  <si>
    <t>Macadamia nuts, unroasted</t>
  </si>
  <si>
    <t>Mango, raw</t>
  </si>
  <si>
    <t>Mango nectar</t>
  </si>
  <si>
    <t>Maple syrup (100% maple)</t>
  </si>
  <si>
    <t>Sugar, maple</t>
  </si>
  <si>
    <t>Millet, cooked, fat not added in cooking</t>
  </si>
  <si>
    <t>Mulberries, raw</t>
  </si>
  <si>
    <t>Mushrooms, raw</t>
  </si>
  <si>
    <t>Nectarine, raw</t>
  </si>
  <si>
    <t>Oat bran, uncooked</t>
  </si>
  <si>
    <t>OatFlour</t>
  </si>
  <si>
    <t>Oats, raw</t>
  </si>
  <si>
    <t>Olives, NFS</t>
  </si>
  <si>
    <t>Onion, dehydrated</t>
  </si>
  <si>
    <t>Onions, mature, raw</t>
  </si>
  <si>
    <t>Onions, young green, raw</t>
  </si>
  <si>
    <t>Orange, raw</t>
  </si>
  <si>
    <t>Orange juice, freshly squeezed</t>
  </si>
  <si>
    <t>Orange peel</t>
  </si>
  <si>
    <t>OrangesFromJuice</t>
  </si>
  <si>
    <t>Palm hearts, cooked (assume fat not added in cooking)</t>
  </si>
  <si>
    <t>Papaya, raw</t>
  </si>
  <si>
    <t>Papaya juice</t>
  </si>
  <si>
    <t>Parsley, raw</t>
  </si>
  <si>
    <t>Parsnips, cooked, fat not added in cooking</t>
  </si>
  <si>
    <t>Passion fruit, raw</t>
  </si>
  <si>
    <t>Passion fruit juice</t>
  </si>
  <si>
    <t>Peas, green, raw</t>
  </si>
  <si>
    <t>GreenPeas</t>
  </si>
  <si>
    <t>Pigeon peas, cooked, from fresh, fat not added in cooking</t>
  </si>
  <si>
    <t>Peach, raw</t>
  </si>
  <si>
    <t>Peach, dried, uncooked</t>
  </si>
  <si>
    <t>Peach nectar</t>
  </si>
  <si>
    <t>Peanut oil</t>
  </si>
  <si>
    <t>Pepper, raw, NFS</t>
  </si>
  <si>
    <t>Peppers</t>
  </si>
  <si>
    <t>Persimmon, raw</t>
  </si>
  <si>
    <t>Pine nuts (Pignolias)</t>
  </si>
  <si>
    <t>Pineapple, raw</t>
  </si>
  <si>
    <t>Pistachio nuts</t>
  </si>
  <si>
    <t>Ripe plantain, raw</t>
  </si>
  <si>
    <t>Plantain chips</t>
  </si>
  <si>
    <t>Plum, raw</t>
  </si>
  <si>
    <t>Prune, dried, uncooked</t>
  </si>
  <si>
    <t>Pomegranate, raw</t>
  </si>
  <si>
    <t>Pomegranate juice</t>
  </si>
  <si>
    <t>White potato, chips</t>
  </si>
  <si>
    <t>White potato, raw, with or without peel (assume peel not eaten)</t>
  </si>
  <si>
    <t>Psyllium seed, husks</t>
  </si>
  <si>
    <t>Pumpkin and/or squash seeds, hulled, unroasted</t>
  </si>
  <si>
    <t>Rabbit, NS as to domestic or wild, cooked</t>
  </si>
  <si>
    <t>TotalMeat</t>
  </si>
  <si>
    <t>Radicchio, raw</t>
  </si>
  <si>
    <t>Rapeseed oil</t>
  </si>
  <si>
    <t>Raspberries, black, raw</t>
  </si>
  <si>
    <t>Rhubarb, raw</t>
  </si>
  <si>
    <t>Rice, brown, cooked, regular, fat not added in cooking</t>
  </si>
  <si>
    <t>RiceDried</t>
  </si>
  <si>
    <t>Rice, white, cooked, regular, fat not added in cooking</t>
  </si>
  <si>
    <t>Rutabaga, raw</t>
  </si>
  <si>
    <t>Safflower oil</t>
  </si>
  <si>
    <t>Seaweed, raw</t>
  </si>
  <si>
    <t>Sesame oil</t>
  </si>
  <si>
    <t>Sesame seeds, whole seed</t>
  </si>
  <si>
    <t>Sorghum syrup</t>
  </si>
  <si>
    <t>Soybean oil</t>
  </si>
  <si>
    <t>Milk, soy, ready-to-drink, not baby's</t>
  </si>
  <si>
    <t>Spinach, raw</t>
  </si>
  <si>
    <t>Squash, summer, yellow, raw</t>
  </si>
  <si>
    <t>Squash, winter type, raw</t>
  </si>
  <si>
    <t>Strawberries, raw</t>
  </si>
  <si>
    <t>Strawberry juice</t>
  </si>
  <si>
    <t>Sunflower oil</t>
  </si>
  <si>
    <t>Sunflower seeds, hulled, unroasted</t>
  </si>
  <si>
    <t>Chard, raw</t>
  </si>
  <si>
    <t>Tamarind, raw</t>
  </si>
  <si>
    <t>Tangerine, raw</t>
  </si>
  <si>
    <t>Tangerine juice, NFS</t>
  </si>
  <si>
    <t>Tannier, cooked</t>
  </si>
  <si>
    <t>Tea, powdered instant, unsweetened, dry</t>
  </si>
  <si>
    <t>Tea, leaf, unsweetened</t>
  </si>
  <si>
    <t>Tomatoes, raw</t>
  </si>
  <si>
    <t>Tomatoes, red, dried</t>
  </si>
  <si>
    <t>Turnip greens, cooked, from fresh, fat not added in cooking</t>
  </si>
  <si>
    <t>Turnip, raw</t>
  </si>
  <si>
    <t>Water, bottled, unsweetened</t>
  </si>
  <si>
    <t>Water, tap</t>
  </si>
  <si>
    <t>Watercress, raw</t>
  </si>
  <si>
    <t>Watermelon, raw</t>
  </si>
  <si>
    <t>Watermelon juice</t>
  </si>
  <si>
    <t>Wheat bran, unprocessed</t>
  </si>
  <si>
    <t>WheatFlour</t>
  </si>
  <si>
    <t>Wheat germ, plain</t>
  </si>
  <si>
    <t>Whole wheat, cracked</t>
  </si>
  <si>
    <t>Rice, wild, 100%, cooked, fat not added in cooking</t>
  </si>
  <si>
    <t>Jicama, raw</t>
  </si>
  <si>
    <t>x</t>
  </si>
  <si>
    <t>FCID_Code basis</t>
  </si>
  <si>
    <t>weight basis</t>
  </si>
  <si>
    <t>NHANES_Code</t>
  </si>
  <si>
    <t>NHANES_Desc</t>
  </si>
  <si>
    <t>Bananas, dehydrated</t>
  </si>
  <si>
    <t>FICRCD p45</t>
  </si>
  <si>
    <t>FICRCD p46</t>
  </si>
  <si>
    <t>FICRCD p47</t>
  </si>
  <si>
    <t>Soursop, with refuse</t>
  </si>
  <si>
    <t>FICRCD p48</t>
  </si>
  <si>
    <t>Barley, pearled, uncooked</t>
  </si>
  <si>
    <t>Grains</t>
  </si>
  <si>
    <t>grains</t>
  </si>
  <si>
    <t>Oats, regular and quick and instant, uncooked</t>
  </si>
  <si>
    <t>FICRCD p50</t>
  </si>
  <si>
    <t>Peanuts, raw, without shell</t>
  </si>
  <si>
    <t>FICRCD p51</t>
  </si>
  <si>
    <t>Balsam-pear (bitter gourd), pods, with refuse</t>
  </si>
  <si>
    <t>Bamboo shoots, with refuse</t>
  </si>
  <si>
    <t>Beans, snap, green, with refuse</t>
  </si>
  <si>
    <t>Black beans, uncooked</t>
  </si>
  <si>
    <t>Breadfruit, with refuse</t>
  </si>
  <si>
    <t>Broadbeans (fava beans), uncooked</t>
  </si>
  <si>
    <t>Broccoli, with refuse</t>
  </si>
  <si>
    <t>FICRCD p52</t>
  </si>
  <si>
    <t>Chickpeas (garbanzo beans, bengal gram), uncooked</t>
  </si>
  <si>
    <t>Dandelion greens, with refuse</t>
  </si>
  <si>
    <t>Endive, with refuse</t>
  </si>
  <si>
    <t>FICRCD p53</t>
  </si>
  <si>
    <t>Okra, with refuse</t>
  </si>
  <si>
    <t>Peas, edible-podded, with refuse</t>
  </si>
  <si>
    <t>Pinto beans, uncooked</t>
  </si>
  <si>
    <t>FICRCD p54</t>
  </si>
  <si>
    <t>Potatoes, with refuse</t>
  </si>
  <si>
    <t>FICRCD</t>
  </si>
  <si>
    <t>Pumpkin, with refuse</t>
  </si>
  <si>
    <t>Radishes, with refuse</t>
  </si>
  <si>
    <t>Soy flour</t>
  </si>
  <si>
    <t>Sweetpotato, with refuse</t>
  </si>
  <si>
    <t>FICRCD p55</t>
  </si>
  <si>
    <t>Yam, with refuse</t>
  </si>
  <si>
    <t>Waxgourd, (chinese preserving melon), with refuse</t>
  </si>
  <si>
    <t>MCF</t>
  </si>
  <si>
    <t>Source</t>
  </si>
  <si>
    <t>ENVI</t>
  </si>
  <si>
    <t>LAFA</t>
  </si>
  <si>
    <t>AgHB</t>
  </si>
  <si>
    <t>NNDSR28</t>
  </si>
  <si>
    <t>Beef, dried, chipped, uncooked</t>
  </si>
  <si>
    <t>Raisins, golden seedless</t>
  </si>
  <si>
    <t>Waterchestnuts, chinese (matai), with refuse</t>
  </si>
  <si>
    <t>Lettuce, iceberg, with refuse</t>
  </si>
  <si>
    <t>Lettuce, green leaf with refuse</t>
  </si>
  <si>
    <t>averaged banana (1.22), poblano (1.22), serrano (1.03), hot chili (1.56)</t>
  </si>
  <si>
    <t>cassava</t>
  </si>
  <si>
    <t>beef</t>
  </si>
  <si>
    <t>pumpkin</t>
  </si>
  <si>
    <t>rice, brown</t>
  </si>
  <si>
    <t>celery</t>
  </si>
  <si>
    <t>cherry</t>
  </si>
  <si>
    <t>plum, juice</t>
  </si>
  <si>
    <t>grapefruit</t>
  </si>
  <si>
    <t>tangelo</t>
  </si>
  <si>
    <t>average of romaine, green leaf and red leaf</t>
  </si>
  <si>
    <t>apple, juice</t>
  </si>
  <si>
    <t>maple syrup = 32.39% H2O, maple sugar = 8% h2o</t>
  </si>
  <si>
    <t>pit = 14%</t>
  </si>
  <si>
    <t>LCA data refer directly to shelled peas</t>
  </si>
  <si>
    <t>LCA data refers directly to shelled nuts</t>
  </si>
  <si>
    <t>assuming LCA data refers directly to shelled nuts.</t>
  </si>
  <si>
    <t>Coffee, brewed</t>
  </si>
  <si>
    <t>extracting impact per kg roasted bean. 6.5g roasted bean/cup. Capturing impacts only through roasting and grinding</t>
  </si>
  <si>
    <t>extracting impact per kg roasted bean.  7g coffee/cup.</t>
  </si>
  <si>
    <t>extracting impact per kg instant coffee.  2 g powder/cup</t>
  </si>
  <si>
    <t>Darjeeling Tea, organic production</t>
  </si>
  <si>
    <t>Darjeeling Tea, conventional production</t>
  </si>
  <si>
    <t>extracting impact per kg dry tea leaves. 1.75g tea/cup.  Cultivation &amp; processing only</t>
  </si>
  <si>
    <t>conversion factor source</t>
  </si>
  <si>
    <t>blackberry, juice</t>
  </si>
  <si>
    <t>orange</t>
  </si>
  <si>
    <t>papaya</t>
  </si>
  <si>
    <t>peach</t>
  </si>
  <si>
    <t>Carbonated drinks</t>
  </si>
  <si>
    <t>bottled</t>
  </si>
  <si>
    <t>Coca-Cola, 330 mL aluminum can</t>
  </si>
  <si>
    <t>Coca-Cola, 330 mL glass bottle</t>
  </si>
  <si>
    <t>Coca-Cola, 2 L plastic bottle</t>
  </si>
  <si>
    <t>Diet Coke, 330 mL aluminum can</t>
  </si>
  <si>
    <t>Diet Coke, 330 mL glass bottle</t>
  </si>
  <si>
    <t>Diet Coke, 2 L plastic bottle</t>
  </si>
  <si>
    <t>Coke Zero, 330 mL aluminum can</t>
  </si>
  <si>
    <t>Coke Zero, 330 mL glass bottle</t>
  </si>
  <si>
    <t>Coke Zero, 2 L plastic bottle</t>
  </si>
  <si>
    <t>Oasis, 375 mL glass bottle</t>
  </si>
  <si>
    <t>Coca-Cola Great Britian</t>
  </si>
  <si>
    <t>beer</t>
  </si>
  <si>
    <t>draft</t>
  </si>
  <si>
    <t>glass bottle</t>
  </si>
  <si>
    <t>Henrik Saxe</t>
  </si>
  <si>
    <t>Institute of Food and Resource Economics, Copenhagen</t>
  </si>
  <si>
    <t>g per litre beer</t>
  </si>
  <si>
    <t>/1000/1.05 (assumed density of beer in kg/L)</t>
  </si>
  <si>
    <t>ave bottles &amp; cans</t>
  </si>
  <si>
    <t>includes refrigeration in use phase</t>
  </si>
  <si>
    <t>New Belgium Fat Tire in 6 pack bottles</t>
  </si>
  <si>
    <t>g per 6 pack</t>
  </si>
  <si>
    <t>/1000/72 oz.(=2.129 L)/1.05</t>
  </si>
  <si>
    <t>The Climate Conservancy</t>
  </si>
  <si>
    <t>bottles</t>
  </si>
  <si>
    <t>European format, 33cL bottle</t>
  </si>
  <si>
    <t>North American format, 255mL can</t>
  </si>
  <si>
    <t>Beverage Industry Environmental Roundtable</t>
  </si>
  <si>
    <t>g per L</t>
  </si>
  <si>
    <t>0.33 L glass bottle</t>
  </si>
  <si>
    <t>0.44 L aluminum can</t>
  </si>
  <si>
    <t>0.44 L steel can</t>
  </si>
  <si>
    <t>David Amienyo1 &amp; Adisa Azapagic1</t>
  </si>
  <si>
    <t>School of Chemical Engineering and Analytical Science, The University of Manchester, Room C16, The Mill, Sackville Street, M13 9PL Manchester, UK</t>
  </si>
  <si>
    <t>liquor</t>
  </si>
  <si>
    <t>column distillation, high proof North American whiskey</t>
  </si>
  <si>
    <t>g/750mL bottle</t>
  </si>
  <si>
    <t>/1000/.750/0.94 (assumed density, kg/L)</t>
  </si>
  <si>
    <t>/1000/1.01 (assumed density of beer in kg/L)</t>
  </si>
  <si>
    <t>pot distillation, high proof North American whiskey</t>
  </si>
  <si>
    <t>Scotch whisky</t>
  </si>
  <si>
    <t>Scotland</t>
  </si>
  <si>
    <t>g/L</t>
  </si>
  <si>
    <t>Loijos, A.</t>
  </si>
  <si>
    <t>Cradle to Refinery</t>
  </si>
  <si>
    <t>serving size (14 g oil)</t>
  </si>
  <si>
    <t>reported value / 14</t>
  </si>
  <si>
    <t>World</t>
  </si>
  <si>
    <t>Schmidt, J. H.</t>
  </si>
  <si>
    <t>Dalgaard, R., J. Schmidt, N. Halberg, P.Christensen, M. Thrane, W. A. Pengue.</t>
  </si>
  <si>
    <t>1 tonne oil</t>
  </si>
  <si>
    <t>kg soybean meal</t>
  </si>
  <si>
    <t>paper converts to kg oil, no adjustment necessary</t>
  </si>
  <si>
    <t>(From Barilla Data)</t>
  </si>
  <si>
    <t>IPCC 2007 (From Barilla Data)</t>
  </si>
  <si>
    <t>EDIP 97, (From Barilla Data), is the average of economic and mass based allocation methods</t>
  </si>
  <si>
    <t>Beverages Total</t>
  </si>
  <si>
    <t>Cereals and Grains Total</t>
  </si>
  <si>
    <t>Dairy Total</t>
  </si>
  <si>
    <t>Eggs Total</t>
  </si>
  <si>
    <t>Fish and Seafood Total</t>
  </si>
  <si>
    <t>Fruit Total</t>
  </si>
  <si>
    <t>Legumes and Nuts Total</t>
  </si>
  <si>
    <t>Meat Total</t>
  </si>
  <si>
    <t>Meat Substitutes Total</t>
  </si>
  <si>
    <t>Oils and Fats Total</t>
  </si>
  <si>
    <t>Other Total</t>
  </si>
  <si>
    <t>Sweeteners Total</t>
  </si>
  <si>
    <t>Vegetables Total</t>
  </si>
  <si>
    <t>NFC Orange juic</t>
  </si>
  <si>
    <t>Fluid Milk, cow</t>
  </si>
  <si>
    <t>Potatoes, mashed</t>
  </si>
  <si>
    <t>65% moisture</t>
  </si>
  <si>
    <t>59.8% moisture</t>
  </si>
  <si>
    <t>63.1% moisture</t>
  </si>
  <si>
    <t>64.1% moisture</t>
  </si>
  <si>
    <t>70.8% moisture</t>
  </si>
  <si>
    <t>1 kJ of nutritional energy</t>
  </si>
  <si>
    <t>edible boneless weight = 0.729*carcass weight</t>
  </si>
  <si>
    <t>1 kg deboned pig meat</t>
  </si>
  <si>
    <t>boneless = 77%*carcass (Sonesson, 2010)</t>
  </si>
  <si>
    <t>reported value/1000 boneless = 77%*carcass (Sonesson, 2010)</t>
  </si>
  <si>
    <t>/.31 ~31% meat yield, from DOI:10.1021/jf900237g</t>
  </si>
  <si>
    <t>Soymilk</t>
  </si>
  <si>
    <t>CED,Ag Production (MJ/kg)</t>
  </si>
  <si>
    <t>GHGE, Ag Production (kg CO2e/kg)</t>
  </si>
  <si>
    <t>Energy (MJ)</t>
  </si>
  <si>
    <t>GHG (kgCO2eq)</t>
  </si>
  <si>
    <t>Hops</t>
  </si>
  <si>
    <t>(blank)</t>
  </si>
  <si>
    <t>(blank) Total</t>
  </si>
  <si>
    <t>PROXY?</t>
  </si>
  <si>
    <t>Audsley, E.; Brander, M.; Chatterton, J.; Murphy-Bokern, D.; Webster, C.; Williams, A.</t>
  </si>
  <si>
    <t>Cranfield University, UK</t>
  </si>
  <si>
    <t>2010</t>
  </si>
  <si>
    <t>RoE</t>
  </si>
  <si>
    <t>RoW</t>
  </si>
  <si>
    <t>assignment stage</t>
  </si>
  <si>
    <t>at oil refinery gate</t>
  </si>
  <si>
    <t>Ecoinvent 3 process: (Cottonseed oil, refined {US}| cottonseed oil refinery operation | Alloc Def, U)</t>
  </si>
  <si>
    <t>AU</t>
  </si>
  <si>
    <t>CZ</t>
  </si>
  <si>
    <t>DE</t>
  </si>
  <si>
    <t>ES</t>
  </si>
  <si>
    <t>FR</t>
  </si>
  <si>
    <t>IT</t>
  </si>
  <si>
    <t>RO</t>
  </si>
  <si>
    <t>SE</t>
  </si>
  <si>
    <t>AR</t>
  </si>
  <si>
    <t>BG</t>
  </si>
  <si>
    <t>CN</t>
  </si>
  <si>
    <t>GR</t>
  </si>
  <si>
    <t>HU</t>
  </si>
  <si>
    <t>UA</t>
  </si>
  <si>
    <t>Agrifootprint processes: Pea, at farm/XX Mass</t>
  </si>
  <si>
    <t>Agrifootprint processes: Sunflower seed, at farm/XX Mass</t>
  </si>
  <si>
    <t>ID</t>
  </si>
  <si>
    <t>PH</t>
  </si>
  <si>
    <t>TH</t>
  </si>
  <si>
    <t>Agrifootprint process: Coconut, at farm/XX Mass, assuming meat is 48% of whole coconut weight</t>
  </si>
  <si>
    <t>Agrifootprint process: White rice, from dry milling, at plant/CN Mass</t>
  </si>
  <si>
    <t>Rice, White</t>
  </si>
  <si>
    <t>at milling plant</t>
  </si>
  <si>
    <t>Agrifootprint process: Maize flour, from dry milling, at plant/US Mass</t>
  </si>
  <si>
    <t>Agrifootprint process: Spinach, at farm/BE Mass</t>
  </si>
  <si>
    <t>Agrifootprint process: Spinach, at farm/NL Mass</t>
  </si>
  <si>
    <t>BE</t>
  </si>
  <si>
    <t>NL</t>
  </si>
  <si>
    <t>Agrifootprint process: Oat grain peeled, from dry milling, at plant/BE Mass + average(difference between 3 fry flour and rye grain processes)</t>
  </si>
  <si>
    <t>Agrifootprint process: Oat grain peeled, from dry milling, at plant/NL Mass + average(difference between 3 fry flour and rye grain processes)</t>
  </si>
  <si>
    <t>clover, seed</t>
  </si>
  <si>
    <t>from LCA FOOD DK dataset (used as proxy for alfalfa seed)</t>
  </si>
  <si>
    <t>DK</t>
  </si>
  <si>
    <t>Ecoinvent 3 process: Melon {GLO}| production | Alloc Def, S</t>
  </si>
  <si>
    <t>Agrifootprint process: Broad bean, at farm/FR Mass</t>
  </si>
  <si>
    <t>Agrifootprint process: Broad bean, at farm/AU Mass</t>
  </si>
  <si>
    <r>
      <t>Alejandro D. González</t>
    </r>
    <r>
      <rPr>
        <sz val="12"/>
        <color rgb="FF000000"/>
        <rFont val="Calibri"/>
        <family val="2"/>
      </rPr>
      <t>, Björn Frostell, Annika Carlsson-Kanyama</t>
    </r>
  </si>
  <si>
    <t>Ecoinvent 3 process: Kiwi {GLO}| production | Alloc Def, S</t>
  </si>
  <si>
    <t>"overseas"</t>
  </si>
  <si>
    <t>Annika Carlsson-Kanyam, Marianne Pipping Ekstrom, Helena Shanahan</t>
  </si>
  <si>
    <t>Ecoinvent 3 process: Green asparagus {GLO}| production | Alloc Def, S</t>
  </si>
  <si>
    <t>Ecoinvent 3 process: White asparagus {CN}| white asparagus production | Alloc Def, S</t>
  </si>
  <si>
    <t>Ecoinvent 3 process: White asparagus {FR}| white asparagus production | Alloc Def, S</t>
  </si>
  <si>
    <t>Ecoinvent 3 process: White asparagus {PE}| white asparagus production | Alloc Def, S</t>
  </si>
  <si>
    <t>PE</t>
  </si>
  <si>
    <t>Agrifootprint process: Groundnuts, with shell, at farm/US Mass</t>
  </si>
  <si>
    <t>Agrifootprint process: Broccoli, at farm/FR Mass</t>
  </si>
  <si>
    <t>Agrifootprint process: Broccoli, at farm/NL Mass</t>
  </si>
  <si>
    <t>Agrifootprint process: Cauliflower, at farm/ES Mass</t>
  </si>
  <si>
    <t>Agrifootprint process: Cauliflower, at farm/NL Mass</t>
  </si>
  <si>
    <t>Agrifootprint process: Curly kale, at farm/ES Mass</t>
  </si>
  <si>
    <t>Agrifootprint process: Curly kale, at farm/NL Mass</t>
  </si>
  <si>
    <t>Agrifootprint process: Refined rapeseed oil, from crushing (solvent), at plant/US Mass</t>
  </si>
  <si>
    <t>Ecoinvent 3 process: Zucchini {GLO}| production | Alloc Def, S</t>
  </si>
  <si>
    <t>Agrifootprint process: Oat grain peeled, from dry milling, at plant/BE Mass</t>
  </si>
  <si>
    <t>Agrifootprint process: Oat grain peeled, from dry milling, at plant/NL Mass</t>
  </si>
  <si>
    <t>Uruguay</t>
  </si>
  <si>
    <t>pork</t>
  </si>
  <si>
    <t>1 kg dry beans</t>
  </si>
  <si>
    <t>meat</t>
  </si>
  <si>
    <t>1 kg dry grain</t>
  </si>
  <si>
    <t>squash, winter</t>
  </si>
  <si>
    <t>Holland</t>
  </si>
  <si>
    <t>Eocinvent 2 process: Banana {CR}| banana production | Alloc Def, S</t>
  </si>
  <si>
    <t>Eocinvent 2 process: Banana {EC}| banana production | Alloc Def, S</t>
  </si>
  <si>
    <t>Eocinvent 2 process: Banana {IN}| banana production | Alloc Def, S</t>
  </si>
  <si>
    <t>Eocinvent 2 process: Banana {RoW}| banana production | Alloc Def, S</t>
  </si>
  <si>
    <t>CR</t>
  </si>
  <si>
    <t>EC</t>
  </si>
  <si>
    <t>IN</t>
  </si>
  <si>
    <t>potato, flour</t>
  </si>
  <si>
    <t>Agrifootprint process: Potato starch dried, from wet milling, at plant/DE Mass</t>
  </si>
  <si>
    <t>Agrifootprint process: Potato starch dried, from wet milling, at plant/NL Mass</t>
  </si>
  <si>
    <t>Ecoinvent 3 process: Celery {GLO}| 675 production | Alloc Def, S</t>
  </si>
  <si>
    <t>Ecoinvent 3 process: Iceberg lettuce {GLO}| production | Alloc Def, S</t>
  </si>
  <si>
    <t>lettuce, head</t>
  </si>
  <si>
    <t>Ecoinvent 3: Soybean beverage {CA-QC}| production | Alloc Def, S</t>
  </si>
  <si>
    <t>CA-QC</t>
  </si>
  <si>
    <t>Ecoinvent 3: Soybean beverage {RoW}| production | Alloc Def, S</t>
  </si>
  <si>
    <t>The Climate Conservancy. 2008. The Carbon Footprint of Fat Tire® Amber Ale. http://www.newbelgium.com/files/shared/tinkerer/the-carbon-footprint-of-fat-tire-amber-ale-2008-public-dist-rfs.pdf.</t>
  </si>
  <si>
    <t>hops</t>
  </si>
  <si>
    <t>beet, sugar</t>
  </si>
  <si>
    <t>Thomas Nemecek, Karin Weiler, Katharina Plassmann, Julian Schnetzer</t>
  </si>
  <si>
    <t>reporting weighted mean values</t>
  </si>
  <si>
    <t>without deforestation impacts</t>
  </si>
  <si>
    <t>hazelnut</t>
  </si>
  <si>
    <t>Argifootprint process: Lentil, at farm/CA Mass</t>
  </si>
  <si>
    <t>CA</t>
  </si>
  <si>
    <t>Argifootprint process: Lentil, at farm/AU Mass</t>
  </si>
  <si>
    <t>Agrifootprint process: Beans, dry, at farm/US Mass</t>
  </si>
  <si>
    <t>Agrifootprint process: Chickpea, at farm/US Mass</t>
  </si>
  <si>
    <t>Agrifootprint process: Soybean, at farm/US Mass</t>
  </si>
  <si>
    <t>Agrifootprint process: Sugar, from sugar cane, from sugar production, at plant/US Mass</t>
  </si>
  <si>
    <t>Agrifootprint process:Sugar cane molasses, from sugar production, at plant/US Mass</t>
  </si>
  <si>
    <t>Agrifootprint process: Refined soybean oil, from crushing (solvent), at plant/US Mass</t>
  </si>
  <si>
    <t>soybean, oil</t>
  </si>
  <si>
    <t>soybean, meal</t>
  </si>
  <si>
    <t>Ecoinvent 3 process: Soybean meal {US}| soybean meal and crude oil production | Alloc Def, S</t>
  </si>
  <si>
    <t>Ecoinvent 3 process: Sweet corn {US}| sweet corn production | Alloc Def, S</t>
  </si>
  <si>
    <t>Ecoinvent 3 process: Sweet corn {HU}| sweet corn production | Alloc Def, S</t>
  </si>
  <si>
    <t>Ecoinvent 3 process: Sweet corn {RoW}| sweet corn production | Alloc Def, S</t>
  </si>
  <si>
    <t>Ecoinvent 3 process: Sweet corn {TH}| sweet corn production | Alloc Def, S</t>
  </si>
  <si>
    <t>World Food LCA Database: Peanut oil, at oil mill (WFLDB 3.1)/GLO U</t>
  </si>
  <si>
    <t>Ecoinvent 3 (WFLDB) process: Onion {IN}| onion production | Alloc Def, S</t>
  </si>
  <si>
    <t>Ecoinvent 3 (WFLDB) process: Onion {NL}| onion production | Alloc Def, S</t>
  </si>
  <si>
    <t>Ecoinvent 3 (WFLDB) process: Onion {NZ}| onion production | Alloc Def, S</t>
  </si>
  <si>
    <t>Ecoinvent 3 (WFLDB) process: Onion {RoW}| onion production | Alloc Def, S</t>
  </si>
  <si>
    <t>beet, sugar, molasses</t>
  </si>
  <si>
    <t>Agrifootprint process: Sugar, from sugar beet, from sugar production, at Suiker Unie plants/NL Mass</t>
  </si>
  <si>
    <t>Agrifootprint process: Sugar, from sugar beet, from sugar production, at plant/PL Mass</t>
  </si>
  <si>
    <t>Agrifootprint process: Sugar, from sugar beet, from sugar production, at plant/FR Mass</t>
  </si>
  <si>
    <t>Agrifootprint process: Sugar, from sugar beet, from sugar production, at plant/DE Mass</t>
  </si>
  <si>
    <t>Agrifootprint process: Sugar beet molasses, from sugar production, at Suiker Unie plants/NL Mass</t>
  </si>
  <si>
    <t>Agrifootprint process: Sugar beet molasses, from sugar production, at plant/PL Mass</t>
  </si>
  <si>
    <t>Agrifootprint process: Sugar beet molasses, from sugar production, at plant/FR Mass</t>
  </si>
  <si>
    <t>Agrifootprint process: Sugar beet molasses, from sugar production, at plant/DE Mass</t>
  </si>
  <si>
    <t>Agrifootprint process: Cassava, at farm/TH Mass</t>
  </si>
  <si>
    <t>chicory, roots</t>
  </si>
  <si>
    <t>Agrifootprint process: Chicory root, at farm/BE Mass</t>
  </si>
  <si>
    <t>Agrifootprint process: Chicory root, at farm/NL Mass</t>
  </si>
  <si>
    <t>Agrifootprint process: Refined coconut oil, at plant/ID Mass</t>
  </si>
  <si>
    <t>Agrifootprint process: Refined coconut oil, at plant/IN Mass</t>
  </si>
  <si>
    <t>Agrifootprint process: Refined coconut oil, at plant/PH Mass</t>
  </si>
  <si>
    <t>Ecoinvent 3 (WFLDB) process: Onion {CN}| onion production | Alloc Def, S</t>
  </si>
  <si>
    <t>NZ</t>
  </si>
  <si>
    <t>PL</t>
  </si>
  <si>
    <t>Agrifootprint process: Refined maize germ oil, (pressing), at plant/US Mass</t>
  </si>
  <si>
    <t>Agrifootprint process: Refined maize germ oil, (solvent), at plant/US Mass</t>
  </si>
  <si>
    <t>Agrifootprint process: Refined palm kernel oil, at plant/ID Mass</t>
  </si>
  <si>
    <t>Agrifootprint process: Refined palm kernel oil, at plant/MY Mass</t>
  </si>
  <si>
    <t>Agrifootprint process: Refined palm oil, at plant/NL Mass</t>
  </si>
  <si>
    <t>Agrifootprint process: Pigeon pea, at farm/IN Mass</t>
  </si>
  <si>
    <t>Agrifootprint process: Rice bran, from dry milling, raw, at plant/CN Mass</t>
  </si>
  <si>
    <t>Agrifootprint process: Rye flour, from dry milling, at plant/BE Mass</t>
  </si>
  <si>
    <t>Agrifootprint process: Rye flour, from dry milling, at plant/DE Mass</t>
  </si>
  <si>
    <t>Agrifootprint process: Rye flour, from dry milling, at plant/NL Mass</t>
  </si>
  <si>
    <t>Agrifootprint process: Rye grain, dried, at farm/AT Mass</t>
  </si>
  <si>
    <t>Agrifootprint process: Rye grain, dried, at farm/BE Mass</t>
  </si>
  <si>
    <t>Agrifootprint process: Rye grain, dried, at farm/BG Mass</t>
  </si>
  <si>
    <t>Agrifootprint process: Rye grain, dried, at farm/CZ Mass</t>
  </si>
  <si>
    <t>Agrifootprint process: Rye grain, dried, at farm/DE Mass</t>
  </si>
  <si>
    <t>Agrifootprint process: Rye grain, dried, at farm/DK Mass</t>
  </si>
  <si>
    <t>Agrifootprint process: Rye grain, dried, at farm/EE Mass</t>
  </si>
  <si>
    <t>Agrifootprint process: Rye grain, dried, at farm/ES Mass</t>
  </si>
  <si>
    <t>Agrifootprint process: Rye grain, dried, at farm/FI Mass</t>
  </si>
  <si>
    <t>Agrifootprint process: Rye grain, dried, at farm/FR Mass</t>
  </si>
  <si>
    <t>Agrifootprint process: Rye grain, dried, at farm/GR Mass</t>
  </si>
  <si>
    <t>Agrifootprint process: Rye grain, dried, at farm/HU Mass</t>
  </si>
  <si>
    <t>Agrifootprint process: Rye grain, dried, at farm/IT Mass</t>
  </si>
  <si>
    <t>Agrifootprint process: Rye grain, dried, at farm/LT Mass</t>
  </si>
  <si>
    <t>Agrifootprint process: Rye grain, dried, at farm/LV Mass</t>
  </si>
  <si>
    <t>Agrifootprint process: Rye grain, dried, at farm/NO Mass</t>
  </si>
  <si>
    <t>Agrifootprint process: Rye grain, dried, at farm/PL Mass</t>
  </si>
  <si>
    <t>Agrifootprint process: Rye grain, dried, at farm/PT Mass</t>
  </si>
  <si>
    <t>Agrifootprint process: Rye grain, dried, at farm/SE Mass</t>
  </si>
  <si>
    <t>Agrifootprint process: Rye grain, dried, at farm/SK Mass</t>
  </si>
  <si>
    <t>Agrifootprint process: Wheat flour, from dry milling, at plant/BE Mass</t>
  </si>
  <si>
    <t>Agrifootprint process: Wheat flour, from dry milling, at plant/DE Mass</t>
  </si>
  <si>
    <t>Agrifootprint process: Wheat flour, from dry milling, at plant/NL Mass</t>
  </si>
  <si>
    <t>MY</t>
  </si>
  <si>
    <t>AT</t>
  </si>
  <si>
    <t>EE</t>
  </si>
  <si>
    <t>FI</t>
  </si>
  <si>
    <t>LT</t>
  </si>
  <si>
    <t>LV</t>
  </si>
  <si>
    <t>NO</t>
  </si>
  <si>
    <t>PT</t>
  </si>
  <si>
    <t>SK</t>
  </si>
  <si>
    <t>Ecoinvent process: Papaya {GLO}| production | Alloc Def, S</t>
  </si>
  <si>
    <t>Ecoinvent process: Cocoa bean {CI}| cocoa bean production, sun-dried | Alloc Def, S</t>
  </si>
  <si>
    <t>Ecoinvent process: Cocoa bean {GH}| cocoa bean production, sun-dried | Alloc Def, S</t>
  </si>
  <si>
    <t>Ecoinvent process: Cocoa bean {ID}| cocoa bean production, sun-dried | Alloc Def, S</t>
  </si>
  <si>
    <t>Ecoinvent process: Cocoa bean {RoW}| cocoa bean production, sun-dried | Alloc Def, S</t>
  </si>
  <si>
    <t>WFLDB: Cocoa powder, at plant (WFLDB 3.1)/RAS U</t>
  </si>
  <si>
    <t>WFLDB: Cocoa powder, at plant (WFLDB 3.1)/RER U</t>
  </si>
  <si>
    <t>WFLDB: Cocoa powder, at plant (WFLDB 3.1)/RNA U</t>
  </si>
  <si>
    <t>Cocoa bean, Powder</t>
  </si>
  <si>
    <t>Cocoa Bean, Chocolate</t>
  </si>
  <si>
    <t>Coffee, Instant</t>
  </si>
  <si>
    <t>corn, field, starch</t>
  </si>
  <si>
    <t>Agrifootprint process: Maize starch, from wet milling (starch drying), at plant/US Mass</t>
  </si>
  <si>
    <t>Fish-Freshwater Finfish</t>
  </si>
  <si>
    <t>Fish-Freshwater Finfish, Farm Raised</t>
  </si>
  <si>
    <t>Fish-Saltwater Finfish, Other</t>
  </si>
  <si>
    <t>Fish-Saltwater Finfish, Tuna</t>
  </si>
  <si>
    <t>Fish-Shellfish, Crustacean</t>
  </si>
  <si>
    <t>Fish-Shellfish, Mollusc</t>
  </si>
  <si>
    <t>Potato, Flour</t>
  </si>
  <si>
    <t>Grape, Raisin</t>
  </si>
  <si>
    <t>Guar, Seed</t>
  </si>
  <si>
    <t>Orange, Juice</t>
  </si>
  <si>
    <t>Lemon, Juice, concentrate</t>
  </si>
  <si>
    <t>Orange, Juice,  concentrate</t>
  </si>
  <si>
    <t>Peanut, Oil</t>
  </si>
  <si>
    <t>rice, white</t>
  </si>
  <si>
    <t>Saithe, frozen</t>
  </si>
  <si>
    <t>herring, frozen</t>
  </si>
  <si>
    <t xml:space="preserve">herring, canned </t>
  </si>
  <si>
    <t>soybean, seed</t>
  </si>
  <si>
    <t>Tomato, chopped</t>
  </si>
  <si>
    <t>Tomato, peeled</t>
  </si>
  <si>
    <t>CI</t>
  </si>
  <si>
    <t>GH</t>
  </si>
  <si>
    <t>RAS</t>
  </si>
  <si>
    <t>RER</t>
  </si>
  <si>
    <t>RNA</t>
  </si>
  <si>
    <t>CED,Transport Farm to Processing (MJ/kg)</t>
  </si>
  <si>
    <t>CED,Processing (MJ/kg)</t>
  </si>
  <si>
    <t>CED,Packaging (MJ/kg)</t>
  </si>
  <si>
    <t>CED, Distibribution (MJ/kg)</t>
  </si>
  <si>
    <t>CED, Retail Stages (MJ/kg)</t>
  </si>
  <si>
    <t>CED,Consumer Stages (MJ/kg)</t>
  </si>
  <si>
    <t>CED, End of Life (MJ/kg)</t>
  </si>
  <si>
    <t>CED,Capital Goods (MJ/kg)</t>
  </si>
  <si>
    <t>GHGE, Transport Farm to Processing (kg CO2e/kg)</t>
  </si>
  <si>
    <t>GHGE, Processing (kg CO2e/kg)</t>
  </si>
  <si>
    <t>GHGE, Packaging (kg CO2e/kg)</t>
  </si>
  <si>
    <t>GHGE, Distribution (kg CO2e/kg)</t>
  </si>
  <si>
    <t>GHGE, Retail Stages (kg CO2e/kg)</t>
  </si>
  <si>
    <t>GHGE, Consumer Stages (kg CO2e/kg)</t>
  </si>
  <si>
    <t>GHGE, End of Life (kg CO2e/kg)</t>
  </si>
  <si>
    <t>GHGE, Capital Goods (kg CO2e/kg)</t>
  </si>
  <si>
    <t>NOTES</t>
  </si>
  <si>
    <t>Only Ag Prod and Capital Goods Reported, not Full LC</t>
  </si>
  <si>
    <t>No Ag Prod Data in Report</t>
  </si>
  <si>
    <t>Only Ag Prod and Packaging included in Report</t>
  </si>
  <si>
    <t>GHG Values not reported</t>
  </si>
  <si>
    <t>Joachim Boissy, Joël Aubin ⁎, Abdeljalil Drissi, Hayo M.G. van der Werf, Gordon J. Bell, Sadasivam J. Kaushik</t>
  </si>
  <si>
    <t>rainbow trout, standard feed diet</t>
  </si>
  <si>
    <t>INRA UMR SAS</t>
  </si>
  <si>
    <t>rainbow trout,flow through system, low fishery diet</t>
  </si>
  <si>
    <t>/0.65</t>
  </si>
  <si>
    <t>farm gate</t>
  </si>
  <si>
    <r>
      <t>B. Samuel-Fitwi</t>
    </r>
    <r>
      <rPr>
        <sz val="12"/>
        <color rgb="FF000000"/>
        <rFont val="Calibri"/>
        <family val="2"/>
      </rPr>
      <t>, F. Nagela, S. Meyera, J.P. Schroedera, C. Schulz</t>
    </r>
  </si>
  <si>
    <t>Gesellschaft für Marine Aquakultur (GMA) mbH, 25761 Büsum, Germany; Christian Albrecht Universitaet zu Kiel, 24098 Kiel, Germany</t>
  </si>
  <si>
    <t>rainbow trout, extensive flow through system</t>
  </si>
  <si>
    <t>rainbow trout, intensive flow through system</t>
  </si>
  <si>
    <t>common carp, tench, roach, perch, sander &amp; pike; extensive pond</t>
  </si>
  <si>
    <t>common carp, tench, roach, perch, sander &amp; pike; semi-extensive pond</t>
  </si>
  <si>
    <t>atlantic salmon, recirculating system</t>
  </si>
  <si>
    <t>Aurélie Wilfart, Jehane Prudhomme, Jean-Paul Blancheton, Joël Aubin</t>
  </si>
  <si>
    <t>INRA, UMR1069, Sol Agro et hydrosystème Spatialisation, 65 rue de Saint Brieuc, CS 84215, F-35042 Rennes, France</t>
  </si>
  <si>
    <t>/.72</t>
  </si>
  <si>
    <t>/.54</t>
  </si>
  <si>
    <t>tilapia, semi-intensive pond system</t>
  </si>
  <si>
    <t>tilapia, intensive pond system</t>
  </si>
  <si>
    <t>Egypt</t>
  </si>
  <si>
    <t>Dalia M. M. Yacout, Naglaa F. Soliman, M. M. Yacout</t>
  </si>
  <si>
    <t>Alexandria University, Alexandria, Egypt</t>
  </si>
  <si>
    <t>/.37</t>
  </si>
  <si>
    <t>turbot, recirculating system</t>
  </si>
  <si>
    <r>
      <t>J. Aubin</t>
    </r>
    <r>
      <rPr>
        <sz val="12"/>
        <color rgb="FF000000"/>
        <rFont val="Calibri"/>
        <family val="2"/>
      </rPr>
      <t>, E. Papatryphon, H.M.G. Van der Werf, J. Petit, Y.M. Morvan</t>
    </r>
  </si>
  <si>
    <t>UMR INRA</t>
  </si>
  <si>
    <t>/.48</t>
  </si>
  <si>
    <t>rainbow trout,recirculating system</t>
  </si>
  <si>
    <t>African catfish, recirculating system</t>
  </si>
  <si>
    <t>Animal Breeding and Genomics Centre, Wageningen University, P.O. Box 338, 6700 AH Wageningen, The Netherlands</t>
  </si>
  <si>
    <t>M. Besson, J. Aubin, H. Komen, M. Poelman, E. Quillet, M. Vandeputte, J.A.M. van Arendonk, I.J.M. de Boer</t>
  </si>
  <si>
    <t>/.65</t>
  </si>
  <si>
    <t>lager, re-used glass</t>
  </si>
  <si>
    <t>al. can</t>
  </si>
  <si>
    <t>keg</t>
  </si>
  <si>
    <t>single use glass</t>
  </si>
  <si>
    <t>Barley lager, al. can</t>
  </si>
  <si>
    <t>Barley lager, keg</t>
  </si>
  <si>
    <t>Barley lager, re-used glass</t>
  </si>
  <si>
    <t>Barley&amp;rice lager, al, can</t>
  </si>
  <si>
    <t>Barley&amp;rice lager,keg</t>
  </si>
  <si>
    <t>Barley&amp;rice lager,re-used glass</t>
  </si>
  <si>
    <t>/1.01 (kg/L)</t>
  </si>
  <si>
    <t>C. Koroneos, G. Roumbas, Z. Gabari, E. Papagiannidou, N. Moussiopoulos</t>
  </si>
  <si>
    <t>Laboratory of Heat Transfer and Environmental Engineering, P.O. Box 483, Aristotle University Thessaloniki, 54124 Thessaloniki, Greece</t>
  </si>
  <si>
    <t>Adrian G. Williams, Seyoum Mekonen</t>
  </si>
  <si>
    <t>School of Applied Sciences, Cranfield University, Bedford, MK43 0AL, UK</t>
  </si>
  <si>
    <t>Alessio Cimini, Mauro Moresi</t>
  </si>
  <si>
    <t>Department for Innovation in Biological, Agro-Food, and Forest Systems, University of Tuscia, Via S. C. de Lellis, 01100 Viterbo, Italy</t>
  </si>
  <si>
    <t xml:space="preserve">Eden Sipperly, Karlton Edinger, Nathan Ziegler, Emily Roberts  </t>
  </si>
  <si>
    <t>King Mongkut’s University of Technology Thonburi 126 Pracha Uthit Rd, Bangkok, Thung</t>
  </si>
  <si>
    <t>Celia Kingston, Jonna Meyhoff Fry and Simon Aumonier</t>
  </si>
  <si>
    <t>Environmental Resources Management Limited (ERM)</t>
  </si>
  <si>
    <t>slaughter gate</t>
  </si>
  <si>
    <t>/0.75</t>
  </si>
  <si>
    <t>EU average</t>
  </si>
  <si>
    <t>Netherlands, conv</t>
  </si>
  <si>
    <t>Netherlands, org</t>
  </si>
  <si>
    <t>England, conv</t>
  </si>
  <si>
    <t>England, org</t>
  </si>
  <si>
    <t>Germany, conv</t>
  </si>
  <si>
    <t>Germany, org</t>
  </si>
  <si>
    <t>Denmark, conv</t>
  </si>
  <si>
    <t>Denmark, org</t>
  </si>
  <si>
    <t>Flemish</t>
  </si>
  <si>
    <t>Western cape</t>
  </si>
  <si>
    <t>L. Devers, T.E. Kleynhans and E. Mathijs</t>
  </si>
  <si>
    <t>Tropical Natural Resources Management of the Katholieke Universiteit, Leuven, Belgium</t>
  </si>
  <si>
    <t>Thomas Winkler, Kerstin Schopf, Ralf Aschemann, Wilfried Winiwarter</t>
  </si>
  <si>
    <t>University of Graz, Institute of Systems Sciences, Innovation and Sustainability Research, Merangasse 18, 8010 Graz, Austria</t>
  </si>
  <si>
    <t>Kool, A.; Blonk, H.; Ponsioen, T.; Sukkel, W.; Vermeer, H.; de Vries, J.; Hoste, R</t>
  </si>
  <si>
    <t xml:space="preserve">Blonk Milieu Advies </t>
  </si>
  <si>
    <t>Lesschen, J.; Van den Berg, M.; Westhoek, H.; Witzke, H.; Oenema, O.</t>
  </si>
  <si>
    <t>Alterra, Wageningen University and Research Centre, P.O. Box 47, 6700 AA, Wageningen, The Netherlands</t>
  </si>
  <si>
    <t>Fresh Vine tomatoes</t>
  </si>
  <si>
    <t>Fresh Bulk tomatoes</t>
  </si>
  <si>
    <t>Fresh tomatoes, protected</t>
  </si>
  <si>
    <t>open field</t>
  </si>
  <si>
    <t>protected</t>
  </si>
  <si>
    <r>
      <t>Curtis D. Jones</t>
    </r>
    <r>
      <rPr>
        <sz val="12"/>
        <color rgb="FF000000"/>
        <rFont val="Calibri"/>
        <family val="2"/>
      </rPr>
      <t>, Clyde W. Fraisse, Monica Ozores-Hampton</t>
    </r>
  </si>
  <si>
    <t>Department of Agricultural and Biological Engineering, University of Florida, P.O. Box 110570, Gainesville, FL 32611, USA</t>
  </si>
  <si>
    <t>Page, G.; Ridoutt, B.; Bellotti, B.,</t>
  </si>
  <si>
    <t>University of Western Sydney, School of Science and Health, Locked Bag 1797, Penrith, NSW 2751, Australia</t>
  </si>
  <si>
    <t>Webb, J.; Williams, A. G.; Hope, E.; Evans, D.; Moorhouse, E</t>
  </si>
  <si>
    <t>Torrellas, M.; Antón, A.; López, J. C.; Baeza, E. J.; Parra, J. P.; Muñoz, P.; Montero, J. I</t>
  </si>
  <si>
    <t>IRTA (Research and Technology Food and Agriculture), Ctra. de Cabrils, km 2, 08348 Cabrils Barcelona, Spain</t>
  </si>
  <si>
    <t>Payen, S.; Basset-Mens, C.; Perret, S.,</t>
  </si>
  <si>
    <t>ADEME, (Agence de l'Environnement et de la Maîtrise de l'Energie), 20 avenue du Gr_x0001_esill_x0001_e e BP 90406, 49004 Angers, France</t>
  </si>
  <si>
    <t>Morocco</t>
  </si>
  <si>
    <t>Boulard, T.; Raeppel, C.; Brun, R.; Lecompte, F.; Hayer, F.; Carmassi, G.; Gaillard, G</t>
  </si>
  <si>
    <t>, France</t>
  </si>
  <si>
    <t/>
  </si>
  <si>
    <t>Aranda et al. (2005)</t>
  </si>
  <si>
    <t>Ardente et al. (2006)</t>
  </si>
  <si>
    <t>Barry (2011)</t>
  </si>
  <si>
    <t>Benedetto (2010)</t>
  </si>
  <si>
    <t>Bosco et al. (2011)</t>
  </si>
  <si>
    <t xml:space="preserve">Carta (2009), in: Vázquez-Rowe et al. (2013) </t>
  </si>
  <si>
    <t>Carta (2009), in: Vázquez-Rowe et al. (2013)</t>
  </si>
  <si>
    <t>CIV (2008)</t>
  </si>
  <si>
    <t>Colman and Päster (2009)</t>
  </si>
  <si>
    <t>Gazulla et al. (2010)</t>
  </si>
  <si>
    <t>Gonzalez et al. (2006)</t>
  </si>
  <si>
    <t>Greenhaigh et al. (2011)</t>
  </si>
  <si>
    <t>Kavargiris et al. (2009)</t>
  </si>
  <si>
    <t>Neto et al. (2013)</t>
  </si>
  <si>
    <t>Pattara et al. (2012)</t>
  </si>
  <si>
    <t>Petti et al. (2006)</t>
  </si>
  <si>
    <t>Pizzigallo et al. (2008)</t>
  </si>
  <si>
    <t>Point et al. (2012)</t>
  </si>
  <si>
    <t>Rugani et al. (2009)</t>
  </si>
  <si>
    <t>SAWIA (2004)</t>
  </si>
  <si>
    <t>Soja et al. (2010)</t>
  </si>
  <si>
    <t>Vázquez-Rowe et al. (2012b) †</t>
  </si>
  <si>
    <t>Vázquez-Rowe et al. (2013)</t>
  </si>
  <si>
    <t>Venkat (2012)</t>
  </si>
  <si>
    <t>WRAP (2007)</t>
  </si>
  <si>
    <t>Zabalza et al. (2003)</t>
  </si>
  <si>
    <t>reported in review by Rugani</t>
  </si>
  <si>
    <t>Benedetto, G.,</t>
  </si>
  <si>
    <t>Amienyo, D.; Camilleri, C.; Azapagic, A</t>
  </si>
  <si>
    <t xml:space="preserve">usi, A.; Guidetti, R.; Benedetto, G., </t>
  </si>
  <si>
    <t>Bonamente, E.; Scrucca, F.; Rinaldi, S.; Merico, M. C.; Asdrubali, F.; Lamastra, L.,</t>
  </si>
  <si>
    <t>BIER European format</t>
  </si>
  <si>
    <t>BIER N. American format</t>
  </si>
  <si>
    <t>Villanueva-Rey, P.; Vázquez-Rowe, I.; Moreira, M. T.; Feijoo, G.</t>
  </si>
  <si>
    <t>Study doesn’t give specific LC values for organic and conventional, only provides average of both organic and conventional.  It does provide differences in Farm Gate values, though.</t>
  </si>
  <si>
    <t>LC sum value is only 1.2% off from Total Value reported in column BS</t>
  </si>
  <si>
    <t>LC sum value is only 0.6% off from Total Value reported in column BS</t>
  </si>
  <si>
    <t>LC sum value is only 0.5% off from Total Value reported in column BS</t>
  </si>
  <si>
    <t>herring, no oil</t>
  </si>
  <si>
    <t>mackerel, no oil</t>
  </si>
  <si>
    <t>Organic Pear grown in hilly land (Liaoning)</t>
  </si>
  <si>
    <t>No Total GHG Values Reported (missing FG data)</t>
  </si>
  <si>
    <t>Less than 1.5% difference</t>
  </si>
  <si>
    <t>Less than 0.3% difference</t>
  </si>
  <si>
    <t>Notes (CED)</t>
  </si>
  <si>
    <t>No Data except tranport and processing</t>
  </si>
  <si>
    <t>CED, processor gate (MJ/kg)</t>
  </si>
  <si>
    <t>GHGE, processor gate (kg CO2e/kg)</t>
  </si>
  <si>
    <t>ACTIVE     CED, FARM GATE (MJ/kg)</t>
  </si>
  <si>
    <t>ACTIVE     GHGE, FARM GATE (kg CO2e/kg)</t>
  </si>
  <si>
    <t>Count of ACTIVE     GHGE, FARM GATE (kg CO2e/kg)</t>
  </si>
  <si>
    <t>Count of GHGE, processor gate (kg CO2e/kg)</t>
  </si>
  <si>
    <t>Count of ACTIVE     CED, FARM GATE (MJ/kg)</t>
  </si>
  <si>
    <t>Count of CED, processor gate (MJ/kg)</t>
  </si>
  <si>
    <t>StdDev of CED, processor gate (MJ/kg)</t>
  </si>
  <si>
    <t>Average of ACTIVE     CED, FARM GATE (MJ/kg)</t>
  </si>
  <si>
    <t>Min of ACTIVE     CED, FARM GATE (MJ/kg)</t>
  </si>
  <si>
    <t>Max of ACTIVE     CED, FARM GATE (MJ/kg)</t>
  </si>
  <si>
    <t>FARM GATE</t>
  </si>
  <si>
    <t>PROCESSOR GATE</t>
  </si>
  <si>
    <t>TOTAL LIFE CYCLE</t>
  </si>
  <si>
    <t>StdDev of ACTIVE     CED, FARM GATE (MJ/kg)</t>
  </si>
  <si>
    <t>Average of CED, processor gate (MJ/kg)</t>
  </si>
  <si>
    <t>Min of CED, processor gate (MJ/kg)</t>
  </si>
  <si>
    <t>Max of CED, processor gate (MJ/kg)</t>
  </si>
  <si>
    <t>Average of ACTIVE     GHGE, FARM GATE (kg CO2e/kg)</t>
  </si>
  <si>
    <t>Min of ACTIVE     GHGE, FARM GATE (kg CO2e/kg)</t>
  </si>
  <si>
    <t>Max of ACTIVE     GHGE, FARM GATE (kg CO2e/kg)</t>
  </si>
  <si>
    <t>StdDev of ACTIVE     GHGE, FARM GATE (kg CO2e/kg)</t>
  </si>
  <si>
    <t>Average of GHGE, processor gate (kg CO2e/kg)</t>
  </si>
  <si>
    <t>Min of GHGE, processor gate (kg CO2e/kg)</t>
  </si>
  <si>
    <t>Max of GHGE, processor gate (kg CO2e/kg)</t>
  </si>
  <si>
    <t>StdDev of GHGE, processor gate (kg CO2e/kg)</t>
  </si>
  <si>
    <t>PROXY DEFINITION</t>
  </si>
  <si>
    <t>brassica_greens</t>
  </si>
  <si>
    <t>tree_fruit</t>
  </si>
  <si>
    <t>tropical_fruit</t>
  </si>
  <si>
    <t>bean_dry</t>
  </si>
  <si>
    <t>onion_bulb</t>
  </si>
  <si>
    <t>Bean_snap_succulent</t>
  </si>
  <si>
    <t>Pea_pigeon_seed</t>
  </si>
  <si>
    <t>lentil_seed</t>
  </si>
  <si>
    <t>nightshades</t>
  </si>
  <si>
    <t>pepper_bell</t>
  </si>
  <si>
    <t>squash</t>
  </si>
  <si>
    <t>grape_raisin</t>
  </si>
  <si>
    <t>coconut_meat</t>
  </si>
  <si>
    <t>clover_seed</t>
  </si>
  <si>
    <t>rice</t>
  </si>
  <si>
    <t>rice_bran</t>
  </si>
  <si>
    <t>wheat_flour</t>
  </si>
  <si>
    <t>saltwater_finfish</t>
  </si>
  <si>
    <t>all_fish</t>
  </si>
  <si>
    <t>soybean_meal</t>
  </si>
  <si>
    <t>corn_starch</t>
  </si>
  <si>
    <t>oat_flour</t>
  </si>
  <si>
    <t>corn_flour</t>
  </si>
  <si>
    <t>sugarcane_molasses</t>
  </si>
  <si>
    <t>oilseed_oil</t>
  </si>
  <si>
    <t>Bean, dry</t>
  </si>
  <si>
    <t>Cocoa Butter</t>
  </si>
  <si>
    <t>x_Strawberries</t>
  </si>
  <si>
    <t>x_Olives</t>
  </si>
  <si>
    <t>x_Rapeseed, Oil</t>
  </si>
  <si>
    <t>x_Lettuce</t>
  </si>
  <si>
    <t>grape proxy * mass conv. Factor from FICRCD</t>
  </si>
  <si>
    <t>Ecoinvent 3 process: Grape {GLO}| production | Alloc Def, S</t>
  </si>
  <si>
    <t>estimated from processing calculations (see processed foods methods)</t>
  </si>
  <si>
    <t>Maple_syrup</t>
  </si>
  <si>
    <t>assumed as average of ONLY processing stage for beef entries</t>
  </si>
  <si>
    <t>coconut_oil</t>
  </si>
  <si>
    <t>Ecoinvent process: Palm date, conditioned and dried, organic {GLO}| palm date production, conditioned and dried, organic | Alloc Def, S</t>
  </si>
  <si>
    <t>Ecoinvent process: Palm date, conditioned and dried {GLO}| palm date production, conditioned and dried | Alloc Def, S</t>
  </si>
  <si>
    <t>extracting impact per kg of instant coffee powder; 2 g powder per cup coffee</t>
  </si>
  <si>
    <t xml:space="preserve">extracting impact per kg roasted bean. 13.5g roasted bean/cup. </t>
  </si>
  <si>
    <t>only including non-renewable energy use</t>
  </si>
  <si>
    <t>tea</t>
  </si>
  <si>
    <t>proxy diff between tea and instant tea, from coffee</t>
  </si>
  <si>
    <t>Malawi</t>
  </si>
  <si>
    <t>PET ref R1</t>
  </si>
  <si>
    <t>PET ref R2</t>
  </si>
  <si>
    <t>PET ref R3</t>
  </si>
  <si>
    <t>PET 1 liter</t>
  </si>
  <si>
    <t>PET 8oz</t>
  </si>
  <si>
    <t>PET light</t>
  </si>
  <si>
    <t>PET light, low mold</t>
  </si>
  <si>
    <t>25% rPET R1</t>
  </si>
  <si>
    <t>25% rPET R2</t>
  </si>
  <si>
    <t>25% rPET R3</t>
  </si>
  <si>
    <t>PLA 0 decomp</t>
  </si>
  <si>
    <t>PLA 100 decomp</t>
  </si>
  <si>
    <t>PLA compost</t>
  </si>
  <si>
    <t>PET nat</t>
  </si>
  <si>
    <t>PET Maine nat</t>
  </si>
  <si>
    <t>PET Fiji nat</t>
  </si>
  <si>
    <t>PET Fiji free sea</t>
  </si>
  <si>
    <t>PET 500 mi empty</t>
  </si>
  <si>
    <t>PET 100% store trip</t>
  </si>
  <si>
    <t>PET refrig</t>
  </si>
  <si>
    <t>PET 37%R</t>
  </si>
  <si>
    <t>PET best</t>
  </si>
  <si>
    <t>PET worst</t>
  </si>
  <si>
    <t>PLA best</t>
  </si>
  <si>
    <t>Franklin Associates</t>
  </si>
  <si>
    <t>Tap Al ref
26</t>
  </si>
  <si>
    <t>Tap PET
27</t>
  </si>
  <si>
    <t>Tap steel
28</t>
  </si>
  <si>
    <t>Tap glass
29</t>
  </si>
  <si>
    <t>Tap Al 5 yr
30</t>
  </si>
  <si>
    <t>100%R
31</t>
  </si>
  <si>
    <t>fill
32</t>
  </si>
  <si>
    <t>wash
33</t>
  </si>
  <si>
    <t>wash
34</t>
  </si>
  <si>
    <t>wash
35</t>
  </si>
  <si>
    <t>Tap Al ice
36</t>
  </si>
  <si>
    <t>Tap best
37</t>
  </si>
  <si>
    <r>
      <t># of</t>
    </r>
    <r>
      <rPr>
        <b/>
        <sz val="12"/>
        <color rgb="FF000000"/>
        <rFont val="Calibri"/>
        <family val="2"/>
      </rPr>
      <t xml:space="preserve"> datapoints</t>
    </r>
  </si>
  <si>
    <t>Energy Use (MJ/kg)</t>
  </si>
  <si>
    <t>basis</t>
  </si>
  <si>
    <t>GHGE</t>
  </si>
  <si>
    <t>all_brassica</t>
  </si>
  <si>
    <t>oils</t>
  </si>
  <si>
    <t>legume_seed</t>
  </si>
  <si>
    <t>processed_tomato</t>
  </si>
  <si>
    <t>tropical_citrus</t>
  </si>
  <si>
    <t>flours</t>
  </si>
  <si>
    <t>ruminant_meat</t>
  </si>
  <si>
    <t>nonruminant_meat</t>
  </si>
  <si>
    <t>vegetables</t>
  </si>
  <si>
    <t>(no roots)</t>
  </si>
  <si>
    <t>(no processed)</t>
  </si>
  <si>
    <t>sweeteners</t>
  </si>
  <si>
    <t>choc_coffee_tea</t>
  </si>
  <si>
    <t>VARIANCE CALCULATIONS</t>
  </si>
  <si>
    <t>no var</t>
  </si>
  <si>
    <t>Fluid Milk_Cow</t>
  </si>
  <si>
    <t>Fluid_Milk_Cow</t>
  </si>
  <si>
    <t>cucurbits</t>
  </si>
  <si>
    <t>Dutch beef from dairy cows</t>
  </si>
  <si>
    <t>Hans Blonk; Anton Kool; Boki Luske; Sytske de Waart</t>
  </si>
  <si>
    <t>Cradle to Packaging</t>
  </si>
  <si>
    <t>kg meat at supermarket</t>
  </si>
  <si>
    <t>Dutch Beef</t>
  </si>
  <si>
    <t>Irish Beef</t>
  </si>
  <si>
    <t>Brazilian Beef</t>
  </si>
  <si>
    <t>kg food at supermarket</t>
  </si>
  <si>
    <t>Brazilian Chicken</t>
  </si>
  <si>
    <t>Dutch Chicken</t>
  </si>
  <si>
    <t xml:space="preserve">Pork </t>
  </si>
  <si>
    <t>Tempeh</t>
  </si>
  <si>
    <t>Egg</t>
  </si>
  <si>
    <t>Cheese</t>
  </si>
  <si>
    <t>Milk</t>
  </si>
  <si>
    <t>Mackerel</t>
  </si>
  <si>
    <t>Herring</t>
  </si>
  <si>
    <t>Pollock</t>
  </si>
  <si>
    <t>Mussel</t>
  </si>
  <si>
    <t>Salmon (Aquaculture)</t>
  </si>
  <si>
    <t>Cod</t>
  </si>
  <si>
    <t>Prawn</t>
  </si>
  <si>
    <t>Shrimp</t>
  </si>
  <si>
    <t>Gigantes (conventional)</t>
  </si>
  <si>
    <t>Abeliotis, Konstadinos; Detsis, Vassilis; Pappia, Christina</t>
  </si>
  <si>
    <t>Department of Home Economics and Ecology, Harokopio University, Athens, Greece</t>
  </si>
  <si>
    <t>kg beans</t>
  </si>
  <si>
    <t>Gigantes (integrated)</t>
  </si>
  <si>
    <t>Gigantes (organic)</t>
  </si>
  <si>
    <t>Plake (Conventional) -large, white greek bean</t>
  </si>
  <si>
    <t>Plake (integrated) -large, white greek bean</t>
  </si>
  <si>
    <t>Plake (organic) - -large, white greek bean</t>
  </si>
  <si>
    <t>Elefantes (integrated)</t>
  </si>
  <si>
    <t>Roast Chicken (Conventional)</t>
  </si>
  <si>
    <t>Bengtsson, Jonas (a); Seddon, Julia (b)</t>
  </si>
  <si>
    <t>(a) aDirector Edge Environment Pty Ltd, 501/39 East Esplanade, Manly, NSW 2095, Australia; (b) Group Environment Manager, Inghams Enterprises Pty Ltd, Australia</t>
  </si>
  <si>
    <t>kg CO2/tonne</t>
  </si>
  <si>
    <t>Roast Chicken (Free Range)</t>
  </si>
  <si>
    <t>Breast Fillet (Conventional)</t>
  </si>
  <si>
    <t>Breast Fillet (Free Range)</t>
  </si>
  <si>
    <t>Wine</t>
  </si>
  <si>
    <t>M. Berners-Lee (a); C. Hoolohan (a); H. Cammack (a); C.N. Hewitt (b)</t>
  </si>
  <si>
    <t>(a) Small World Consulting, Ltd., Lancaster Environment Centre, Lancaster University, Lancaster LA1 4YQ, UK; (b) Lancaster Environment Centre, Lancaster University, Lancaster LA1 4YQ, UK</t>
  </si>
  <si>
    <t>kg CO2/kg product</t>
  </si>
  <si>
    <t>Beer and Cider</t>
  </si>
  <si>
    <t>Liquor</t>
  </si>
  <si>
    <t>Spirits and Liqueurs</t>
  </si>
  <si>
    <t>Yogurt</t>
  </si>
  <si>
    <t>Herbs and Spices</t>
  </si>
  <si>
    <t>Cheddar Cheese - U.S. Total</t>
  </si>
  <si>
    <t>United States</t>
  </si>
  <si>
    <t xml:space="preserve">Aguirre-Villegas, H., S. Kraatz, F. Milani, A. Newenhouse, T. Passos-Fonseca and D. Reinemann </t>
  </si>
  <si>
    <t>University of Wisconsin</t>
  </si>
  <si>
    <t>kg CO2 / kg FPCM</t>
  </si>
  <si>
    <t>Milk, Highlands of Peru</t>
  </si>
  <si>
    <t xml:space="preserve">Bartl, Karin (a); Gomez, Carlos A (b); Nemecek, Thomas (c) </t>
  </si>
  <si>
    <t>(a) ETH Zurich, Institute of Agricultural Sciences - Animal Nutrition, Universitätstrasse 2, CH-8092 Zurich, Switzerland; (b) Universidad Nacional de Agraria La Molina, Av. La Molina s/n, La Molina, Ap.456 Lima, Peru; (c) Agroscope Reckenholz-Tänikon Research Station ART, Reckenholzstrasse 191, 8046 Zurich, Switzerland</t>
  </si>
  <si>
    <t>kg CO2 / kg ECM</t>
  </si>
  <si>
    <t>Milk, Coastal Peru</t>
  </si>
  <si>
    <t>Milk, New Zealand Average</t>
  </si>
  <si>
    <t>Basset-Mens, Claudine; Ledgard, Stewart; Boyes, Mark</t>
  </si>
  <si>
    <t>AgResearch Limited, Ruakura Research Centre, East Street, Private Bag 3123, Hamilton, New Zealand</t>
  </si>
  <si>
    <t>kg CO2 / kg Milk</t>
  </si>
  <si>
    <t>Milk, Low Inputs</t>
  </si>
  <si>
    <t>Milk, Nitrogen fertilizer</t>
  </si>
  <si>
    <t>Milk, N fertilizer plus maize silage</t>
  </si>
  <si>
    <t>Fish-saltwater finfish, tuna</t>
  </si>
  <si>
    <t>integrated production</t>
  </si>
  <si>
    <t>Blanke, Michael; Schaefer, Florian</t>
  </si>
  <si>
    <t>INRES - University of Bonn, Auf dem Hügel 6, D-53121 Bonn, Germany</t>
  </si>
  <si>
    <t>g co2 eq/kg</t>
  </si>
  <si>
    <t>organi DEMETER</t>
  </si>
  <si>
    <t>large farm business</t>
  </si>
  <si>
    <t>Argentinian organic</t>
  </si>
  <si>
    <t>germany</t>
  </si>
  <si>
    <t>Spain produced, imported to UK</t>
  </si>
  <si>
    <t>per tonne</t>
  </si>
  <si>
    <t>imported to UK</t>
  </si>
  <si>
    <t>Israel</t>
  </si>
  <si>
    <t>fruit</t>
  </si>
  <si>
    <t>sheep</t>
  </si>
  <si>
    <t>per tonne at regional distribution center (assuming boneless weight)</t>
  </si>
  <si>
    <t>Lo Giudice, A., Mbohwa, C, Clasadonte, M.T and Ingrao, C</t>
  </si>
  <si>
    <t>per ha, @12.5 tonnes/ha</t>
  </si>
  <si>
    <t>conventional production</t>
  </si>
  <si>
    <t>Eline de Backer, Joris Aertsens, Sofie Vergucht and Walter Steurbaut</t>
  </si>
  <si>
    <t>/kg leek</t>
  </si>
  <si>
    <t>organic production</t>
  </si>
  <si>
    <t>open field 2008</t>
  </si>
  <si>
    <t>M. Romero-Gámez, E.M. Suárez-Rey, A. Antón, N. Castilla, T. Soriano</t>
  </si>
  <si>
    <t>/kg green beans</t>
  </si>
  <si>
    <t>open field 2009</t>
  </si>
  <si>
    <t>screenhouse 2008</t>
  </si>
  <si>
    <t>screenhouse 2009</t>
  </si>
  <si>
    <t>screenhouse w mist 2008</t>
  </si>
  <si>
    <t>screenhouse w mist 2009</t>
  </si>
  <si>
    <t>Kelly Twomey Sanders, Michael E Webber</t>
  </si>
  <si>
    <t>+-0.13</t>
  </si>
  <si>
    <t>carcass weight, includes bones</t>
  </si>
  <si>
    <t>+-11.1</t>
  </si>
  <si>
    <t>chestnut</t>
  </si>
  <si>
    <t>fresh</t>
  </si>
  <si>
    <t>Diana Rosa, Filipa Figueiredo, Érica G. Castanheira, Manuel Feliciano, Filipe Maia, José Santos, Ana Paula Silva, Henrique Trindade, and Fausto Freire</t>
  </si>
  <si>
    <t>per kg harvested chestnut</t>
  </si>
  <si>
    <t>production is average of 3 cultivation systems</t>
  </si>
  <si>
    <t>groundwater, gravity, tillage</t>
  </si>
  <si>
    <t>Sanjuán, N; Ubeda, L; Clemente, G; Mulet, A; Girona, F</t>
  </si>
  <si>
    <t>groundwater, drip, tillage</t>
  </si>
  <si>
    <t>surface, gravity, tillage</t>
  </si>
  <si>
    <t>surface, drip, tillage</t>
  </si>
  <si>
    <t>groundwater, gravity, no tillage</t>
  </si>
  <si>
    <t>groundwater, drip, no tillage</t>
  </si>
  <si>
    <t>surface, gravity,no  tillage</t>
  </si>
  <si>
    <t>surface, drip, no tillage</t>
  </si>
  <si>
    <t>based on conceptual model, MITERRA-Europe</t>
  </si>
  <si>
    <t>per kg edible meat</t>
  </si>
  <si>
    <t>per kg eggs in shell</t>
  </si>
  <si>
    <t>per kg whole fresh cows milk</t>
  </si>
  <si>
    <t>based on 8 Dutch organic dairy farms, year 2000</t>
  </si>
  <si>
    <t>Thomassen, M. A.
de Boer, I. J. M.</t>
  </si>
  <si>
    <t>Wageningen Inst.</t>
  </si>
  <si>
    <t>SD=0.91; CV=37%</t>
  </si>
  <si>
    <t>SD=0.86; CV=48%</t>
  </si>
  <si>
    <t>typical Irish beef-suckler system, supplement 1</t>
  </si>
  <si>
    <t>Casey, J. W.
Holden, N. M.</t>
  </si>
  <si>
    <t>University College Dublin</t>
  </si>
  <si>
    <t>per kg live weight</t>
  </si>
  <si>
    <t>typical Irish beef-suckler system, supplement 2</t>
  </si>
  <si>
    <t>typical Irish beef-suckler system, supplement 3</t>
  </si>
  <si>
    <t>shorter life scenario, harvesting younger animals</t>
  </si>
  <si>
    <t>non-castrated males in intensive indoor feedlot</t>
  </si>
  <si>
    <t>same management as scenario 1 but using dairy-bred beef, spplement 1</t>
  </si>
  <si>
    <t>same management as scenario 1 but using dairy-bred beef, spplement 2</t>
  </si>
  <si>
    <t>same management as scenario 1 but using dairy-bred beef, spplement 3</t>
  </si>
  <si>
    <t>same as scenario 2, with dairy-bred animals</t>
  </si>
  <si>
    <t>same as scenario 3, but using dairy-bred animals</t>
  </si>
  <si>
    <t>Lagerberg Fogelberg, C
Carlsson-Kanyama, A</t>
  </si>
  <si>
    <t>FOI</t>
  </si>
  <si>
    <t>at wholesaler</t>
  </si>
  <si>
    <t>per kg</t>
  </si>
  <si>
    <t>carrot, frozen</t>
  </si>
  <si>
    <t>frozen, cut carrots at wholesaler</t>
  </si>
  <si>
    <t>tomato, greenhouse</t>
  </si>
  <si>
    <t>possible Sweish production</t>
  </si>
  <si>
    <t>FU=1.1kg bc assuming frozen is 10% less nutritious</t>
  </si>
  <si>
    <t>/1.1</t>
  </si>
  <si>
    <t>South Europe case 1</t>
  </si>
  <si>
    <t>S. Europe</t>
  </si>
  <si>
    <t>South Europe case 2</t>
  </si>
  <si>
    <t>S and C American case 1</t>
  </si>
  <si>
    <t>S&amp;C America</t>
  </si>
  <si>
    <t>S and C American case 2</t>
  </si>
  <si>
    <t>possible Swedish production</t>
  </si>
  <si>
    <t>South Europe case 1, fresh</t>
  </si>
  <si>
    <t>South Europe case 2, fresh</t>
  </si>
  <si>
    <t>note that this source also has results for legumes, but insufficient information is provided to accurately represent the functional unit in this database</t>
  </si>
  <si>
    <t>Fish-saltwater finfish, Tuna</t>
  </si>
  <si>
    <t>albacore tuna in Atlantic via purse seiners</t>
  </si>
  <si>
    <t>Atlantic</t>
  </si>
  <si>
    <t>Parker, Robert W. R.
Vázquez-Rowe, Ian
Tyedmers, Peter H.</t>
  </si>
  <si>
    <t>fuel use (L/tonne landed fish)</t>
  </si>
  <si>
    <t>assuming 46.448 MJ/L diesel; 3.1 kg CO2eq/L; 1:0.58 live to boneless weight</t>
  </si>
  <si>
    <t>only includes fuel consumption</t>
  </si>
  <si>
    <t>bigeye  tuna in Atlantic via purse seiners</t>
  </si>
  <si>
    <t>skipjack  tuna in Atlantic via purse seiners</t>
  </si>
  <si>
    <t>yellowfin tuna in Atlantic via purse seiners</t>
  </si>
  <si>
    <t>albacore tuna in Indian Ocean via purse seiners</t>
  </si>
  <si>
    <t>Indian Ocean</t>
  </si>
  <si>
    <t>bigeye  tuna in Indian Ocean via purse seiners</t>
  </si>
  <si>
    <t>skipjack  tuna in Indian Ocean via purse seiners</t>
  </si>
  <si>
    <t>yellowfin tuna in Indian Ocean via purse seiners</t>
  </si>
  <si>
    <t>albacore tuna in Pacific Ocean via purse seiners</t>
  </si>
  <si>
    <t>Pacific Ocean</t>
  </si>
  <si>
    <t>bigeye  tuna in Pacific Ocean via purse seiners</t>
  </si>
  <si>
    <t>skipjack  tuna in Pacific Ocean via purse seiners</t>
  </si>
  <si>
    <t>yellowfin tuna inPacific Ocean via purse seiners</t>
  </si>
  <si>
    <t>mangrove shrimp farms, organic</t>
  </si>
  <si>
    <t>Vietnam</t>
  </si>
  <si>
    <t>Jonell, Malin
Henriksson, Patrik John Gustav</t>
  </si>
  <si>
    <t>1000 kg live weight shrimp at farm</t>
  </si>
  <si>
    <t>live:boneless ratio 1:0.57</t>
  </si>
  <si>
    <t>mangrove shrimp farms, non-organic</t>
  </si>
  <si>
    <t>wild-caught banana prawn from Northern Prawn Fishery</t>
  </si>
  <si>
    <t>Farmery, A.
Gardner, C.
Green, B. S.
Jennings, S.
Watson, R.</t>
  </si>
  <si>
    <t>1 kg of frozen prawn at the processor gate</t>
  </si>
  <si>
    <t>paper reports = to 550 g prawn meat;   /.550</t>
  </si>
  <si>
    <t>wild-caught Tiger prawn from Northern Prawn Fishery</t>
  </si>
  <si>
    <t>Cherubini, Edivan
Zanghelini, Guilherme Marcelo
Alvarenga, Rodrigo Augusto Freitas
Franco, Davide
Soares, Sebastião Roberto</t>
  </si>
  <si>
    <t>1000 kg carcass weight</t>
  </si>
  <si>
    <t>paper looks at coproduction of milk and energy via AD; only including base case without energy here</t>
  </si>
  <si>
    <t>USA (Wisconcin)</t>
  </si>
  <si>
    <t>Aguirre-Villegas, Horacio A
Passos-Fonseca, Thaís H
Reinemann, Douglas J
Armentano, Louis E
Wattiaux, Michel A
Cabrera, Victor E
Norman, John M
Larson, R</t>
  </si>
  <si>
    <t>rain-fed paddy rice</t>
  </si>
  <si>
    <t>Thanawong, Kwansirinapa
Perret, SR
Basset-Mens, Claudine</t>
  </si>
  <si>
    <t>kg paddy rice</t>
  </si>
  <si>
    <t>2.84-3.45</t>
  </si>
  <si>
    <t>wet-season irrigated rice</t>
  </si>
  <si>
    <t>4.51-5.12</t>
  </si>
  <si>
    <t>dry-season irrigated rice</t>
  </si>
  <si>
    <t>5.06-6.20</t>
  </si>
  <si>
    <t>standard French production</t>
  </si>
  <si>
    <t>Da Silva, Vamilson Prudêncio
van der Werf, Hayo MG
Soares, Sebastião Roberto
Corson, Michael S</t>
  </si>
  <si>
    <t>cooled &amp; packaged chicken at slaughterhouse gate</t>
  </si>
  <si>
    <t>1 tonne cooled &amp; packaged chicken at slaughterhouse</t>
  </si>
  <si>
    <t>/1000/.77</t>
  </si>
  <si>
    <t>Label Rouge, France (Southwest</t>
  </si>
  <si>
    <t>Center-West Brazil</t>
  </si>
  <si>
    <t>South Brazil</t>
  </si>
  <si>
    <t>quinoa</t>
  </si>
  <si>
    <t>bulk quinoa from AlterEco 2012 emissions report</t>
  </si>
  <si>
    <t>Bolivia</t>
  </si>
  <si>
    <t>ALTER ECO</t>
  </si>
  <si>
    <t>does not provide details on methods</t>
  </si>
  <si>
    <t>kg bulk quinoa</t>
  </si>
  <si>
    <t>fluid milk, buffalo</t>
  </si>
  <si>
    <t>average of 6 Italian buffalo farms</t>
  </si>
  <si>
    <t>Prilo</t>
  </si>
  <si>
    <t>Pirlo, G
Terzano, G
Pacelli, C
Abeni, F
Care, S</t>
  </si>
  <si>
    <t>dairy</t>
  </si>
  <si>
    <t>Irish pasture based dairy</t>
  </si>
  <si>
    <t>O’Brien, D
Capper, JL
Garnsworthy, PC
Grainger, C
Shalloo, L</t>
  </si>
  <si>
    <t>using values that exclude on-farm carbon sequestration</t>
  </si>
  <si>
    <t>kg ECM</t>
  </si>
  <si>
    <t>UK confinement dairy</t>
  </si>
  <si>
    <t>US confinement dairy</t>
  </si>
  <si>
    <t>premium quality export bananas, 2009 season</t>
  </si>
  <si>
    <t>Iriarte, Alfredo
Almeida, Maria Gabriela
Villalobos, Pablo</t>
  </si>
  <si>
    <t>cradle to delivery at port in Hamburg</t>
  </si>
  <si>
    <t>kg export quality premium banana</t>
  </si>
  <si>
    <t>distribution represents best case scenario: worst case scenario is 0.71</t>
  </si>
  <si>
    <t>premium quality export bananas, 2010 season</t>
  </si>
  <si>
    <t>distribution represents best case scenario: worst case scenario is 0.70</t>
  </si>
  <si>
    <t>premium quality export bananas, 2011 season</t>
  </si>
  <si>
    <t>culled cows from milk production</t>
  </si>
  <si>
    <t>Hallström, E.
Röös, E.
Börjesson, P.</t>
  </si>
  <si>
    <t>kg bone-free meat</t>
  </si>
  <si>
    <t>bulls from milk production</t>
  </si>
  <si>
    <t>steers from milk production</t>
  </si>
  <si>
    <t>heifers from milk production</t>
  </si>
  <si>
    <t>suckler production (cows and off-spring)</t>
  </si>
  <si>
    <t>Germany, Poland and Denmark</t>
  </si>
  <si>
    <t>Extensive suckler production</t>
  </si>
  <si>
    <t>calves from milk production, extensive</t>
  </si>
  <si>
    <t>other imported</t>
  </si>
  <si>
    <t>intensive indoor production</t>
  </si>
  <si>
    <t>Imported</t>
  </si>
  <si>
    <t>González-García, Sara
Gomez-Fernández, Zaira
Dias, Ana Cláudia
Feijoo, Gumersindo
Moreira, Mª Teresa
Arroja, Luis</t>
  </si>
  <si>
    <t>1.2 kg broilder chicken meat ready to be distributed</t>
  </si>
  <si>
    <t>/1.2</t>
  </si>
  <si>
    <t>Gollnow, Sebastian
Lundie, Sven
Moore, Andrew D.
McLaren, Jake
van Buuren, Neil
Stahle, Peter
Christie, Karen
Thylmann, Daniel
Rehl, Torsten</t>
  </si>
  <si>
    <t>East Canada</t>
  </si>
  <si>
    <t>Dyer, James A
Vergé, Xavier PC
Desjardins, Raymond L
Worth, Devon E</t>
  </si>
  <si>
    <t>per kg LW</t>
  </si>
  <si>
    <t>West Canada</t>
  </si>
  <si>
    <t>fish sticks</t>
  </si>
  <si>
    <t>based on Patagonian grenadier fishery</t>
  </si>
  <si>
    <t>Vázquez-Rowe, Ian
Villanueva-Rey, Pedro
Mallo, Juan
De la Cerda, Juan José
Moreira, Ma Teresa
Feijoo, Gumersindo</t>
  </si>
  <si>
    <t>1 package - 320g  edible product</t>
  </si>
  <si>
    <t>/.32</t>
  </si>
  <si>
    <t>Reunion Island (Indian Ocean)</t>
  </si>
  <si>
    <t>Thévenot, Alexandre
Aubin, Joël
Tillard, Emmanuel
Vayssières, Jonathan</t>
  </si>
  <si>
    <t>1 tonne bone-in chicken ready for retail</t>
  </si>
  <si>
    <t>Fluid milk, cow</t>
  </si>
  <si>
    <t>Central region</t>
  </si>
  <si>
    <t>Roer, Anne-Grete
Johansen, Astrid
Bakken, Anne Kjersti
Daugstad, Kristin
Fystro, Gustav
Strømman, Anders Hammer</t>
  </si>
  <si>
    <t>1 kg ECM</t>
  </si>
  <si>
    <t>Central southeast region</t>
  </si>
  <si>
    <t>Southwest region</t>
  </si>
  <si>
    <t>beef from dairy</t>
  </si>
  <si>
    <t>1 kg carcass (live weight*.5)</t>
  </si>
  <si>
    <t>/.667</t>
  </si>
  <si>
    <t>pasture based</t>
  </si>
  <si>
    <t>Ripoll-Bosch, R.
de Boer, I. J. M.
Bernués, A.
Vellinga, T. V.</t>
  </si>
  <si>
    <t>1 kg live weight, but also reports per kg lamb meat</t>
  </si>
  <si>
    <t>contributions: 7.9% CO2, 61.4% CH4, 30.5% N20</t>
  </si>
  <si>
    <t>mixed pasture &amp; concentrated feed</t>
  </si>
  <si>
    <t>contributions: 21% CO2, 57.6% CH4, 21.4% N21</t>
  </si>
  <si>
    <t>zero grazing (all concentrated feed)</t>
  </si>
  <si>
    <t>contributions: 29.1% CO2, 59.4% CH4, 11.5% N22</t>
  </si>
  <si>
    <t>Japanese ox-grassfed steers (Scone)</t>
  </si>
  <si>
    <t>Ridoutt, Bradley G
Page, Girija
Opie, Kimberley
Huang, Jing
Bellotti, William</t>
  </si>
  <si>
    <t>/0.667/0.602</t>
  </si>
  <si>
    <t>EU Cattle (Parkes)</t>
  </si>
  <si>
    <t>Inland weaners, grass fattened and feedlot finished (Walgett, Gunnedah, Quirindi)</t>
  </si>
  <si>
    <t>North coast weanters, grass fattened and feedlot finished (Casino, Glen Innes, Rangers Valley)</t>
  </si>
  <si>
    <t>Yearling (Gundagai)</t>
  </si>
  <si>
    <t>Yearling (Bathurst)</t>
  </si>
  <si>
    <t>olive</t>
  </si>
  <si>
    <t>conventional system</t>
  </si>
  <si>
    <t>Pergola, Maria
Favia, Mariafara
Palese, Assunta Maria
Perretti, Biagio
Xiloyannis, Cristos
Celano, Giuseppe</t>
  </si>
  <si>
    <t>kg olives</t>
  </si>
  <si>
    <t>sustainable system</t>
  </si>
  <si>
    <t>lemon</t>
  </si>
  <si>
    <t>Pergola, M
D'Amico, M
Celano, G
Palese, AM
Scuderi, A
Di Vita, G
Pappalardo, G
Inglese, P</t>
  </si>
  <si>
    <t>kg lemons</t>
  </si>
  <si>
    <t>kg oranges</t>
  </si>
  <si>
    <t>grass fed Normande cows</t>
  </si>
  <si>
    <t>Nguyen, T. T. H.
Doreau, M.
Corson, M. S.
Eugène, M.
Delaby, L.
Chesneau, G.
Gallard, Y.
van der Werf, H. M. G.</t>
  </si>
  <si>
    <t>considers LUC, but not included here; using biophysical allocation</t>
  </si>
  <si>
    <t>Grass fed Holstein cows</t>
  </si>
  <si>
    <t>grass with low proportion of corn silage, Holstein cows</t>
  </si>
  <si>
    <t>grass with high proportion of corn silage, Holstein cows</t>
  </si>
  <si>
    <t>grass with low proportion of corn silage, ration enriched with omega 3 fatty acids, Holstein cows</t>
  </si>
  <si>
    <t>grass with high proportion of corn silage, ration enriched with omega 3 fatty acids, Holstein cows</t>
  </si>
  <si>
    <t>carp and tilapia, feed 2, practice 1 (large farms, high fish stocking density,
generally appropriate feeding practice or water quality)</t>
  </si>
  <si>
    <t>West Java, Indonesia</t>
  </si>
  <si>
    <t>Mungkung, Rattanawan
Aubin, Joël
Prihadi, Tri Heru
Slembrouck, Jacques
van der Werf, Hayo MG
Legendre, Marc</t>
  </si>
  <si>
    <t>per tonne harvested fish</t>
  </si>
  <si>
    <t>/1000/.37 (FAO Yield and nutritional value of the commercially more important fish species…)</t>
  </si>
  <si>
    <t>carp and tilapia, feed 2, practice 2 (small farms and relatively lower fish stocking density, feeding efficiency or water quality than for practice 1)</t>
  </si>
  <si>
    <t>carp and tilapia, feed 3, practice 1 (large farms, high fish stocking density,
generally appropriate feeding practice or water quality)</t>
  </si>
  <si>
    <t>carp and tilapia, feed 4, practice 1 (large farms, high fish stocking density,
generally appropriate feeding practice or water quality)</t>
  </si>
  <si>
    <t>pedigree milk production index &lt;100kg, 338 kg concentrate feed per head per year</t>
  </si>
  <si>
    <t>Lovett, DK
Shalloo, L
Dillon, P
O’Mara, FP</t>
  </si>
  <si>
    <t>modelling approach to farm gate GHGE</t>
  </si>
  <si>
    <t>kg milk</t>
  </si>
  <si>
    <t>pedigree milk production index &lt;100kg, 736 kg concentrate feed per head per year</t>
  </si>
  <si>
    <t>pedigree milk production index &lt;100kg, 1403 kg concentrate feed per head per year</t>
  </si>
  <si>
    <t>pedigree milk production index 100kg-200kg, 338 kg concentrate feed per head per year</t>
  </si>
  <si>
    <t>pedigree milk production index 100kg-200kg, 736 kg concentrate feed per head per year</t>
  </si>
  <si>
    <t>pedigree milk production index 100kg-200kg, 1403 kg concentrate feed per head per year</t>
  </si>
  <si>
    <t>pedigree milk production index 200-300kg, 338 kg concentrate feed per head per year</t>
  </si>
  <si>
    <t>pedigree milk production index 200-300kg, 736 kg concentrate feed per head per year</t>
  </si>
  <si>
    <t>pedigree milk production index 200-300kg, 1403 kg concentrate feed per head per year</t>
  </si>
  <si>
    <t>braeburn apples, Hawke's Bay site #1</t>
  </si>
  <si>
    <t>Milà i Canals, L.
Burnip, G. M.
Cowell, S. J.</t>
  </si>
  <si>
    <t>1 tonne
harvested Grade 1 or 2 Braeburn apples at a central location
on the orchard ready for cool storage and/or packing</t>
  </si>
  <si>
    <t>braeburn apples, Hawke's Bay site #2</t>
  </si>
  <si>
    <t>braeburn apples, Hawke's Bay site #Ref</t>
  </si>
  <si>
    <t>/1002</t>
  </si>
  <si>
    <t>braeburn apples,Central Otago site #1</t>
  </si>
  <si>
    <t>/1003</t>
  </si>
  <si>
    <t>braeburn apples,Central Otago site #Ref</t>
  </si>
  <si>
    <t>/1004</t>
  </si>
  <si>
    <t>flatfish filet</t>
  </si>
  <si>
    <t>Thrane, Mikkel</t>
  </si>
  <si>
    <t>1 kg consumed frozen flatfish filet</t>
  </si>
  <si>
    <t>Dalgaard, Randi</t>
  </si>
  <si>
    <t>/0.729</t>
  </si>
  <si>
    <t>Japanese Wagyu beef</t>
  </si>
  <si>
    <t>Ogino, Akifumi
Orito, Hideki
Shimada, Kazuhiro
Hirooka, Hiroyuki</t>
  </si>
  <si>
    <t>study focuses on cow-calf stage but extrapolates to finished beef</t>
  </si>
  <si>
    <t>presents a value per kg retail beef; assuming this refers to boneless</t>
  </si>
  <si>
    <t>Berlin, Johanna
Sonesson, Ulf
Tillman, Anne‐Marie</t>
  </si>
  <si>
    <t>farmed salmon, filleted, frozen and delivered to consumer in Paris</t>
  </si>
  <si>
    <t>Ellingsen, H
Olaussen, JO
Utne, IB</t>
  </si>
  <si>
    <t>1 kg salmon fillet</t>
  </si>
  <si>
    <t>low temperature distribution</t>
  </si>
  <si>
    <t>Roy, Poritosh
Nei, Daisuke
Okadome, Hiroshi
Nakamura, Nobutaka
Orikasa, Takahiro
Shiina, Takeo</t>
  </si>
  <si>
    <t>value recorded in processing stage for low temp distribution is for cooling</t>
  </si>
  <si>
    <t>1000 kg</t>
  </si>
  <si>
    <t>modified atmosphere packaging distribution</t>
  </si>
  <si>
    <t>mass allocation</t>
  </si>
  <si>
    <t>Thomassen, Marlies A
Dalgaard, Randi
Heijungs, Reinout
De Boer, Imke</t>
  </si>
  <si>
    <t>cradle to farm gate (not logging consequestial results)</t>
  </si>
  <si>
    <t>economic allocation</t>
  </si>
  <si>
    <t>eastern Canada</t>
  </si>
  <si>
    <t>Vergé, X. P. C.
Dyer, J. A.
Desjardins, R. L.
Worth, D.</t>
  </si>
  <si>
    <t>farm gate.  Reporting values from 2001</t>
  </si>
  <si>
    <t>Western Canada</t>
  </si>
  <si>
    <t>Canada wide</t>
  </si>
  <si>
    <t>Norway Lobster, trawled</t>
  </si>
  <si>
    <t>Ziegler, Friederike
Valentinsson, Daniel</t>
  </si>
  <si>
    <t>.3 g edible meat (Norway Lobster tails) corresponding to 1 kg whole boiled lobster</t>
  </si>
  <si>
    <t>/.3</t>
  </si>
  <si>
    <t>Norway Lobster, creeled</t>
  </si>
  <si>
    <t>Edwards-Jones, G.
Plassmann, K.
Harris, I. M.</t>
  </si>
  <si>
    <t>/kg dead weight</t>
  </si>
  <si>
    <t>/0.658</t>
  </si>
  <si>
    <t>conventional, extensive</t>
  </si>
  <si>
    <t>/kg live weight</t>
  </si>
  <si>
    <t>extensive</t>
  </si>
  <si>
    <t>cod, processed, long liner fishing</t>
  </si>
  <si>
    <t>Guttormsdóttir, Aðalbjörg Birna</t>
  </si>
  <si>
    <t>1 kg of frozen light salted cod fillets caught in Icelandic sea</t>
  </si>
  <si>
    <t>cod, processed, bottom trawler fishing</t>
  </si>
  <si>
    <t>Hokazono, S
Hayashi, K
Sato, M</t>
  </si>
  <si>
    <t>1 kg brown rice</t>
  </si>
  <si>
    <t>sustainable</t>
  </si>
  <si>
    <t>british farms (outdoors)</t>
  </si>
  <si>
    <t>Hospido, Almudena
i Canals, Llorenç Milà
McLaren, Sarah
Truninger, Monica
Edwards-Jones, Gareth
Clift, Roland</t>
  </si>
  <si>
    <t>1 kg of lettuce delivered to a UK RDC</t>
  </si>
  <si>
    <t>Spanish farms (imported to UK)</t>
  </si>
  <si>
    <t>Lettuce, greenhouse</t>
  </si>
  <si>
    <t>British farms (with heating)</t>
  </si>
  <si>
    <t>british farms (without heating)</t>
  </si>
  <si>
    <t>Kasmaprapruet, Sakaorat
Paengjuntuek, Woranee
Saikhwan, Phanida
Phungrassami, Harnpon</t>
  </si>
  <si>
    <t>note that rice hulls are used as energy source for drying; this contribution is not included in the CED data</t>
  </si>
  <si>
    <t>1 kg milled rice at mill gate</t>
  </si>
  <si>
    <t>based on analysis of 119 Dutch dairy farms; economic allocation</t>
  </si>
  <si>
    <t>Thomassen, MA
Dolman, MA
Van Calker, KJ
De Boer, IJM</t>
  </si>
  <si>
    <t>SD=.3</t>
  </si>
  <si>
    <t>UK1 (~100 cow farm)</t>
  </si>
  <si>
    <t>Schroeder, Roberto
Aguiar, Luís Kluwe
Baines, Richard</t>
  </si>
  <si>
    <t>1 kg bone-free meat</t>
  </si>
  <si>
    <t>UK2 (~50 cow farm)</t>
  </si>
  <si>
    <t>Brazil (~300 cow farm)</t>
  </si>
  <si>
    <t>van der Werf, Hayo MG
Kanyarushoki, Claver
Corson, Michael S</t>
  </si>
  <si>
    <t>1000 kg FPCM</t>
  </si>
  <si>
    <t>CV=34%, n=6</t>
  </si>
  <si>
    <t>CV=12%, n=6</t>
  </si>
  <si>
    <t>CV=16%, n=41</t>
  </si>
  <si>
    <t>CV=14%, n=41</t>
  </si>
  <si>
    <t>aquaculture, salmon, fresh gutted to Paris</t>
  </si>
  <si>
    <t>Winther, Ulf
Ziegler, Friederike
Hognes, Erik Skontorp
Emanuelsson, Andreas
Sund, Veronica
Ellingsen, Harald</t>
  </si>
  <si>
    <t>1 kg edible product</t>
  </si>
  <si>
    <t>aquaculture, salmon, fresh gutted to Oslo</t>
  </si>
  <si>
    <t>aquaculture, salmon, fresh gutted to Moscow</t>
  </si>
  <si>
    <t>aquaculture, salmon, fresh gutted to Tokyo (by air)</t>
  </si>
  <si>
    <t>aquaculture, salmon, frozen gutted to Shanghai (by boat)</t>
  </si>
  <si>
    <t>aquaculture, salmon, fresh fillet to Paris</t>
  </si>
  <si>
    <t>aquaculture, salmon, frozen fillet to Paris</t>
  </si>
  <si>
    <t>aquaculture, blue mussels, Fresh to Paris</t>
  </si>
  <si>
    <t>wild capture, cod, fresh gutted to Paris</t>
  </si>
  <si>
    <t>wild capture, cod, fresh fillet to Oslo</t>
  </si>
  <si>
    <t>wild capture, cod, fresh fillet to Paris</t>
  </si>
  <si>
    <t>wild capture, cod, frozen fillet to Paris</t>
  </si>
  <si>
    <t>wild capture, cod, frozen fillet to Paris, via China</t>
  </si>
  <si>
    <t>wild capture, cod, saltfish to Lisbon</t>
  </si>
  <si>
    <t>wild capture, cod, clipfish to Lisbon</t>
  </si>
  <si>
    <t>wild capture, saithe, frozen fillets to Berlin</t>
  </si>
  <si>
    <t>wild capture, haddock, frozen gutted to London</t>
  </si>
  <si>
    <t>wild capture, haddock, fresh gutted to London</t>
  </si>
  <si>
    <t>wild capture, herring, round frozen to Moscow</t>
  </si>
  <si>
    <t>wild capture, herring, frozen fillet to Moscow</t>
  </si>
  <si>
    <t>wild capture, round frozen mackerel Tokyo</t>
  </si>
  <si>
    <t>wild capture, round frozen mackerel Moscow</t>
  </si>
  <si>
    <t>sub-clover</t>
  </si>
  <si>
    <t>Biswas, Wahidul K
Graham, John
Kelly, Kevin
John, Michele B</t>
  </si>
  <si>
    <t>/0.658/0.508</t>
  </si>
  <si>
    <t>mixed pasture</t>
  </si>
  <si>
    <t>combined purse seiner and pelagic trawler in NE Atlantic</t>
  </si>
  <si>
    <t xml:space="preserve"> Fet, Annik Magerholm
Schau, Erwin M
Haskins, Cecilia</t>
  </si>
  <si>
    <t>1 kg frozen fish fillet, delivered to Paris</t>
  </si>
  <si>
    <t>typical New Zealand production</t>
  </si>
  <si>
    <t>Ledgard, SF
Lieffering, M
McDevitt, J
Boyes, M
Kemp, R</t>
  </si>
  <si>
    <t>NZ lamb to UK</t>
  </si>
  <si>
    <t>100g portion of raw purchased meat</t>
  </si>
  <si>
    <t>assumed this is bone-free. X10</t>
  </si>
  <si>
    <t>Maraseni, Tek N
Cockfield, Geoff
Maroulis, Jerry
Chen, Guangnan</t>
  </si>
  <si>
    <t>t CO2e/t=kg co2e/kg</t>
  </si>
  <si>
    <t>beet, garden, roots</t>
  </si>
  <si>
    <t>cabbage</t>
  </si>
  <si>
    <t>pepper, bell</t>
  </si>
  <si>
    <t>pepper, nonbell</t>
  </si>
  <si>
    <t>pea, succulent</t>
  </si>
  <si>
    <t>fresh pod</t>
  </si>
  <si>
    <t>shelled</t>
  </si>
  <si>
    <t>cantaloupe</t>
  </si>
  <si>
    <t>watermelon</t>
  </si>
  <si>
    <t>mushroom</t>
  </si>
  <si>
    <t>sweet corn</t>
  </si>
  <si>
    <t>squash, summer</t>
  </si>
  <si>
    <t>specialized beef in grassland area, calf-to-weanling and fattend females</t>
  </si>
  <si>
    <t>Veysset, P
Lherm, M
Bébin, D</t>
  </si>
  <si>
    <t>/ton LW</t>
  </si>
  <si>
    <t>/1000/0.667/0.602</t>
  </si>
  <si>
    <t>specialized beef in grassland area, calf-to-weanling, 100% grassland farm</t>
  </si>
  <si>
    <t>specialized beef in grassland area, calf-to-beef, beef steer production</t>
  </si>
  <si>
    <t>mixed crop-livestock, calf-to-beef intensive baby beef production</t>
  </si>
  <si>
    <t>mixed crop-livestock, calf-to-weanling and cereals production</t>
  </si>
  <si>
    <t>wheat, grain</t>
  </si>
  <si>
    <t>non-organic; assessed via modelling/simulation</t>
  </si>
  <si>
    <t>Williams, Adrian G
Audsley, Eric
Sandars, Daniel L</t>
  </si>
  <si>
    <t>rapeseed</t>
  </si>
  <si>
    <t>organic; assessed via modelling/simulation</t>
  </si>
  <si>
    <t>striped catfish (Pangasianodon hypophthalmus), Mekong Delta</t>
  </si>
  <si>
    <t>Bosma, Roel
Anh, Pham Thi
Potting, José</t>
  </si>
  <si>
    <t>1 tonne fresh fish at farm gate</t>
  </si>
  <si>
    <t>Browne, Natalie A
Eckard, Richard J
Behrendt, Ralph
Kingwell, Ross S</t>
  </si>
  <si>
    <t>kg LW</t>
  </si>
  <si>
    <t>pasture</t>
  </si>
  <si>
    <t>pasture/supplement</t>
  </si>
  <si>
    <t xml:space="preserve">kg </t>
  </si>
  <si>
    <t>canola</t>
  </si>
  <si>
    <t>kg</t>
  </si>
  <si>
    <t>average of 60 Tasmanian dairy farms, estimated by GHGE calculator</t>
  </si>
  <si>
    <t>Australia (Tasmania)</t>
  </si>
  <si>
    <t>Christie, KM
Rawnsley, RP
Eckard, RJ</t>
  </si>
  <si>
    <t>.83-1.39, SD=.13, n=60</t>
  </si>
  <si>
    <t>National Farm Survey</t>
  </si>
  <si>
    <t>Foley, P. A.
Crosson, P.
Lovett, D. K.
Boland, T. M.
O’Mara, F. P.
Kenny, D. A.</t>
  </si>
  <si>
    <t>modeled production</t>
  </si>
  <si>
    <t>kg beef carcass</t>
  </si>
  <si>
    <t>/0.667</t>
  </si>
  <si>
    <t>Steer, moderate</t>
  </si>
  <si>
    <t>steer, intensive</t>
  </si>
  <si>
    <t>bull, moderate</t>
  </si>
  <si>
    <t>bull, intensive</t>
  </si>
  <si>
    <t>average of 45 model farms in 38 countries</t>
  </si>
  <si>
    <t>world</t>
  </si>
  <si>
    <t>Hagemann, Martin
Hemme, Torsten
Ndambi, Asaah
Alqaisi, Othman
Sultana, Mst Nadira</t>
  </si>
  <si>
    <t>SD=.49, n=45</t>
  </si>
  <si>
    <t>Aurora Organic Dairy (vertically integrated organic dairy)</t>
  </si>
  <si>
    <t>Heller, M. C.
Keoleian, G. A.</t>
  </si>
  <si>
    <t>reporting average of 2 years</t>
  </si>
  <si>
    <t>1 L packaged fluid milk</t>
  </si>
  <si>
    <t>1.035kg/L</t>
  </si>
  <si>
    <t xml:space="preserve">average of 41 intensive dairy farms in the Po valley </t>
  </si>
  <si>
    <t>Guerci, Matteo
Bava, Luciana
Zucali, Maddalena
Sandrucci, Anna
Penati, Chiara
Tamburini, Alberto</t>
  </si>
  <si>
    <t>Intensive dairy farms in Italy</t>
  </si>
  <si>
    <t>sd= 1.32; on-farm and off-farm values</t>
  </si>
  <si>
    <t>Guerci, Matteo
Knudsen, Marie Trydeman
Bava, Luciana
Zucali, Maddalena
Schönbach, Philipp
Kristensen, Troels</t>
  </si>
  <si>
    <t>Dairy farms in Denmark, Germany, and Italy</t>
  </si>
  <si>
    <t>cradle to farm gate; uses biological allocation</t>
  </si>
  <si>
    <t>Provides on-farm %s</t>
  </si>
  <si>
    <t>pasture based feeding in the summer</t>
  </si>
  <si>
    <t>confinement feeding</t>
  </si>
  <si>
    <t>confinement feeding; intensive farming</t>
  </si>
  <si>
    <t>an average for different forms (drinking, stirrable, and solid) of  yogurt</t>
  </si>
  <si>
    <t>González-García, Sara
Castanheira, Érica G.
Dias, Ana Cláudia
Arroja, Luis</t>
  </si>
  <si>
    <t>Environmental LCA of a diary product</t>
  </si>
  <si>
    <t>Final Disposal</t>
  </si>
  <si>
    <t>cradle to grave; uses mass allocation</t>
  </si>
  <si>
    <t>1 tonne yogurt at the household</t>
  </si>
  <si>
    <t>average for simple (whole, semi-skimmed, and skimmed) UHT milk and cocoa UHT milk</t>
  </si>
  <si>
    <t>Using LCA to assess UHT milk production</t>
  </si>
  <si>
    <t>cradle to factory gate; uses mass allocation</t>
  </si>
  <si>
    <t>San Simon da Costa cheese (a type of Galician cheese)</t>
  </si>
  <si>
    <t>González-García, Sara
Hospido, Almudena
Moreira, María Teresa
Feijoo, Gumersindo
Arroja, Luis</t>
  </si>
  <si>
    <t>Environmental LCA of a Galician cheese</t>
  </si>
  <si>
    <t>Wastewater treatment plant</t>
  </si>
  <si>
    <t>cradle to packaging; with waste included</t>
  </si>
  <si>
    <t>1 kg cheese packaged or ready to be consumed</t>
  </si>
  <si>
    <t>Golden delicious apple; West Viriginia</t>
  </si>
  <si>
    <t>Cerutti, Alessandro K.
Bruun, Sander
Donno, Dario
Beccaro, Gabriele L.
Bounous, Giancarlo</t>
  </si>
  <si>
    <t>Ancient apple cultivars in Northern Italy</t>
  </si>
  <si>
    <t>1 tonne of fruit</t>
  </si>
  <si>
    <t>Grigia di Torriana apple; Cueno, Italy</t>
  </si>
  <si>
    <t>Magnana apple; Torino, Italy</t>
  </si>
  <si>
    <t>Runse apple; Torino, Italy</t>
  </si>
  <si>
    <t>Melon</t>
  </si>
  <si>
    <t>Brazilian yellow melon; produced in non-heated greenhouses</t>
  </si>
  <si>
    <t>Brito de Figueirêdo, Maria Cléa
Kroeze, Carolien
Potting, José
da Silva Barros, Viviane
Sousa de Aragão, Fernando Antônio
Gondim, Rubens Sonsol
de Lima Santos, Tayane
de Boer, Imke J. M.</t>
  </si>
  <si>
    <t>Carbon footprint of Brazilian yellow melon</t>
  </si>
  <si>
    <t>cradle to transport to retail</t>
  </si>
  <si>
    <t>1 tonne of melon</t>
  </si>
  <si>
    <t>average of 30 dairy farms</t>
  </si>
  <si>
    <t>Bonesmo, Helge
Beauchemin, Karen A.
Harstad, Odd M.
Skjelvåg, Arne O.</t>
  </si>
  <si>
    <t>GHGE intensities of grass silage based dairy and beef production</t>
  </si>
  <si>
    <t>culled cows and heifers; average of 30 dairy farms</t>
  </si>
  <si>
    <t>young bulls; average of 30 dairy farms</t>
  </si>
  <si>
    <t>Queensland; conventional production</t>
  </si>
  <si>
    <t>Wiedemann, Stephen
McGahan, Eugene J
Poad, Glenn</t>
  </si>
  <si>
    <t>Chicken meat production Australia</t>
  </si>
  <si>
    <t>Other, government report</t>
  </si>
  <si>
    <t>/0.77</t>
  </si>
  <si>
    <t>South Australia; conventional production</t>
  </si>
  <si>
    <t>Seasonally grassfed Holstein-Friesian cows</t>
  </si>
  <si>
    <t>O’Brien, Donal
Shalloo, Laurence
Patton, Joe
Buckley, Frank
Grainger, Chris
Wallace, Michael</t>
  </si>
  <si>
    <t>LCA of seasonal grass-based and confinement dairy farms</t>
  </si>
  <si>
    <t>1 tonne FPCM</t>
  </si>
  <si>
    <t>Confinement fed Holstein-Friesian cows</t>
  </si>
  <si>
    <t>St-Sm (standard diet for cow-calf herd and silage maize starch for bull-fattening herd)</t>
  </si>
  <si>
    <t>Nguyen, T. T. H.
van der Werf, H. M. G.
Eugène, M.
Veysset, P.
Devun, J.
Chesneau, G.
Doreau, M.</t>
  </si>
  <si>
    <t>Effects of type of ration and allocation methods on the impacts of beef</t>
  </si>
  <si>
    <t>cradle to farm gate; considers LU/LUC but not reported here</t>
  </si>
  <si>
    <t>O3-SML (maximizing omega-3 fatty acids using wrapped grass silage for cow-calf herd and silage maize starch plus linseed, rich in omega 3s, for bull fattening herd)</t>
  </si>
  <si>
    <t>St-FC (standard diet for cow-calf herd and fiber-based concentrate for bull fattening herd)</t>
  </si>
  <si>
    <t>O3-SCL (maximizing omega-3 fatty acids using wrapped grass silage for cow-calf herd and starch-based concentrate plus linseed for bull fattening herd)</t>
  </si>
  <si>
    <t>Hokaido pumpkin; Small integrated vegetable production</t>
  </si>
  <si>
    <t>Schäfer, Florian
Blanke, Michael</t>
  </si>
  <si>
    <t>Farming and marketing system…case study using Hakaido pumpkin</t>
  </si>
  <si>
    <t>cradle to transport retail to consumer</t>
  </si>
  <si>
    <t>1 kg pumpkin ("saleable product")</t>
  </si>
  <si>
    <t>Included carbon footprint of transporting the pumpkin from retail to the consumer's household in "Retail"; no way to split this out</t>
  </si>
  <si>
    <t>Hokaido pumpkin; Small organic production</t>
  </si>
  <si>
    <t>Hokaido pumpkin; Large farm devoted to pumpkin production</t>
  </si>
  <si>
    <t>Imported to Germany from Mendoza; organic</t>
  </si>
  <si>
    <t>Tsukuba in the Ibaraki Prefecture</t>
  </si>
  <si>
    <t>Roy, Poritosh
Orikasa, Takahiro
Thammawong, Manasikan
Nakamura, Nobutaka
Xu, Qingyi
Shiina, Takeo</t>
  </si>
  <si>
    <t>Life cycle of meats in Japan</t>
  </si>
  <si>
    <t>1 kg meat</t>
  </si>
  <si>
    <t>Farm-gate values are from the literature (but assumed to be valid in Japan)</t>
  </si>
  <si>
    <t>Conventional; five-year average impact of rice cultivation while converting from conventional to organic production</t>
  </si>
  <si>
    <t>Hokazono, Shingo
Hayashi, Kiyotada</t>
  </si>
  <si>
    <t>Variability in environmental impacts…comparison among three rice production systems</t>
  </si>
  <si>
    <t>1 kg brown rice (dried and husked)</t>
  </si>
  <si>
    <t>Environmentally friendly production; five-year average impact of rice cultivation while converting from conventional to organic production</t>
  </si>
  <si>
    <t>Organic; five-year average impact of rice cultivation while converting from conventional to organic production</t>
  </si>
  <si>
    <t>High density model</t>
  </si>
  <si>
    <t>De Gennaro, B.
Notarnicola, B.
Roselli, L.
Tassielli, G.</t>
  </si>
  <si>
    <t>Innovative olive-growing models</t>
  </si>
  <si>
    <t>1 tonne olives</t>
  </si>
  <si>
    <t>Super high density model</t>
  </si>
  <si>
    <t>Melon, greenhouse</t>
  </si>
  <si>
    <t>Single company in southern Italy; rotating cycles in greenhouses</t>
  </si>
  <si>
    <t>Cellura, Maurizio
Longo, Sonia
Mistretta, Marina</t>
  </si>
  <si>
    <t>LCA of protected crops Italy</t>
  </si>
  <si>
    <t>1000 kg packaged vegetables</t>
  </si>
  <si>
    <t>Values for each LCA are not able to be broken down accurately</t>
  </si>
  <si>
    <t>Values for each LCA stage are not reported</t>
  </si>
  <si>
    <t>Pepper, greenhouse</t>
  </si>
  <si>
    <t>Zucchini, greenhouse</t>
  </si>
  <si>
    <t>Cherry tomato; single company in southern Italy; rotating cycles in greenhouses</t>
  </si>
  <si>
    <t>Average allocation attributional modelling</t>
  </si>
  <si>
    <t>Schmidt, Jannick Højrup
Dalgaard, Randi</t>
  </si>
  <si>
    <t>National and farm level carbon footprint of Danish and Sweish milk</t>
  </si>
  <si>
    <t>GHGE reported w/o ILUC</t>
  </si>
  <si>
    <t>PAS2050</t>
  </si>
  <si>
    <t>GHGE reported w/o DLUC</t>
  </si>
  <si>
    <t>IDF guideline</t>
  </si>
  <si>
    <t xml:space="preserve">Rainbow trout farmed in the Archipelago Sea area of the Baltic Sea </t>
  </si>
  <si>
    <t>Grönroos, Juha
Silvenius, Frans
Kankainen, Markus
Silvo, Kimmo
Mäkinen, Timo</t>
  </si>
  <si>
    <t>Life cycle impacts Baltic Sea</t>
  </si>
  <si>
    <t>Other, intergovernmental report</t>
  </si>
  <si>
    <t>1000 kg ungutted Rainbow trout</t>
  </si>
  <si>
    <t>/1000/0.65</t>
  </si>
  <si>
    <t>High quality milk; M1 study (follows PCR for milk)</t>
  </si>
  <si>
    <t>Fantin, Valentina
Buttol, Patrizia
Pergreffi, Roberto
Masoni, Paolo</t>
  </si>
  <si>
    <t>Life cycle asessment of Italian high quality milk production</t>
  </si>
  <si>
    <t>cradle to distribution</t>
  </si>
  <si>
    <t>1 liter HQ milk</t>
  </si>
  <si>
    <t>*1.035</t>
  </si>
  <si>
    <t>Packaging included in processing value- no way to separate</t>
  </si>
  <si>
    <t>High quality milk; M3 study (follows revised PCR for milk)</t>
  </si>
  <si>
    <t>Swedish lamb; average of 10 farms (3 conventional indoor breeding, 3 conventional outdoor breeding, &amp; 4 organic)</t>
  </si>
  <si>
    <t>Wallman, M
Cederberg, C
Sonesson, U</t>
  </si>
  <si>
    <t>Life cycle assessment of Swedish Lamb Production</t>
  </si>
  <si>
    <t>cradle to regional distribution center</t>
  </si>
  <si>
    <t>/.658</t>
  </si>
  <si>
    <t>Transport of animals to slaughter, energy use at slaughter house, packaging, and transport to regional distribution center all included in processing value- no way to separate</t>
  </si>
  <si>
    <t>Eight-week old, semi-hard Dutch cheese</t>
  </si>
  <si>
    <t>The Netherlands</t>
  </si>
  <si>
    <t>van Middelaar, C. E.
Berentsen, P. B. M.
Dolman, M. A.
de Boer, I. J. M.</t>
  </si>
  <si>
    <t>Eco-efficiency in the production chain of Dutch semi-hard cheese</t>
  </si>
  <si>
    <t>cradle to retail</t>
  </si>
  <si>
    <t>1 kg cheese</t>
  </si>
  <si>
    <t>Site A; Carbon Trust methodology; exported to Europe</t>
  </si>
  <si>
    <t>Not specified</t>
  </si>
  <si>
    <t>Lescot, Thierry</t>
  </si>
  <si>
    <t>Carbon footprint analysis in banana production</t>
  </si>
  <si>
    <t>1 ton bananas</t>
  </si>
  <si>
    <t>Site B; Carbon Trust methodology; exported to Europe</t>
  </si>
  <si>
    <t>Site B; LCA methodology; exported to Europe</t>
  </si>
  <si>
    <t>Site C; LCA methodology; exported to Europe</t>
  </si>
  <si>
    <t>average for Danish broiler chickens at 6 farms</t>
  </si>
  <si>
    <t>Nielsen, NI
Jørgensen, M
Bahrndorff, S</t>
  </si>
  <si>
    <t>GHGE from the Danish broiler production</t>
  </si>
  <si>
    <t>Poultry, other</t>
  </si>
  <si>
    <t>50% Fresh; 50% Frozen</t>
  </si>
  <si>
    <t>Typical Australian duck production</t>
  </si>
  <si>
    <t>Michael, David</t>
  </si>
  <si>
    <t>Carbon Reduction Benchmarks &amp; Strategies: New Animal Products</t>
  </si>
  <si>
    <t>/.45 from {Swanson, 1964 #663}</t>
  </si>
  <si>
    <t>Typical Australian farmed rabbit production</t>
  </si>
  <si>
    <t>1 kg live rabbit produced for ag stage; 1 kg carcass weight for processing and distribution stages</t>
  </si>
  <si>
    <t>/.795 from {Kirton, 1971 #664}</t>
  </si>
  <si>
    <t>Typical Australian emu enterprise</t>
  </si>
  <si>
    <t>per kg live carcass weighing 45 kg for ag production; per kg of dressed carcass weighing 24 kg for processing</t>
  </si>
  <si>
    <t>/.325 from http://posc.tamu.edu/wp-content/uploads/sites/20/2012/08/emuproduction1.pdf</t>
  </si>
  <si>
    <t>using economic allocation</t>
  </si>
  <si>
    <t>Fluid Milk, goat</t>
  </si>
  <si>
    <t>Typical Australian dairy goat enterprise</t>
  </si>
  <si>
    <t>Fluid Milk, sheep</t>
  </si>
  <si>
    <t>Typical Australian dairy sheep enterprise</t>
  </si>
  <si>
    <t>Sengalese southern pink shrimp; industrial fishing methods; exported to Europe</t>
  </si>
  <si>
    <t>Senegal</t>
  </si>
  <si>
    <t>Ziegler, Friederike
Emanuelsson, Andreas
Eichelsheim, John Lucas
Flysjö, Anna
Ndiaye, Vaque
Thrane, Mikkel</t>
  </si>
  <si>
    <t>LCA of Southern Pink Shrimp</t>
  </si>
  <si>
    <t>1 kg shrimp</t>
  </si>
  <si>
    <t>Packaging included in processing stage; Storage (during transport) and transport included in "distribution" stage</t>
  </si>
  <si>
    <t>Sengalese southern pink shrimp; artisanal fishing methods; exported to Europe</t>
  </si>
  <si>
    <t>Storage (during transport) and transport included in "distribution" stage</t>
  </si>
  <si>
    <t xml:space="preserve">Pasture-based dairy farm in Georgia; ISFM </t>
  </si>
  <si>
    <t>U.S.</t>
  </si>
  <si>
    <t>Belflower, Jeff B
Bernard, John K
Gattie, David K
Hancock, Dennis W
Risse, Lawrence M
Rotz, C Alan</t>
  </si>
  <si>
    <t>Case study of different dairy production systems in Georgia</t>
  </si>
  <si>
    <t>Farm-gate value excluding biogenic sources and sinks and with sequestration</t>
  </si>
  <si>
    <t>Confinement dairy in Georgia; ISFM</t>
  </si>
  <si>
    <t>Typical 2010 production; PAS2050 method</t>
  </si>
  <si>
    <t>Nguyen, T Lan T
Hermansen, John Erik
Mogensen, Lisbeth</t>
  </si>
  <si>
    <t>Environmental Assessment of Danish Pork</t>
  </si>
  <si>
    <t>Other, research center report</t>
  </si>
  <si>
    <t>1kg live weight for age production; 1 kg carcass weight for processing</t>
  </si>
  <si>
    <t>For ag production: /0.528; For processing: /0.729</t>
  </si>
  <si>
    <t>35 conventional farms with Holstein Friesian and Jersey cows</t>
  </si>
  <si>
    <t>Kristensen, Troels
Mogensen, Lisbeth
Knudsen, Marie Trydeman
Hermansen, John E</t>
  </si>
  <si>
    <t>Effect of Production system and farming on commercial dairy farms</t>
  </si>
  <si>
    <t>Biological allocation</t>
  </si>
  <si>
    <t>32 organic farms with Holstein Friesian cows</t>
  </si>
  <si>
    <t>Carbonated Beverages, Aluminum Packaging, w retail refrigeration</t>
  </si>
  <si>
    <t>Carbonated Beverages, PET 0.5 L Packaging, w retail refrigeration</t>
  </si>
  <si>
    <t>brown bean</t>
  </si>
  <si>
    <t>Tomato, greenhouse</t>
  </si>
  <si>
    <t>Beef from dairy</t>
  </si>
  <si>
    <t>Escarole, greenhouse</t>
  </si>
  <si>
    <t>Bean, snap, succulent, air freight</t>
  </si>
  <si>
    <t>Cucumber, greenhouse</t>
  </si>
  <si>
    <t>Strawberry, greenhouse</t>
  </si>
  <si>
    <t>Asparagus, air freight</t>
  </si>
  <si>
    <t>Lettuce, leaf, air freight</t>
  </si>
  <si>
    <t>number of times specific commodity appears in FCID recipe files</t>
  </si>
  <si>
    <t>Weight_Basis_ as defined by FCID</t>
  </si>
  <si>
    <t>Comments (from FCID)</t>
  </si>
  <si>
    <t>weight Conversion Factor</t>
  </si>
  <si>
    <t>UTILIZED IMPACT FACTORS</t>
  </si>
  <si>
    <t>ginger</t>
  </si>
  <si>
    <t>emdove</t>
  </si>
  <si>
    <t>apricot</t>
  </si>
  <si>
    <t>plum</t>
  </si>
  <si>
    <t>artichoke_globe</t>
  </si>
  <si>
    <t>escarole</t>
  </si>
  <si>
    <t>maple_syrup</t>
  </si>
  <si>
    <t>proxies: the collection of foods under each "sub type" header is defined with the name in the column to the left, and this name is used to look up proxy values in equations in the Food Impact Database</t>
  </si>
  <si>
    <t>https://doi.org/10.1088/1748-9326/aab0ac</t>
  </si>
  <si>
    <t>The methods used to compile this database are described in the journal article:</t>
  </si>
  <si>
    <t>Workbook Contents</t>
  </si>
  <si>
    <t>FCID Linkages</t>
  </si>
  <si>
    <r>
      <t>Heller MC, Willits-Smith A, Meyer R, Keoleian GA, Rose D (2018) Greenhouse gas emissions and energy use associated with production of individual self-selected U.S. diets.</t>
    </r>
    <r>
      <rPr>
        <sz val="12"/>
        <color rgb="FF000000"/>
        <rFont val="Calibri"/>
        <family val="2"/>
      </rPr>
      <t xml:space="preserve"> Environ Res Lett</t>
    </r>
    <r>
      <rPr>
        <sz val="12"/>
        <color rgb="FF000000"/>
        <rFont val="Calibri"/>
        <family val="2"/>
      </rPr>
      <t xml:space="preserve"> 13 </t>
    </r>
  </si>
  <si>
    <t>Pivot Table_GHG</t>
  </si>
  <si>
    <t>Pivot Table_CED</t>
  </si>
  <si>
    <t>PROXY def'ns</t>
  </si>
  <si>
    <t>scaled SD (group SD*food mean/group mean)</t>
  </si>
  <si>
    <t>SD (group or indiv food)</t>
  </si>
  <si>
    <t>proxy group mean</t>
  </si>
  <si>
    <t>farm gate (=1)</t>
  </si>
  <si>
    <t xml:space="preserve"> or processor gate (=2)?</t>
  </si>
  <si>
    <t>literature entries</t>
  </si>
  <si>
    <t>Bibliographic Reference</t>
  </si>
  <si>
    <t>Thoma, G., Popp, J., Nutter, D., Shonnard, D., Ulrich, R., Matlock, M., Kim, D. S., Neiderman, Z., Kemper, N., East, C. and Adom, F., Greenhouse gas emissions from milk production and consumption in the United States: A cradle-to-grave life cycle assessment circa 2008. International Dairy Journal 2013, 31 (1), S3-S14.</t>
  </si>
  <si>
    <t>Jones, A. K., Jones, D. L. and Cross, P., The carbon footprint of lamb: Sources of variation and opportunities for mitigation. Agricultural Systems 2014, 123, 97-107.</t>
  </si>
  <si>
    <t>Dekker, S. E. M., De Boer, I. J. M., Vermeij, I., Aarnink, A. J. A. and Koerkamp, P. W. G. G., Ecological and economic evaluation of Dutch egg production systems. Livestock Science 2011, 139 (1-2), 109-121.</t>
  </si>
  <si>
    <t>Wiedemann, S., Mcgahan, E., Murphy, C., Yan, M.-J., Henry, B., Thoma, G. and Ledgard, S., Environmental impacts and resource use of Australian beef and lamb exported to the USA determined using life cycle assessment. Journal of Cleaner Production 2015, 94, 67-75.</t>
  </si>
  <si>
    <t>Thoma, G., Popp, J., Shonnard, D., Nutter, D., Matlock, M., Ulrich, R., Kellogg, W., Kim, D. S., Neiderman, Z., Kemper, N., Adom, F. and East, C., Regional analysis of greenhouse gas emissions from USA dairy farms: A cradle to farm-gate assessment of the American dairy industry circa 2008. International Dairy Journal 2013, 31 (1), S29-S40.</t>
  </si>
  <si>
    <t>Hospido, A., Moreira, M. T. and Feijoo, G., Simplified life cycle assessment of galician milk production. International Dairy Journal 2003, 13 (10), 783-796.</t>
  </si>
  <si>
    <t>Nielsen, N., Jørgensen, M. and Rasmussen, I., Greenhouse Gas Emissions from Danish Organic Egg Production estimated via LCA Methodology. 2013, 1-27.</t>
  </si>
  <si>
    <t>Penati, C. A., Tamburini, A., Bava, L., Zucali, M. and Milano, U., Environmental impact of cow milk production in the central Italian Alps using Life Cycle Assessment. Italian Journal of Animal Science 2013, 12 (96), 584-592.</t>
  </si>
  <si>
    <t>Kim, D., Thoma, G., Nutter, D., Milani, F., Ulrich, R. and Norris, G., Life cycle assessment of cheese and whey production in the USA. The International Journal of Life Cycle Assessment 2013, 18 (5), 1019-1035.</t>
  </si>
  <si>
    <t>Cederberg, C., Sonesson, U., Henriksson, M., Sund, V. and Davis, J., Greenhouse gas emissions from Swedish consumption of meat, milk and eggs 1990 and 2005. 2009, 1-97.</t>
  </si>
  <si>
    <t>Taylor, R. C., Omed, H. and Edwards-Jones, G., The greenhouse emissions footprint of free-range eggs. Poultry science 2014, 93 (1), 231-7.</t>
  </si>
  <si>
    <t>Broekema, R. and Kramer, G., LCA of Dutch semi-skimmed milk and semi-mature cheese. Blonk Consultants; 2014, 1-58.</t>
  </si>
  <si>
    <t>Berlin, J., Environmental life cycle assessment (LCA) of Swedish semi-hard cheese. International Dairy Journal 2002, 12, 939-953.</t>
  </si>
  <si>
    <t>Djekic, I., Miocinovic, J., Tomasevic, I., Smigic, N. and Tomic, N., Environmental life-cycle assessment of various dairy products. Journal of Cleaner Production 2014, 68, 64-72.</t>
  </si>
  <si>
    <t>Pelletier, N., Ibarburu, M. and Xin, H., A carbon footprint analysis of egg production and processing supply chains in the Midwestern United States. Journal of Cleaner Production 2013, 54, 108-114.</t>
  </si>
  <si>
    <t>Pelletier, N., Ibarburu, M. and Xin, H., Comparison of the environmental footprint of the egg industry in the United States in 1960 and 2010. Poultry science 2014, 93 (2), 241-55.</t>
  </si>
  <si>
    <t>Palma, G., Padilla, M., Saheb, M., Tatar, Y., Tugulay, A. and Kellou, I., Environmental impact of processed tomato in France and in Turkey. Proceedings of the 9th International Conference on Life Cycle Assessment in the Agri-Food Sector 2014,  (October), .</t>
  </si>
  <si>
    <t>Manfredi, M. and Vignali, G., Life cycle assessment of a packaged tomato puree: a comparison of environmental impacts produced by different life cycle phases. Journal of Cleaner Production 2014, 73, 275-284.</t>
  </si>
  <si>
    <t>Verge, X. P. C., Maxime, D., Dyer, J. A., Desjardins, R. L., Arcand, Y. and Vanderzaag, A., Carbon footprint of Canadian dairy products: Calculations and issues. Journal of Dairy Science 2013, 96, 1-14.</t>
  </si>
  <si>
    <t>Del Borghi, A., Gallo, M., Strazza, C. and Del Borghi, M., An evaluation of environmental sustainability in the food industry through Life Cycle Assessment: The case study of tomato products supply chain. Journal of Cleaner Production 2014, 78, 121-130.</t>
  </si>
  <si>
    <t>Brodt, S. B., Jan, K., Kendall, A. and Feenstra, G., Comparing environmental impacts of regional and national-scale food supply chains : A case study of processed tomatoes. JOURNAL OF FOOD POLICY 2013, 42, 106-114.</t>
  </si>
  <si>
    <t>Theurl, M. C., Haberl, H., Erb, K. H. and Lindenthal, T., Contrasted greenhouse gas emissions from local versus long-range tomato production. Agronomy for Sustainable Development 2014, 34, 593-602.</t>
  </si>
  <si>
    <t>Roibas, L., Elbehri, A. and Hospido, A., Evaluating the sustainability of Ecuadorian bananas: Carbon footprint, water usage and wealth distribution along the supply chain. Sustainable Production and Consumption 2015, 2 (July), 3-16.</t>
  </si>
  <si>
    <t>Gerber, P., Vellinga, T., Dietze, K., Falcucci, A., Gianni, G., Mounsey, J., Maiorano, L., Opio, C., Sironi, D., Thieme, O. and Weiler, V., Greenhouse gas emissions from the dairy sector: A life cycle assessment. FAO; 2010, 1-96.</t>
  </si>
  <si>
    <t>Nilsson, K., Flysjö, A., Davis, J., Sim, S., Unger, N. and Bell, S., Comparative life cycle assessment of margarine and butter consumed in the UK, Germany and France. International Journal of Life Cycle Assessment 2010, 15 (9), 916-926.</t>
  </si>
  <si>
    <t>Espinoza-Orias, N., Stichnothe, H. and Azapagic, A., The carbon footprint of bread. The International Journal of Life Cycle Assessment 2011, 16, 351-365.</t>
  </si>
  <si>
    <t>Macleod, M., Gerber, P., Mottet, A., Tempio, G., Falcucci, A., Opio, C., Vellinga, T., Henderson, B. and Steinfeld, H., Greenhouse gas emissions from pig and chicken supply chains - A global life cycle assessment. Rome: FAO; 2013. Report No.: 9789251079447.</t>
  </si>
  <si>
    <t>Lupo, C. D., Clay, D. E., Benning, J. L. and Stone, J. J., Life-cycle assessment of the beef cattle production system for the northern great plains, USA. Journal of environmental quality 2013, 42 (5), 1386-94.</t>
  </si>
  <si>
    <t>Pelletier, N., Pirog, R. and Rasmussen, R., Comparative life cycle environmental impacts of three beef production strategies in the Upper Midwestern United States. Agricultural Systems 2010, 103 (6), 380-389.</t>
  </si>
  <si>
    <t>Peters, G. M., Rowley, H. V., Wiedemann, S., Tucker, R., Short, M. D. and Schulz, M., Red Meat Production in Australia: Life Cycle Assessment and Comparison with Overseas Studies. Environmental Science &amp; Technology 2010, 44 (4), 1327-1332.</t>
  </si>
  <si>
    <t>Battagliese, T., Andrade, J., Schulze, I., Uhlman, B. and Barcan, C., More Sustainable Beef Optimization Project Phase 1. BASF; 2013.</t>
  </si>
  <si>
    <t>Beauchemin, K. A., Janzen, H. H., Little, S. M., Mcallister, T. A. and Mcginn, S. M., Life cycle assessment of greenhouse gas emissions from beef production in western Canada: A case study. Agricultural Systems 2010, 103 (6), 371-379.</t>
  </si>
  <si>
    <t>Nguyen, T. L. T., Hermansen, J. E. and Mogensen, L., Environmental consequences of different beef production systems in the EU. Journal of Cleaner Production 2010, 18 (8), 756-766.</t>
  </si>
  <si>
    <t>Opio, C., Gerber, P., Mottet, A., Falcucci, A., Tempio, G., Macleod, M., Vellinga, T., Henderson, B. and Steinfeld, H., Greenhouse gas emissions from ruminant supply chains – A global life cycle assessment. Rome: FAO; 2013. Report No.: 9789251079454.</t>
  </si>
  <si>
    <t>Capper, J. L. and Hayes, D. J., The environmental and economic impact of removing growth-enhancing technologies from U . S . beef production. Journal of Animal Science 2012, 90, 3527-3537.</t>
  </si>
  <si>
    <t>Stackhouse-Lawson, K. R., Rotz, C. A., Oltjen, J. W. and Mitloehner, F. M., Carbon footprint and ammonia emissions of California beef production systems 1. Journal of Animal Science 2012, 90 (12), 4641-4655.</t>
  </si>
  <si>
    <t>Mogensen, L., Kristensen, T., Nielsen, N. I., Spleth, P., Henriksson, M., Swensson, C., Hessle, A. and Vestergaard, M., Greenhouse gas emissions from beef production systems in Denmark and Sweden. Livestock Science 2015, 174, 126-143.</t>
  </si>
  <si>
    <t>Head, M., Sevenster, M. and Croezen, H., Life Cycle Impacts of Protein- rich Foods for Superwijzer. Delft, Netherlands; 2011, 1-70.</t>
  </si>
  <si>
    <t>Craig, A. J., Blanco, E. E. and Sheffi, Y., ESD Working Paper Series A Supply Chain View of Product Carbon Footprints : Results from the Banana Supply Chain 2012,  (ESD-WP-2012-25), .</t>
  </si>
  <si>
    <t>Svanes, E. and Aronsson, A. K. S., Carbon footprint of a Cavendish banana supply chain. The International Journal of Life Cycle Assessment 2013, 18 (8), 1450-1464.</t>
  </si>
  <si>
    <t>Sikirica, N., Water Footprint Assessment Bananas and Pineapples: Dole Food Company. 2011, 1-41.</t>
  </si>
  <si>
    <t>Luske, B., Comprehensive carbon footprint assessment. Dole bananas. Soil and More International 2010,  (2010), 1-45.</t>
  </si>
  <si>
    <t>Bimpeh, M., Djokoto, E., Doe, H. and Jequier, R., Life Cycle Assessment ( LCA ) of the Production of Home made and Industrial Bread in Sweden. KTH; 2006, 1-25.</t>
  </si>
  <si>
    <t>Grönroos, J., Seppälä, J., Voutilainen, P., Seuri, P. and Koikkalainen, K., Energy use in conventional and organic milk and rye bread production in Finland. Agriculture, Ecosystems and Environment 2006, 117, 109-118.</t>
  </si>
  <si>
    <t>Williams, A. G. a. E. S. D. L., Determining the environmental burdens and resource use in the production of agricultural and horticultural commoditites. Main report. Defra Research Project IS0205. Bedford: Cranfield University and Defra. 2006,  (Mlc), .</t>
  </si>
  <si>
    <t>Jensen, J. K. and Arlbjørn, J. S., Product carbon footprint of rye bread. Journal of Cleaner Production 2014, 82, 45-57.</t>
  </si>
  <si>
    <t>Muñoz, I., Schmidt, J. H. and Dalgaard, R., Comparative life cycle assessment of five different vegetable oils. 9th International Conference LCA of Food San Francisco, USA 8-10 October 2014.</t>
  </si>
  <si>
    <t>Avraamides, M. and Fatta, D., Resource consumption and emissions from olive oil production: a life cycle inventory case study in Cyprus. Journal of Cleaner Production 2008, 16 (7), 809-821.</t>
  </si>
  <si>
    <t> Nucci, B., Puccini, M., Pelagagge, L., Vitolo, S. and Nicolella, C., Improving the environmental performance of vegetable oil processing through LCA. Journal of Cleaner Production 2014, 64, 310-322.</t>
  </si>
  <si>
    <t>Salomone, R. and Ioppolo, G., Environmental impacts of olive oil production: A Life Cycle Assessment case study in the province of Messina (Sicily). Journal of Cleaner Production 2012, 28, 88-100.</t>
  </si>
  <si>
    <t>Cederberg, C., Sonesson, U., Henriksson, M., Sund, V. and Davis, J., Greenhouse gas emissions from Swedish consumption of meat, milk and eggs 1990 and 2005. SIK Report No. 793, 2009, 1-97.</t>
  </si>
  <si>
    <t>Kendall, A., Yuan, J. and Brodt, S. B., Carbon footprint and air emissions inventories for US honey production: Case studies. International Journal of Life Cycle Assessment 2013, 18 (2), 392-400.</t>
  </si>
  <si>
    <t>Steenwerth, K. L., Strong, E. B., Greenhut, R. F., Williams, L. and Kendall, A., Life cycle greenhouse gas, energy, and water assessment of wine grape production in California. The International Journal of Life Cycle Assessment 2015, 20 (9), 1243-1253.</t>
  </si>
  <si>
    <t>Moudry Jr, J., Jelinkova, Z., Jaresova, M., Plch, R., Moudry, J. and Konvalina, P., Assessing greenhouse gas emissions from potato production and processing in the Czech Republic. Outlook on Agriculture 2013, 42 (3), 179-183.</t>
  </si>
  <si>
    <t>Röös, E., Sundberg, C. and Hansson, P. A., Uncertainties in the carbon footprint of food products: A case study on table potatoes. International Journal of Life Cycle Assessment 2010, 15 (5), 478-488.</t>
  </si>
  <si>
    <t>Foteinis, S. and Chatzisymeon, E., Life cycle assessment of organic versus conventional agriculture. A case study of lettuce cultivation in Greece. Journal of Cleaner Production 2016, 112, 2462-2471.</t>
  </si>
  <si>
    <r>
      <t xml:space="preserve">Bartzas, G., Zaharaki, D. and Komnitsas, K., Life cycle assessment of open field and greenhouse cultivation of lettuce and barley. Information Processing in Agriculture 2015, </t>
    </r>
    <r>
      <rPr>
        <i/>
        <sz val="12"/>
        <color rgb="FF000000"/>
        <rFont val="Calibri"/>
        <family val="2"/>
      </rPr>
      <t>2</t>
    </r>
    <r>
      <rPr>
        <sz val="12"/>
        <color rgb="FF000000"/>
        <rFont val="Calibri"/>
        <family val="2"/>
      </rPr>
      <t>(3-4), 191-207.</t>
    </r>
  </si>
  <si>
    <t>Romero-Gámez, M., Audsley, E. and Suárez-Rey, E. M., Life cycle assessment of cultivating lettuce and escarole in Spain. Journal of Cleaner Production 2014, 73, 193-203.</t>
  </si>
  <si>
    <t>Gunady, M. G. A., Biswas, W., Solah, V. A. and James, A. P., Evaluating the global warming potential of the fresh produce supply chain for strawberries, romaine/cos lettuces (Lactuca sativa), and button mushrooms (Agaricus bisporus) in Western Australia using life cycle assessment (LCA). Journal of Cleaner Production 2012, 28, 81-87.</t>
  </si>
  <si>
    <t>Doublet, G., Jungbluth, N., Flury, K., Stucki, M. and Schori, S., Life cycle assessment of orange juice. SENSE-Harmonised Environmental Sustainability in the European food and drink chain, Zürich: ESU-services Ltd; 2013.</t>
  </si>
  <si>
    <t>Dwivedi, P., Spreen, T. and Goodrich-Schneider, R., Global warming impact of Florida's Not-From-Concentrate (NFC) orange juice. Agricultural Systems 2012, 108, 104-111.</t>
  </si>
  <si>
    <t>Johansson, D., Life cycle assessment ( LCA ) of apples- A comparison between apples produced in Sweden, Italy and Argentina. Master thesis, Swedish University of Agricultural Sciences, Alnarp, 2015.</t>
  </si>
  <si>
    <t>Milà I Canals, L., Burnip, G. M. and Cowell, S. J., Evaluation of the environmental impacts of apple production using Life Cycle Assessment (LCA): Case study in New Zealand. Agriculture, Ecosystems &amp; Environment 2006, 114, 226-238.</t>
  </si>
  <si>
    <t>Mouron, P., Nemecek, T., Scholz, R. W. and Weber, O., Management influence on environmental impacts in an apple production system on Swiss fruit farms: Combining life cycle assessment with statistical risk assessment. Agriculture, Ecosystems and Environment 2006, 114 (2-4), 311-322.</t>
  </si>
  <si>
    <t>Ponsioen, T. and Blonk, H., Case studies for more insight into the methodology and composition of carbon footprints of table potatoes and chips. Blonk Milieuadvies; 2011,  (July), 27.</t>
  </si>
  <si>
    <t>Syp, A., Faber, A., Borzecka-Walker, M. and Osuch, D., Assessment of Greenhouse Gas Emissions in Winter Wheat Farms Using Data Envelopment Analysis Approach. Polish Journal of Environmental Studies 2015, 24 (5), 2197-2203.</t>
  </si>
  <si>
    <t>Leiva, F. J., Saenz-Díez, J. C., Martínez, E., Jiménez, E. and Blanco, J., Environmental impact of Agaricus bisporus cultivation process. European Journal of Agronomy 2015, 71, 141-148.</t>
  </si>
  <si>
    <t>Foster, C., Guében, C., Holmes, M., Wiltshire, J. and Wynn, S., The environmental effects of seasonal food purchase: a raspberry case study. Journal of Cleaner Production 2014, 73, 269-274.</t>
  </si>
  <si>
    <t>Aguilera, E., Guzmán, G. and Alonso, A., Greenhouse gas emissions from conventional and organic cropping systems in Spain. II. Fruit tree orchards. Agronomy for Sustainable Development 2015, 35 (2), 725-737.</t>
  </si>
  <si>
    <t>Canals, L. M. I., Muñoz, I., Hospido, A., Plassmann, K. and Mclaren, S., Life Cycle Assessment (LCA) of domestic vs. imported vegetables. Case studies on broccoli, salad crops and green beans. United Kingdom, Centre for Environmental Strategy, University of Surrey 2008, 46-46.</t>
  </si>
  <si>
    <t>Girgenti, V., Peano, C., Bounous, M. and Baudino, C., A life cycle assessment of non-renewable energy use and greenhouse gas emissions associated with blueberry and raspberry production in northern Italy. The Science of the total environment 2013, 458-460, 414-8.</t>
  </si>
  <si>
    <t>Venkat, K., Comparison of Twelve Organic and Conventional Farming Systems: A Life Cycle Greenhouse Gas Emissions Perspective. Journal of Sustainable Agriculture 2012, 36 (6), 620-649.</t>
  </si>
  <si>
    <t>Ingwersen, W. W., Life cycle assessment of fresh pineapple from Costa Rica. Journal of Cleaner Production 2012, 35, 152-163.</t>
  </si>
  <si>
    <t>Stoessel, F., Juraske, R., Pfister, S. and Hellweg, S., Life cycle inventory and carbon and water foodprint of fruits and vegetables: Application to a swiss retailer. Environmental Science and Technology 2012, 46 (6), 3253-3262.</t>
  </si>
  <si>
    <t>Thoma, G., Martin, R. E., Nutter, D., Ulrich, R., Maxwell, C., Frank, J. and East, C., National Life Cycle Carbon Footprint Study for Production of US Swine. National Pork Board; 2011.</t>
  </si>
  <si>
    <t>Reckmann, K., Traulsen, I. and Krieter, J., Life Cycle Assessment of pork production: A data inventory for the case of Germany. Livestock Science 2013, 157 (2-3), 586-596.</t>
  </si>
  <si>
    <t>Mcauliffe, G. A., Chapman, D. V. and Sage, C. L., A thematic review of life cycle assessment (LCA) applied to pig production. Environmental Impact Assessment Review 2016, 56, 12-22.</t>
  </si>
  <si>
    <t>Halberg, N., Hermansen, J. E., Kristensen, I. S., Eriksen, J., Tvedegaard, N. and Petersen, B. M., Impact of organic pig production systems on CO2 emission, C sequestration and nitrate pollution. Agronomy for Sustainable Development 2010, 30 (4), 721-731.</t>
  </si>
  <si>
    <t>Pelletier, N., Lammers, P., Stender, D. and Pirog, R., Life cycle assessment of high- and low-profitability commodity and deep-bedded niche swine production systems in the Upper Midwestern United States. Agricultural Systems 2010, 103 (9), 599-608.</t>
  </si>
  <si>
    <t>Wiedemann, S., Mcgahan, E., Grist, S. and Grant, T., Environmental Assessment of Two Pork Supply Chains Using Life Cycle Assessment. Rural Industries Research and Development Corporation of the Australian Government; 2010. Report No.: RIRDC Pub. No. 09/176.</t>
  </si>
  <si>
    <t>Dolman, M. A., Vrolijk, H. C. J. and De Boer, I. J. M., Exploring variation in economic, environmental and societal performance among Dutch fattening pig farms. Livestock Science 2012, 149 (1-2), 143-154.</t>
  </si>
  <si>
    <t>Nguyen, T. L. T., Hermansen, J. E. and Mogensen, L., Environmental costs of meat production: the case of typical EU pork production. Journal of Cleaner Production 2012, 28, 168-176.</t>
  </si>
  <si>
    <t>Dourmad, J. Y., Ryschawy, J., Trousson, T., Bonneau, M., Gonzàlez, J., Houwers, H. W. J., Hviid, M., Zimmer, C., Nguyen, T. L. T. and Morgensen, L., Evaluating environmental impacts of contrasting pig farming systems with life cycle assessment. Animal 2014, 8 (12), 2027-2037.</t>
  </si>
  <si>
    <t>Jones, A. C. and Cherruault, J.-Y., Comparative LCA of Pork Production for Midland Pig Producers. Sustain; 2011, 32.</t>
  </si>
  <si>
    <t>Pelletier, N., Environmental performance in the US broiler poultry sector: Life cycle energy use and greenhouse gas, ozone depleting, acidifying and eutrophying emissions. Agricultural Systems 2008, 98 (2), 67-73.</t>
  </si>
  <si>
    <t>Vergé, X. P. C., Dyer, J. A., Desjardins, R. L. and Worth, D., Long-term trends in greenhouse gas emissions from the Canadian poultry industry. Journal of Applied Poultry Research 2009, 18 (2), 210-222.</t>
  </si>
  <si>
    <t>Leinonen, I., Williams, A. G., Wiseman, J., Guy, J. and Kyriazakis, I., Predicting the environmental impacts of chicken systems in the United Kingdom through a life cycle assessment: Egg production systems. Poultry Science 2012, 91 (1), 26-40.</t>
  </si>
  <si>
    <t>Hospido, A. and Tyedmers, P., Life cycle environmental impacts of Spanish tuna fisheries. Fisheries Research 2005, 76 (2), 174-186.</t>
  </si>
  <si>
    <t>D’orbcastel, E. R., Blancheton, J.-P. and Aubin, J., Towards environmentally sustainable aquaculture: Comparison between two trout farming systems using Life Cycle Assessment. Aquacultural Engineering 2009, 40 (3), 113-119.</t>
  </si>
  <si>
    <t>Iribarren, D., Moreira, M. T. and Feijoo, G., Revisiting the Life Cycle Assessment of mussels from a sectorial perspective. Journal of Cleaner Production 2010, 18 (2), 101-111.</t>
  </si>
  <si>
    <t>Vázquez-Rowe, I., Moreira, M. T. and Feijoo, G., Life cycle assessment of horse mackerel fisheries in Galicia (NW Spain): Comparative analysis of two major fishing methods. Fisheries Research 2010, 106 (3), 517-527.</t>
  </si>
  <si>
    <t>Vázquez-Rowe, I., Moreira, M. T. and Feijoo, G., Life Cycle Assessment of fresh hake fillets captured by the Galician fleet in the Northern Stock. Fisheries Research 2011, 110 (1), 128-135.</t>
  </si>
  <si>
    <t>Vázquez-Rowe, I., Villanueva-Rey, P., Mallo, J., De La Cerda, J. J., Moreira, M. T. and Feijoo, G., Carbon footprint of a multi-ingredient seafood product from a business-to-business perspective. Journal of Cleaner Production 2013, 44, 200-210.</t>
  </si>
  <si>
    <t>Humbert, S., Loerincik, Y., Rossi, V., Margni, M. and Jolliet, O., Life cycle assessment of spray dried soluble coffee and comparison with alternatives (drip filter and capsule espresso). Journal of Cleaner Production 2009, 17 (15), 1351-1358.</t>
  </si>
  <si>
    <t>Büsser, S. and Jungbluth, N., The role of flexible packaging in the life cycle of coffee and butter. The International Journal of Life Cycle Assessment 2009, 14 (1), 80-91.</t>
  </si>
  <si>
    <t>Azapagic, A., Bore, J., Cheserek, B., Kamunya, S. and Elbehri, A., The global warming potential of production and consumption of Kenyan tea. Journal of Cleaner Production 2016, 112, 4031-4040.</t>
  </si>
  <si>
    <t>Doublet, G. and Jungbluth, N., Life cycle assessment of drinking Darjeeling tea. ESU-Services Ltd; 2010, 1-18.</t>
  </si>
  <si>
    <t>Amienyo, D., Gujba, H., Stichnothe, H. and Azapagic, A., Life cycle environmental impacts of carbonated soft drinks. The International Journal of Life Cycle Assessment 2012, 18 (1), 77-92.</t>
  </si>
  <si>
    <t>Vázquez-Rowe, I., Moreira, M. T. and Feijoo, G., Environmental assessment of frozen common octopus (Octopus vulgaris) captured by Spanish fishing vessels in the Mauritanian EEZ. Marine Policy 2012, 36, 180-188.</t>
  </si>
  <si>
    <t>Farmery, A. K., Gardner, C., Green, B. S. and Jennings, S., Managing fisheries for environmental performance: the effects of marine resource decision-making on the footprint of seafood. Journal of Cleaner Production 2014, 64, 368-376.</t>
  </si>
  <si>
    <t>Ziegler, F., Winther, U., Hognes, E. S., Emanuelsson, A., Sund, V. and Ellingsen, H., The Carbon Footprint of Norwegian Seafood Products on the Global Seafood Market. Journal of Industrial Ecology 2013, 17 (1), 103-116.</t>
  </si>
  <si>
    <t>Driscoll, J., Boyd, C. and Tyedmers, P., Life cycle assessment of the Maine and southwest Nova Scotia lobster industries. Fisheries Research 2015, 172, 385-400.</t>
  </si>
  <si>
    <t>Buchspies, B., Tölle, S. and Jungbluthy, N., Life Cycle Assessment of High-Sea Fish and Salmon Aquaculture. Switzerland: ESU-services Ltd.; 2011.</t>
  </si>
  <si>
    <t>Aubin, J., Papatryphon, E., Van Der Werf, H. and Chatzifotis, S., Assessment of the environmental impact of carnivorous finfish production systems using life cycle assessment. Journal of Cleaner Production 2009, 17 (3), 354-361.</t>
  </si>
  <si>
    <t>Pelletier, N., Tyedmers, P., Sonesson, U., Scholz, A., Ziegler, F., Flysjö, A., Kruse, S., Cancino, B. and Silverman, H., Not all salmon are created equal: Life cycle assessment (LCA) of global salmon farming systems. Environmental Science and Technology 2009, 43 (23), 8730-8736.</t>
  </si>
  <si>
    <t>Ayer, N. W. and Tyedmers, P. H., Assessing alternative aquaculture technologies: life cycle assessment of salmonid culture systems in Canada. Journal of Cleaner Production 2009, 17 (3), 362-373.</t>
  </si>
  <si>
    <t>Pelletier, N. and Tyedmers, P., Life cycle assessment of frozen tilapia fillets from indonesian lake-based and pond-based intensive aquaculture systems. Journal of Industrial Ecology 2010, 14 (3), 467-481.</t>
  </si>
  <si>
    <t>Nilsson, K., Sund, V. and Florén, B., The environmental impact of the consumption of sweets, crisps and soft drinks. TemaNord 2011:509.</t>
  </si>
  <si>
    <t>Fulton, S., Fish and Fuel: Life Cycle Greenhouse Gas Emissions Associated With Icelandic Cod, Alaskan Pollock, and Alaskan Pink Salmon Fillets Delivered To the United Kingdom. Master thesis, Dalhousie University, Halifax, Nova Scotia, 2010.</t>
  </si>
  <si>
    <t>Cao, L., Diana, J. S., Keoleian, G. A. and Lai, Q., Life cycle assessment of Chinese shrimp farming systems targeted for export and domestic sales. Environmental science &amp; technology 2011, 45 (15), 6531-8.</t>
  </si>
  <si>
    <t>Svanes, E., Vold, M. and Hanssen, O. J., Environmental assessment of cod (Gadus morhua) from autoline fisheries. The International Journal of Life Cycle Assessment 2011, 16 (7), 611-624.</t>
  </si>
  <si>
    <t>Jerbi, M., Aubin, J., Garnaoui, K., Achour, L. and Kacem, A., Life cycle assessment (LCA) of two rearing techniques of sea bass (Dicentrarchus labrax). Aquacultural Engineering 2012, 46, 1-9.</t>
  </si>
  <si>
    <t>Nikkhah, A., Khojastehpour, M., Emadi, B., Taheri-Rad, A. and Khorramdel, S., Environmental impacts of peanut production system using life cycle assessment methodology. Journal of Cleaner Production 2015, 92, 84-90.</t>
  </si>
  <si>
    <t>Brito De Figueirêdo, M. C., Potting, J., Lopes Serrano, L. A., Bezerra, M. A., Da Silva Barros, V., Gondim, R. S. and Nemecek, T., Environmental assessment of tropical perennial crops: the case of the Brazilian cashew. Journal of Cleaner Production 2015, 1-10.</t>
  </si>
  <si>
    <t>Kendall, A., Marvinney, E., Brodt, S. B. and Zhu, W., Life Cycle-based Assessment of Energy Use and Greenhouse Gas Emissions in Almond Production, Part I: Analytical Framework and Baseline Results. Journal of Industrial Ecology 2015, 19 (6), 1008-1018.</t>
  </si>
  <si>
    <t>Büsser, S., Jungbluth, N. and Jungbluth, N., LCA of Chocolate Packed in Aluminium Foil Based Packaging: ESU Services, 2009.</t>
  </si>
  <si>
    <t>Grant, T. and Beer, T., Life Cycle Assessment of Greenhouse Gas Emissions from Irrigated Maize. 5th Australian Confernce on Life Cycle Assessment 2006, 22-24.</t>
  </si>
  <si>
    <t>Neira, D. P., Energy Sustainability of Ecuadorian Cacao export and its Contribution to climate change - A Case Study through Product Life Cycle Assessment. Journal of Cleaner Production 2016, 112, 2560-2568.</t>
  </si>
  <si>
    <t>Jeswani, H. K., Burkinshaw, R. and Azapagic, A., Environmental sustainability issues in the food – energy – water nexus : Breakfast cereals and snacks. Sustainable Production and Consumption 2015, 2 (August), 17-28.</t>
  </si>
  <si>
    <r>
      <t>Ardiansyah, S. S., Assessment of Tofu Carbon Footprint in Banyumas, Indonesia - Towards 'Greener' Tofu.</t>
    </r>
    <r>
      <rPr>
        <i/>
        <sz val="10"/>
        <color rgb="FF000000"/>
        <rFont val="Times New Roman"/>
        <family val="1"/>
      </rPr>
      <t xml:space="preserve"> </t>
    </r>
    <r>
      <rPr>
        <i/>
        <sz val="12"/>
        <color rgb="FF000000"/>
        <rFont val="Calibri"/>
        <family val="2"/>
      </rPr>
      <t>Proceeding of International Conference On Research, Implementation And Education Of Mathematics And Sciences 2014, Yogyakarta State University, 18-20 May 2014</t>
    </r>
    <r>
      <rPr>
        <sz val="12"/>
        <color rgb="FF000000"/>
        <rFont val="Calibri"/>
        <family val="2"/>
      </rPr>
      <t xml:space="preserve"> S-97 - S-103.</t>
    </r>
  </si>
  <si>
    <t>Ercin, A. E., Aldaya, M. M. and Hoekstra, A. Y., The water footprint of soy milk and soy burger and equivalent animal products. Ecological Indicators 2012, 18, 392-402.</t>
  </si>
  <si>
    <t>Simmons, A., Muir, S., Brock, P. and Herridge, D., Life Cycle Assessment of grain cropping. Proceedings of the 17th ASA Conference 2015, 1-4.</t>
  </si>
  <si>
    <t>Brodt, S. B., Kendall, A., Mohammadi, Y., Arslan, A., Yuan, J., Lee, I.-S. and Linquist, B., Life cycle greenhouse gas emissions in California rice production. Field Crops Research 2014, 169, 89-98.</t>
  </si>
  <si>
    <t>Kim, S. and Dale, B. E., Allocation procedure in ethanol production system from corn grain i. system expansion. The International Journal of Life Cycle Assessment 2002, 7 (4), 237-243.</t>
  </si>
  <si>
    <t>Kim, S. and Dale, B. E., Regional variations in greenhouse gas emissions of biobased products in the United States—corn-based ethanol and soybean oil. The International Journal of Life Cycle Assessment 2009, 14 (6), 540-546.</t>
  </si>
  <si>
    <t>Almeida, C., Vaz, S. and Ziegler, F., Environmental Life Cycle Assessment of a Canned Sardine Product from Portugal. Journal of Industrial Ecology 2015, 19 (4), 607-617.</t>
  </si>
  <si>
    <t>Ayer, N. W., Martin, S., Dwyer, R. L., Gace, L. and Laurin, L., Environmental performance of copper-alloy Net-pens: Life cycle assessment of Atlantic salmon grow-out in copper-alloy and nylon net-pens. Aquaculture 2016, 453, 93-103.</t>
  </si>
  <si>
    <t>Van Putten, I. E., Farmery, A. K., Green, B. S., Hobday, A. J., Lim-Camacho, L., Norman-López, A. and Parker, R. W., The Environmental Impact of Two Australian Rock Lobster Fishery Supply Chains under a Changing Climate. Journal of Industrial Ecology 2016, 20(6), 1384-1398.</t>
  </si>
  <si>
    <t>Dekamin, M., Veisi, H., Safari, E., Liaghati, H., Khoshbakht, K. and Dekamin, M. G., Life cycle assessment for rainbow trout (Oncorhynchus mykiss) production systems: a case study for Iran. Journal of Cleaner Production 2015, 91, 43-55.</t>
  </si>
  <si>
    <t>Piringer, G. and Steinberg, L. J., Reevaluation of energy use in wheat production in the United States. Journal of Industrial Ecology 2006, 10 (1-2), 149-167.</t>
  </si>
  <si>
    <t>Pelletier, N., Arsenault, N. and Tyedmers, P., Scenario Modeling Potential Eco-Efficiency Gains from a Transition to Organic Agriculture: Life Cycle Perspectives on Canadian Canola, Corn, Soy, and Wheat Production. Environmental Management 2008, 42 (6), 989-1001.</t>
  </si>
  <si>
    <t>Meisterling, K., Samaras, C. and Schweizer, V., Decisions to reduce greenhouse gases from agriculture and product transport: LCA case study of organic and conventional wheat. Journal of Cleaner Production 2009, 17 (2), 222-230.</t>
  </si>
  <si>
    <t>Roy, P., Ijiri, T., Nei, D., Orikasa, T., Okadome, H., Nakamura, N. and Shiina, T., Life cycle inventory (LCI) of different forms of rice consumed in households in Japan. Journal of Food Engineering 2009, 91 (1), 49-55.</t>
  </si>
  <si>
    <t>Flysjö, A., Cederberg, C. and Henriksson, M., How does co-product handling affect the carbon footprint of milk ? Case study of milk production in New Zealand and Sweden. International Journal of Life Cycle Assessment 2011, 16, 420-430.</t>
  </si>
  <si>
    <t>Van Stappen, F., Loriers, A., Mathot, M., Planchon, V., Stilmant, D. and Debode, F., Organic Versus Conventional Farming: The Case of wheat Production in Wallonia (Belgium). Agriculture and Agricultural Science Procedia 2015, 7, 272-279.</t>
  </si>
  <si>
    <t>Blengini, G. A. and Busto, M., The life cycle of rice: LCA of alternative agri-food chain management systems in Vercelli (Italy). Journal of environmental management 2009, 90 (3), 1512-22.</t>
  </si>
  <si>
    <t>Mccarty, J., Sandefur, H., Matlock, M., Thoma, G. and Kim, D. S., National Scan-level Life Cycle Assessment for Production of US Peanut Butter. 2012, .</t>
  </si>
  <si>
    <t>Thomassen, M. A., Van Calker, K. J., Smits, M. C. J., Iepema, G. L. and De Boer, I. J. M., Life cycle assessment of conventional and organic milk production in the Netherlands. Agricultural Systems 2008, 96 (1-3), 95-107.</t>
  </si>
  <si>
    <t>Renouf, M. A. and Wegener, M., Environmental life cycle assessment (LCA) of sugarcane production and processing in Australia. 385-400.</t>
  </si>
  <si>
    <t>Mujica, M., Blanco, G. and Santalla, E., Carbon Footprint of Honey Produced in Argentina. Journal of Cleaner Production 2016, .</t>
  </si>
  <si>
    <t>Ntiamoah, A. and Afrane, G., Environmental impacts of cocoa production and processing in Ghana: life cycle assessment approach. Journal of Cleaner Production 2008, 16 (16), 1735-1740.</t>
  </si>
  <si>
    <t>Liu, Y., Langer, V., Høgh-Jensen, H. and Egelyng, H., Life Cycle Assessment of fossil energy use and greenhouse gas emissions in Chinese pear production. Journal of Cleaner Production 2010, 18 (14), 1423-1430.</t>
  </si>
  <si>
    <t>Figueiredo, F., Feliciano, M., Maia, F., Coroama, V. C. and Freire, F., Carbon Footprint of Apple and Pear : Orchards, Storage and Distribution. Energy for Sustainability 2013 Sustainable Cities: Designing for People and the Planet 2013, 1-5.</t>
  </si>
  <si>
    <t>Taulo, J. L. and Sebitosi, A. B., Material and energy fl ow analysis of the Malawian tea industry. Renewable and Sustainable Energy Reviews 2016, 56, 1337-1350.</t>
  </si>
  <si>
    <t>Tamburini, E., Pedrini, P., Marchetti, M., Fano, E. and Castaldelli, G., Life Cycle Based Evaluation of Environmental and Economic Impacts of Agricultural Productions in the Mediterranean Area. Sustainability 2015, 7 (3), 2915-2935.</t>
  </si>
  <si>
    <t>Rabier, F., Lioy, R., Paul, C. and Stappen, F. V., Assessment of GHG emissions and their variability of meat production systems in Wallonia based on grass and maize. Agriculture and Agricultural Science Procedia 2015, 7, 223-228.</t>
  </si>
  <si>
    <t>Mackenzie, S. G., Leinonen, I., Ferguson, N. and Kyriazakis, I., Can the environmental impact of pig systems be reduced by utilising co-products as feed? Journal of Cleaner Production 2016, 115, 172-181.</t>
  </si>
  <si>
    <t>Winkler, T., Schopf, K., Aschemann, R. and Winiwarter, W., From farm to fork – A life cycle assessment of fresh Austrian pork. Journal of Cleaner Production 2016, 116, 80-9.</t>
  </si>
  <si>
    <t>Yan, M., Cheng, K., Yue, Q., Yan, Y., Rees, R. M. and Pan, G., Farm and product carbon footprints of China’s fruit production—life cycle inventory of representative orchards of five major fruits. Environmental Science and Pollution Research 2016, 23(5) 4681-4691.</t>
  </si>
  <si>
    <t>Bartl, K., Verones, F. and Hellweg, S., Life cycle assessment based evaluation of regional impacts from agricultural production at the Peruvian coast. Environmental science &amp; technology 2012, 46 (18), 9872-80.</t>
  </si>
  <si>
    <t>Usva, K., Saarinen, M., Katajajuuri, J. M. and Kurppa, S., Supply chain integrated LCA approach to assess environmental impacts of food production in Finland. Agricultural and Food Science 2009, 18 (3-4), 460-476.</t>
  </si>
  <si>
    <t>Forte, A., Zucaro, A., Vico, G. D. and Fierro, A., Carbon footprint of heliciculture : A case study from an Italian experimental farm. AGSY 2016, 142, 99-111.</t>
  </si>
  <si>
    <t>Gresta, F., De Luca, A. I., Strano, A., Falcone, G., Santonoceto, C., Anastasi, U. and Gulisano, G., Economic and environmental sustainability analysis of guar (Cyamopsis tetragonoloba L.) farming process in a Mediterranean area: two case studies. Italian Journal of Agronomy 2014, 9 (1), 20-20.</t>
  </si>
  <si>
    <t>Astier, M., Merlín-Uribe, Y., Villamil-Echeverri, L., Garciarreal, A., Gavito, M. E. and Masera, O. R., Energy balance and greenhouse gas emissions in organic and conventional avocado orchards in Mexico. Ecological Indicators 2014, 43 (0), 281-287.</t>
  </si>
  <si>
    <t>Usubharatana, P. and Phungrassami, H., ScienceDirect Carbon Footprint of Cassava Starch Production in North-Eastern Thailand. Procedia CIRP 2015, 00, 462-467.</t>
  </si>
  <si>
    <t>Schmidt, J. H., Life cycle assessment of five vegetable oils. Journal of Cleaner Production 2015, 87, 130-138.</t>
  </si>
  <si>
    <t>Özilgen, M. and Sorgüven, E., Energy and exergy utilization, and carbon dioxide emission in vegetable oil production. Energy 2011, 36 (10), 5954-5967.</t>
  </si>
  <si>
    <t>Volpe, R., Messineo, S., Volpe, M. and Messineo, A., Carbon Footprint of Tree Nuts Based Consumer Products. Sustainability 2015, 7, 14917-14934.</t>
  </si>
  <si>
    <t>Agyemang, M., Zhu, Q. and Tian, Y., Analysis of Opportunities for Greenhouse Emission Reduction in the Global Supply Chains of Cashew Industry in West Africa. Journal of Cleaner Production 2016, 115, 149-161.</t>
  </si>
  <si>
    <t>Beccali, M., Cellura, M., Iudicello, M. and Mistretta, M., Life cycle assessment of Italian citrus-based products. Sensitivity analysis and improvement scenarios. Journal of Environmental Management 2010, 91 (7), 1415-1428.</t>
  </si>
  <si>
    <t>Cappelletti, G. M., Nicoletti, G. M. and Russo, C., LIFE CYCLE ASSESSMENT ( LCA ) OF SPANISH-STYLE GREEN TABLE OLIVES. Italian Journal of Food Science 2010, 22 (1), 3-14.</t>
  </si>
  <si>
    <t>Peano, C., Baudino, C., Tecco, N. and Girgenti, V., Green marketing tools for fruit growers associated groups: application of the Life Cycle Assessment (LCA) for strawberries and berry fruits ecobranding in northern Italy. Journal of Cleaner Production 2015, 104, 59-67.</t>
  </si>
  <si>
    <t>Sabzevari, A., Kouchaki-Penchah, H. and Nabavi-Pelesaraei, A., Investigation of Life Cycle Assessment of Hazelnut Production in Guilan Province of I . R . Iran Based on Orchards size Levels. Bioloigical Journal 2015, 7 (1), 807-813.</t>
  </si>
  <si>
    <t>Knudsen, M. T., Fonseca De Almeida, G., Langer, V., Santiago De Abreu, L. and Halberg, N., Environmental assessment of organic juice imported to Denmark: A case study on oranges (Citrus sinensis) from Brazil. Organic Agriculture 2011, 1 (3), 167-185.</t>
  </si>
  <si>
    <t>Vinyes, E., Gasol, C. M., Asin, L., Alegre, S. and Muñoz, P., Life Cycle Assessment of multiyear peach production. Journal of Cleaner Production 2015, 104, 68-79.</t>
  </si>
  <si>
    <t>Graefe, S. G., Tapasco, J. T. and Gonzalez, A. G., Resource use and GHG emissions of eight tropical fruit species cultivated in Colombia. Fruits 2013, 68 (4), 303-314.</t>
  </si>
  <si>
    <t>Michalsky, M. N. and Hooda, P. S., Greenhouse gas emissions of imported and locally produced fruit and vegetable commodities : A quantitative assessment. Environmental Science and Policy 2015, 48, 32-43.</t>
  </si>
  <si>
    <t>Müller, K., Holmes, A., Deurer, M. and Clothier, B. E., Eco-efficiency as a sustainability measure for kiwifruit production in New Zealand. Journal of Cleaner Production 2015, 106, 333-342.</t>
  </si>
  <si>
    <t>Karakaya, A. and Özilgen, M., Energy utilization and carbon dioxide emission in the fresh , paste , whole-peeled , diced , and juiced tomato production processes. Energy 2011, 36 (8), 5101-5110.</t>
  </si>
  <si>
    <t>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t>
  </si>
  <si>
    <t>Plawecki, R., Pirog, R., Montri, A. and Hamm, M. W., Comparative carbon footprint assessment of winter lettuce production in two climatic zones for Midwestern market. Renewable Agriculture and Food Systems 2013, 29 (4), 310-318.</t>
  </si>
  <si>
    <t>Lo Giudice, A., Mbohwa, C., Clasadonte, M. and Ingrao, C., Life cycle assessment interpretation and improvement of the Sicilian artichokes production. International Journal of Environmental Research 2014, 8 (2), 305-316.</t>
  </si>
  <si>
    <t>Coltro, L., Mourad, A. L., Kletecke, R. M., Mendonça, T. A. and Germer, S. P. M., Assessing the environmental profile of orange production in Brazil. The International Journal of Life Cycle Assessment 2009, 14 (7), 656-664.</t>
  </si>
  <si>
    <t>Khoshnevisan, B., Rafiee, S. and Mousazadeh, H., Environmental impact assessment of open field and greenhouse strawberry production. European Journal of Agronomy 2013, 50, 29-37.</t>
  </si>
  <si>
    <t>Kc, R., Comparative life cycle assessment on organic and conventional carrots - case; Carrots from south-savo and imported carrots from Italy. 2014, .</t>
  </si>
  <si>
    <t>Giudice, A. L., Mbohwa, C., Clasadonte, M. and Incrao, C., Environmental assessment of the citrus fruit production in Sicily using LCA. Italian Journal of Food Science 2013, 25 (2), 202.</t>
  </si>
  <si>
    <t>Almeida, J., Achten, W. M. J., Verbist, B., Heuts, R. F., Schrevens, E. and Muys, B., Carbon and Water Footprints and Energy Use of Greenhouse Tomato Production in Northern Italy. Journal of Industrial Ecology 2014, 18 (6), 898-908.</t>
  </si>
  <si>
    <t>Ueawiwatsakul, S., Mungcharoen, T. and Tongpool, R., Life Cycle Assessment of Sajor-caju Mushroom (Pleurotus Sajor-caju) from Different Sizes of Farms in Thailand. International Journal of Environmental Science and Development 2014, 5 (5), 435-439.</t>
  </si>
  <si>
    <t>Castanheira, É. G., Dias, A. C., Arroja, L. and Amaro, R., The environmental performance of milk production on a typical Portuguese dairy farm. Agricultural Systems 2010, 103 (7), 498-507.</t>
  </si>
  <si>
    <t>DairyCo. Greenhouse gas emissions on British dairy farms: Agriculture and Horticulture Development Board; 2012.</t>
  </si>
  <si>
    <t>Milà I Canals, L., Cowell, S. J., Sim, S. and Basson, L., Comparing domestic versus imported apples: a focus on energy use. Environmental science and pollution research international 2007, 14 (5), 338-344.</t>
  </si>
  <si>
    <t>Coca-Cola Great Britain. What's the carbon footprint of a Coca-Cola? [cited 2017 February] Available from: http://www.cocacola.co.uk/packages/sustainability/whats-the-carbon-footprint-of-a-coca-cola</t>
  </si>
  <si>
    <t>Saxe H. LCA-based comparison of the climate footprint of beer vs. wine &amp; spirits: Fødevareøkonomisk Institut, Københavns Universitet; 2010.</t>
  </si>
  <si>
    <t>The Climate Conservancy, The Carbon Footprint of Fat Tire® Amber Ale. 2008, .</t>
  </si>
  <si>
    <t>Beverage Industry Environmental Roundtable, Research on the carbon footprint of beer. Beverage Industry Environmental Roundtable 2012, .</t>
  </si>
  <si>
    <t>Amienyo, D. and Azapagic, A., Life cycle environmental impacts and costs of beer production and consumption in the UK. The International Journal of Life Cycle Assessment 2016, 21 (4), 492-509.</t>
  </si>
  <si>
    <t>Beverage Industry Environmental Roundtable, Research on the Carbon Footprint of Spirits. 2012, .</t>
  </si>
  <si>
    <t>Saxe, H., LCA-based comparison of the climate footprint of beer vs. wine &amp; spirits. 2010, .</t>
  </si>
  <si>
    <t>Barilla Center for Food &amp; Nutrition. Database for the double pyramid construction; 2015.</t>
  </si>
  <si>
    <t>Williams, A. G., Audsley, E. and Sandars, D. L., Environmental burdens of producing bread wheat, oilseed rape and potatoes in England and Wales using simulation and system modelling. The International Journal of Life Cycle Assessment 2010, 15 (8), 855-868.</t>
  </si>
  <si>
    <t>Swiss Center for Life Cycle Inventories, Ecoinvent Database version 3.3. 2016, 2016, .</t>
  </si>
  <si>
    <t>Blonk Consultants. Agri-Footprint 2.0. 2015 [cited 2015] Available from: http://www.agrifootprint.</t>
  </si>
  <si>
    <t>Nielsen, P. H., Nielsen, A. M., Weidema, B. P., Dalgaard, R. and Halberg, N., LCA food data base. 2003, 2013 (June), .</t>
  </si>
  <si>
    <t>Gonzalez, A. D., Frostell, B. and Carlsson-Kanyama, A., Protein efficiency per unit energy and per unit greenhouse gas emissions: Potential contribution of diet choices to climate change mitigation. Food Policy 2011, 36 (5), 562-570.</t>
  </si>
  <si>
    <t>Carlsson-Kanyama, A., Ekström, M. P. and Shanahan, H., Food and life cycle energy inputs: consequences of diet and ways to increase efficiency. Ecological economics 2003, 44 (2), 293-307.</t>
  </si>
  <si>
    <t>Nemecek, T., Weiler, K., Plassmann, K. and Schnetzer, J., Geographical extrapolation of environmental impact of crops by the MEXALCA method. Unilever-ART project no. 2011, .</t>
  </si>
  <si>
    <t>Quantis, World Food LCA Database. 2016, .</t>
  </si>
  <si>
    <t>Doublet G, Jungbluth N. Life cycle assessment of drinking Darjeeling tea: ESU-Services Ltd; 2010.</t>
  </si>
  <si>
    <t>Boissy, J., Aubin, J., Drissi, A., Van Der Werf, H. M., Bell, G. J. and Kaushik, S. J., Environmental impacts of plant-based salmonid diets at feed and farm scales. Aquaculture 2011, 321 (1), 61-70.</t>
  </si>
  <si>
    <t>Samuel-Fitwi, B., Nagel, F., Meyer, S., Schroeder, J. and Schulz, C., Comparative life cycle assessment (LCA) of raising rainbow trout (Oncorhynchus mykiss) in different production systems. Aquacultural engineering 2013, 54, 85-92.</t>
  </si>
  <si>
    <t>Wilfart, A., Prudhomme, J., Blancheton, J.-P. and Aubin, J., LCA and emergy accounting of aquaculture systems: Towards ecological intensification. Journal of environmental management 2013, 121, 96-109.</t>
  </si>
  <si>
    <t>Yacout, D. M., Soliman, N. F. and Yacout, M., Comparative life cycle assessment (LCA) of Tilapia in two production systems: semi-intensive and intensive. The International Journal of Life Cycle Assessment 2016, 21 (6), 806-819.</t>
  </si>
  <si>
    <t>Aubin, J., Papatryphon, E., Van Der Werf, H., Petit, J. and Morvan, Y., Characterisation of the environmental impact of a turbot (Scophthalmus maximus) re-circulating production system using Life Cycle Assessment. Aquaculture 2006, 261 (4), 1259-1268.</t>
  </si>
  <si>
    <t>Besson, M., Aubin, J., Komen, H., Poelman, M., Quillet, E., Vandeputte, M., Van Arendonk, J. and De Boer, I., Environmental impacts of genetic improvement of growth rate and feed conversion ratio in fish farming under rearing density and nitrogen output limitations. Journal of Cleaner Production 2016, 116, 100-109.</t>
  </si>
  <si>
    <t>Koroneos, C., Roumbas, G., Gabari, Z., Papagiannidou, E. and Moussiopoulos, N., Life cycle assessment of beer production in Greece. Journal of Cleaner Production 2005, 13 (4), 433-439.</t>
  </si>
  <si>
    <t>Williams, A. G. and Mekonen, S., Environmental performance of traditional beer production in a micro-brewery. Proceedings of the 9th International Conference on Life Cycle Assessment in the Agri-Food Sector (LCA Food 2014) 2014, .</t>
  </si>
  <si>
    <t>Cimini, A. and Moresi, M., Carbon footprint of a pale lager packed in different formats: assessment and sensitivity analysis based on transparent data. Journal of Cleaner Production 2016, 112, 4196-4213.</t>
  </si>
  <si>
    <t>Sipperly E, Edinger K, Ziegler N, Roberts E. Comparative Cradle to Gate Life Cycle Assessment of 100% Barley-based Singha Lager Beer in Thailand: University of North Carolina Institute for the Environment; 2014.</t>
  </si>
  <si>
    <t>Kingston, C., Meyhoff Fry, J. and Aumonier, S., Scoping life cycle assessment of pork production. 2009, .</t>
  </si>
  <si>
    <t>Devers, L., Kleynhans, T. and Mathijs, E., Comparative life cycle assessment of Flemish and Western Cape pork production. Agrekon 2012, 51 (4), 105-128.</t>
  </si>
  <si>
    <t>Winkler, T., Schopf, K., Aschemann, R. and Winiwarter, W., From farm to fork – A life cycle assessment of fresh Austrian pork. Journal of Cleaner Production 2016, .</t>
  </si>
  <si>
    <r>
      <t>Kool A, Blonk H, Ponsioen T, Sukkel W, Vermeer H, de Vries J</t>
    </r>
    <r>
      <rPr>
        <i/>
        <sz val="12"/>
        <color rgb="FF000000"/>
        <rFont val="Calibri"/>
        <family val="2"/>
      </rPr>
      <t xml:space="preserve">, et al. </t>
    </r>
    <r>
      <rPr>
        <sz val="12"/>
        <color rgb="FF000000"/>
        <rFont val="Calibri"/>
        <family val="2"/>
      </rPr>
      <t>Carbon footprints of conventional and organic pork: assessments of typical production systems in the Netherlands, Denmark, England and Germany: Blonk Milieu Advies 2009.</t>
    </r>
  </si>
  <si>
    <t>Lesschen, J., Van Den Berg, M., Westhoek, H., Witzke, H. and Oenema, O., Greenhouse gas emission profiles of European livestock sectors. Animal Feed Science and Technology 2011, 166, 16-28.</t>
  </si>
  <si>
    <t>Jones, C. D., Fraisse, C. W. and Ozores-Hampton, M., Quantification of greenhouse gas emissions from open field-grown Florida tomato production. Agricultural Systems 2012, 113, 64-72.</t>
  </si>
  <si>
    <t>Page, G., Ridoutt, B. and Bellotti, B., Carbon and water footprint tradeoffs in fresh tomato production. Journal of Cleaner Production 2012, 32, 219-226.</t>
  </si>
  <si>
    <t>Webb, J., Williams, A. G., Hope, E., Evans, D. and Moorhouse, E., Do foods imported into the UK have a greater environmental impact than the same foods produced within the UK? The International Journal of Life Cycle Assessment 2013, 18 (7), 1325-1343.</t>
  </si>
  <si>
    <t>Torrellas, M., Antón, A., López, J. C., Baeza, E. J., Parra, J. P., Muñoz, P. and Montero, J. I., LCA of a tomato crop in a multi-tunnel greenhouse in Almeria. The International Journal of Life Cycle Assessment 2012, 17 (7), 863-875.</t>
  </si>
  <si>
    <t>Payen, S., Basset-Mens, C. and Perret, S., LCA of local and imported tomato: an energy and water trade-off. Journal of Cleaner Production 2015, 87, 139-148.</t>
  </si>
  <si>
    <t>Boulard, T., Raeppel, C., Brun, R., Lecompte, F., Hayer, F., Carmassi, G. and Gaillard, G., Environmental impact of greenhouse tomato production in France. Agronomy for sustainable development 2011, 31 (4), 757-777.</t>
  </si>
  <si>
    <t>Rugani, B., Vazquez-Rowe, I., Benedetto, G. and Benetto, E., A comprehensive review of carbon footprint analysis as an extended environmental indicator in the wine sector. Journal of Cleaner Production 2013, 54, 61-77.</t>
  </si>
  <si>
    <t>Benedetto, G., The environmental impact of a Sardinian wine by partial life cycle assessment. Wine Economics and Policy 2013, 2 (1), 33-41.</t>
  </si>
  <si>
    <t>Amienyo, D., Camilleri, C. and Azapagic, A., Environmental impacts of consumption of Australian red wine in the UK. Journal of Cleaner Production 2014, 72, 110-119.</t>
  </si>
  <si>
    <t>Fusi, A., Guidetti, R. and Benedetto, G., Delving into the environmental aspect of a Sardinian white wine: from partial to total life cycle assessment. Science of the Total Environment 2014, 472, 989-1000.</t>
  </si>
  <si>
    <t>Bonamente, E., Scrucca, F., Rinaldi, S., Merico, M. C., Asdrubali, F. and Lamastra, L., Environmental impact of an Italian wine bottle: Carbon and water footprint assessment. Science of The Total Environment 2016, 560, 274-283.</t>
  </si>
  <si>
    <t>Beverage Industry Environmental Roundtable, Research on the Carbon Footprint of Wine. 2012, .</t>
  </si>
  <si>
    <t>Villanueva-Rey, P., Vázquez-Rowe, I., Moreira, M. T. and Feijoo, G., Comparative life cycle assessment in the wine sector: biodynamic vs. conventional viticulture activities in NW Spain. Journal of Cleaner Production 2014, 65, 330-341.</t>
  </si>
  <si>
    <t>Franklin Associates, Life Cycle Assessment of Drinking Water Systems: Bottle Water, Tap Water, and Home/Office Delivery Water. 2009,  (09-LQ-104), .</t>
  </si>
  <si>
    <t>Blonk, H., Kool, A., Luske, B. and Waart, S. D., Environmental effects of protein-rich products in the Netherlands: consequences of animal protein substitutes: Blonk Consultants;  2008.</t>
  </si>
  <si>
    <t>Abeliotis, K., Lasaridi, K., Chroni, C. and Zorpas, A. A., ENVIRONMENTAL ASSESSMENT OF WASTE PREVENTION ACTIVITIES. Proceedings of the 13th International Conference on Environmental Science and Technology 2013, .</t>
  </si>
  <si>
    <t>Bengtsson, J. and Seddon, J., Cradle to retailer or quick service restaurant gate life cycle assessment of chicken products in Australia. Journal of Cleaner Production 2013, 41, 291-300.</t>
  </si>
  <si>
    <t>Berners-Lee, M., Hoolohan, C., Cammack, H. and Hewitt, C. N., The relative greenhouse gas impacts of realistic dietary choices. Energy Policy 2012, 43, 184-190.</t>
  </si>
  <si>
    <t>Aguirre-Villegas H, Kraatz S, Milani F, Newenhouse A, Passos-Fonseca T, Reinemann D. Understand the Carbon Footprint of Cheese: University of Wisconsin Extension; 2011.</t>
  </si>
  <si>
    <r>
      <t xml:space="preserve">Bartl K, Gómez CA, Nemecek T. Life cycle assessment of milk produced in two smallholder dairy systems in the highlands and the coast of Peru. </t>
    </r>
    <r>
      <rPr>
        <i/>
        <sz val="11"/>
        <color rgb="FF000000"/>
        <rFont val="Calibri"/>
        <family val="2"/>
      </rPr>
      <t xml:space="preserve">J Cleaner Prod </t>
    </r>
    <r>
      <rPr>
        <sz val="11"/>
        <color rgb="FF000000"/>
        <rFont val="Calibri"/>
        <family val="2"/>
      </rPr>
      <t xml:space="preserve">2011, </t>
    </r>
    <r>
      <rPr>
        <b/>
        <sz val="11"/>
        <color rgb="FF000000"/>
        <rFont val="Calibri"/>
        <family val="2"/>
      </rPr>
      <t>19</t>
    </r>
    <r>
      <rPr>
        <sz val="11"/>
        <color rgb="FF000000"/>
        <rFont val="Calibri"/>
        <family val="2"/>
      </rPr>
      <t>(13)</t>
    </r>
    <r>
      <rPr>
        <b/>
        <sz val="11"/>
        <color rgb="FF000000"/>
        <rFont val="Calibri"/>
        <family val="2"/>
      </rPr>
      <t>:</t>
    </r>
    <r>
      <rPr>
        <sz val="11"/>
        <color rgb="FF000000"/>
        <rFont val="Calibri"/>
        <family val="2"/>
      </rPr>
      <t xml:space="preserve"> 1494-1505.</t>
    </r>
  </si>
  <si>
    <r>
      <t xml:space="preserve">Basset-Mens C, Ledgard S, Boyes M. Eco-efficiency of intensification scenarios for milk production in New Zealand. </t>
    </r>
    <r>
      <rPr>
        <i/>
        <sz val="11"/>
        <color rgb="FF000000"/>
        <rFont val="Calibri"/>
        <family val="2"/>
      </rPr>
      <t xml:space="preserve">Ecol Econ </t>
    </r>
    <r>
      <rPr>
        <sz val="11"/>
        <color rgb="FF000000"/>
        <rFont val="Calibri"/>
        <family val="2"/>
      </rPr>
      <t xml:space="preserve">2009, </t>
    </r>
    <r>
      <rPr>
        <b/>
        <sz val="11"/>
        <color rgb="FF000000"/>
        <rFont val="Calibri"/>
        <family val="2"/>
      </rPr>
      <t>68</t>
    </r>
    <r>
      <rPr>
        <sz val="11"/>
        <color rgb="FF000000"/>
        <rFont val="Calibri"/>
        <family val="2"/>
      </rPr>
      <t>(6)</t>
    </r>
    <r>
      <rPr>
        <b/>
        <sz val="11"/>
        <color rgb="FF000000"/>
        <rFont val="Calibri"/>
        <family val="2"/>
      </rPr>
      <t xml:space="preserve">: </t>
    </r>
    <r>
      <rPr>
        <sz val="11"/>
        <color rgb="FF000000"/>
        <rFont val="Calibri"/>
        <family val="2"/>
      </rPr>
      <t>1615-1625.</t>
    </r>
  </si>
  <si>
    <t>Schäfer, F. and Blanke, M., Farming and marketing system affects carbon and water footprint – a case study using Hokaido pumpkin. Journal of Cleaner Production 2012, 28, 113-119.</t>
  </si>
  <si>
    <t>Backer, E. D., Aertsens, J., Vergucht, S. and Steurbaut, W., Assessing the ecological soundness of organic and conventional agriculture by means of life cycle assessment (LCA): A case study of leek production. British Food Journal 2009, 111 (10), 1028-1061.</t>
  </si>
  <si>
    <t>Romero-Gámez, M., Suárez-Rey, E., Antón, A., Castilla, N. and Soriano, T., Environmental impact of screenhouse and open-field cultivation using a life cycle analysis: the case study of green bean production. Journal of Cleaner Production 2012, 28, 63-69.</t>
  </si>
  <si>
    <t>Sanders, K. T. and Webber, M. E., A comparative analysis of the greenhouse gas emissions intensity of wheat and beef in the United States. Environmental Research Letters 2014, 9 (4), 044011.</t>
  </si>
  <si>
    <t>Rosa, D., Figueiredo, F., Castanheira, É., Feliciano, M., Maia, F., Santos, J., Silva, A., Trindade, H. and Freire, F., Life-cycle greenhouse gas assessment of Portuguese chestnut. Energy for Sustainability 2015 Conference: Sustainable Cities–Designing for People and the Planet 2015, .</t>
  </si>
  <si>
    <t>Sanjuán, N., Ubeda, L., Clemente, G., Mulet, A. and Girona, F., LCA of integrated orange production in the Comunidad Valenciana (Spain). International Journal of Agricultural Resources, Governance and Ecology 2005, 4 (2), 163-177.</t>
  </si>
  <si>
    <t>Thomassen, M. A. and De Boer, I. J. M., Evaluation of indicators to assess the environmental impact of dairy production systems. Agriculture, Ecosystems &amp; Environment 2005, 111 (1–4), 185-199.</t>
  </si>
  <si>
    <t>Casey, J. W. and Holden, N. M., Quantification of GHG emissions from sucker-beef production in Ireland. Agricultural Systems 2006, 90 (1–3), 79-98.</t>
  </si>
  <si>
    <t>Lagerberg Fogelberg, C. and Carlsson-Kanyama, A., Environmental assessment of foods–an LCA inspired approach . Totalförsvarets forskningsinstitut (FOI). Environmental information in the food supply system 2006, .</t>
  </si>
  <si>
    <t>Parker, R. W. R., Vázquez-Rowe, I. and Tyedmers, P. H., Fuel performance and carbon footprint of the global purse seine tuna fleet. Journal of Cleaner Production 2015, 103, 517-524.</t>
  </si>
  <si>
    <t>Jonell, M. and Henriksson, P. J. G., Mangrove–shrimp farms in Vietnam—Comparing organic and conventional systems using life cycle assessment. Aquaculture 2015, 447, 66-75.</t>
  </si>
  <si>
    <t>Farmery, A., Gardner, C., Green, B. S., Jennings, S. and Watson, R., Life cycle assessment of wild capture prawns: expanding sustainability considerations in the Australian Northern Prawn Fishery. Journal of Cleaner Production 2015, 87, 96-104.</t>
  </si>
  <si>
    <t>Cherubini, E., Zanghelini, G. M., Alvarenga, R. a. F., Franco, D. and Soares, S. R., Life cycle assessment of swine production in Brazil: a comparison of four manure management systems. Journal of Cleaner Production 2015, 87, 68-77.</t>
  </si>
  <si>
    <t>Aguirre-Villegas, H. A., Passos-Fonseca, T. H., Reinemann, D. J., Armentano, L. E., Wattiaux, M. A., Cabrera, V. E., Norman, J. M. and Larson, R., Green cheese: Partial life cycle assessment of greenhouse gas emissions and energy intensity of integrated dairy production and bioenergy systems. Journal of dairy science 2015, 98 (3), 1571-1592.</t>
  </si>
  <si>
    <t>Thanawong, K., Perret, S. and Basset-Mens, C., Eco-efficiency of paddy rice production in Northeastern Thailand: a comparison of rain-fed and irrigated cropping systems. Journal of Cleaner Production 2014, 73, 204-217.</t>
  </si>
  <si>
    <t>Da Silva, V. P., Van Der Werf, H. M., Soares, S. R. and Corson, M. S., Environmental impacts of French and Brazilian broiler chicken production scenarios: An LCA approach. Journal of environmental management 2014, 133, 222-231.</t>
  </si>
  <si>
    <t>Alter Eco. 2012 Emissions Report &amp; Impact Assessment; 2012.</t>
  </si>
  <si>
    <t>Pirlo, G., Terzano, G., Pacelli, C., Abeni, F. and Care, S., Carbon footprint of milk produced at Italian buffalo farms. Livestock Science 2014, 161, 176-184.</t>
  </si>
  <si>
    <t>O’brien, D., Capper, J., Garnsworthy, P., Grainger, C. and Shalloo, L., A case study of the carbon footprint of milk from high-performing confinement and grass-based dairy farms. Journal of dairy science 2014, 97 (3), 1835-1851.</t>
  </si>
  <si>
    <t>Iriarte, A., Almeida, M. G. and Villalobos, P., Carbon footprint of premium quality export bananas: Case study in Ecuador, the world's largest exporter. Science of The Total Environment 2014, 472, 1082-1088.</t>
  </si>
  <si>
    <t>Hallström, E., Röös, E. and Börjesson, P., Sustainable meat consumption: A quantitative analysis of nutritional intake, greenhouse gas emissions and land use from a Swedish perspective. Food Policy 2014, 47, 81-90.</t>
  </si>
  <si>
    <t>González-García, S., Gomez-Fernández, Z., Dias, A. C., Feijoo, G., Moreira, M. T. and Arroja, L., Life Cycle Assessment of broiler chicken production: a Portuguese case study. Journal of Cleaner Production 2014, 74, 125-134.</t>
  </si>
  <si>
    <t>Gollnow, S., Lundie, S., Moore, A. D., Mclaren, J., Van Buuren, N., Stahle, P., Christie, K., Thylmann, D. and Rehl, T., Carbon footprint of milk production from dairy cows in Australia. International Dairy Journal 2014, 37 (1), 31-38.</t>
  </si>
  <si>
    <t>Dyer, J. A., Vergé, X. P., Desjardins, R. L. and Worth, D. E., A comparison of the greenhouse gas emissions from the sheep industry with beef production in Canada. Sustainable Agriculture Research 2014, 3 (3), 65-75.</t>
  </si>
  <si>
    <t>Thévenot, A., Aubin, J., Tillard, E. and Vayssières, J., Accounting for farm diversity in Life Cycle Assessment studies – the case of poultry production in a tropical island. Journal of Cleaner Production 2013, 57, 280-292.</t>
  </si>
  <si>
    <t>Roer, A.-G., Johansen, A., Bakken, A. K., Daugstad, K., Fystro, G. and Strømman, A. H., Environmental impacts of combined milk and meat production in Norway according to a life cycle assessment with expanded system boundaries. Livestock Science 2013, 155 (2), 384-396.</t>
  </si>
  <si>
    <t>Ripoll-Bosch, R., De Boer, I. J. M., Bernués, A. and Vellinga, T. V., Accounting for multi-functionality of sheep farming in the carbon footprint of lamb: A comparison of three contrasting Mediterranean systems. Agricultural Systems 2013, 116, 60-68.</t>
  </si>
  <si>
    <t>Ridoutt, B. G., Page, G., Opie, K., Huang, J. and Bellotti, W., Carbon, water and land use footprints of beef cattle production systems in southern Australia. Journal of Cleaner Production 2014, 73, 24-30.</t>
  </si>
  <si>
    <t>Pergola, M., Favia, M., Palese, A. M., Perretti, B., Xiloyannis, C. and Celano, G., Alternative management for olive orchards grown in semi-arid environments: An energy, economic and environmental analysis. Scientia Horticulturae 2013, 162, 380-386.</t>
  </si>
  <si>
    <t>Pergola, M., D'amico, M., Celano, G., Palese, A., Scuderi, A., Di Vita, G., Pappalardo, G. and Inglese, P., Sustainability evaluation of Sicily's lemon and orange production: An energy, economic and environmental analysis. Journal of environmental management 2013, 128, 674-682.</t>
  </si>
  <si>
    <t>Nguyen, T. T. H., Doreau, M., Corson, M. S., Eugène, M., Delaby, L., Chesneau, G., Gallard, Y. and Van Der Werf, H. M. G., Effect of dairy production system, breed and co-product handling methods on environmental impacts at farm level. Journal of Environmental Management 2013, 120, 127-137.</t>
  </si>
  <si>
    <t>Mungkung, R., Aubin, J., Prihadi, T. H., Slembrouck, J., Van Der Werf, H. M. and Legendre, M., Life Cycle Assessment for environmentally sustainable aquaculture management: a case study of combined aquaculture systems for carp and tilapia. Journal of Cleaner Production 2013, 57, 249-256.</t>
  </si>
  <si>
    <t>Lovett, D., Shalloo, L., Dillon, P. and O’mara, F., A systems approach to quantify greenhouse gas fluxes from pastoral dairy production as affected by management regime. Agricultural Systems 2006, 88 (2), 156-179.</t>
  </si>
  <si>
    <t>Thrane, M., LCA of Danish Fish Products. New methods and insights. The International Journal of Life Cycle Assessment 2006, 11 (1), 66-74.</t>
  </si>
  <si>
    <t>Dalgaard, R., The environmental impact of pork production from a life cycle perspective. 2007, PhD, .</t>
  </si>
  <si>
    <t>Ogino, A., Orito, H., Shimada, K. and Hirooka, H., Evaluating environmental impacts of the Japanese beef cow–calf system by the life cycle assessment method. Animal Science Journal 2007, 78 (4), 424-432.</t>
  </si>
  <si>
    <t>Berlin, J., Sonesson, U. and Tillman, A. M., Product chain actors' potential for greening the product life cycle. Journal of Industrial Ecology 2008, 12 (1), 95-110.</t>
  </si>
  <si>
    <t>Ellingsen, H., Olaussen, J. and Utne, I., Environmental analysis of the Norwegian fishery and aquaculture industry—A preliminary study focusing on farmed salmon. Marine Policy 2009, 33 (3), 479-488.</t>
  </si>
  <si>
    <t>Roy, P., Nei, D., Okadome, H., Nakamura, N., Orikasa, T. and Shiina, T., Life cycle inventory analysis of fresh tomato distribution systems in Japan considering the quality aspect. Journal of Food Engineering 2008, 86 (2), 225-233.</t>
  </si>
  <si>
    <t>Thomassen, M. A., Dalgaard, R., Heijungs, R. and De Boer, I., Attributional and consequential LCA of milk production. The International Journal of Life Cycle Assessment 2008, 13 (4), 339-349.</t>
  </si>
  <si>
    <t>Vergé, X. P. C., Dyer, J. A., Desjardins, R. L. and Worth, D., Greenhouse gas emissions from the Canadian beef industry. Agricultural Systems 2008, 98 (2), 126-134.</t>
  </si>
  <si>
    <t>Ziegler, F. and Valentinsson, D., Environmental life cycle assessment of Norway lobster (Nephrops norvegicus) caught along the Swedish west coast by creels and conventional trawls—LCA methodology with case study. The International Journal of Life Cycle Assessment 2008, 13 (6), 487.</t>
  </si>
  <si>
    <t>Edwards-Jones, G., Plassmann, K. and Harris, I. M., Carbon footprinting of lamb and beef production systems: insights from an empirical analysis of farms in Wales, UK. The Journal of Agricultural Science 2009, 147 (6), 707-719.</t>
  </si>
  <si>
    <t>Guttormsdóttir, A. B., Life cycle assessment on Icelandic cod product based on two different fishing methods. Univerity of Iceland 2009, .</t>
  </si>
  <si>
    <t>Hokazono, S., Hayashi, K. and Sato, M., Potentialities of organic and sustainable rice production in Japan from a life cycle perspective. Agronomy Research 2009, 7 (1), 257-262.</t>
  </si>
  <si>
    <t>Hospido, A., I Canals, L. M., Mclaren, S., Truninger, M., Edwards-Jones, G. and Clift, R., The role of seasonality in lettuce consumption: a case study of environmental and social aspects. The International Journal of Life Cycle Assessment 2009, 14 (5), 381-391.</t>
  </si>
  <si>
    <t>Kasmaprapruet, S., Paengjuntuek, W., Saikhwan, P. and Phungrassami, H., Life cycle assessment of milled rice production: case study in Thailand. European Journal of Scientific Research 2009, 30 (2), 195-203.</t>
  </si>
  <si>
    <t>Thomassen, M., Dolman, M., Van Calker, K. and De Boer, I., Relating life cycle assessment indicators to gross value added for Dutch dairy farms. Ecological Economics 2009, 68 (8), 2278-2284.</t>
  </si>
  <si>
    <t>Schroeder, R., Aguiar, L. K. and Baines, R., Carbon footprint in meat production and supply chains. Journal of Food Science and Engineering 2012, 2 (11), 652.</t>
  </si>
  <si>
    <t>Van Der Werf, H. M., Kanyarushoki, C. and Corson, M. S., An operational method for the evaluation of resource use and environmental impacts of dairy farms by life cycle assessment. Journal of environmental management 2009, 90 (11), 3643-3652.</t>
  </si>
  <si>
    <t>Winther, U., Ziegler, F., Hognes, E. S., Emanuelsson, A., Sund, V. and Ellingsen, H., Carbon footprint and energy use of Norwegian seafood products. SINTEF Fisheries and Aquaculture, Report SFH80 A 2009, 96068, .</t>
  </si>
  <si>
    <t>Winther, U., Ziegler, F., Hognes, E. S., Emanuelsson, A., Sund, V. and Ellingsen, H., Carbon footprint and energy use of Norwegian seafood products. SINTEF Fisheries and Aquaculture, Report SFH80 A 2009, 96068.</t>
  </si>
  <si>
    <t>Biswas, W. K., Graham, J., Kelly, K. and John, M. B., Global warming contributions from wheat, sheep meat and wool production in Victoria, Australia–a life cycle assessment. Journal of Cleaner Production 2010, 18 (14), 1386-1392.</t>
  </si>
  <si>
    <t>Fet, A. M., Schau, E. M. and Haskins, C., A framework for environmental analyses of fish food production systems based on systems engineering principles. Systems Engineering 2010, 13 (2), 109-118.</t>
  </si>
  <si>
    <t>Ledgard, S., Lieffering, M., Mcdevitt, J., Boyes, M. and Kemp, R., A greenhouse gas footprint study for exported New Zealand lamb. Report for Meat Industry Association, Ballance Agri-nutrients, Landcorp and MAF. AgResearch, Hamilton, 26pp 2010.</t>
  </si>
  <si>
    <t>Maraseni, T. N., Cockfield, G., Maroulis, J. and Chen, G., An assessment of greenhouse gas emissions from the Australian vegetables industry. Journal of Environmental Science and Health Part B 2010, 45 (6), 578-588.</t>
  </si>
  <si>
    <t>Veysset, P., Lherm, M. and Bébin, D., Energy consumption, greenhouse gas emissions and economic performance assessments in French Charolais suckler cattle farms: Model-based analysis and forecasts. Agricultural Systems 2010, 103 (1), 41-50.</t>
  </si>
  <si>
    <t>Bosma, R., Anh, P. T. and Potting, J., Life cycle assessment of intensive striped catfish farming in the Mekong Delta for screening hotspots as input to environmental policy and research agenda. The International Journal of Life Cycle Assessment 2011, 16 (9), 903.</t>
  </si>
  <si>
    <t>Browne, N. A., Eckard, R. J., Behrendt, R. and Kingwell, R. S., A comparative analysis of on-farm greenhouse gas emissions from agricultural enterprises in south eastern Australia. Animal Feed Science and Technology 2011, 166, 641-652.</t>
  </si>
  <si>
    <t>Christie, K., Rawnsley, R. and Eckard, R., A whole farm systems analysis of greenhouse gas emissions of 60 Tasmanian dairy farms. Animal Feed Science and Technology 2011, 166, 653-662.</t>
  </si>
  <si>
    <t>Foley, P. A., Crosson, P., Lovett, D. K., Boland, T. M., O’mara, F. P. and Kenny, D. A., Whole-farm systems modelling of greenhouse gas emissions from pastoral suckler beef cow production systems. Agriculture, Ecosystems &amp; Environment 2011, 142 (3–4), 222-230.</t>
  </si>
  <si>
    <t>Hagemann, M., Hemme, T., Ndambi, A., Alqaisi, O. and Sultana, M. N., Benchmarking of greenhouse gas emissions of bovine milk production systems for 38 countries. Animal feed science and technology 2011, 166, 46-58.</t>
  </si>
  <si>
    <t>Heller, M. C. and Keoleian, G. A., Life Cycle Energy and Greenhouse Gas Analysis of a Large-Scale Vertically Integrated Organic Dairy in the United States. Environmental Science and Technology 2011, 45 (5), 1903-1910.</t>
  </si>
  <si>
    <t>Guerci, M., Bava, L., Zucali, M., Sandrucci, A., Penati, C. and Tamburini, A., Effect of farming strategies on environmental impact of intensive dairy farms in Italy. Journal of Dairy Research 2013, 80 (3), 300-308.</t>
  </si>
  <si>
    <t>Guerci, M., Knudsen, M. T., Bava, L., Zucali, M., Schönbach, P. and Kristensen, T., Parameters affecting the environmental impact of a range of dairy farming systems in Denmark, Germany and Italy. Journal of Cleaner Production 2013, 54, 133-141.</t>
  </si>
  <si>
    <t>González-García, S., Castanheira, É. G., Dias, A. C. and Arroja, L., Environmental life cycle assessment of a dairy product: the yoghurt. The International Journal of Life Cycle Assessment 2013, 18 (4), 796-811.</t>
  </si>
  <si>
    <t>González-García, S., Castanheira, É. G., Dias, A. C. and Arroja, L., Using Life Cycle Assessment methodology to assess UHT milk production in Portugal. Science of The Total Environment 2013, 442, 225-234.</t>
  </si>
  <si>
    <t>González-García, S., Hospido, A., Moreira, M. T., Feijoo, G. and Arroja, L., Environmental Life Cycle Assessment of a Galician cheese: San Simon da Costa. Journal of Cleaner Production 2013, 52, 253-262.</t>
  </si>
  <si>
    <t>Cerutti, A. K., Bruun, S., Donno, D., Beccaro, G. L. and Bounous, G., Environmental sustainability of traditional foods: the case of ancient apple cultivars in Northern Italy assessed by multifunctional LCA. Journal of Cleaner Production 2013, 52, 245-252.</t>
  </si>
  <si>
    <t>Brito De Figueirêdo, M. C., Kroeze, C., Potting, J., Da Silva Barros, V., Sousa De Aragão, F. A., Gondim, R. S., De Lima Santos, T. and De Boer, I. J. M., The carbon footprint of exported Brazilian yellow melon. Journal of Cleaner Production 2013, 47, 404-414.</t>
  </si>
  <si>
    <t>Bonesmo, H., Beauchemin, K. A., Harstad, O. M. and Skjelvåg, A. O., Greenhouse gas emission intensities of grass silage based dairy and beef production: A systems analysis of Norwegian farms. Livestock Science 2013, 152 (2–3), 239-252.</t>
  </si>
  <si>
    <t>Wiedemann, S., Mcgahan, E. J. and Poad, G., Using life cycle assessment to quantify the environmental impact of chicken meat production. 2012, .</t>
  </si>
  <si>
    <t>O’brien, D., Shalloo, L., Patton, J., Buckley, F., Grainger, C. and Wallace, M., A life cycle assessment of seasonal grass-based and confinement dairy farms. Agricultural Systems 2012, 107, 33-46.</t>
  </si>
  <si>
    <t>Nguyen, T. T. H., Van Der Werf, H. M. G., Eugène, M., Veysset, P., Devun, J., Chesneau, G. and Doreau, M., Effects of type of ration and allocation methods on the environmental impacts of beef-production systems. Livestock Science 2012, 145 (1–3), 239-251.</t>
  </si>
  <si>
    <t>Roy, P., Orikasa, T., Thammawong, M., Nakamura, N., Xu, Q. and Shiina, T., Life cycle of meats: An opportunity to abate the greenhouse gas emission from meat industry in Japan. Journal of Environmental Management 2012, 93 (1), 218-224.</t>
  </si>
  <si>
    <t>Hokazono, S. and Hayashi, K., Variability in environmental impacts during conversion from conventional to organic farming: a comparison among three rice production systems in Japan. Journal of Cleaner Production 2012, 28, 101-112.</t>
  </si>
  <si>
    <t>De Gennaro, B., Notarnicola, B., Roselli, L. and Tassielli, G., Innovative olive-growing models: an environmental and economic assessment. Journal of Cleaner Production 2012, 28, 70-80.</t>
  </si>
  <si>
    <t>Cellura, M., Longo, S. and Mistretta, M., Life Cycle Assessment (LCA) of protected crops: an Italian case study. Journal of cleaner production 2012, 28, 56-62.</t>
  </si>
  <si>
    <t>Schmidt JH, Dalgaard R. National and farm level carbon footprint of milk: Methodology and results for Danish and Swedish milk 2005 at farm gate. Aarhus, Denmark: Arla Foods; 2012.</t>
  </si>
  <si>
    <t>Grönroos, J., Silvenius, F., Kankainen, M., Silvo, K. and Mäkinen, T., Life cycle environmental impacts of different fish farming alternatives in the Baltic Sea. 2012,  (ICES CM 2012/Q:3), .</t>
  </si>
  <si>
    <t>Fantin, V., Buttol, P., Pergreffi, R. and Masoni, P., Life cycle assessment of Italian high quality milk production. A comparison with an EPD study. Journal of Cleaner Production 2012, 28, 150-159.</t>
  </si>
  <si>
    <t>Wallman, M., Cederberg, C. and Sonesson, U., Life cycle assessment of Swedish lamb production. 2011,  (SIK-rapport NR 831), 2011.</t>
  </si>
  <si>
    <t>Van Middelaar, C. E., Berentsen, P. B. M., Dolman, M. A. and De Boer, I. J. M., Eco-efficiency in the production chain of Dutch semi-hard cheese. Livestock Science 2011, 139 (1–2), 91-99.</t>
  </si>
  <si>
    <t>Lescot, T., Carbon footprint analysis in banana production. Second Conference of the World Banana Forum 2012, .</t>
  </si>
  <si>
    <t>Nielsen, N., Jørgensen, M. and Bahrndorff, S., Greenhouse gas emission from the Danish broiler production estimated via LCA methodology. 2011, 4-22.</t>
  </si>
  <si>
    <t>Michael D. Carbon Reduction Benchmarks &amp; Strategies: New Animal Products. Australia: RIRDC; 2011. Report No.: 1742542476.</t>
  </si>
  <si>
    <t>Ziegler, F., Emanuelsson, A., Eichelsheim, J. L., Flysjö, A., Ndiaye, V. and Thrane, M., Extended life cycle assessment of southern pink shrimp products originating in Senegalese artisanal and industrial fisheries for export to Europe. Journal of Industrial Ecology 2011, 15 (4), 527-538.</t>
  </si>
  <si>
    <t>Belflower, J. B., Bernard, J. K., Gattie, D. K., Hancock, D. W., Risse, L. M. and Rotz, C. A., A case study of the potential environmental impacts of different dairy production systems in Georgia. Agricultural Systems 2012, 108, 84-93.</t>
  </si>
  <si>
    <t>Nguyen, T. L. T., Hermansen, J. E. and Mogensen, L., Environmental assessment of Danish pork. 2011,  (REPORT NO. 103), .</t>
  </si>
  <si>
    <t>Kristensen, T., Mogensen, L., Knudsen, M. T. and Hermansen, J. E., Effect of production system and farming strategy on greenhouse gas emissions from commercial dairy farms in a life cycle approach. Livestock Science 2011, 140 (1), 136-148.</t>
  </si>
  <si>
    <t>Keyes, S., Evaluating the Environmental Impacts of Conventional and Organic Apple Production in Nova Scotia, Canada, through Life Cycle Assessment. Master thesis, Dalhousie University, Halifax, Nova Scotia, 2013.</t>
  </si>
  <si>
    <t>Utomo, B., Prawoto, A. A., Bonnet, S., Bangviwat, A. and Gheewala, S. H., Environmental performance of cocoa production from monoculture system and agroforestry system in indonesia. Journal of Cleaner Production 2016, 134, 583-591.</t>
  </si>
  <si>
    <t xml:space="preserve">below are brief descriptions of the sheets in this workbook.  For more complete descriptions and suggestions for use, see the accompanying document: </t>
  </si>
  <si>
    <t xml:space="preserve">FCID commodity codes can then be used to link to NHANES datasets. </t>
  </si>
  <si>
    <t>This version links greenhouse gas emissions (GHGE) and cumulative energy demand (CED) associated with PRODUCTION of food commodities to the 2005-2010 FCID commodity codes.</t>
  </si>
  <si>
    <t>http://fcid.foodrisk.org/</t>
  </si>
  <si>
    <t>contains final (utlized) impact factors.  Assigns impact factors to FCID commodities, assigns proxies, and executes necessary mass conversions</t>
  </si>
  <si>
    <t>raw data entries logged in literature review, including metadata, references</t>
  </si>
  <si>
    <t>GHGE data from "literature entries" sheet aggregated by specific food type and boundary condition (farm gate vs. processor gate)</t>
  </si>
  <si>
    <t>CED data from "literature entries" sheet aggregated by specific food type and boundary condition (farm gate vs. processor gate)</t>
  </si>
  <si>
    <t>contains proxy definitions used to fill FICD commodities without direct matches.</t>
  </si>
  <si>
    <t>note that these are accessed by formulas in the "FCID linkages" sheet and must maintain the format shown.</t>
  </si>
  <si>
    <t>MassConv</t>
  </si>
  <si>
    <t>compilation of mass conversions used to account for inedible portions, etc. The source of the conversion factor used for each FCID entry is defined in column "I" of the FCID Linkages sheet</t>
  </si>
  <si>
    <t>*MODIFICATIONS TO THIS WORKBOOK ARE AT YOUR OWN RISK. The modifier is responsible for assuring that functionality is maintained.  No efforts have been made to "lock" or otherwise protect necessary functionality.</t>
  </si>
  <si>
    <t>Indexing number</t>
  </si>
  <si>
    <t>One ton (1,000 kg) of cheddar cheese consumed, dry weight basis</t>
  </si>
  <si>
    <t>One ton (1,000 kg) of mozzarella cheese consumed, dry weight basis</t>
  </si>
  <si>
    <t>Divide study numbers by 1000, adjusted to 51.4% solids for as sold cheese</t>
  </si>
  <si>
    <t>Divide study numbers by 1000, adjusted to 63.2% solids for as sold cheese</t>
  </si>
  <si>
    <t>Welcome to dataFIELD version 1.0 - (database of Food Impacts on the Environment for Linking to Diets)</t>
  </si>
  <si>
    <t>additional processing inputs for select foods</t>
  </si>
  <si>
    <t>LASTING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</si>
</sst>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5" formatCode="&quot;$&quot;#,##0_);\(&quot;$&quot;#,##0\)"/>
    <numFmt numFmtId="44" formatCode="_(&quot;$&quot;* #,##0.00_);_(&quot;$&quot;* \(#,##0.00\);_(&quot;$&quot;* &quot;-&quot;??_);_(@_)"/>
    <numFmt numFmtId="164" formatCode="0.00000"/>
    <numFmt numFmtId="165" formatCode="0.000"/>
    <numFmt numFmtId="166" formatCode="0.0000"/>
    <numFmt numFmtId="167" formatCode="0.0"/>
    <numFmt numFmtId="168" formatCode="mmmm\ d\,\ yyyy"/>
    <numFmt numFmtId="169" formatCode="0.000000000"/>
  </numFmts>
  <fonts count="47" x14ac:knownFonts="1">
    <font>
      <sz val="12"/>
      <color rgb="FF000000"/>
      <name val="Calibri"/>
    </font>
    <font>
      <b/>
      <sz val="14"/>
      <color rgb="FF000000"/>
      <name val="Calibri"/>
      <family val="2"/>
    </font>
    <font>
      <b/>
      <sz val="12"/>
      <color rgb="FF000000"/>
      <name val="Calibri"/>
      <family val="2"/>
    </font>
    <font>
      <sz val="12"/>
      <color rgb="FF222222"/>
      <name val="Calibri"/>
      <family val="2"/>
    </font>
    <font>
      <sz val="12"/>
      <name val="Calibri"/>
      <family val="2"/>
    </font>
    <font>
      <sz val="11"/>
      <color rgb="FF000000"/>
      <name val="Calibri"/>
      <family val="2"/>
    </font>
    <font>
      <b/>
      <sz val="11"/>
      <color rgb="FF000000"/>
      <name val="Calibri"/>
      <family val="2"/>
    </font>
    <font>
      <b/>
      <sz val="12"/>
      <color rgb="FF000000"/>
      <name val="Calibri"/>
      <family val="2"/>
    </font>
    <font>
      <u/>
      <sz val="12"/>
      <color theme="10"/>
      <name val="Calibri"/>
      <family val="2"/>
    </font>
    <font>
      <sz val="11"/>
      <color rgb="FF000000"/>
      <name val="Calibri"/>
      <family val="2"/>
    </font>
    <font>
      <b/>
      <sz val="14"/>
      <color rgb="FF000000"/>
      <name val="Calibri"/>
      <family val="2"/>
    </font>
    <font>
      <sz val="12"/>
      <color rgb="FF000000"/>
      <name val="Calibri"/>
      <family val="2"/>
    </font>
    <font>
      <b/>
      <vertAlign val="subscript"/>
      <sz val="12"/>
      <color rgb="FF000000"/>
      <name val="Calibri"/>
      <family val="2"/>
    </font>
    <font>
      <b/>
      <sz val="12"/>
      <name val="Calibri"/>
      <family val="2"/>
    </font>
    <font>
      <sz val="10"/>
      <name val="Arial"/>
      <family val="2"/>
    </font>
    <font>
      <sz val="10"/>
      <name val="Arial"/>
      <family val="2"/>
    </font>
    <font>
      <u/>
      <sz val="12"/>
      <color theme="11"/>
      <name val="Calibri"/>
      <family val="2"/>
    </font>
    <font>
      <sz val="9"/>
      <color indexed="81"/>
      <name val="Calibri"/>
      <family val="2"/>
    </font>
    <font>
      <b/>
      <sz val="9"/>
      <color indexed="81"/>
      <name val="Calibri"/>
      <family val="2"/>
    </font>
    <font>
      <sz val="9"/>
      <color rgb="FF000000"/>
      <name val="Calibri"/>
      <family val="2"/>
    </font>
    <font>
      <sz val="11"/>
      <name val="Calibri"/>
      <family val="2"/>
    </font>
    <font>
      <sz val="8"/>
      <name val="Calibri"/>
      <family val="2"/>
    </font>
    <font>
      <sz val="10"/>
      <color indexed="8"/>
      <name val="Arial"/>
      <family val="2"/>
    </font>
    <font>
      <sz val="11"/>
      <color indexed="8"/>
      <name val="Calibri"/>
      <family val="2"/>
    </font>
    <font>
      <sz val="12"/>
      <color rgb="FF000000"/>
      <name val="Calibri"/>
      <family val="2"/>
    </font>
    <font>
      <sz val="11"/>
      <color indexed="8"/>
      <name val="Calibri"/>
      <family val="2"/>
    </font>
    <font>
      <sz val="12"/>
      <color rgb="FFFF0000"/>
      <name val="Calibri"/>
      <family val="2"/>
    </font>
    <font>
      <b/>
      <sz val="18"/>
      <color rgb="FF000000"/>
      <name val="Calibri"/>
      <family val="2"/>
    </font>
    <font>
      <sz val="11"/>
      <color rgb="FF000000"/>
      <name val="Calibri"/>
      <family val="2"/>
      <scheme val="minor"/>
    </font>
    <font>
      <sz val="11"/>
      <name val="Calibri"/>
      <family val="2"/>
      <scheme val="minor"/>
    </font>
    <font>
      <sz val="9"/>
      <color theme="1"/>
      <name val="Calibri"/>
      <family val="2"/>
      <scheme val="minor"/>
    </font>
    <font>
      <sz val="11"/>
      <color rgb="FFFF0000"/>
      <name val="Calibri"/>
      <family val="2"/>
    </font>
    <font>
      <b/>
      <sz val="20"/>
      <color rgb="FF000000"/>
      <name val="Calibri"/>
      <family val="2"/>
    </font>
    <font>
      <sz val="12"/>
      <color rgb="FF000000"/>
      <name val="Times New Roman"/>
      <family val="1"/>
    </font>
    <font>
      <sz val="14"/>
      <color rgb="FF000000"/>
      <name val="Calibri"/>
      <family val="2"/>
    </font>
    <font>
      <sz val="12"/>
      <color rgb="FF000000"/>
      <name val="Cambria"/>
      <family val="1"/>
    </font>
    <font>
      <i/>
      <sz val="12"/>
      <color rgb="FF000000"/>
      <name val="Calibri"/>
      <family val="2"/>
    </font>
    <font>
      <i/>
      <sz val="10"/>
      <color rgb="FF000000"/>
      <name val="Times New Roman"/>
      <family val="1"/>
    </font>
    <font>
      <i/>
      <sz val="11"/>
      <color rgb="FF000000"/>
      <name val="Calibri"/>
      <family val="2"/>
    </font>
    <font>
      <b/>
      <sz val="12"/>
      <color rgb="FFFF0000"/>
      <name val="Calibri"/>
      <family val="2"/>
    </font>
    <font>
      <sz val="18"/>
      <color theme="3"/>
      <name val="Calibri"/>
      <family val="2"/>
    </font>
    <font>
      <sz val="18"/>
      <color theme="4"/>
      <name val="Calibri"/>
      <family val="2"/>
    </font>
    <font>
      <sz val="9"/>
      <color indexed="81"/>
      <name val="Tahoma"/>
      <family val="2"/>
    </font>
    <font>
      <b/>
      <sz val="9"/>
      <color indexed="81"/>
      <name val="Tahoma"/>
      <family val="2"/>
    </font>
    <font>
      <b/>
      <sz val="10"/>
      <color indexed="81"/>
      <name val="Calibri"/>
      <family val="2"/>
    </font>
    <font>
      <sz val="10"/>
      <color indexed="81"/>
      <name val="Calibri"/>
      <family val="2"/>
    </font>
    <font>
      <sz val="10"/>
      <color rgb="FF000000"/>
      <name val="Calibri"/>
      <family val="2"/>
    </font>
  </fonts>
  <fills count="61">
    <fill>
      <patternFill patternType="none"/>
    </fill>
    <fill>
      <patternFill patternType="gray125"/>
    </fill>
    <fill>
      <patternFill patternType="solid">
        <fgColor rgb="FFBFBFBF"/>
        <bgColor rgb="FFBFBFBF"/>
      </patternFill>
    </fill>
    <fill>
      <patternFill patternType="solid">
        <fgColor rgb="FFC7DBF1"/>
        <bgColor rgb="FFC7DBF1"/>
      </patternFill>
    </fill>
    <fill>
      <patternFill patternType="solid">
        <fgColor rgb="FFE5DFEC"/>
        <bgColor rgb="FFE5DFEC"/>
      </patternFill>
    </fill>
    <fill>
      <patternFill patternType="solid">
        <fgColor rgb="FFF4CCCC"/>
        <bgColor rgb="FFF4CCCC"/>
      </patternFill>
    </fill>
    <fill>
      <patternFill patternType="solid">
        <fgColor rgb="FFD9EAD3"/>
        <bgColor rgb="FFD9EAD3"/>
      </patternFill>
    </fill>
    <fill>
      <patternFill patternType="solid">
        <fgColor rgb="FFFFFFFF"/>
        <bgColor rgb="FFFFFFFF"/>
      </patternFill>
    </fill>
    <fill>
      <patternFill patternType="solid">
        <fgColor theme="4" tint="0.59999389629810485"/>
        <bgColor indexed="64"/>
      </patternFill>
    </fill>
    <fill>
      <patternFill patternType="solid">
        <fgColor theme="5" tint="0.39997558519241921"/>
        <bgColor rgb="FFF4CCCC"/>
      </patternFill>
    </fill>
    <fill>
      <patternFill patternType="solid">
        <fgColor theme="5" tint="0.39997558519241921"/>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6" tint="0.39997558519241921"/>
        <bgColor rgb="FFD9EAD3"/>
      </patternFill>
    </fill>
    <fill>
      <patternFill patternType="solid">
        <fgColor theme="6" tint="0.39997558519241921"/>
        <bgColor indexed="64"/>
      </patternFill>
    </fill>
    <fill>
      <patternFill patternType="solid">
        <fgColor theme="0" tint="-0.499984740745262"/>
        <bgColor indexed="64"/>
      </patternFill>
    </fill>
    <fill>
      <patternFill patternType="solid">
        <fgColor rgb="FFFFFF00"/>
        <bgColor indexed="64"/>
      </patternFill>
    </fill>
    <fill>
      <patternFill patternType="solid">
        <fgColor theme="5"/>
        <bgColor indexed="64"/>
      </patternFill>
    </fill>
    <fill>
      <patternFill patternType="solid">
        <fgColor theme="0"/>
        <bgColor rgb="FFFFFF00"/>
      </patternFill>
    </fill>
    <fill>
      <patternFill patternType="solid">
        <fgColor theme="0"/>
        <bgColor indexed="64"/>
      </patternFill>
    </fill>
    <fill>
      <patternFill patternType="solid">
        <fgColor rgb="FFFEFF8D"/>
        <bgColor rgb="FFFF0000"/>
      </patternFill>
    </fill>
    <fill>
      <patternFill patternType="solid">
        <fgColor indexed="22"/>
        <bgColor indexed="0"/>
      </patternFill>
    </fill>
    <fill>
      <patternFill patternType="solid">
        <fgColor theme="9" tint="0.79998168889431442"/>
        <bgColor indexed="64"/>
      </patternFill>
    </fill>
    <fill>
      <patternFill patternType="solid">
        <fgColor theme="1"/>
        <bgColor indexed="64"/>
      </patternFill>
    </fill>
    <fill>
      <patternFill patternType="solid">
        <fgColor theme="4" tint="0.59999389629810485"/>
        <bgColor rgb="FFC7DBF1"/>
      </patternFill>
    </fill>
    <fill>
      <patternFill patternType="solid">
        <fgColor theme="2" tint="-0.249977111117893"/>
        <bgColor rgb="FFBFBFBF"/>
      </patternFill>
    </fill>
    <fill>
      <patternFill patternType="solid">
        <fgColor theme="2" tint="-0.249977111117893"/>
        <bgColor indexed="64"/>
      </patternFill>
    </fill>
    <fill>
      <patternFill patternType="solid">
        <fgColor theme="9"/>
        <bgColor indexed="64"/>
      </patternFill>
    </fill>
    <fill>
      <patternFill patternType="solid">
        <fgColor theme="4" tint="0.59999389629810485"/>
        <bgColor rgb="FFFF0000"/>
      </patternFill>
    </fill>
    <fill>
      <patternFill patternType="solid">
        <fgColor theme="2" tint="-9.9978637043366805E-2"/>
        <bgColor rgb="FFDDD9C3"/>
      </patternFill>
    </fill>
    <fill>
      <patternFill patternType="solid">
        <fgColor theme="2" tint="-9.9978637043366805E-2"/>
        <bgColor indexed="64"/>
      </patternFill>
    </fill>
    <fill>
      <patternFill patternType="solid">
        <fgColor theme="2" tint="-9.9978637043366805E-2"/>
        <bgColor rgb="FFFFFF00"/>
      </patternFill>
    </fill>
    <fill>
      <patternFill patternType="solid">
        <fgColor theme="5" tint="0.39997558519241921"/>
        <bgColor rgb="FFFF0000"/>
      </patternFill>
    </fill>
    <fill>
      <patternFill patternType="solid">
        <fgColor theme="7"/>
        <bgColor indexed="64"/>
      </patternFill>
    </fill>
    <fill>
      <patternFill patternType="solid">
        <fgColor theme="8"/>
        <bgColor indexed="64"/>
      </patternFill>
    </fill>
    <fill>
      <patternFill patternType="solid">
        <fgColor theme="2" tint="-0.499984740745262"/>
        <bgColor indexed="64"/>
      </patternFill>
    </fill>
    <fill>
      <patternFill patternType="solid">
        <fgColor theme="4"/>
        <bgColor indexed="64"/>
      </patternFill>
    </fill>
    <fill>
      <patternFill patternType="solid">
        <fgColor rgb="FFCB6A63"/>
        <bgColor indexed="64"/>
      </patternFill>
    </fill>
    <fill>
      <patternFill patternType="solid">
        <fgColor rgb="FFE5DFEC"/>
        <bgColor indexed="64"/>
      </patternFill>
    </fill>
    <fill>
      <patternFill patternType="solid">
        <fgColor rgb="FFF4CCCC"/>
        <bgColor indexed="64"/>
      </patternFill>
    </fill>
    <fill>
      <patternFill patternType="solid">
        <fgColor rgb="FFD9EAD3"/>
        <bgColor indexed="64"/>
      </patternFill>
    </fill>
    <fill>
      <patternFill patternType="solid">
        <fgColor rgb="FFFEFF8D"/>
        <bgColor indexed="64"/>
      </patternFill>
    </fill>
    <fill>
      <patternFill patternType="solid">
        <fgColor rgb="FFE5DFEC"/>
        <bgColor rgb="FFFFFFFF"/>
      </patternFill>
    </fill>
    <fill>
      <patternFill patternType="solid">
        <fgColor rgb="FFE5DFEC"/>
        <bgColor rgb="FFC7DBF1"/>
      </patternFill>
    </fill>
    <fill>
      <patternFill patternType="solid">
        <fgColor rgb="FFE5DFEC"/>
        <bgColor rgb="FFFFFF99"/>
      </patternFill>
    </fill>
    <fill>
      <patternFill patternType="solid">
        <fgColor rgb="FFFEFF8D"/>
        <bgColor rgb="FFFFFF99"/>
      </patternFill>
    </fill>
    <fill>
      <patternFill patternType="solid">
        <fgColor rgb="FFFEFF8D"/>
        <bgColor rgb="FFF4CCCC"/>
      </patternFill>
    </fill>
    <fill>
      <patternFill patternType="solid">
        <fgColor theme="6" tint="0.79998168889431442"/>
        <bgColor rgb="FFF4CCCC"/>
      </patternFill>
    </fill>
    <fill>
      <patternFill patternType="solid">
        <fgColor theme="6" tint="0.79998168889431442"/>
        <bgColor rgb="FFD9EAD3"/>
      </patternFill>
    </fill>
    <fill>
      <patternFill patternType="solid">
        <fgColor theme="6" tint="0.39997558519241921"/>
        <bgColor rgb="FF000000"/>
      </patternFill>
    </fill>
    <fill>
      <patternFill patternType="solid">
        <fgColor rgb="FFB8CCE4"/>
        <bgColor rgb="FFC7DBF1"/>
      </patternFill>
    </fill>
    <fill>
      <patternFill patternType="solid">
        <fgColor theme="0"/>
        <bgColor rgb="FFC7DBF1"/>
      </patternFill>
    </fill>
    <fill>
      <patternFill patternType="solid">
        <fgColor theme="5" tint="0.79998168889431442"/>
        <bgColor rgb="FFF4CCCC"/>
      </patternFill>
    </fill>
    <fill>
      <patternFill patternType="solid">
        <fgColor theme="5" tint="0.79998168889431442"/>
        <bgColor rgb="FFFFFF99"/>
      </patternFill>
    </fill>
    <fill>
      <patternFill patternType="solid">
        <fgColor theme="5" tint="0.79998168889431442"/>
        <bgColor rgb="FFFF0000"/>
      </patternFill>
    </fill>
    <fill>
      <patternFill patternType="solid">
        <fgColor theme="5" tint="0.79998168889431442"/>
        <bgColor rgb="FFD9EAD3"/>
      </patternFill>
    </fill>
    <fill>
      <patternFill patternType="solid">
        <fgColor theme="6" tint="0.79998168889431442"/>
        <bgColor rgb="FFFF0000"/>
      </patternFill>
    </fill>
    <fill>
      <patternFill patternType="solid">
        <fgColor theme="6"/>
        <bgColor rgb="FFD9EAD3"/>
      </patternFill>
    </fill>
    <fill>
      <patternFill patternType="solid">
        <fgColor theme="6"/>
        <bgColor indexed="64"/>
      </patternFill>
    </fill>
    <fill>
      <patternFill patternType="solid">
        <fgColor theme="6"/>
        <bgColor rgb="FFF4CCCC"/>
      </patternFill>
    </fill>
    <fill>
      <patternFill patternType="solid">
        <fgColor rgb="FFDDD9C4"/>
        <bgColor indexed="64"/>
      </patternFill>
    </fill>
  </fills>
  <borders count="7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medium">
        <color auto="1"/>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theme="0"/>
      </bottom>
      <diagonal/>
    </border>
    <border>
      <left style="medium">
        <color auto="1"/>
      </left>
      <right style="medium">
        <color auto="1"/>
      </right>
      <top style="medium">
        <color theme="0"/>
      </top>
      <bottom style="medium">
        <color theme="0"/>
      </bottom>
      <diagonal/>
    </border>
    <border>
      <left/>
      <right/>
      <top style="double">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right/>
      <top style="medium">
        <color auto="1"/>
      </top>
      <bottom style="thin">
        <color auto="1"/>
      </bottom>
      <diagonal/>
    </border>
    <border>
      <left/>
      <right/>
      <top style="thin">
        <color auto="1"/>
      </top>
      <bottom style="thin">
        <color auto="1"/>
      </bottom>
      <diagonal/>
    </border>
    <border>
      <left style="medium">
        <color auto="1"/>
      </left>
      <right style="medium">
        <color auto="1"/>
      </right>
      <top style="medium">
        <color theme="0"/>
      </top>
      <bottom/>
      <diagonal/>
    </border>
    <border>
      <left/>
      <right/>
      <top/>
      <bottom style="medium">
        <color auto="1"/>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22"/>
      </left>
      <right style="thin">
        <color indexed="22"/>
      </right>
      <top/>
      <bottom/>
      <diagonal/>
    </border>
    <border>
      <left style="thin">
        <color indexed="8"/>
      </left>
      <right style="thin">
        <color indexed="8"/>
      </right>
      <top/>
      <bottom/>
      <diagonal/>
    </border>
    <border>
      <left/>
      <right style="thin">
        <color auto="1"/>
      </right>
      <top/>
      <bottom/>
      <diagonal/>
    </border>
    <border>
      <left/>
      <right style="thin">
        <color indexed="22"/>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diagonal/>
    </border>
    <border>
      <left style="thin">
        <color auto="1"/>
      </left>
      <right/>
      <top style="thin">
        <color auto="1"/>
      </top>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diagonal/>
    </border>
    <border>
      <left/>
      <right style="thin">
        <color auto="1"/>
      </right>
      <top style="thin">
        <color auto="1"/>
      </top>
      <bottom/>
      <diagonal/>
    </border>
    <border>
      <left/>
      <right/>
      <top style="thin">
        <color auto="1"/>
      </top>
      <bottom style="medium">
        <color auto="1"/>
      </bottom>
      <diagonal/>
    </border>
    <border>
      <left style="thin">
        <color auto="1"/>
      </left>
      <right style="medium">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rgb="FF000000"/>
      </top>
      <bottom style="thin">
        <color auto="1"/>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auto="1"/>
      </left>
      <right/>
      <top style="thin">
        <color rgb="FF000000"/>
      </top>
      <bottom style="thin">
        <color auto="1"/>
      </bottom>
      <diagonal/>
    </border>
    <border>
      <left style="thin">
        <color auto="1"/>
      </left>
      <right/>
      <top/>
      <bottom style="thin">
        <color auto="1"/>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rgb="FF000000"/>
      </bottom>
      <diagonal/>
    </border>
    <border>
      <left style="thin">
        <color rgb="FF000000"/>
      </left>
      <right style="thin">
        <color rgb="FF000000"/>
      </right>
      <top style="thin">
        <color rgb="FF000000"/>
      </top>
      <bottom style="thin">
        <color auto="1"/>
      </bottom>
      <diagonal/>
    </border>
    <border>
      <left style="thin">
        <color rgb="FF000000"/>
      </left>
      <right style="thin">
        <color rgb="FF000000"/>
      </right>
      <top style="thin">
        <color auto="1"/>
      </top>
      <bottom style="thin">
        <color auto="1"/>
      </bottom>
      <diagonal/>
    </border>
    <border>
      <left style="thin">
        <color rgb="FF000000"/>
      </left>
      <right style="thin">
        <color rgb="FF000000"/>
      </right>
      <top style="thin">
        <color auto="1"/>
      </top>
      <bottom style="thin">
        <color rgb="FF000000"/>
      </bottom>
      <diagonal/>
    </border>
    <border>
      <left style="medium">
        <color auto="1"/>
      </left>
      <right style="medium">
        <color auto="1"/>
      </right>
      <top style="medium">
        <color rgb="FF000000"/>
      </top>
      <bottom style="medium">
        <color auto="1"/>
      </bottom>
      <diagonal/>
    </border>
    <border>
      <left style="medium">
        <color auto="1"/>
      </left>
      <right style="medium">
        <color auto="1"/>
      </right>
      <top/>
      <bottom style="medium">
        <color auto="1"/>
      </bottom>
      <diagonal/>
    </border>
  </borders>
  <cellStyleXfs count="509">
    <xf numFmtId="0" fontId="0" fillId="0" borderId="0"/>
    <xf numFmtId="0" fontId="5" fillId="0" borderId="0"/>
    <xf numFmtId="0" fontId="8" fillId="0" borderId="0" applyNumberFormat="0" applyFill="0" applyBorder="0" applyAlignment="0" applyProtection="0">
      <alignment vertical="top"/>
      <protection locked="0"/>
    </xf>
    <xf numFmtId="0" fontId="14" fillId="0" borderId="0"/>
    <xf numFmtId="0" fontId="15" fillId="0" borderId="0"/>
    <xf numFmtId="3" fontId="14" fillId="0" borderId="0" applyFill="0" applyBorder="0" applyAlignment="0" applyProtection="0"/>
    <xf numFmtId="3" fontId="15" fillId="0" borderId="0" applyFill="0" applyBorder="0" applyAlignment="0" applyProtection="0"/>
    <xf numFmtId="3" fontId="15" fillId="0" borderId="0" applyFill="0" applyBorder="0" applyAlignment="0" applyProtection="0"/>
    <xf numFmtId="5" fontId="14" fillId="0" borderId="0" applyFill="0" applyBorder="0" applyAlignment="0" applyProtection="0"/>
    <xf numFmtId="5" fontId="15" fillId="0" borderId="0" applyFill="0" applyBorder="0" applyAlignment="0" applyProtection="0"/>
    <xf numFmtId="5" fontId="15" fillId="0" borderId="0" applyFill="0" applyBorder="0" applyAlignment="0" applyProtection="0"/>
    <xf numFmtId="168" fontId="14" fillId="0" borderId="0" applyFill="0" applyBorder="0" applyAlignment="0" applyProtection="0"/>
    <xf numFmtId="168" fontId="15" fillId="0" borderId="0" applyFill="0" applyBorder="0" applyAlignment="0" applyProtection="0"/>
    <xf numFmtId="168" fontId="15" fillId="0" borderId="0" applyFill="0" applyBorder="0" applyAlignment="0" applyProtection="0"/>
    <xf numFmtId="2" fontId="14" fillId="0" borderId="0" applyFill="0" applyBorder="0" applyAlignment="0" applyProtection="0"/>
    <xf numFmtId="2" fontId="15" fillId="0" borderId="0" applyFill="0" applyBorder="0" applyAlignment="0" applyProtection="0"/>
    <xf numFmtId="2" fontId="15" fillId="0" borderId="0" applyFill="0" applyBorder="0" applyAlignment="0" applyProtection="0"/>
    <xf numFmtId="0" fontId="15" fillId="0" borderId="22" applyNumberFormat="0" applyFill="0" applyAlignment="0" applyProtection="0"/>
    <xf numFmtId="0" fontId="15" fillId="0" borderId="22" applyNumberFormat="0" applyFill="0" applyAlignment="0" applyProtection="0"/>
    <xf numFmtId="3" fontId="15" fillId="0" borderId="0" applyFill="0" applyBorder="0" applyAlignment="0" applyProtection="0"/>
    <xf numFmtId="3" fontId="15" fillId="0" borderId="0" applyFill="0" applyBorder="0" applyAlignment="0" applyProtection="0"/>
    <xf numFmtId="5" fontId="15" fillId="0" borderId="0" applyFill="0" applyBorder="0" applyAlignment="0" applyProtection="0"/>
    <xf numFmtId="5" fontId="15" fillId="0" borderId="0" applyFill="0" applyBorder="0" applyAlignment="0" applyProtection="0"/>
    <xf numFmtId="168" fontId="15" fillId="0" borderId="0" applyFill="0" applyBorder="0" applyAlignment="0" applyProtection="0"/>
    <xf numFmtId="168" fontId="15" fillId="0" borderId="0" applyFill="0" applyBorder="0" applyAlignment="0" applyProtection="0"/>
    <xf numFmtId="2" fontId="15" fillId="0" borderId="0" applyFill="0" applyBorder="0" applyAlignment="0" applyProtection="0"/>
    <xf numFmtId="2" fontId="15" fillId="0" borderId="0" applyFill="0" applyBorder="0" applyAlignment="0" applyProtection="0"/>
    <xf numFmtId="0" fontId="15" fillId="0" borderId="22" applyNumberFormat="0" applyFill="0" applyAlignment="0" applyProtection="0"/>
    <xf numFmtId="0" fontId="15" fillId="0" borderId="22" applyNumberFormat="0" applyFill="0" applyAlignment="0" applyProtection="0"/>
    <xf numFmtId="44" fontId="15" fillId="0" borderId="0" applyFont="0" applyFill="0" applyBorder="0" applyAlignment="0" applyProtection="0"/>
    <xf numFmtId="44" fontId="15"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2" fillId="0" borderId="0"/>
    <xf numFmtId="9" fontId="24"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cellStyleXfs>
  <cellXfs count="486">
    <xf numFmtId="0" fontId="0" fillId="0" borderId="0" xfId="0"/>
    <xf numFmtId="0" fontId="1" fillId="3" borderId="1" xfId="0" applyFont="1" applyFill="1" applyBorder="1" applyAlignment="1">
      <alignment horizontal="center" vertical="center" wrapText="1"/>
    </xf>
    <xf numFmtId="0" fontId="0" fillId="0" borderId="0" xfId="0" pivotButton="1" applyAlignment="1">
      <alignment wrapText="1"/>
    </xf>
    <xf numFmtId="0" fontId="0" fillId="0" borderId="0" xfId="0" applyAlignment="1">
      <alignment wrapText="1"/>
    </xf>
    <xf numFmtId="0" fontId="5" fillId="0" borderId="0" xfId="1" applyAlignment="1">
      <alignment vertical="center"/>
    </xf>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9" fillId="0" borderId="3" xfId="1" applyFont="1" applyBorder="1" applyAlignment="1">
      <alignment vertical="center"/>
    </xf>
    <xf numFmtId="0" fontId="5" fillId="15" borderId="0" xfId="1" applyFill="1" applyAlignment="1">
      <alignment vertical="center"/>
    </xf>
    <xf numFmtId="0" fontId="11" fillId="15" borderId="0" xfId="1" applyFont="1" applyFill="1" applyAlignment="1">
      <alignment vertical="center"/>
    </xf>
    <xf numFmtId="0" fontId="11" fillId="0" borderId="0" xfId="0" applyFont="1" applyAlignment="1">
      <alignment vertical="center"/>
    </xf>
    <xf numFmtId="0" fontId="6" fillId="0" borderId="20" xfId="1" applyFont="1" applyBorder="1" applyAlignment="1">
      <alignment vertical="center" wrapText="1"/>
    </xf>
    <xf numFmtId="0" fontId="7" fillId="0" borderId="21" xfId="1" applyFont="1" applyBorder="1" applyAlignment="1">
      <alignment horizontal="center" vertical="center" wrapText="1"/>
    </xf>
    <xf numFmtId="0" fontId="2" fillId="8" borderId="4" xfId="1" applyFont="1" applyFill="1" applyBorder="1" applyAlignment="1">
      <alignment horizontal="center" vertical="center" wrapText="1"/>
    </xf>
    <xf numFmtId="0" fontId="2" fillId="8" borderId="10" xfId="1" applyFont="1" applyFill="1" applyBorder="1" applyAlignment="1">
      <alignment horizontal="center" vertical="center" wrapText="1"/>
    </xf>
    <xf numFmtId="1" fontId="0" fillId="0" borderId="0" xfId="0" applyNumberFormat="1" applyAlignment="1">
      <alignment horizontal="center" vertical="center"/>
    </xf>
    <xf numFmtId="0" fontId="9" fillId="0" borderId="18" xfId="1" applyFont="1" applyBorder="1" applyAlignment="1">
      <alignment vertical="center"/>
    </xf>
    <xf numFmtId="0" fontId="9" fillId="0" borderId="19" xfId="1" applyFont="1" applyBorder="1" applyAlignment="1">
      <alignment vertical="center"/>
    </xf>
    <xf numFmtId="0" fontId="9" fillId="0" borderId="0" xfId="0" applyFont="1" applyAlignment="1">
      <alignment vertical="center"/>
    </xf>
    <xf numFmtId="0" fontId="9" fillId="0" borderId="7" xfId="1" applyFont="1" applyBorder="1" applyAlignment="1">
      <alignment vertical="center"/>
    </xf>
    <xf numFmtId="0" fontId="9" fillId="17" borderId="3" xfId="1" applyFont="1" applyFill="1" applyBorder="1" applyAlignment="1">
      <alignment vertical="center"/>
    </xf>
    <xf numFmtId="0" fontId="9" fillId="18" borderId="7" xfId="1" applyFont="1" applyFill="1" applyBorder="1" applyAlignment="1">
      <alignment vertical="center"/>
    </xf>
    <xf numFmtId="0" fontId="9" fillId="18" borderId="3" xfId="1" applyFont="1" applyFill="1" applyBorder="1" applyAlignment="1">
      <alignment vertical="center"/>
    </xf>
    <xf numFmtId="0" fontId="9" fillId="0" borderId="8" xfId="1" applyFont="1" applyBorder="1" applyAlignment="1">
      <alignment vertical="center"/>
    </xf>
    <xf numFmtId="0" fontId="9" fillId="0" borderId="9" xfId="1" applyFont="1" applyBorder="1" applyAlignment="1">
      <alignment vertical="center"/>
    </xf>
    <xf numFmtId="0" fontId="11" fillId="0" borderId="0" xfId="0" applyFont="1"/>
    <xf numFmtId="0" fontId="0" fillId="0" borderId="0" xfId="0" applyAlignment="1">
      <alignment horizontal="left" vertical="center"/>
    </xf>
    <xf numFmtId="0" fontId="9" fillId="19" borderId="3" xfId="1" applyFont="1" applyFill="1" applyBorder="1" applyAlignment="1">
      <alignment vertical="center"/>
    </xf>
    <xf numFmtId="0" fontId="9" fillId="19" borderId="7" xfId="1" applyFont="1" applyFill="1" applyBorder="1" applyAlignment="1">
      <alignment vertical="center"/>
    </xf>
    <xf numFmtId="0" fontId="23" fillId="0" borderId="29" xfId="159" applyFont="1" applyBorder="1" applyAlignment="1">
      <alignment horizontal="right" wrapText="1"/>
    </xf>
    <xf numFmtId="0" fontId="23" fillId="0" borderId="29" xfId="159" applyFont="1" applyBorder="1" applyAlignment="1">
      <alignment wrapText="1"/>
    </xf>
    <xf numFmtId="2" fontId="23" fillId="21" borderId="30" xfId="159" applyNumberFormat="1" applyFont="1" applyFill="1" applyBorder="1" applyAlignment="1">
      <alignment horizontal="center"/>
    </xf>
    <xf numFmtId="9" fontId="0" fillId="0" borderId="0" xfId="160" applyFont="1" applyAlignment="1"/>
    <xf numFmtId="0" fontId="9" fillId="0" borderId="0" xfId="1" applyFont="1" applyAlignment="1">
      <alignment vertical="center"/>
    </xf>
    <xf numFmtId="0" fontId="9" fillId="18" borderId="0" xfId="1" applyFont="1" applyFill="1" applyAlignment="1">
      <alignment vertical="center"/>
    </xf>
    <xf numFmtId="0" fontId="9" fillId="17" borderId="0" xfId="1" applyFont="1" applyFill="1" applyAlignment="1">
      <alignment vertical="center"/>
    </xf>
    <xf numFmtId="0" fontId="25" fillId="0" borderId="29" xfId="159" applyFont="1" applyBorder="1" applyAlignment="1">
      <alignment wrapText="1"/>
    </xf>
    <xf numFmtId="0" fontId="25" fillId="0" borderId="29" xfId="159" applyFont="1" applyBorder="1" applyAlignment="1">
      <alignment horizontal="right" wrapText="1"/>
    </xf>
    <xf numFmtId="2" fontId="25" fillId="21" borderId="30" xfId="159" applyNumberFormat="1" applyFont="1" applyFill="1" applyBorder="1" applyAlignment="1">
      <alignment horizontal="center"/>
    </xf>
    <xf numFmtId="0" fontId="25" fillId="0" borderId="0" xfId="159" applyFont="1" applyAlignment="1">
      <alignment wrapText="1"/>
    </xf>
    <xf numFmtId="2" fontId="25" fillId="21" borderId="0" xfId="159" applyNumberFormat="1" applyFont="1" applyFill="1" applyAlignment="1">
      <alignment horizontal="center"/>
    </xf>
    <xf numFmtId="0" fontId="25" fillId="0" borderId="31" xfId="159" applyFont="1" applyBorder="1" applyAlignment="1">
      <alignment wrapText="1"/>
    </xf>
    <xf numFmtId="2" fontId="25" fillId="21" borderId="32" xfId="159" applyNumberFormat="1" applyFont="1" applyFill="1" applyBorder="1" applyAlignment="1">
      <alignment horizontal="center"/>
    </xf>
    <xf numFmtId="0" fontId="9" fillId="0" borderId="33" xfId="1" applyFont="1" applyBorder="1" applyAlignment="1">
      <alignment vertical="center"/>
    </xf>
    <xf numFmtId="0" fontId="25" fillId="0" borderId="34" xfId="159" applyFont="1" applyBorder="1" applyAlignment="1">
      <alignment wrapText="1"/>
    </xf>
    <xf numFmtId="0" fontId="9" fillId="0" borderId="19" xfId="1" applyFont="1" applyBorder="1" applyAlignment="1">
      <alignment vertical="center" wrapText="1"/>
    </xf>
    <xf numFmtId="0" fontId="9" fillId="0" borderId="3" xfId="1" applyFont="1" applyBorder="1" applyAlignment="1">
      <alignment vertical="center" wrapText="1"/>
    </xf>
    <xf numFmtId="0" fontId="9" fillId="16" borderId="3" xfId="1" applyFont="1" applyFill="1" applyBorder="1" applyAlignment="1">
      <alignment vertical="center" wrapText="1"/>
    </xf>
    <xf numFmtId="0" fontId="9" fillId="18" borderId="3" xfId="1" applyFont="1" applyFill="1" applyBorder="1" applyAlignment="1">
      <alignment vertical="center" wrapText="1"/>
    </xf>
    <xf numFmtId="0" fontId="5" fillId="0" borderId="3" xfId="1" applyBorder="1" applyAlignment="1">
      <alignment vertical="center" wrapText="1"/>
    </xf>
    <xf numFmtId="0" fontId="9" fillId="0" borderId="3" xfId="1" applyFont="1" applyBorder="1" applyAlignment="1">
      <alignment horizontal="left" vertical="center" wrapText="1"/>
    </xf>
    <xf numFmtId="0" fontId="9" fillId="0" borderId="9" xfId="1" applyFont="1" applyBorder="1" applyAlignment="1">
      <alignment vertical="center" wrapText="1"/>
    </xf>
    <xf numFmtId="0" fontId="5" fillId="0" borderId="0" xfId="1" applyAlignment="1">
      <alignment vertical="center" wrapText="1"/>
    </xf>
    <xf numFmtId="0" fontId="0" fillId="0" borderId="0" xfId="0" applyAlignment="1">
      <alignment vertical="center" wrapText="1"/>
    </xf>
    <xf numFmtId="0" fontId="7" fillId="0" borderId="0" xfId="1" applyFont="1" applyAlignment="1">
      <alignment horizontal="center" vertical="center" wrapText="1"/>
    </xf>
    <xf numFmtId="0" fontId="23" fillId="0" borderId="0" xfId="159" applyFont="1" applyAlignment="1">
      <alignment horizontal="right" wrapText="1"/>
    </xf>
    <xf numFmtId="0" fontId="23" fillId="0" borderId="0" xfId="159" applyFont="1" applyAlignment="1">
      <alignment wrapText="1"/>
    </xf>
    <xf numFmtId="2" fontId="23" fillId="21" borderId="0" xfId="159" applyNumberFormat="1" applyFont="1" applyFill="1" applyAlignment="1">
      <alignment horizontal="center"/>
    </xf>
    <xf numFmtId="9" fontId="5" fillId="0" borderId="0" xfId="160" applyFont="1" applyAlignment="1">
      <alignment vertical="center" wrapText="1"/>
    </xf>
    <xf numFmtId="0" fontId="0" fillId="16" borderId="0" xfId="0" applyFill="1"/>
    <xf numFmtId="0" fontId="9" fillId="19" borderId="0" xfId="1" applyFont="1" applyFill="1" applyAlignment="1">
      <alignment vertical="center" wrapText="1"/>
    </xf>
    <xf numFmtId="0" fontId="0" fillId="19" borderId="0" xfId="0" applyFill="1"/>
    <xf numFmtId="0" fontId="5" fillId="19" borderId="0" xfId="1" applyFill="1" applyAlignment="1">
      <alignment vertical="center" wrapText="1"/>
    </xf>
    <xf numFmtId="0" fontId="9" fillId="19" borderId="0" xfId="1" applyFont="1" applyFill="1" applyAlignment="1">
      <alignment vertical="center"/>
    </xf>
    <xf numFmtId="0" fontId="11" fillId="19" borderId="0" xfId="0" applyFont="1" applyFill="1"/>
    <xf numFmtId="0" fontId="9" fillId="19" borderId="3" xfId="1" applyFont="1" applyFill="1" applyBorder="1" applyAlignment="1">
      <alignment vertical="center" wrapText="1"/>
    </xf>
    <xf numFmtId="0" fontId="5" fillId="19" borderId="0" xfId="1" applyFill="1" applyAlignment="1">
      <alignment horizontal="left" vertical="center" wrapText="1"/>
    </xf>
    <xf numFmtId="0" fontId="9" fillId="19" borderId="0" xfId="1" applyFont="1" applyFill="1" applyAlignment="1">
      <alignment horizontal="left" vertical="center" wrapText="1"/>
    </xf>
    <xf numFmtId="0" fontId="6" fillId="0" borderId="11" xfId="1" applyFont="1" applyBorder="1" applyAlignment="1">
      <alignment vertical="center" wrapText="1"/>
    </xf>
    <xf numFmtId="0" fontId="7" fillId="0" borderId="12" xfId="1" applyFont="1" applyBorder="1" applyAlignment="1">
      <alignment horizontal="center" vertical="center" wrapText="1"/>
    </xf>
    <xf numFmtId="0" fontId="2" fillId="0" borderId="12" xfId="1" applyFont="1" applyBorder="1" applyAlignment="1">
      <alignment horizontal="center" vertical="center" wrapText="1"/>
    </xf>
    <xf numFmtId="0" fontId="0" fillId="22" borderId="0" xfId="0" applyFill="1"/>
    <xf numFmtId="0" fontId="0" fillId="22" borderId="0" xfId="0" applyFill="1" applyAlignment="1">
      <alignment wrapText="1"/>
    </xf>
    <xf numFmtId="0" fontId="0" fillId="23" borderId="0" xfId="0" applyFill="1"/>
    <xf numFmtId="0" fontId="0" fillId="0" borderId="35" xfId="0" applyBorder="1"/>
    <xf numFmtId="0" fontId="1" fillId="7" borderId="50" xfId="1" applyFont="1" applyFill="1" applyBorder="1" applyAlignment="1">
      <alignment horizontal="left" vertical="center"/>
    </xf>
    <xf numFmtId="1" fontId="28" fillId="0" borderId="25" xfId="1" applyNumberFormat="1" applyFont="1" applyBorder="1" applyAlignment="1">
      <alignment horizontal="center" vertical="center"/>
    </xf>
    <xf numFmtId="0" fontId="28" fillId="0" borderId="26" xfId="1" applyFont="1" applyBorder="1" applyAlignment="1">
      <alignment vertical="center"/>
    </xf>
    <xf numFmtId="1" fontId="28" fillId="0" borderId="26" xfId="1" applyNumberFormat="1" applyFont="1" applyBorder="1" applyAlignment="1">
      <alignment horizontal="center" vertical="center"/>
    </xf>
    <xf numFmtId="0" fontId="29" fillId="7" borderId="41" xfId="1" applyFont="1" applyFill="1" applyBorder="1" applyAlignment="1">
      <alignment horizontal="left" vertical="center"/>
    </xf>
    <xf numFmtId="0" fontId="29" fillId="7" borderId="42" xfId="1" applyFont="1" applyFill="1" applyBorder="1" applyAlignment="1">
      <alignment horizontal="left" vertical="center"/>
    </xf>
    <xf numFmtId="0" fontId="28" fillId="0" borderId="41" xfId="1" applyFont="1" applyBorder="1" applyAlignment="1">
      <alignment horizontal="left" vertical="center"/>
    </xf>
    <xf numFmtId="0" fontId="28" fillId="0" borderId="42" xfId="1" applyFont="1" applyBorder="1" applyAlignment="1">
      <alignment horizontal="left" vertical="center"/>
    </xf>
    <xf numFmtId="0" fontId="28" fillId="0" borderId="41" xfId="1" applyFont="1" applyBorder="1" applyAlignment="1">
      <alignment horizontal="center" vertical="center"/>
    </xf>
    <xf numFmtId="0" fontId="28" fillId="0" borderId="42" xfId="1" applyFont="1" applyBorder="1" applyAlignment="1">
      <alignment horizontal="center" vertical="center"/>
    </xf>
    <xf numFmtId="165" fontId="28" fillId="0" borderId="41" xfId="1" applyNumberFormat="1" applyFont="1" applyBorder="1" applyAlignment="1">
      <alignment horizontal="left" vertical="center"/>
    </xf>
    <xf numFmtId="165" fontId="28" fillId="0" borderId="42" xfId="1" applyNumberFormat="1" applyFont="1" applyBorder="1" applyAlignment="1">
      <alignment horizontal="left" vertical="center"/>
    </xf>
    <xf numFmtId="0" fontId="28" fillId="0" borderId="41" xfId="0" applyFont="1" applyBorder="1" applyAlignment="1">
      <alignment horizontal="left" vertical="center"/>
    </xf>
    <xf numFmtId="0" fontId="28" fillId="0" borderId="42" xfId="0" applyFont="1" applyBorder="1" applyAlignment="1">
      <alignment horizontal="left" vertical="center"/>
    </xf>
    <xf numFmtId="1" fontId="28" fillId="19" borderId="26" xfId="1" applyNumberFormat="1" applyFont="1" applyFill="1" applyBorder="1" applyAlignment="1">
      <alignment horizontal="center" vertical="center"/>
    </xf>
    <xf numFmtId="0" fontId="28" fillId="0" borderId="0" xfId="0" applyFont="1" applyAlignment="1">
      <alignment horizontal="left" vertical="center"/>
    </xf>
    <xf numFmtId="0" fontId="28" fillId="0" borderId="41" xfId="0" applyFont="1" applyBorder="1" applyAlignment="1">
      <alignment horizontal="center" vertical="center"/>
    </xf>
    <xf numFmtId="0" fontId="28" fillId="0" borderId="42" xfId="0" applyFont="1" applyBorder="1" applyAlignment="1">
      <alignment horizontal="center" vertical="center"/>
    </xf>
    <xf numFmtId="0" fontId="28" fillId="0" borderId="41" xfId="0" applyFont="1" applyBorder="1"/>
    <xf numFmtId="0" fontId="28" fillId="0" borderId="42" xfId="0" applyFont="1" applyBorder="1"/>
    <xf numFmtId="0" fontId="28" fillId="0" borderId="38" xfId="0" applyFont="1" applyBorder="1" applyAlignment="1">
      <alignment horizontal="left" vertical="center"/>
    </xf>
    <xf numFmtId="0" fontId="28" fillId="0" borderId="40" xfId="0" applyFont="1" applyBorder="1" applyAlignment="1">
      <alignment horizontal="left" vertical="center"/>
    </xf>
    <xf numFmtId="0" fontId="7" fillId="0" borderId="23" xfId="1" applyFont="1" applyBorder="1" applyAlignment="1">
      <alignment horizontal="center" vertical="center"/>
    </xf>
    <xf numFmtId="0" fontId="7" fillId="0" borderId="24" xfId="1" applyFont="1" applyBorder="1" applyAlignment="1">
      <alignment horizontal="center" vertical="center"/>
    </xf>
    <xf numFmtId="0" fontId="7" fillId="0" borderId="0" xfId="1" applyFont="1" applyAlignment="1">
      <alignment horizontal="center" vertical="center"/>
    </xf>
    <xf numFmtId="0" fontId="7" fillId="8" borderId="36" xfId="0" applyFont="1" applyFill="1" applyBorder="1" applyAlignment="1">
      <alignment horizontal="center" vertical="center"/>
    </xf>
    <xf numFmtId="0" fontId="7" fillId="8" borderId="48" xfId="0" applyFont="1" applyFill="1" applyBorder="1" applyAlignment="1">
      <alignment horizontal="center" vertical="center"/>
    </xf>
    <xf numFmtId="0" fontId="7" fillId="9" borderId="37" xfId="1" applyFont="1" applyFill="1" applyBorder="1" applyAlignment="1">
      <alignment horizontal="center" vertical="center"/>
    </xf>
    <xf numFmtId="0" fontId="13" fillId="9" borderId="55" xfId="1" applyFont="1" applyFill="1" applyBorder="1" applyAlignment="1">
      <alignment horizontal="center" vertical="center"/>
    </xf>
    <xf numFmtId="0" fontId="7" fillId="13" borderId="37" xfId="1" applyFont="1" applyFill="1" applyBorder="1" applyAlignment="1">
      <alignment horizontal="center" vertical="center"/>
    </xf>
    <xf numFmtId="0" fontId="13" fillId="13" borderId="55" xfId="1" applyFont="1" applyFill="1" applyBorder="1" applyAlignment="1">
      <alignment horizontal="center" vertical="center"/>
    </xf>
    <xf numFmtId="0" fontId="11" fillId="0" borderId="52" xfId="1" applyFont="1" applyBorder="1" applyAlignment="1">
      <alignment horizontal="left" vertical="center"/>
    </xf>
    <xf numFmtId="0" fontId="11" fillId="0" borderId="51" xfId="1" applyFont="1" applyBorder="1" applyAlignment="1">
      <alignment horizontal="left" vertical="center"/>
    </xf>
    <xf numFmtId="0" fontId="28" fillId="0" borderId="4" xfId="1" applyFont="1" applyBorder="1" applyAlignment="1">
      <alignment vertical="center"/>
    </xf>
    <xf numFmtId="0" fontId="28" fillId="0" borderId="5" xfId="1" applyFont="1" applyBorder="1" applyAlignment="1">
      <alignment vertical="center"/>
    </xf>
    <xf numFmtId="165" fontId="28" fillId="0" borderId="4" xfId="1" applyNumberFormat="1" applyFont="1" applyBorder="1" applyAlignment="1">
      <alignment horizontal="center" vertical="center"/>
    </xf>
    <xf numFmtId="165" fontId="28" fillId="0" borderId="5" xfId="1" applyNumberFormat="1" applyFont="1" applyBorder="1" applyAlignment="1">
      <alignment horizontal="center" vertical="center"/>
    </xf>
    <xf numFmtId="0" fontId="28" fillId="19" borderId="5" xfId="1" applyFont="1" applyFill="1" applyBorder="1" applyAlignment="1">
      <alignment vertical="center" wrapText="1"/>
    </xf>
    <xf numFmtId="0" fontId="28" fillId="0" borderId="41" xfId="1" applyFont="1" applyBorder="1" applyAlignment="1">
      <alignment vertical="center"/>
    </xf>
    <xf numFmtId="0" fontId="28" fillId="0" borderId="35" xfId="1" applyFont="1" applyBorder="1" applyAlignment="1">
      <alignment vertical="center"/>
    </xf>
    <xf numFmtId="0" fontId="28" fillId="19" borderId="35" xfId="0" applyFont="1" applyFill="1" applyBorder="1"/>
    <xf numFmtId="0" fontId="28" fillId="19" borderId="35" xfId="1" applyFont="1" applyFill="1" applyBorder="1" applyAlignment="1">
      <alignment vertical="center" wrapText="1"/>
    </xf>
    <xf numFmtId="1" fontId="29" fillId="11" borderId="41" xfId="1" applyNumberFormat="1" applyFont="1" applyFill="1" applyBorder="1" applyAlignment="1">
      <alignment horizontal="center" vertical="center"/>
    </xf>
    <xf numFmtId="165" fontId="29" fillId="11" borderId="35" xfId="1" applyNumberFormat="1" applyFont="1" applyFill="1" applyBorder="1" applyAlignment="1">
      <alignment horizontal="center" vertical="center"/>
    </xf>
    <xf numFmtId="0" fontId="28" fillId="19" borderId="35" xfId="1" applyFont="1" applyFill="1" applyBorder="1" applyAlignment="1">
      <alignment vertical="center"/>
    </xf>
    <xf numFmtId="0" fontId="28" fillId="18" borderId="41" xfId="1" applyFont="1" applyFill="1" applyBorder="1" applyAlignment="1">
      <alignment vertical="center"/>
    </xf>
    <xf numFmtId="0" fontId="28" fillId="18" borderId="35" xfId="1" applyFont="1" applyFill="1" applyBorder="1" applyAlignment="1">
      <alignment vertical="center"/>
    </xf>
    <xf numFmtId="0" fontId="28" fillId="0" borderId="35" xfId="1" applyFont="1" applyBorder="1" applyAlignment="1">
      <alignment horizontal="left" vertical="center"/>
    </xf>
    <xf numFmtId="0" fontId="28" fillId="19" borderId="35" xfId="1" applyFont="1" applyFill="1" applyBorder="1" applyAlignment="1">
      <alignment horizontal="left" vertical="center" wrapText="1"/>
    </xf>
    <xf numFmtId="1" fontId="29" fillId="12" borderId="41" xfId="1" applyNumberFormat="1" applyFont="1" applyFill="1" applyBorder="1" applyAlignment="1">
      <alignment horizontal="center" vertical="center"/>
    </xf>
    <xf numFmtId="0" fontId="28" fillId="16" borderId="35" xfId="1" applyFont="1" applyFill="1" applyBorder="1" applyAlignment="1">
      <alignment vertical="center"/>
    </xf>
    <xf numFmtId="0" fontId="28" fillId="19" borderId="41" xfId="1" applyFont="1" applyFill="1" applyBorder="1" applyAlignment="1">
      <alignment vertical="center"/>
    </xf>
    <xf numFmtId="0" fontId="28" fillId="0" borderId="38" xfId="1" applyFont="1" applyBorder="1" applyAlignment="1">
      <alignment vertical="center"/>
    </xf>
    <xf numFmtId="0" fontId="28" fillId="0" borderId="39" xfId="1" applyFont="1" applyBorder="1" applyAlignment="1">
      <alignment vertical="center"/>
    </xf>
    <xf numFmtId="0" fontId="28" fillId="0" borderId="54" xfId="1" applyFont="1" applyBorder="1" applyAlignment="1">
      <alignment vertical="center"/>
    </xf>
    <xf numFmtId="0" fontId="28" fillId="19" borderId="39" xfId="0" applyFont="1" applyFill="1" applyBorder="1"/>
    <xf numFmtId="0" fontId="28" fillId="19" borderId="39" xfId="1" applyFont="1" applyFill="1" applyBorder="1" applyAlignment="1">
      <alignment vertical="center" wrapText="1"/>
    </xf>
    <xf numFmtId="1" fontId="28" fillId="0" borderId="54" xfId="1" applyNumberFormat="1" applyFont="1" applyBorder="1" applyAlignment="1">
      <alignment horizontal="center" vertical="center"/>
    </xf>
    <xf numFmtId="0" fontId="19" fillId="0" borderId="52" xfId="1" applyFont="1" applyBorder="1" applyAlignment="1">
      <alignment horizontal="center" vertical="center" wrapText="1"/>
    </xf>
    <xf numFmtId="1" fontId="28" fillId="0" borderId="14" xfId="1" applyNumberFormat="1" applyFont="1" applyBorder="1" applyAlignment="1">
      <alignment horizontal="center" vertical="center"/>
    </xf>
    <xf numFmtId="0" fontId="2" fillId="0" borderId="0" xfId="0" applyFont="1" applyAlignment="1">
      <alignment horizontal="center" vertical="center"/>
    </xf>
    <xf numFmtId="0" fontId="11" fillId="0" borderId="0" xfId="0" applyFont="1" applyAlignment="1">
      <alignment horizontal="center" vertical="center"/>
    </xf>
    <xf numFmtId="0" fontId="6" fillId="0" borderId="52" xfId="1" applyFont="1" applyBorder="1" applyAlignment="1">
      <alignment horizontal="center" vertical="center" wrapText="1"/>
    </xf>
    <xf numFmtId="0" fontId="28" fillId="0" borderId="0" xfId="1" applyFont="1" applyAlignment="1">
      <alignment vertical="center"/>
    </xf>
    <xf numFmtId="0" fontId="28" fillId="0" borderId="57" xfId="1" applyFont="1" applyBorder="1" applyAlignment="1">
      <alignment vertical="center"/>
    </xf>
    <xf numFmtId="0" fontId="28" fillId="8" borderId="35" xfId="1" applyFont="1" applyFill="1" applyBorder="1" applyAlignment="1">
      <alignment vertical="center"/>
    </xf>
    <xf numFmtId="0" fontId="5" fillId="8" borderId="35" xfId="0" applyFont="1" applyFill="1" applyBorder="1" applyAlignment="1">
      <alignment vertical="center"/>
    </xf>
    <xf numFmtId="0" fontId="1" fillId="5" borderId="58" xfId="0" applyFont="1" applyFill="1" applyBorder="1" applyAlignment="1">
      <alignment horizontal="center" vertical="center" wrapText="1"/>
    </xf>
    <xf numFmtId="0" fontId="0" fillId="5" borderId="35" xfId="0" applyFill="1" applyBorder="1" applyAlignment="1">
      <alignment horizontal="left" vertical="top"/>
    </xf>
    <xf numFmtId="0" fontId="1" fillId="6" borderId="58" xfId="0" applyFont="1" applyFill="1" applyBorder="1" applyAlignment="1">
      <alignment horizontal="center" vertical="center" wrapText="1"/>
    </xf>
    <xf numFmtId="0" fontId="0" fillId="6" borderId="35" xfId="0" applyFill="1" applyBorder="1" applyAlignment="1">
      <alignment horizontal="left" vertical="top"/>
    </xf>
    <xf numFmtId="0" fontId="1" fillId="24" borderId="58" xfId="0" applyFont="1" applyFill="1" applyBorder="1" applyAlignment="1">
      <alignment horizontal="center" vertical="center" wrapText="1"/>
    </xf>
    <xf numFmtId="0" fontId="0" fillId="24" borderId="35" xfId="0" applyFill="1" applyBorder="1"/>
    <xf numFmtId="0" fontId="11" fillId="24" borderId="35" xfId="0" applyFont="1" applyFill="1" applyBorder="1"/>
    <xf numFmtId="0" fontId="0" fillId="24" borderId="35" xfId="0" applyFill="1" applyBorder="1" applyAlignment="1">
      <alignment horizontal="left" vertical="top"/>
    </xf>
    <xf numFmtId="0" fontId="0" fillId="8" borderId="35" xfId="0" applyFill="1" applyBorder="1"/>
    <xf numFmtId="0" fontId="1" fillId="2" borderId="58" xfId="0" applyFont="1" applyFill="1" applyBorder="1" applyAlignment="1">
      <alignment horizontal="center" vertical="center" wrapText="1"/>
    </xf>
    <xf numFmtId="0" fontId="1" fillId="25" borderId="58" xfId="0" applyFont="1" applyFill="1" applyBorder="1" applyAlignment="1">
      <alignment horizontal="center" vertical="center" wrapText="1"/>
    </xf>
    <xf numFmtId="0" fontId="2" fillId="2" borderId="35" xfId="0" applyFont="1" applyFill="1" applyBorder="1" applyAlignment="1">
      <alignment horizontal="center" vertical="top"/>
    </xf>
    <xf numFmtId="0" fontId="2" fillId="25" borderId="35" xfId="0" applyFont="1" applyFill="1" applyBorder="1" applyAlignment="1">
      <alignment horizontal="center"/>
    </xf>
    <xf numFmtId="0" fontId="2" fillId="2" borderId="35" xfId="0" applyFont="1" applyFill="1" applyBorder="1" applyAlignment="1">
      <alignment horizontal="center"/>
    </xf>
    <xf numFmtId="0" fontId="0" fillId="26" borderId="35" xfId="0" applyFill="1" applyBorder="1"/>
    <xf numFmtId="0" fontId="1" fillId="29" borderId="58" xfId="0" applyFont="1" applyFill="1" applyBorder="1" applyAlignment="1">
      <alignment vertical="center" wrapText="1"/>
    </xf>
    <xf numFmtId="0" fontId="0" fillId="29" borderId="35" xfId="0" applyFill="1" applyBorder="1" applyAlignment="1">
      <alignment horizontal="right" vertical="top"/>
    </xf>
    <xf numFmtId="0" fontId="0" fillId="29" borderId="35" xfId="0" applyFill="1" applyBorder="1" applyAlignment="1">
      <alignment horizontal="left" vertical="top"/>
    </xf>
    <xf numFmtId="0" fontId="0" fillId="29" borderId="35" xfId="0" applyFill="1" applyBorder="1"/>
    <xf numFmtId="0" fontId="4" fillId="29" borderId="35" xfId="0" applyFont="1" applyFill="1" applyBorder="1"/>
    <xf numFmtId="0" fontId="0" fillId="29" borderId="35" xfId="0" applyFill="1" applyBorder="1" applyAlignment="1">
      <alignment horizontal="right"/>
    </xf>
    <xf numFmtId="0" fontId="0" fillId="29" borderId="35" xfId="0" quotePrefix="1" applyFill="1" applyBorder="1"/>
    <xf numFmtId="0" fontId="0" fillId="30" borderId="35" xfId="0" applyFill="1" applyBorder="1"/>
    <xf numFmtId="0" fontId="0" fillId="0" borderId="28" xfId="0" applyBorder="1"/>
    <xf numFmtId="0" fontId="6" fillId="9" borderId="1" xfId="0" applyFont="1" applyFill="1" applyBorder="1" applyAlignment="1">
      <alignment horizontal="center" vertical="center" wrapText="1"/>
    </xf>
    <xf numFmtId="0" fontId="0" fillId="9" borderId="1" xfId="0" applyFill="1" applyBorder="1" applyAlignment="1">
      <alignment horizontal="left" vertical="top"/>
    </xf>
    <xf numFmtId="0" fontId="0" fillId="9" borderId="35" xfId="0" applyFill="1" applyBorder="1"/>
    <xf numFmtId="0" fontId="0" fillId="9" borderId="1" xfId="0" applyFill="1" applyBorder="1"/>
    <xf numFmtId="0" fontId="0" fillId="9" borderId="1" xfId="0" applyFill="1" applyBorder="1" applyAlignment="1">
      <alignment horizontal="right"/>
    </xf>
    <xf numFmtId="0" fontId="0" fillId="9" borderId="35" xfId="0" applyFill="1" applyBorder="1" applyAlignment="1">
      <alignment horizontal="right"/>
    </xf>
    <xf numFmtId="0" fontId="0" fillId="10" borderId="0" xfId="0" applyFill="1"/>
    <xf numFmtId="0" fontId="0" fillId="9" borderId="62" xfId="0" applyFill="1" applyBorder="1"/>
    <xf numFmtId="0" fontId="0" fillId="10" borderId="35" xfId="0" applyFill="1" applyBorder="1"/>
    <xf numFmtId="0" fontId="0" fillId="9" borderId="56" xfId="0" applyFill="1" applyBorder="1"/>
    <xf numFmtId="0" fontId="0" fillId="9" borderId="0" xfId="0" applyFill="1"/>
    <xf numFmtId="0" fontId="0" fillId="33" borderId="0" xfId="0" applyFill="1" applyAlignment="1">
      <alignment wrapText="1"/>
    </xf>
    <xf numFmtId="0" fontId="0" fillId="34" borderId="0" xfId="0" applyFill="1" applyAlignment="1">
      <alignment wrapText="1"/>
    </xf>
    <xf numFmtId="0" fontId="0" fillId="27" borderId="0" xfId="0" applyFill="1" applyAlignment="1">
      <alignment wrapText="1"/>
    </xf>
    <xf numFmtId="0" fontId="0" fillId="5" borderId="37" xfId="0" applyFill="1" applyBorder="1" applyAlignment="1">
      <alignment horizontal="left" vertical="top"/>
    </xf>
    <xf numFmtId="0" fontId="0" fillId="6" borderId="37" xfId="0" applyFill="1" applyBorder="1" applyAlignment="1">
      <alignment horizontal="left" vertical="top"/>
    </xf>
    <xf numFmtId="0" fontId="0" fillId="9" borderId="66" xfId="0" applyFill="1" applyBorder="1"/>
    <xf numFmtId="0" fontId="0" fillId="5" borderId="19" xfId="0" applyFill="1" applyBorder="1" applyAlignment="1">
      <alignment horizontal="left" vertical="top"/>
    </xf>
    <xf numFmtId="0" fontId="0" fillId="6" borderId="19" xfId="0" applyFill="1" applyBorder="1" applyAlignment="1">
      <alignment horizontal="left" vertical="top"/>
    </xf>
    <xf numFmtId="0" fontId="0" fillId="4" borderId="35" xfId="0" applyFill="1" applyBorder="1"/>
    <xf numFmtId="0" fontId="1" fillId="0" borderId="0" xfId="0" applyFont="1"/>
    <xf numFmtId="0" fontId="28" fillId="27" borderId="26" xfId="1" applyFont="1" applyFill="1" applyBorder="1" applyAlignment="1">
      <alignment vertical="center"/>
    </xf>
    <xf numFmtId="0" fontId="0" fillId="0" borderId="26" xfId="0" applyBorder="1"/>
    <xf numFmtId="165" fontId="29" fillId="12" borderId="35" xfId="1" applyNumberFormat="1" applyFont="1" applyFill="1" applyBorder="1" applyAlignment="1">
      <alignment horizontal="center" vertical="center"/>
    </xf>
    <xf numFmtId="1" fontId="29" fillId="12" borderId="35" xfId="1" applyNumberFormat="1" applyFont="1" applyFill="1" applyBorder="1" applyAlignment="1">
      <alignment horizontal="center" vertical="center"/>
    </xf>
    <xf numFmtId="165" fontId="29" fillId="12" borderId="41" xfId="1" applyNumberFormat="1" applyFont="1" applyFill="1" applyBorder="1" applyAlignment="1">
      <alignment horizontal="center" vertical="center"/>
    </xf>
    <xf numFmtId="0" fontId="28" fillId="0" borderId="35" xfId="0" applyFont="1" applyBorder="1"/>
    <xf numFmtId="0" fontId="28" fillId="0" borderId="35" xfId="1" applyFont="1" applyBorder="1" applyAlignment="1">
      <alignment vertical="center" wrapText="1"/>
    </xf>
    <xf numFmtId="0" fontId="28" fillId="16" borderId="26" xfId="1" applyFont="1" applyFill="1" applyBorder="1" applyAlignment="1">
      <alignment vertical="center"/>
    </xf>
    <xf numFmtId="0" fontId="28" fillId="19" borderId="26" xfId="1" applyFont="1" applyFill="1" applyBorder="1" applyAlignment="1">
      <alignment vertical="center"/>
    </xf>
    <xf numFmtId="0" fontId="2" fillId="26" borderId="35" xfId="0" applyFont="1" applyFill="1" applyBorder="1" applyAlignment="1">
      <alignment horizontal="center"/>
    </xf>
    <xf numFmtId="165" fontId="28" fillId="27" borderId="4" xfId="1" applyNumberFormat="1" applyFont="1" applyFill="1" applyBorder="1" applyAlignment="1">
      <alignment horizontal="center" vertical="center"/>
    </xf>
    <xf numFmtId="165" fontId="28" fillId="27" borderId="5" xfId="1" applyNumberFormat="1" applyFont="1" applyFill="1" applyBorder="1" applyAlignment="1">
      <alignment horizontal="center" vertical="center"/>
    </xf>
    <xf numFmtId="0" fontId="4" fillId="24" borderId="35" xfId="0" applyFont="1" applyFill="1" applyBorder="1"/>
    <xf numFmtId="0" fontId="29" fillId="0" borderId="26" xfId="1" applyFont="1" applyBorder="1" applyAlignment="1">
      <alignment vertical="center"/>
    </xf>
    <xf numFmtId="0" fontId="28" fillId="19" borderId="5" xfId="0" applyFont="1" applyFill="1" applyBorder="1"/>
    <xf numFmtId="0" fontId="28" fillId="0" borderId="4" xfId="0" applyFont="1" applyBorder="1" applyAlignment="1">
      <alignment horizontal="left" vertical="center"/>
    </xf>
    <xf numFmtId="0" fontId="9" fillId="0" borderId="41" xfId="0" applyFont="1" applyBorder="1" applyAlignment="1">
      <alignment vertical="center"/>
    </xf>
    <xf numFmtId="0" fontId="28" fillId="0" borderId="6" xfId="0" applyFont="1" applyBorder="1" applyAlignment="1">
      <alignment horizontal="left" vertical="center"/>
    </xf>
    <xf numFmtId="0" fontId="9" fillId="0" borderId="42" xfId="0" applyFont="1" applyBorder="1" applyAlignment="1">
      <alignment vertical="center"/>
    </xf>
    <xf numFmtId="0" fontId="2" fillId="9" borderId="36" xfId="1" applyFont="1" applyFill="1" applyBorder="1" applyAlignment="1">
      <alignment horizontal="center" vertical="center" wrapText="1"/>
    </xf>
    <xf numFmtId="0" fontId="2" fillId="13" borderId="36" xfId="1" applyFont="1" applyFill="1" applyBorder="1" applyAlignment="1">
      <alignment horizontal="center" vertical="center" wrapText="1"/>
    </xf>
    <xf numFmtId="0" fontId="2" fillId="10" borderId="35" xfId="0" applyFont="1" applyFill="1" applyBorder="1" applyAlignment="1">
      <alignment vertical="center"/>
    </xf>
    <xf numFmtId="0" fontId="2" fillId="14" borderId="35" xfId="0" applyFont="1" applyFill="1" applyBorder="1" applyAlignment="1">
      <alignment vertical="center"/>
    </xf>
    <xf numFmtId="0" fontId="9" fillId="10" borderId="35" xfId="0" applyFont="1" applyFill="1" applyBorder="1" applyAlignment="1">
      <alignment vertical="center"/>
    </xf>
    <xf numFmtId="0" fontId="9" fillId="14" borderId="35" xfId="0" applyFont="1" applyFill="1" applyBorder="1" applyAlignment="1">
      <alignment vertical="center"/>
    </xf>
    <xf numFmtId="0" fontId="5" fillId="10" borderId="35" xfId="0" applyFont="1" applyFill="1" applyBorder="1" applyAlignment="1">
      <alignment vertical="center"/>
    </xf>
    <xf numFmtId="0" fontId="0" fillId="10" borderId="35" xfId="0" applyFill="1" applyBorder="1" applyAlignment="1">
      <alignment vertical="center"/>
    </xf>
    <xf numFmtId="0" fontId="0" fillId="14" borderId="35" xfId="0" applyFill="1" applyBorder="1" applyAlignment="1">
      <alignment vertical="center"/>
    </xf>
    <xf numFmtId="0" fontId="2" fillId="10" borderId="35" xfId="0" applyFont="1" applyFill="1" applyBorder="1" applyAlignment="1">
      <alignment vertical="center" wrapText="1"/>
    </xf>
    <xf numFmtId="0" fontId="2" fillId="10" borderId="35" xfId="0" applyFont="1" applyFill="1" applyBorder="1" applyAlignment="1">
      <alignment horizontal="center" vertical="center" wrapText="1"/>
    </xf>
    <xf numFmtId="0" fontId="2" fillId="14" borderId="35" xfId="0" applyFont="1" applyFill="1" applyBorder="1" applyAlignment="1">
      <alignment vertical="center" wrapText="1"/>
    </xf>
    <xf numFmtId="0" fontId="5" fillId="14" borderId="35" xfId="0" applyFont="1" applyFill="1" applyBorder="1" applyAlignment="1">
      <alignment vertical="center"/>
    </xf>
    <xf numFmtId="0" fontId="0" fillId="14" borderId="0" xfId="0" applyFill="1"/>
    <xf numFmtId="0" fontId="5" fillId="16" borderId="35" xfId="0" applyFont="1" applyFill="1" applyBorder="1" applyAlignment="1">
      <alignment vertical="center"/>
    </xf>
    <xf numFmtId="0" fontId="2" fillId="14" borderId="35" xfId="0" applyFont="1" applyFill="1" applyBorder="1" applyAlignment="1">
      <alignment horizontal="center" vertical="center" wrapText="1"/>
    </xf>
    <xf numFmtId="0" fontId="5" fillId="27" borderId="35" xfId="0" applyFont="1" applyFill="1" applyBorder="1" applyAlignment="1">
      <alignment vertical="center"/>
    </xf>
    <xf numFmtId="0" fontId="2" fillId="2" borderId="19" xfId="0" applyFont="1" applyFill="1" applyBorder="1" applyAlignment="1">
      <alignment horizontal="center" vertical="top"/>
    </xf>
    <xf numFmtId="166" fontId="0" fillId="9" borderId="35" xfId="0" applyNumberFormat="1" applyFill="1" applyBorder="1"/>
    <xf numFmtId="0" fontId="0" fillId="37" borderId="41" xfId="0" applyFill="1" applyBorder="1" applyAlignment="1">
      <alignment horizontal="left" vertical="top"/>
    </xf>
    <xf numFmtId="0" fontId="0" fillId="37" borderId="41" xfId="0" applyFill="1" applyBorder="1"/>
    <xf numFmtId="0" fontId="0" fillId="37" borderId="41" xfId="0" applyFill="1" applyBorder="1" applyAlignment="1">
      <alignment horizontal="right"/>
    </xf>
    <xf numFmtId="0" fontId="0" fillId="9" borderId="19" xfId="0" applyFill="1" applyBorder="1"/>
    <xf numFmtId="11" fontId="0" fillId="9" borderId="35" xfId="0" applyNumberFormat="1" applyFill="1" applyBorder="1"/>
    <xf numFmtId="0" fontId="0" fillId="32" borderId="1" xfId="0" applyFill="1" applyBorder="1"/>
    <xf numFmtId="0" fontId="0" fillId="37" borderId="42" xfId="0" applyFill="1" applyBorder="1" applyAlignment="1">
      <alignment horizontal="left" vertical="top"/>
    </xf>
    <xf numFmtId="0" fontId="0" fillId="37" borderId="42" xfId="0" applyFill="1" applyBorder="1"/>
    <xf numFmtId="0" fontId="0" fillId="37" borderId="42" xfId="0" applyFill="1" applyBorder="1" applyAlignment="1">
      <alignment horizontal="right"/>
    </xf>
    <xf numFmtId="166" fontId="0" fillId="9" borderId="56" xfId="0" applyNumberFormat="1" applyFill="1" applyBorder="1"/>
    <xf numFmtId="0" fontId="0" fillId="26" borderId="41" xfId="0" applyFill="1" applyBorder="1" applyAlignment="1">
      <alignment horizontal="right"/>
    </xf>
    <xf numFmtId="0" fontId="0" fillId="37" borderId="36" xfId="0" applyFill="1" applyBorder="1"/>
    <xf numFmtId="0" fontId="0" fillId="37" borderId="55" xfId="0" applyFill="1" applyBorder="1"/>
    <xf numFmtId="0" fontId="5" fillId="8" borderId="35" xfId="0" applyFont="1" applyFill="1" applyBorder="1"/>
    <xf numFmtId="0" fontId="5" fillId="38" borderId="35" xfId="0" applyFont="1" applyFill="1" applyBorder="1"/>
    <xf numFmtId="0" fontId="0" fillId="38" borderId="35" xfId="0" applyFill="1" applyBorder="1"/>
    <xf numFmtId="0" fontId="0" fillId="37" borderId="35" xfId="0" applyFill="1" applyBorder="1"/>
    <xf numFmtId="0" fontId="0" fillId="39" borderId="35" xfId="0" applyFill="1" applyBorder="1"/>
    <xf numFmtId="0" fontId="0" fillId="37" borderId="56" xfId="0" applyFill="1" applyBorder="1"/>
    <xf numFmtId="0" fontId="0" fillId="41" borderId="35" xfId="0" applyFill="1" applyBorder="1"/>
    <xf numFmtId="0" fontId="5" fillId="41" borderId="35" xfId="0" applyFont="1" applyFill="1" applyBorder="1"/>
    <xf numFmtId="0" fontId="2" fillId="25" borderId="35" xfId="0" applyFont="1" applyFill="1" applyBorder="1" applyAlignment="1">
      <alignment horizontal="center" vertical="top"/>
    </xf>
    <xf numFmtId="0" fontId="0" fillId="8" borderId="35" xfId="0" applyFill="1" applyBorder="1" applyAlignment="1">
      <alignment horizontal="left"/>
    </xf>
    <xf numFmtId="0" fontId="0" fillId="24" borderId="35" xfId="0" applyFill="1" applyBorder="1" applyAlignment="1">
      <alignment horizontal="left"/>
    </xf>
    <xf numFmtId="0" fontId="0" fillId="28" borderId="35" xfId="0" applyFill="1" applyBorder="1"/>
    <xf numFmtId="0" fontId="33" fillId="8" borderId="35" xfId="0" applyFont="1" applyFill="1" applyBorder="1" applyAlignment="1">
      <alignment horizontal="center" vertical="top" wrapText="1"/>
    </xf>
    <xf numFmtId="0" fontId="33" fillId="8" borderId="35" xfId="0" applyFont="1" applyFill="1" applyBorder="1" applyAlignment="1">
      <alignment horizontal="left" vertical="top" wrapText="1"/>
    </xf>
    <xf numFmtId="0" fontId="5" fillId="24" borderId="35" xfId="0" applyFont="1" applyFill="1" applyBorder="1"/>
    <xf numFmtId="0" fontId="20" fillId="24" borderId="35" xfId="0" applyFont="1" applyFill="1" applyBorder="1"/>
    <xf numFmtId="0" fontId="5" fillId="8" borderId="35" xfId="1" applyFill="1" applyBorder="1"/>
    <xf numFmtId="0" fontId="30" fillId="30" borderId="35" xfId="0" applyFont="1" applyFill="1" applyBorder="1"/>
    <xf numFmtId="0" fontId="5" fillId="30" borderId="35" xfId="0" applyFont="1" applyFill="1" applyBorder="1"/>
    <xf numFmtId="0" fontId="0" fillId="31" borderId="35" xfId="0" applyFill="1" applyBorder="1"/>
    <xf numFmtId="0" fontId="5" fillId="29" borderId="35" xfId="0" applyFont="1" applyFill="1" applyBorder="1"/>
    <xf numFmtId="0" fontId="1" fillId="4" borderId="58" xfId="0" applyFont="1" applyFill="1" applyBorder="1" applyAlignment="1">
      <alignment vertical="center" wrapText="1"/>
    </xf>
    <xf numFmtId="0" fontId="1" fillId="4" borderId="58" xfId="0" applyFont="1" applyFill="1" applyBorder="1" applyAlignment="1">
      <alignment horizontal="center" vertical="center" wrapText="1"/>
    </xf>
    <xf numFmtId="0" fontId="0" fillId="4" borderId="35" xfId="0" applyFill="1" applyBorder="1" applyAlignment="1">
      <alignment horizontal="left" vertical="top"/>
    </xf>
    <xf numFmtId="0" fontId="4" fillId="4" borderId="35" xfId="0" applyFont="1" applyFill="1" applyBorder="1"/>
    <xf numFmtId="0" fontId="0" fillId="42" borderId="35" xfId="0" applyFill="1" applyBorder="1"/>
    <xf numFmtId="0" fontId="0" fillId="43" borderId="35" xfId="0" applyFill="1" applyBorder="1"/>
    <xf numFmtId="0" fontId="0" fillId="44" borderId="35" xfId="0" applyFill="1" applyBorder="1"/>
    <xf numFmtId="0" fontId="5" fillId="4" borderId="35" xfId="0" applyFont="1" applyFill="1" applyBorder="1"/>
    <xf numFmtId="0" fontId="0" fillId="45" borderId="35" xfId="0" applyFill="1" applyBorder="1"/>
    <xf numFmtId="0" fontId="1" fillId="45" borderId="58" xfId="0" applyFont="1" applyFill="1" applyBorder="1" applyAlignment="1">
      <alignment horizontal="center" vertical="center" wrapText="1"/>
    </xf>
    <xf numFmtId="0" fontId="0" fillId="45" borderId="35" xfId="0" applyFill="1" applyBorder="1" applyAlignment="1">
      <alignment horizontal="left" vertical="top"/>
    </xf>
    <xf numFmtId="0" fontId="0" fillId="20" borderId="35" xfId="0" applyFill="1" applyBorder="1"/>
    <xf numFmtId="0" fontId="4" fillId="20" borderId="35" xfId="0" applyFont="1" applyFill="1" applyBorder="1"/>
    <xf numFmtId="0" fontId="0" fillId="46" borderId="35" xfId="0" applyFill="1" applyBorder="1"/>
    <xf numFmtId="0" fontId="5" fillId="45" borderId="35" xfId="0" applyFont="1" applyFill="1" applyBorder="1"/>
    <xf numFmtId="0" fontId="0" fillId="40" borderId="35" xfId="0" applyFill="1" applyBorder="1"/>
    <xf numFmtId="0" fontId="0" fillId="12" borderId="35" xfId="0" applyFill="1" applyBorder="1"/>
    <xf numFmtId="0" fontId="0" fillId="47" borderId="1" xfId="0" applyFill="1" applyBorder="1"/>
    <xf numFmtId="0" fontId="0" fillId="48" borderId="35" xfId="0" applyFill="1" applyBorder="1"/>
    <xf numFmtId="2" fontId="0" fillId="12" borderId="35" xfId="0" applyNumberFormat="1" applyFill="1" applyBorder="1"/>
    <xf numFmtId="0" fontId="0" fillId="12" borderId="0" xfId="0" applyFill="1"/>
    <xf numFmtId="11" fontId="0" fillId="12" borderId="35" xfId="0" applyNumberFormat="1" applyFill="1" applyBorder="1" applyAlignment="1">
      <alignment horizontal="left"/>
    </xf>
    <xf numFmtId="11" fontId="0" fillId="12" borderId="35" xfId="0" applyNumberFormat="1" applyFill="1" applyBorder="1"/>
    <xf numFmtId="11" fontId="30" fillId="12" borderId="35" xfId="0" applyNumberFormat="1" applyFont="1" applyFill="1" applyBorder="1"/>
    <xf numFmtId="164" fontId="0" fillId="12" borderId="35" xfId="0" applyNumberFormat="1" applyFill="1" applyBorder="1"/>
    <xf numFmtId="0" fontId="28" fillId="12" borderId="35" xfId="0" applyFont="1" applyFill="1" applyBorder="1" applyAlignment="1">
      <alignment horizontal="left" vertical="center"/>
    </xf>
    <xf numFmtId="169" fontId="0" fillId="12" borderId="35" xfId="0" applyNumberFormat="1" applyFill="1" applyBorder="1"/>
    <xf numFmtId="0" fontId="0" fillId="10" borderId="56" xfId="0" applyFill="1" applyBorder="1"/>
    <xf numFmtId="2" fontId="0" fillId="10" borderId="56" xfId="0" applyNumberFormat="1" applyFill="1" applyBorder="1"/>
    <xf numFmtId="0" fontId="0" fillId="10" borderId="59" xfId="0" applyFill="1" applyBorder="1"/>
    <xf numFmtId="0" fontId="5" fillId="49" borderId="35" xfId="0" applyFont="1" applyFill="1" applyBorder="1" applyAlignment="1">
      <alignment vertical="center"/>
    </xf>
    <xf numFmtId="0" fontId="0" fillId="50" borderId="35" xfId="0" applyFill="1" applyBorder="1"/>
    <xf numFmtId="0" fontId="0" fillId="10" borderId="1" xfId="0" applyFill="1" applyBorder="1"/>
    <xf numFmtId="0" fontId="0" fillId="12" borderId="41" xfId="0" applyFill="1" applyBorder="1"/>
    <xf numFmtId="0" fontId="0" fillId="48" borderId="41" xfId="0" applyFill="1" applyBorder="1"/>
    <xf numFmtId="0" fontId="2" fillId="0" borderId="24" xfId="1" applyFont="1" applyBorder="1" applyAlignment="1">
      <alignment horizontal="center" vertical="center" wrapText="1"/>
    </xf>
    <xf numFmtId="0" fontId="28" fillId="0" borderId="5" xfId="1" applyFont="1" applyBorder="1" applyAlignment="1">
      <alignment vertical="center" wrapText="1"/>
    </xf>
    <xf numFmtId="0" fontId="2" fillId="0" borderId="27" xfId="1" applyFont="1" applyBorder="1" applyAlignment="1">
      <alignment horizontal="center" vertical="center" wrapText="1"/>
    </xf>
    <xf numFmtId="0" fontId="1" fillId="51" borderId="0" xfId="0" applyFont="1" applyFill="1" applyAlignment="1">
      <alignment horizontal="center" vertical="center" wrapText="1"/>
    </xf>
    <xf numFmtId="0" fontId="8" fillId="0" borderId="0" xfId="2" applyAlignment="1" applyProtection="1"/>
    <xf numFmtId="0" fontId="34" fillId="0" borderId="0" xfId="0" applyFont="1"/>
    <xf numFmtId="1" fontId="6" fillId="0" borderId="72" xfId="1" applyNumberFormat="1" applyFont="1" applyBorder="1" applyAlignment="1">
      <alignment vertical="center" wrapText="1"/>
    </xf>
    <xf numFmtId="0" fontId="6" fillId="52" borderId="60" xfId="0" applyFont="1" applyFill="1" applyBorder="1" applyAlignment="1">
      <alignment horizontal="center" vertical="center" wrapText="1"/>
    </xf>
    <xf numFmtId="0" fontId="0" fillId="52" borderId="1" xfId="0" applyFill="1" applyBorder="1"/>
    <xf numFmtId="0" fontId="0" fillId="52" borderId="1" xfId="0" applyFill="1" applyBorder="1" applyAlignment="1">
      <alignment horizontal="right"/>
    </xf>
    <xf numFmtId="0" fontId="0" fillId="11" borderId="1" xfId="0" applyFill="1" applyBorder="1"/>
    <xf numFmtId="0" fontId="0" fillId="52" borderId="1" xfId="0" applyFill="1" applyBorder="1" applyAlignment="1">
      <alignment horizontal="left" vertical="top"/>
    </xf>
    <xf numFmtId="166" fontId="0" fillId="52" borderId="35" xfId="0" applyNumberFormat="1" applyFill="1" applyBorder="1"/>
    <xf numFmtId="0" fontId="0" fillId="11" borderId="0" xfId="0" applyFill="1"/>
    <xf numFmtId="0" fontId="0" fillId="52" borderId="66" xfId="0" applyFill="1" applyBorder="1"/>
    <xf numFmtId="0" fontId="0" fillId="52" borderId="35" xfId="0" applyFill="1" applyBorder="1"/>
    <xf numFmtId="0" fontId="0" fillId="52" borderId="62" xfId="0" applyFill="1" applyBorder="1"/>
    <xf numFmtId="0" fontId="0" fillId="11" borderId="58" xfId="0" applyFill="1" applyBorder="1"/>
    <xf numFmtId="0" fontId="0" fillId="11" borderId="35" xfId="0" applyFill="1" applyBorder="1"/>
    <xf numFmtId="2" fontId="0" fillId="11" borderId="35" xfId="0" applyNumberFormat="1" applyFill="1" applyBorder="1"/>
    <xf numFmtId="11" fontId="30" fillId="11" borderId="35" xfId="0" applyNumberFormat="1" applyFont="1" applyFill="1" applyBorder="1"/>
    <xf numFmtId="167" fontId="0" fillId="11" borderId="35" xfId="0" applyNumberFormat="1" applyFill="1" applyBorder="1"/>
    <xf numFmtId="0" fontId="28" fillId="11" borderId="35" xfId="0" applyFont="1" applyFill="1" applyBorder="1" applyAlignment="1">
      <alignment horizontal="left" vertical="center"/>
    </xf>
    <xf numFmtId="0" fontId="0" fillId="52" borderId="2" xfId="0" applyFill="1" applyBorder="1"/>
    <xf numFmtId="0" fontId="0" fillId="52" borderId="70" xfId="0" applyFill="1" applyBorder="1"/>
    <xf numFmtId="0" fontId="0" fillId="52" borderId="65" xfId="0" applyFill="1" applyBorder="1"/>
    <xf numFmtId="0" fontId="0" fillId="53" borderId="66" xfId="0" applyFill="1" applyBorder="1"/>
    <xf numFmtId="0" fontId="0" fillId="11" borderId="43" xfId="0" applyFill="1" applyBorder="1"/>
    <xf numFmtId="0" fontId="0" fillId="11" borderId="35" xfId="0" applyFill="1" applyBorder="1" applyAlignment="1">
      <alignment horizontal="right"/>
    </xf>
    <xf numFmtId="0" fontId="1" fillId="52" borderId="58" xfId="0" applyFont="1" applyFill="1" applyBorder="1" applyAlignment="1">
      <alignment horizontal="center" vertical="center" wrapText="1"/>
    </xf>
    <xf numFmtId="0" fontId="1" fillId="11" borderId="58" xfId="0" applyFont="1" applyFill="1" applyBorder="1" applyAlignment="1">
      <alignment horizontal="center" vertical="center" wrapText="1"/>
    </xf>
    <xf numFmtId="0" fontId="0" fillId="52" borderId="35" xfId="0" applyFill="1" applyBorder="1" applyAlignment="1">
      <alignment horizontal="left" vertical="top"/>
    </xf>
    <xf numFmtId="0" fontId="0" fillId="11" borderId="35" xfId="0" applyFill="1" applyBorder="1" applyAlignment="1">
      <alignment horizontal="left" vertical="top"/>
    </xf>
    <xf numFmtId="0" fontId="26" fillId="11" borderId="35" xfId="0" applyFont="1" applyFill="1" applyBorder="1" applyAlignment="1">
      <alignment horizontal="left"/>
    </xf>
    <xf numFmtId="0" fontId="26" fillId="11" borderId="35" xfId="0" applyFont="1" applyFill="1" applyBorder="1"/>
    <xf numFmtId="0" fontId="26" fillId="11" borderId="45" xfId="0" applyFont="1" applyFill="1" applyBorder="1"/>
    <xf numFmtId="0" fontId="11" fillId="11" borderId="35" xfId="0" applyFont="1" applyFill="1" applyBorder="1"/>
    <xf numFmtId="0" fontId="0" fillId="54" borderId="35" xfId="0" applyFill="1" applyBorder="1"/>
    <xf numFmtId="0" fontId="0" fillId="52" borderId="39" xfId="0" applyFill="1" applyBorder="1"/>
    <xf numFmtId="0" fontId="0" fillId="11" borderId="19" xfId="0" applyFill="1" applyBorder="1"/>
    <xf numFmtId="0" fontId="0" fillId="52" borderId="19" xfId="0" applyFill="1" applyBorder="1"/>
    <xf numFmtId="0" fontId="0" fillId="52" borderId="37" xfId="0" applyFill="1" applyBorder="1"/>
    <xf numFmtId="2" fontId="0" fillId="11" borderId="43" xfId="0" applyNumberFormat="1" applyFill="1" applyBorder="1"/>
    <xf numFmtId="11" fontId="30" fillId="11" borderId="43" xfId="0" applyNumberFormat="1" applyFont="1" applyFill="1" applyBorder="1"/>
    <xf numFmtId="167" fontId="0" fillId="11" borderId="43" xfId="0" applyNumberFormat="1" applyFill="1" applyBorder="1"/>
    <xf numFmtId="11" fontId="30" fillId="11" borderId="0" xfId="0" applyNumberFormat="1" applyFont="1" applyFill="1"/>
    <xf numFmtId="166" fontId="0" fillId="11" borderId="43" xfId="0" applyNumberFormat="1" applyFill="1" applyBorder="1"/>
    <xf numFmtId="0" fontId="0" fillId="55" borderId="35" xfId="0" applyFill="1" applyBorder="1"/>
    <xf numFmtId="0" fontId="0" fillId="11" borderId="45" xfId="0" applyFill="1" applyBorder="1"/>
    <xf numFmtId="0" fontId="26" fillId="11" borderId="45" xfId="0" applyFont="1" applyFill="1" applyBorder="1" applyAlignment="1">
      <alignment horizontal="left"/>
    </xf>
    <xf numFmtId="0" fontId="0" fillId="11" borderId="45" xfId="0" applyFill="1" applyBorder="1" applyAlignment="1">
      <alignment horizontal="right"/>
    </xf>
    <xf numFmtId="0" fontId="0" fillId="11" borderId="47" xfId="0" applyFill="1" applyBorder="1"/>
    <xf numFmtId="0" fontId="5" fillId="11" borderId="47" xfId="0" applyFont="1" applyFill="1" applyBorder="1"/>
    <xf numFmtId="0" fontId="5" fillId="11" borderId="35" xfId="0" applyFont="1" applyFill="1" applyBorder="1"/>
    <xf numFmtId="0" fontId="6" fillId="48" borderId="4" xfId="0" applyFont="1" applyFill="1" applyBorder="1" applyAlignment="1">
      <alignment horizontal="center" vertical="center" wrapText="1"/>
    </xf>
    <xf numFmtId="0" fontId="0" fillId="48" borderId="41" xfId="0" applyFill="1" applyBorder="1" applyAlignment="1">
      <alignment horizontal="right"/>
    </xf>
    <xf numFmtId="0" fontId="0" fillId="48" borderId="41" xfId="0" applyFill="1" applyBorder="1" applyAlignment="1">
      <alignment horizontal="left" vertical="top"/>
    </xf>
    <xf numFmtId="0" fontId="5" fillId="48" borderId="41" xfId="0" applyFont="1" applyFill="1" applyBorder="1"/>
    <xf numFmtId="165" fontId="0" fillId="48" borderId="35" xfId="0" applyNumberFormat="1" applyFill="1" applyBorder="1"/>
    <xf numFmtId="0" fontId="0" fillId="48" borderId="36" xfId="0" applyFill="1" applyBorder="1"/>
    <xf numFmtId="0" fontId="0" fillId="48" borderId="18" xfId="0" applyFill="1" applyBorder="1"/>
    <xf numFmtId="0" fontId="0" fillId="48" borderId="35" xfId="0" applyFill="1" applyBorder="1" applyAlignment="1">
      <alignment horizontal="right"/>
    </xf>
    <xf numFmtId="0" fontId="0" fillId="48" borderId="56" xfId="0" applyFill="1" applyBorder="1"/>
    <xf numFmtId="0" fontId="5" fillId="48" borderId="56" xfId="0" applyFont="1" applyFill="1" applyBorder="1"/>
    <xf numFmtId="0" fontId="0" fillId="48" borderId="26" xfId="0" applyFill="1" applyBorder="1"/>
    <xf numFmtId="0" fontId="0" fillId="48" borderId="15" xfId="0" applyFill="1" applyBorder="1"/>
    <xf numFmtId="0" fontId="1" fillId="48" borderId="58" xfId="0" applyFont="1" applyFill="1" applyBorder="1" applyAlignment="1">
      <alignment horizontal="center" vertical="center" wrapText="1"/>
    </xf>
    <xf numFmtId="0" fontId="1" fillId="48" borderId="63" xfId="0" applyFont="1" applyFill="1" applyBorder="1" applyAlignment="1">
      <alignment horizontal="center" vertical="center" wrapText="1"/>
    </xf>
    <xf numFmtId="0" fontId="0" fillId="48" borderId="35" xfId="0" applyFill="1" applyBorder="1" applyAlignment="1">
      <alignment horizontal="left" vertical="top"/>
    </xf>
    <xf numFmtId="0" fontId="0" fillId="48" borderId="43" xfId="0" applyFill="1" applyBorder="1" applyAlignment="1">
      <alignment horizontal="left" vertical="top"/>
    </xf>
    <xf numFmtId="0" fontId="0" fillId="48" borderId="43" xfId="0" applyFill="1" applyBorder="1"/>
    <xf numFmtId="0" fontId="0" fillId="12" borderId="43" xfId="0" applyFill="1" applyBorder="1"/>
    <xf numFmtId="0" fontId="0" fillId="56" borderId="35" xfId="0" applyFill="1" applyBorder="1"/>
    <xf numFmtId="0" fontId="0" fillId="48" borderId="43" xfId="0" applyFill="1" applyBorder="1" applyAlignment="1">
      <alignment horizontal="left"/>
    </xf>
    <xf numFmtId="9" fontId="0" fillId="48" borderId="35" xfId="0" applyNumberFormat="1" applyFill="1" applyBorder="1"/>
    <xf numFmtId="0" fontId="0" fillId="48" borderId="39" xfId="0" applyFill="1" applyBorder="1"/>
    <xf numFmtId="0" fontId="0" fillId="48" borderId="44" xfId="0" applyFill="1" applyBorder="1"/>
    <xf numFmtId="0" fontId="0" fillId="48" borderId="19" xfId="0" applyFill="1" applyBorder="1"/>
    <xf numFmtId="0" fontId="0" fillId="48" borderId="64" xfId="0" applyFill="1" applyBorder="1"/>
    <xf numFmtId="0" fontId="0" fillId="48" borderId="0" xfId="0" applyFill="1"/>
    <xf numFmtId="0" fontId="0" fillId="48" borderId="1" xfId="0" applyFill="1" applyBorder="1"/>
    <xf numFmtId="0" fontId="0" fillId="48" borderId="2" xfId="0" applyFill="1" applyBorder="1"/>
    <xf numFmtId="0" fontId="5" fillId="48" borderId="2" xfId="0" applyFont="1" applyFill="1" applyBorder="1"/>
    <xf numFmtId="0" fontId="0" fillId="48" borderId="1" xfId="0" quotePrefix="1" applyFill="1" applyBorder="1"/>
    <xf numFmtId="0" fontId="5" fillId="12" borderId="35" xfId="0" applyFont="1" applyFill="1" applyBorder="1"/>
    <xf numFmtId="0" fontId="6" fillId="57" borderId="1" xfId="0" applyFont="1" applyFill="1" applyBorder="1" applyAlignment="1">
      <alignment horizontal="center" vertical="center" wrapText="1"/>
    </xf>
    <xf numFmtId="0" fontId="0" fillId="57" borderId="1" xfId="0" applyFill="1" applyBorder="1" applyAlignment="1">
      <alignment horizontal="left" vertical="top"/>
    </xf>
    <xf numFmtId="0" fontId="0" fillId="57" borderId="35" xfId="0" applyFill="1" applyBorder="1"/>
    <xf numFmtId="0" fontId="0" fillId="57" borderId="1" xfId="0" applyFill="1" applyBorder="1"/>
    <xf numFmtId="2" fontId="0" fillId="57" borderId="35" xfId="0" applyNumberFormat="1" applyFill="1" applyBorder="1"/>
    <xf numFmtId="0" fontId="0" fillId="57" borderId="35" xfId="0" applyFill="1" applyBorder="1" applyAlignment="1">
      <alignment horizontal="right"/>
    </xf>
    <xf numFmtId="0" fontId="0" fillId="57" borderId="1" xfId="0" applyFill="1" applyBorder="1" applyAlignment="1">
      <alignment horizontal="right"/>
    </xf>
    <xf numFmtId="11" fontId="0" fillId="58" borderId="35" xfId="0" applyNumberFormat="1" applyFill="1" applyBorder="1"/>
    <xf numFmtId="0" fontId="0" fillId="57" borderId="61" xfId="0" applyFill="1" applyBorder="1"/>
    <xf numFmtId="0" fontId="0" fillId="58" borderId="35" xfId="0" applyFill="1" applyBorder="1"/>
    <xf numFmtId="165" fontId="0" fillId="57" borderId="35" xfId="0" applyNumberFormat="1" applyFill="1" applyBorder="1"/>
    <xf numFmtId="0" fontId="0" fillId="57" borderId="2" xfId="0" applyFill="1" applyBorder="1"/>
    <xf numFmtId="166" fontId="0" fillId="57" borderId="35" xfId="0" applyNumberFormat="1" applyFill="1" applyBorder="1"/>
    <xf numFmtId="0" fontId="0" fillId="57" borderId="41" xfId="0" applyFill="1" applyBorder="1"/>
    <xf numFmtId="0" fontId="0" fillId="58" borderId="0" xfId="0" applyFill="1"/>
    <xf numFmtId="0" fontId="4" fillId="57" borderId="1" xfId="0" applyFont="1" applyFill="1" applyBorder="1"/>
    <xf numFmtId="0" fontId="0" fillId="57" borderId="62" xfId="0" applyFill="1" applyBorder="1"/>
    <xf numFmtId="0" fontId="0" fillId="57" borderId="66" xfId="0" applyFill="1" applyBorder="1"/>
    <xf numFmtId="0" fontId="0" fillId="58" borderId="1" xfId="0" applyFill="1" applyBorder="1"/>
    <xf numFmtId="165" fontId="28" fillId="58" borderId="56" xfId="0" applyNumberFormat="1" applyFont="1" applyFill="1" applyBorder="1" applyAlignment="1">
      <alignment horizontal="center" vertical="center"/>
    </xf>
    <xf numFmtId="0" fontId="0" fillId="57" borderId="56" xfId="0" applyFill="1" applyBorder="1"/>
    <xf numFmtId="0" fontId="0" fillId="58" borderId="56" xfId="0" applyFill="1" applyBorder="1"/>
    <xf numFmtId="2" fontId="0" fillId="58" borderId="56" xfId="0" applyNumberFormat="1" applyFill="1" applyBorder="1"/>
    <xf numFmtId="0" fontId="0" fillId="57" borderId="0" xfId="0" applyFill="1"/>
    <xf numFmtId="165" fontId="0" fillId="57" borderId="56" xfId="0" applyNumberFormat="1" applyFill="1" applyBorder="1"/>
    <xf numFmtId="166" fontId="0" fillId="57" borderId="56" xfId="0" applyNumberFormat="1" applyFill="1" applyBorder="1"/>
    <xf numFmtId="11" fontId="0" fillId="58" borderId="0" xfId="0" applyNumberFormat="1" applyFill="1"/>
    <xf numFmtId="2" fontId="0" fillId="58" borderId="0" xfId="0" applyNumberFormat="1" applyFill="1"/>
    <xf numFmtId="0" fontId="6" fillId="48" borderId="13" xfId="0" applyFont="1" applyFill="1" applyBorder="1" applyAlignment="1">
      <alignment horizontal="center" vertical="center" wrapText="1"/>
    </xf>
    <xf numFmtId="0" fontId="0" fillId="12" borderId="45" xfId="0" applyFill="1" applyBorder="1"/>
    <xf numFmtId="0" fontId="26" fillId="12" borderId="45" xfId="0" applyFont="1" applyFill="1" applyBorder="1"/>
    <xf numFmtId="0" fontId="5" fillId="12" borderId="45" xfId="0" applyFont="1" applyFill="1" applyBorder="1"/>
    <xf numFmtId="0" fontId="31" fillId="12" borderId="45" xfId="0" applyFont="1" applyFill="1" applyBorder="1"/>
    <xf numFmtId="0" fontId="0" fillId="12" borderId="46" xfId="0" applyFill="1" applyBorder="1"/>
    <xf numFmtId="0" fontId="0" fillId="12" borderId="47" xfId="0" applyFill="1" applyBorder="1"/>
    <xf numFmtId="0" fontId="2" fillId="2" borderId="39" xfId="0" applyFont="1" applyFill="1" applyBorder="1" applyAlignment="1">
      <alignment horizontal="center" vertical="top"/>
    </xf>
    <xf numFmtId="0" fontId="2" fillId="2" borderId="19" xfId="0" applyFont="1" applyFill="1" applyBorder="1" applyAlignment="1">
      <alignment horizontal="center"/>
    </xf>
    <xf numFmtId="0" fontId="2" fillId="2" borderId="37" xfId="0" applyFont="1" applyFill="1" applyBorder="1" applyAlignment="1">
      <alignment horizontal="center" vertical="top"/>
    </xf>
    <xf numFmtId="0" fontId="0" fillId="11" borderId="66" xfId="0" applyFill="1" applyBorder="1"/>
    <xf numFmtId="0" fontId="0" fillId="52" borderId="0" xfId="0" applyFill="1"/>
    <xf numFmtId="0" fontId="0" fillId="52" borderId="67" xfId="0" applyFill="1" applyBorder="1"/>
    <xf numFmtId="0" fontId="0" fillId="52" borderId="0" xfId="0" applyFill="1" applyAlignment="1">
      <alignment horizontal="right"/>
    </xf>
    <xf numFmtId="0" fontId="0" fillId="11" borderId="69" xfId="0" applyFill="1" applyBorder="1"/>
    <xf numFmtId="0" fontId="0" fillId="11" borderId="68" xfId="0" applyFill="1" applyBorder="1"/>
    <xf numFmtId="0" fontId="0" fillId="11" borderId="65" xfId="0" applyFill="1" applyBorder="1"/>
    <xf numFmtId="0" fontId="0" fillId="52" borderId="2" xfId="0" applyFill="1" applyBorder="1" applyAlignment="1">
      <alignment horizontal="left" vertical="top"/>
    </xf>
    <xf numFmtId="0" fontId="0" fillId="5" borderId="1" xfId="0" applyFill="1" applyBorder="1"/>
    <xf numFmtId="11" fontId="0" fillId="9" borderId="1" xfId="0" applyNumberFormat="1" applyFill="1" applyBorder="1"/>
    <xf numFmtId="0" fontId="0" fillId="0" borderId="41" xfId="0" applyBorder="1"/>
    <xf numFmtId="0" fontId="0" fillId="37" borderId="0" xfId="0" applyFill="1"/>
    <xf numFmtId="0" fontId="0" fillId="37" borderId="0" xfId="0" applyFill="1" applyAlignment="1">
      <alignment horizontal="left" vertical="top"/>
    </xf>
    <xf numFmtId="0" fontId="0" fillId="52" borderId="56" xfId="0" applyFill="1" applyBorder="1"/>
    <xf numFmtId="0" fontId="0" fillId="11" borderId="37" xfId="0" applyFill="1" applyBorder="1"/>
    <xf numFmtId="1" fontId="29" fillId="11" borderId="43" xfId="1" applyNumberFormat="1" applyFont="1" applyFill="1" applyBorder="1" applyAlignment="1">
      <alignment horizontal="center" vertical="center"/>
    </xf>
    <xf numFmtId="0" fontId="0" fillId="11" borderId="15" xfId="0" applyFill="1" applyBorder="1"/>
    <xf numFmtId="0" fontId="0" fillId="11" borderId="43" xfId="0" applyFill="1" applyBorder="1" applyAlignment="1">
      <alignment horizontal="left" vertical="top"/>
    </xf>
    <xf numFmtId="166" fontId="0" fillId="11" borderId="26" xfId="0" applyNumberFormat="1" applyFill="1" applyBorder="1"/>
    <xf numFmtId="165" fontId="0" fillId="12" borderId="35" xfId="0" applyNumberFormat="1" applyFill="1" applyBorder="1"/>
    <xf numFmtId="0" fontId="0" fillId="12" borderId="36" xfId="0" applyFill="1" applyBorder="1"/>
    <xf numFmtId="0" fontId="0" fillId="47" borderId="56" xfId="0" applyFill="1" applyBorder="1"/>
    <xf numFmtId="0" fontId="0" fillId="12" borderId="53" xfId="0" applyFill="1" applyBorder="1"/>
    <xf numFmtId="165" fontId="28" fillId="58" borderId="0" xfId="0" applyNumberFormat="1" applyFont="1" applyFill="1" applyAlignment="1">
      <alignment horizontal="center" vertical="center"/>
    </xf>
    <xf numFmtId="0" fontId="0" fillId="58" borderId="66" xfId="0" applyFill="1" applyBorder="1"/>
    <xf numFmtId="0" fontId="0" fillId="57" borderId="2" xfId="0" applyFill="1" applyBorder="1" applyAlignment="1">
      <alignment horizontal="right"/>
    </xf>
    <xf numFmtId="11" fontId="0" fillId="58" borderId="56" xfId="0" applyNumberFormat="1" applyFill="1" applyBorder="1"/>
    <xf numFmtId="0" fontId="0" fillId="57" borderId="19" xfId="0" applyFill="1" applyBorder="1"/>
    <xf numFmtId="0" fontId="0" fillId="59" borderId="56" xfId="0" applyFill="1" applyBorder="1"/>
    <xf numFmtId="0" fontId="0" fillId="12" borderId="66" xfId="0" applyFill="1" applyBorder="1"/>
    <xf numFmtId="0" fontId="0" fillId="48" borderId="37" xfId="0" applyFill="1" applyBorder="1"/>
    <xf numFmtId="0" fontId="0" fillId="12" borderId="65" xfId="0" applyFill="1" applyBorder="1"/>
    <xf numFmtId="0" fontId="0" fillId="48" borderId="48" xfId="0" applyFill="1" applyBorder="1"/>
    <xf numFmtId="0" fontId="1" fillId="60" borderId="71" xfId="0" applyFont="1" applyFill="1" applyBorder="1" applyAlignment="1">
      <alignment vertical="center" wrapText="1"/>
    </xf>
    <xf numFmtId="0" fontId="3" fillId="60" borderId="72" xfId="0" applyFont="1" applyFill="1" applyBorder="1" applyAlignment="1">
      <alignment vertical="center"/>
    </xf>
    <xf numFmtId="0" fontId="11" fillId="60" borderId="72" xfId="0" applyFont="1" applyFill="1" applyBorder="1" applyAlignment="1">
      <alignment vertical="center"/>
    </xf>
    <xf numFmtId="0" fontId="11" fillId="60" borderId="12" xfId="0" applyFont="1" applyFill="1" applyBorder="1" applyAlignment="1">
      <alignment vertical="center"/>
    </xf>
    <xf numFmtId="0" fontId="5" fillId="60" borderId="72" xfId="0" applyFont="1" applyFill="1" applyBorder="1" applyAlignment="1">
      <alignment vertical="center"/>
    </xf>
    <xf numFmtId="0" fontId="35" fillId="0" borderId="0" xfId="0" applyFont="1" applyAlignment="1">
      <alignment vertical="center"/>
    </xf>
    <xf numFmtId="0" fontId="39" fillId="0" borderId="0" xfId="0" applyFont="1"/>
    <xf numFmtId="0" fontId="11" fillId="45" borderId="35" xfId="0" applyFont="1" applyFill="1" applyBorder="1" applyAlignment="1">
      <alignment horizontal="left" vertical="top"/>
    </xf>
    <xf numFmtId="0" fontId="40" fillId="33" borderId="0" xfId="0" applyFont="1" applyFill="1" applyAlignment="1">
      <alignment wrapText="1"/>
    </xf>
    <xf numFmtId="0" fontId="41" fillId="33" borderId="0" xfId="0" applyFont="1" applyFill="1" applyAlignment="1">
      <alignment wrapText="1"/>
    </xf>
    <xf numFmtId="0" fontId="19" fillId="7" borderId="49" xfId="1" applyFont="1" applyFill="1" applyBorder="1" applyAlignment="1">
      <alignment horizontal="left" vertical="center"/>
    </xf>
    <xf numFmtId="0" fontId="11" fillId="7" borderId="35" xfId="1" applyFont="1" applyFill="1" applyBorder="1" applyAlignment="1">
      <alignment horizontal="left" vertical="center"/>
    </xf>
    <xf numFmtId="0" fontId="0" fillId="10" borderId="35" xfId="0" applyFill="1" applyBorder="1" applyAlignment="1">
      <alignment horizontal="center" vertical="center"/>
    </xf>
    <xf numFmtId="0" fontId="0" fillId="14" borderId="35" xfId="0" applyFill="1" applyBorder="1" applyAlignment="1">
      <alignment horizontal="center" vertical="center"/>
    </xf>
    <xf numFmtId="0" fontId="27" fillId="36" borderId="35" xfId="0" applyFont="1" applyFill="1" applyBorder="1" applyAlignment="1">
      <alignment horizontal="center" vertical="center"/>
    </xf>
    <xf numFmtId="0" fontId="1" fillId="8" borderId="16" xfId="1" applyFont="1" applyFill="1" applyBorder="1" applyAlignment="1">
      <alignment horizontal="center" vertical="center"/>
    </xf>
    <xf numFmtId="0" fontId="10" fillId="8" borderId="17" xfId="1" applyFont="1" applyFill="1" applyBorder="1" applyAlignment="1">
      <alignment horizontal="center" vertical="center"/>
    </xf>
    <xf numFmtId="0" fontId="7" fillId="9" borderId="4" xfId="1" applyFont="1" applyFill="1" applyBorder="1" applyAlignment="1">
      <alignment horizontal="center" vertical="center"/>
    </xf>
    <xf numFmtId="0" fontId="11" fillId="10" borderId="5" xfId="1" applyFont="1" applyFill="1" applyBorder="1" applyAlignment="1">
      <alignment horizontal="center" vertical="center"/>
    </xf>
    <xf numFmtId="0" fontId="11" fillId="10" borderId="6" xfId="1" applyFont="1" applyFill="1" applyBorder="1" applyAlignment="1">
      <alignment horizontal="center" vertical="center"/>
    </xf>
    <xf numFmtId="0" fontId="7" fillId="13" borderId="4" xfId="1" applyFont="1" applyFill="1" applyBorder="1" applyAlignment="1">
      <alignment horizontal="center" vertical="center"/>
    </xf>
    <xf numFmtId="0" fontId="11" fillId="14" borderId="5" xfId="1" applyFont="1" applyFill="1" applyBorder="1" applyAlignment="1">
      <alignment horizontal="center" vertical="center"/>
    </xf>
    <xf numFmtId="0" fontId="11" fillId="14" borderId="6" xfId="1" applyFont="1" applyFill="1" applyBorder="1" applyAlignment="1">
      <alignment horizontal="center" vertical="center"/>
    </xf>
    <xf numFmtId="0" fontId="0" fillId="35" borderId="12" xfId="1" applyFont="1" applyFill="1" applyBorder="1" applyAlignment="1">
      <alignment horizontal="center" vertical="center" wrapText="1"/>
    </xf>
    <xf numFmtId="0" fontId="1" fillId="9" borderId="52" xfId="1" applyFont="1" applyFill="1" applyBorder="1" applyAlignment="1">
      <alignment horizontal="center" vertical="center"/>
    </xf>
    <xf numFmtId="0" fontId="1" fillId="9" borderId="0" xfId="1" applyFont="1" applyFill="1" applyAlignment="1">
      <alignment horizontal="center" vertical="center"/>
    </xf>
    <xf numFmtId="0" fontId="1" fillId="9" borderId="51" xfId="1" applyFont="1" applyFill="1" applyBorder="1" applyAlignment="1">
      <alignment horizontal="center" vertical="center"/>
    </xf>
    <xf numFmtId="0" fontId="1" fillId="13" borderId="52" xfId="1" applyFont="1" applyFill="1" applyBorder="1" applyAlignment="1">
      <alignment horizontal="center" vertical="center"/>
    </xf>
    <xf numFmtId="0" fontId="1" fillId="13" borderId="0" xfId="1" applyFont="1" applyFill="1" applyAlignment="1">
      <alignment horizontal="center" vertical="center"/>
    </xf>
    <xf numFmtId="0" fontId="1" fillId="13" borderId="51" xfId="1" applyFont="1" applyFill="1" applyBorder="1" applyAlignment="1">
      <alignment horizontal="center" vertical="center"/>
    </xf>
    <xf numFmtId="1" fontId="6" fillId="0" borderId="11" xfId="1" applyNumberFormat="1" applyFont="1" applyBorder="1" applyAlignment="1">
      <alignment horizontal="center" vertical="center" wrapText="1"/>
    </xf>
    <xf numFmtId="1" fontId="6" fillId="0" borderId="12" xfId="1" applyNumberFormat="1" applyFont="1" applyBorder="1" applyAlignment="1">
      <alignment horizontal="center" vertical="center" wrapText="1"/>
    </xf>
    <xf numFmtId="0" fontId="32" fillId="33" borderId="0" xfId="0" applyFont="1" applyFill="1" applyAlignment="1">
      <alignment horizontal="center" wrapText="1"/>
    </xf>
    <xf numFmtId="0" fontId="32" fillId="34" borderId="0" xfId="0" applyFont="1" applyFill="1" applyAlignment="1">
      <alignment horizontal="center" wrapText="1"/>
    </xf>
    <xf numFmtId="0" fontId="32" fillId="27" borderId="0" xfId="0" applyFont="1" applyFill="1" applyAlignment="1">
      <alignment horizontal="center"/>
    </xf>
  </cellXfs>
  <cellStyles count="509">
    <cellStyle name="Comma0" xfId="5" xr:uid="{00000000-0005-0000-0000-000000000000}"/>
    <cellStyle name="Comma0 2" xfId="6" xr:uid="{00000000-0005-0000-0000-000001000000}"/>
    <cellStyle name="Comma0 2 2" xfId="19" xr:uid="{00000000-0005-0000-0000-000002000000}"/>
    <cellStyle name="Comma0 3" xfId="7" xr:uid="{00000000-0005-0000-0000-000003000000}"/>
    <cellStyle name="Comma0 4" xfId="20" xr:uid="{00000000-0005-0000-0000-000004000000}"/>
    <cellStyle name="Currency 2" xfId="29" xr:uid="{00000000-0005-0000-0000-000005000000}"/>
    <cellStyle name="Currency 3" xfId="30" xr:uid="{00000000-0005-0000-0000-000006000000}"/>
    <cellStyle name="Currency0" xfId="8" xr:uid="{00000000-0005-0000-0000-000007000000}"/>
    <cellStyle name="Currency0 2" xfId="9" xr:uid="{00000000-0005-0000-0000-000008000000}"/>
    <cellStyle name="Currency0 2 2" xfId="21" xr:uid="{00000000-0005-0000-0000-000009000000}"/>
    <cellStyle name="Currency0 3" xfId="10" xr:uid="{00000000-0005-0000-0000-00000A000000}"/>
    <cellStyle name="Currency0 4" xfId="22" xr:uid="{00000000-0005-0000-0000-00000B000000}"/>
    <cellStyle name="Date" xfId="11" xr:uid="{00000000-0005-0000-0000-00000C000000}"/>
    <cellStyle name="Date 2" xfId="12" xr:uid="{00000000-0005-0000-0000-00000D000000}"/>
    <cellStyle name="Date 2 2" xfId="23" xr:uid="{00000000-0005-0000-0000-00000E000000}"/>
    <cellStyle name="Date 3" xfId="13" xr:uid="{00000000-0005-0000-0000-00000F000000}"/>
    <cellStyle name="Date 4" xfId="24" xr:uid="{00000000-0005-0000-0000-000010000000}"/>
    <cellStyle name="Fixed" xfId="14" xr:uid="{00000000-0005-0000-0000-000011000000}"/>
    <cellStyle name="Fixed 2" xfId="15" xr:uid="{00000000-0005-0000-0000-000012000000}"/>
    <cellStyle name="Fixed 2 2" xfId="25" xr:uid="{00000000-0005-0000-0000-000013000000}"/>
    <cellStyle name="Fixed 3" xfId="16" xr:uid="{00000000-0005-0000-0000-000014000000}"/>
    <cellStyle name="Fixed 4" xfId="26" xr:uid="{00000000-0005-0000-0000-000015000000}"/>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Hyperlink" xfId="2" builtinId="8"/>
    <cellStyle name="Normal" xfId="0" builtinId="0"/>
    <cellStyle name="Normal 2" xfId="1" xr:uid="{00000000-0005-0000-0000-0000F4010000}"/>
    <cellStyle name="Normal 2 2" xfId="4" xr:uid="{00000000-0005-0000-0000-0000F5010000}"/>
    <cellStyle name="Normal 3" xfId="3" xr:uid="{00000000-0005-0000-0000-0000F6010000}"/>
    <cellStyle name="Normal_Sheet1" xfId="159" xr:uid="{00000000-0005-0000-0000-0000F7010000}"/>
    <cellStyle name="Percent" xfId="160" builtinId="5"/>
    <cellStyle name="Total 2" xfId="17" xr:uid="{00000000-0005-0000-0000-0000F9010000}"/>
    <cellStyle name="Total 2 2" xfId="27" xr:uid="{00000000-0005-0000-0000-0000FA010000}"/>
    <cellStyle name="Total 3" xfId="18" xr:uid="{00000000-0005-0000-0000-0000FB010000}"/>
    <cellStyle name="Total 4" xfId="28" xr:uid="{00000000-0005-0000-0000-0000FC010000}"/>
  </cellStyles>
  <dxfs count="64">
    <dxf>
      <font>
        <color rgb="FF9C0006"/>
      </font>
      <fill>
        <patternFill>
          <bgColor rgb="FFFFC7CE"/>
        </patternFill>
      </fill>
    </dxf>
    <dxf>
      <font>
        <color theme="0"/>
      </font>
      <fill>
        <patternFill patternType="solid">
          <fgColor indexed="64"/>
          <bgColor rgb="FFFF0000"/>
        </patternFill>
      </fill>
    </dxf>
    <dxf>
      <font>
        <color rgb="FF9C0006"/>
      </font>
      <fill>
        <patternFill>
          <bgColor rgb="FFFFC7CE"/>
        </patternFill>
      </fill>
    </dxf>
    <dxf>
      <font>
        <color theme="0"/>
      </font>
      <fill>
        <patternFill patternType="solid">
          <fgColor indexed="64"/>
          <bgColor rgb="FFFF0000"/>
        </patternFill>
      </fill>
    </dxf>
    <dxf>
      <fill>
        <patternFill>
          <bgColor theme="5" tint="0.39994506668294322"/>
        </patternFill>
      </fill>
    </dxf>
    <dxf>
      <fill>
        <patternFill patternType="solid">
          <fgColor indexed="64"/>
          <bgColor theme="9"/>
        </patternFill>
      </fill>
    </dxf>
    <dxf>
      <fill>
        <patternFill patternType="solid">
          <fgColor indexed="64"/>
          <bgColor theme="9"/>
        </patternFill>
      </fill>
    </dxf>
    <dxf>
      <fill>
        <patternFill patternType="solid">
          <fgColor indexed="64"/>
          <bgColor theme="8"/>
        </patternFill>
      </fill>
    </dxf>
    <dxf>
      <fill>
        <patternFill patternType="solid">
          <fgColor indexed="64"/>
          <bgColor theme="8"/>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alignment wrapText="1"/>
    </dxf>
    <dxf>
      <alignment wrapText="1"/>
    </dxf>
    <dxf>
      <alignment wrapText="1"/>
    </dxf>
    <dxf>
      <font>
        <color theme="3"/>
      </font>
    </dxf>
    <dxf>
      <font>
        <b val="0"/>
      </font>
    </dxf>
    <dxf>
      <font>
        <sz val="18"/>
      </font>
    </dxf>
    <dxf>
      <alignment wrapText="1" readingOrder="0"/>
    </dxf>
    <dxf>
      <alignment wrapText="1" readingOrder="0"/>
    </dxf>
    <dxf>
      <alignment wrapText="1" readingOrder="0"/>
    </dxf>
    <dxf>
      <fill>
        <patternFill patternType="solid">
          <fgColor indexed="64"/>
          <bgColor theme="9"/>
        </patternFill>
      </fill>
    </dxf>
    <dxf>
      <fill>
        <patternFill patternType="solid">
          <fgColor indexed="64"/>
          <bgColor theme="9"/>
        </patternFill>
      </fill>
    </dxf>
    <dxf>
      <fill>
        <patternFill patternType="solid">
          <fgColor indexed="64"/>
          <bgColor theme="8"/>
        </patternFill>
      </fill>
    </dxf>
    <dxf>
      <fill>
        <patternFill patternType="solid">
          <fgColor indexed="64"/>
          <bgColor theme="8"/>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alignment wrapText="1"/>
    </dxf>
    <dxf>
      <alignment wrapText="1"/>
    </dxf>
    <dxf>
      <alignment wrapText="1"/>
    </dxf>
    <dxf>
      <alignment wrapText="1"/>
    </dxf>
    <dxf>
      <alignment wrapText="1"/>
    </dxf>
    <dxf>
      <alignment wrapText="1"/>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ont>
        <color theme="4"/>
      </font>
    </dxf>
    <dxf>
      <font>
        <sz val="18"/>
      </font>
    </dxf>
    <dxf>
      <alignment wrapText="1" readingOrder="0"/>
    </dxf>
    <dxf>
      <alignment wrapText="1" readingOrder="0"/>
    </dxf>
  </dxfs>
  <tableStyles count="0" defaultTableStyle="TableStyleMedium2" defaultPivotStyle="PivotStyleLight16"/>
  <colors>
    <mruColors>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523875</xdr:colOff>
      <xdr:row>49</xdr:row>
      <xdr:rowOff>180975</xdr:rowOff>
    </xdr:to>
    <xdr:sp macro="" textlink="">
      <xdr:nvSpPr>
        <xdr:cNvPr id="1097" name="Rectangle 73" hidden="1">
          <a:extLst>
            <a:ext uri="{FF2B5EF4-FFF2-40B4-BE49-F238E27FC236}">
              <a16:creationId xmlns:a16="http://schemas.microsoft.com/office/drawing/2014/main" id="{00000000-0008-0000-0300-00004904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editAs="absolute">
    <xdr:from>
      <xdr:col>2</xdr:col>
      <xdr:colOff>142875</xdr:colOff>
      <xdr:row>1376</xdr:row>
      <xdr:rowOff>24511</xdr:rowOff>
    </xdr:from>
    <xdr:to>
      <xdr:col>4</xdr:col>
      <xdr:colOff>1826247</xdr:colOff>
      <xdr:row>1377</xdr:row>
      <xdr:rowOff>179109</xdr:rowOff>
    </xdr:to>
    <xdr:sp macro="" textlink="">
      <xdr:nvSpPr>
        <xdr:cNvPr id="1025" name="Rectangle 1" hidden="1">
          <a:extLst>
            <a:ext uri="{FF2B5EF4-FFF2-40B4-BE49-F238E27FC236}">
              <a16:creationId xmlns:a16="http://schemas.microsoft.com/office/drawing/2014/main" id="{00000000-0008-0000-0300-000001040000}"/>
            </a:ext>
          </a:extLst>
        </xdr:cNvPr>
        <xdr:cNvSpPr>
          <a:spLocks noChangeArrowheads="1"/>
        </xdr:cNvSpPr>
      </xdr:nvSpPr>
      <xdr:spPr bwMode="auto">
        <a:xfrm>
          <a:off x="923925" y="122948700"/>
          <a:ext cx="5514975" cy="342900"/>
        </a:xfrm>
        <a:prstGeom prst="rect">
          <a:avLst/>
        </a:prstGeom>
        <a:solidFill>
          <a:srgbClr val="FFFFE1"/>
        </a:solidFill>
        <a:ln w="9525">
          <a:solidFill>
            <a:srgbClr val="000000"/>
          </a:solidFill>
          <a:round/>
          <a:headEnd/>
          <a:tailEnd/>
        </a:ln>
        <a:effectLst>
          <a:outerShdw dist="35921" dir="2700000" algn="ctr" rotWithShape="0">
            <a:srgbClr val="000000"/>
          </a:outerShdw>
        </a:effectLst>
        <a:extLst>
          <a:ext uri="{53640926-AAD7-44d8-BBD7-CCE9431645EC}">
            <a14:shadowObscured xmlns="" xmlns:a14="http://schemas.microsoft.com/office/drawing/2010/main" val="1"/>
          </a:ext>
        </a:extLst>
      </xdr:spPr>
    </xdr:sp>
    <xdr:clientData/>
  </xdr:twoCellAnchor>
  <xdr:twoCellAnchor>
    <xdr:from>
      <xdr:col>0</xdr:col>
      <xdr:colOff>0</xdr:colOff>
      <xdr:row>0</xdr:row>
      <xdr:rowOff>0</xdr:rowOff>
    </xdr:from>
    <xdr:to>
      <xdr:col>9</xdr:col>
      <xdr:colOff>520700</xdr:colOff>
      <xdr:row>52</xdr:row>
      <xdr:rowOff>0</xdr:rowOff>
    </xdr:to>
    <xdr:sp macro="" textlink="">
      <xdr:nvSpPr>
        <xdr:cNvPr id="2" name="AutoShape 73">
          <a:extLst>
            <a:ext uri="{FF2B5EF4-FFF2-40B4-BE49-F238E27FC236}">
              <a16:creationId xmlns:a16="http://schemas.microsoft.com/office/drawing/2014/main" id="{00000000-0008-0000-0300-000002000000}"/>
            </a:ext>
          </a:extLst>
        </xdr:cNvPr>
        <xdr:cNvSpPr>
          <a:spLocks noChangeArrowheads="1"/>
        </xdr:cNvSpPr>
      </xdr:nvSpPr>
      <xdr:spPr bwMode="auto">
        <a:xfrm>
          <a:off x="0" y="0"/>
          <a:ext cx="11087100" cy="98679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1221</xdr:row>
      <xdr:rowOff>0</xdr:rowOff>
    </xdr:from>
    <xdr:to>
      <xdr:col>8</xdr:col>
      <xdr:colOff>757238</xdr:colOff>
      <xdr:row>1259</xdr:row>
      <xdr:rowOff>171450</xdr:rowOff>
    </xdr:to>
    <xdr:sp macro="" textlink="">
      <xdr:nvSpPr>
        <xdr:cNvPr id="5" name="AutoShape 55">
          <a:extLst>
            <a:ext uri="{FF2B5EF4-FFF2-40B4-BE49-F238E27FC236}">
              <a16:creationId xmlns:a16="http://schemas.microsoft.com/office/drawing/2014/main" id="{00000000-0008-0000-0000-000006000000}"/>
            </a:ext>
          </a:extLst>
        </xdr:cNvPr>
        <xdr:cNvSpPr>
          <a:spLocks noChangeArrowheads="1"/>
        </xdr:cNvSpPr>
      </xdr:nvSpPr>
      <xdr:spPr bwMode="auto">
        <a:xfrm>
          <a:off x="0" y="0"/>
          <a:ext cx="12263438" cy="8172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8</xdr:col>
      <xdr:colOff>757238</xdr:colOff>
      <xdr:row>1259</xdr:row>
      <xdr:rowOff>171450</xdr:rowOff>
    </xdr:to>
    <xdr:sp macro="" textlink="">
      <xdr:nvSpPr>
        <xdr:cNvPr id="6" name="AutoShape 55">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263438" cy="8172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8</xdr:col>
      <xdr:colOff>757238</xdr:colOff>
      <xdr:row>1259</xdr:row>
      <xdr:rowOff>171450</xdr:rowOff>
    </xdr:to>
    <xdr:sp macro="" textlink="">
      <xdr:nvSpPr>
        <xdr:cNvPr id="7" name="AutoShape 55">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263438" cy="8172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8</xdr:col>
      <xdr:colOff>757238</xdr:colOff>
      <xdr:row>1259</xdr:row>
      <xdr:rowOff>171450</xdr:rowOff>
    </xdr:to>
    <xdr:sp macro="" textlink="">
      <xdr:nvSpPr>
        <xdr:cNvPr id="8" name="AutoShape 55">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263438" cy="8172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8</xdr:col>
      <xdr:colOff>757238</xdr:colOff>
      <xdr:row>1258</xdr:row>
      <xdr:rowOff>171450</xdr:rowOff>
    </xdr:to>
    <xdr:sp macro="" textlink="">
      <xdr:nvSpPr>
        <xdr:cNvPr id="9" name="AutoShape 55">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263438" cy="798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8</xdr:col>
      <xdr:colOff>757238</xdr:colOff>
      <xdr:row>1260</xdr:row>
      <xdr:rowOff>171450</xdr:rowOff>
    </xdr:to>
    <xdr:sp macro="" textlink="">
      <xdr:nvSpPr>
        <xdr:cNvPr id="10" name="AutoShape 55">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263438" cy="8362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8</xdr:col>
      <xdr:colOff>757238</xdr:colOff>
      <xdr:row>1260</xdr:row>
      <xdr:rowOff>171450</xdr:rowOff>
    </xdr:to>
    <xdr:sp macro="" textlink="">
      <xdr:nvSpPr>
        <xdr:cNvPr id="11" name="AutoShape 55">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263438" cy="8362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9</xdr:col>
      <xdr:colOff>600075</xdr:colOff>
      <xdr:row>1260</xdr:row>
      <xdr:rowOff>171450</xdr:rowOff>
    </xdr:to>
    <xdr:sp macro="" textlink="">
      <xdr:nvSpPr>
        <xdr:cNvPr id="12" name="AutoShape 55">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957175" cy="8362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8</xdr:col>
      <xdr:colOff>771525</xdr:colOff>
      <xdr:row>1264</xdr:row>
      <xdr:rowOff>171450</xdr:rowOff>
    </xdr:to>
    <xdr:sp macro="" textlink="">
      <xdr:nvSpPr>
        <xdr:cNvPr id="13" name="AutoShape 55">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277725" cy="9124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1221</xdr:row>
      <xdr:rowOff>0</xdr:rowOff>
    </xdr:from>
    <xdr:to>
      <xdr:col>9</xdr:col>
      <xdr:colOff>600075</xdr:colOff>
      <xdr:row>1264</xdr:row>
      <xdr:rowOff>171450</xdr:rowOff>
    </xdr:to>
    <xdr:sp macro="" textlink="">
      <xdr:nvSpPr>
        <xdr:cNvPr id="14" name="AutoShape 55">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957175" cy="912495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rty/Google%20Drive/CSS/FOOD%20ENVI%20database/NEW%20ADDITIONS/New%20ENVI%20Inputs/FOOD%20ENVI%20-%20New%20Addi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mediate Impacts GHG"/>
      <sheetName val="List Names"/>
    </sheetNames>
    <sheetDataSet>
      <sheetData sheetId="0"/>
      <sheetData sheetId="1">
        <row r="3">
          <cell r="B3" t="str">
            <v>Beverages</v>
          </cell>
          <cell r="C3" t="str">
            <v>Fresh or Not Specified</v>
          </cell>
          <cell r="D3" t="str">
            <v>Yes</v>
          </cell>
          <cell r="E3" t="str">
            <v>Peer Reviewed Journal</v>
          </cell>
        </row>
        <row r="4">
          <cell r="B4" t="str">
            <v>Cereals and Grains</v>
          </cell>
          <cell r="C4" t="str">
            <v>Canned</v>
          </cell>
          <cell r="D4" t="str">
            <v>No</v>
          </cell>
          <cell r="E4" t="str">
            <v>Conference Proceedings</v>
          </cell>
        </row>
        <row r="5">
          <cell r="B5" t="str">
            <v>Dairy</v>
          </cell>
          <cell r="C5" t="str">
            <v>Frozen</v>
          </cell>
          <cell r="E5" t="str">
            <v>Government Report</v>
          </cell>
        </row>
        <row r="6">
          <cell r="B6" t="str">
            <v>Eggs</v>
          </cell>
          <cell r="C6" t="str">
            <v>Dried</v>
          </cell>
          <cell r="E6" t="str">
            <v>Industry Based Report</v>
          </cell>
        </row>
        <row r="7">
          <cell r="B7" t="str">
            <v>Fish and Seafood</v>
          </cell>
          <cell r="C7" t="str">
            <v>Cured or Pickled</v>
          </cell>
          <cell r="E7" t="str">
            <v>NGO Report</v>
          </cell>
        </row>
        <row r="8">
          <cell r="B8" t="str">
            <v>Fruit</v>
          </cell>
          <cell r="C8" t="str">
            <v>Other (Specify)</v>
          </cell>
          <cell r="E8" t="str">
            <v>Database</v>
          </cell>
        </row>
        <row r="9">
          <cell r="B9" t="str">
            <v>Legumes and Nuts</v>
          </cell>
          <cell r="E9" t="str">
            <v>Other (specify)</v>
          </cell>
        </row>
        <row r="10">
          <cell r="B10" t="str">
            <v>Meat</v>
          </cell>
        </row>
        <row r="11">
          <cell r="B11" t="str">
            <v>Meat Substitutes</v>
          </cell>
        </row>
        <row r="12">
          <cell r="B12" t="str">
            <v>Mixed Dishes</v>
          </cell>
        </row>
        <row r="13">
          <cell r="B13" t="str">
            <v>Oils and Fats</v>
          </cell>
        </row>
        <row r="14">
          <cell r="B14" t="str">
            <v>Other</v>
          </cell>
        </row>
        <row r="15">
          <cell r="B15" t="str">
            <v>Sweeteners</v>
          </cell>
        </row>
        <row r="16">
          <cell r="B16" t="str">
            <v>Vegetables</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ler, Martin" refreshedDate="43717.609485069443" createdVersion="4" refreshedVersion="6" minRefreshableVersion="3" recordCount="1646" xr:uid="{00000000-000A-0000-FFFF-FFFF00000000}">
  <cacheSource type="worksheet">
    <worksheetSource ref="C1:BI1048576" sheet="literature entries"/>
  </cacheSource>
  <cacheFields count="59">
    <cacheField name="FOOD TYPE" numFmtId="0">
      <sharedItems containsBlank="1" count="14">
        <s v="Dairy"/>
        <s v="Meat"/>
        <s v="Eggs"/>
        <s v="Vegetables"/>
        <s v="Fruit"/>
        <s v="Cereals and Grains"/>
        <s v="Meat Substitutes"/>
        <s v="Beverages"/>
        <s v="Oils and Fats"/>
        <s v="Sweeteners"/>
        <s v="Other"/>
        <s v="Legumes and Nuts"/>
        <s v="Fish and Seafood"/>
        <m/>
      </sharedItems>
    </cacheField>
    <cacheField name="SUB TYPE" numFmtId="0">
      <sharedItems containsBlank="1" count="269">
        <s v="Fluid Milk, Cow"/>
        <s v="Sheep"/>
        <s v="Eggs, Chicken"/>
        <s v="Beef"/>
        <s v="Cheese, Cow"/>
        <s v="Yogurt, Cow"/>
        <s v="Fluid Milk, Cream"/>
        <s v="Butter"/>
        <s v="Tomato, puree"/>
        <s v="Cottage Cheese"/>
        <s v="Sour Cream"/>
        <s v="Fluid Milk, Buttermilk"/>
        <s v="Dairy Products, Fozen"/>
        <s v="Dairy Powders"/>
        <s v="Fluid Milk, Concentrate"/>
        <s v="Tomato, chopped"/>
        <s v="Tomato, peeled"/>
        <s v="Tomato, paste"/>
        <s v="Tomato, greenhouse"/>
        <s v="Tomato"/>
        <s v="Banana"/>
        <s v="Margarine"/>
        <s v="Bread"/>
        <s v="Pork"/>
        <s v="Chicken"/>
        <s v="Beef from dairy"/>
        <s v="Fluid Milk, Buffalo"/>
        <s v="Fluid Milk, Sheep"/>
        <s v="Goat"/>
        <s v="Fluid Milk, Goat"/>
        <s v="Poultry, other"/>
        <s v="Turkey"/>
        <s v="Veal"/>
        <s v="Rabbit, meat"/>
        <s v="Falafel, Tivall"/>
        <s v="Vegetable Patty"/>
        <s v="Meatless"/>
        <s v="Quorn"/>
        <s v="Tofu"/>
        <s v="Valess"/>
        <s v="Soybean, soy milk"/>
        <s v="Cheese, Goat"/>
        <s v="Cheese, Buffalo"/>
        <s v="Pineapple"/>
        <s v="Potato, tuber, w/peel"/>
        <s v="Rapeseed"/>
        <s v="Palm, oil"/>
        <s v="soybean, oil"/>
        <s v="x_Rapeseed, Oil"/>
        <s v="Sunflower, oil"/>
        <s v="Peanut, Oil"/>
        <s v="Olive, oil"/>
        <s v="Honey"/>
        <s v="Grapes, Wine"/>
        <s v="Potato, tuber, w/o peel"/>
        <s v="Potatoes, mashed"/>
        <s v="Potato, chips"/>
        <s v="Lettuce, leaf"/>
        <s v="Barley"/>
        <s v="Lettuce, greenhouse"/>
        <s v="Escarole"/>
        <s v="Escarole, greenhouse"/>
        <s v="x_Lettuce"/>
        <s v="Mushroom"/>
        <s v="x_Strawberries"/>
        <s v="Orange, Juice"/>
        <s v="Apple, fruit with peel"/>
        <s v="Wheat, grain"/>
        <s v="Raspberry"/>
        <s v="Fruits, Citrus"/>
        <s v="Fruits"/>
        <s v="Fruits, Subtropical"/>
        <s v="Treenuts"/>
        <s v="Olive"/>
        <s v="x_Olives"/>
        <s v="Broccoli"/>
        <s v="Lettuce, leaf, air freight"/>
        <s v="Bean, snap, succulent"/>
        <s v="Bean, snap, succulent, air freight"/>
        <s v="Blueberry"/>
        <s v="Grape, Raisin"/>
        <s v="Strawberry"/>
        <s v="Almond"/>
        <s v="Walnut"/>
        <s v="Asparagus, air freight"/>
        <s v="Pear"/>
        <s v="Cucumber"/>
        <s v="Grape"/>
        <s v="Pepper, bell"/>
        <s v="Avocado"/>
        <s v="Honeydew melon"/>
        <s v="Kiwifruit, fuzzy"/>
        <s v="Leek"/>
        <s v="onion, bulb"/>
        <s v="Carrot"/>
        <s v="Cauliflower"/>
        <s v="Fennel, Florence"/>
        <s v="Eggplant"/>
        <s v="Fennel, Cauliflower, Broccoli"/>
        <s v="Squash, Summer"/>
        <s v="Spinach"/>
        <s v="Fish-Saltwater Finfish, Tuna"/>
        <s v="Fish-Freshwater Finfish, Farm Raised"/>
        <s v="Fish-Shellfish, Mollusc"/>
        <s v="Fish-Saltwater Finfish, Other"/>
        <s v="Coffee, Instant"/>
        <s v="Coffee, roasted bean"/>
        <s v="Coffee, brewed"/>
        <s v="Tea, dried"/>
        <s v="Tea"/>
        <s v="Carbonated Drinks"/>
        <s v="Fish-Shellfish, Crustacean"/>
        <s v="Fish-Freshwater Finfish"/>
        <s v="Candy"/>
        <s v="Cocoa Bean, Chocolate"/>
        <s v="Peanut"/>
        <s v="Cashew"/>
        <s v="tropical fruit"/>
        <s v="Corn, Chips"/>
        <s v="Cacao"/>
        <s v="Cereal"/>
        <s v="Soy Burger"/>
        <s v="Rice, brown"/>
        <s v="Corn, field, oil"/>
        <s v="Corn, field, meal"/>
        <s v="Canola"/>
        <s v="Corn, field"/>
        <s v="Soybean, seed"/>
        <s v="Wheat, flour"/>
        <s v="Rice, white"/>
        <s v="Peanut, butter"/>
        <s v="Sugarcane, sugar"/>
        <s v="Cocoa Liquor"/>
        <s v="Cocoa Butter"/>
        <s v="Cocoa Cake"/>
        <s v="Cocoa bean, Powder"/>
        <s v="orange"/>
        <s v="Peach"/>
        <s v="Mandarins"/>
        <s v="Asparagus"/>
        <s v="Oat, groats/rolled oats"/>
        <s v="Beer"/>
        <s v="Potato, Flour"/>
        <s v="Cucumber, greenhouse"/>
        <s v="snail"/>
        <s v="Guar, Seed"/>
        <s v="Cassava Starch"/>
        <s v="Rapeseed, oil"/>
        <s v="Hazelnut"/>
        <s v="Hazelnuts, paste"/>
        <s v="Pistachio"/>
        <s v="Hazelnut, Spread"/>
        <s v="Hazelnut, Chocolate covered"/>
        <s v="Essential Oil, orange"/>
        <s v="Essential Oil, Lemon"/>
        <s v="Lemon, juice"/>
        <s v="Orange, Juice,  concentrate"/>
        <s v="Lemon, Juice, concentrate"/>
        <s v="Blackberry, Andean"/>
        <s v="Lulo"/>
        <s v="Passion Fruit"/>
        <s v="Tree Tomato"/>
        <s v="Golden Berry"/>
        <s v="Mango"/>
        <s v="Cherry"/>
        <s v="Garlic, bulb"/>
        <s v="Pea, succulent"/>
        <s v="Tomato, juice"/>
        <s v="Strawberry, greenhouse"/>
        <s v="liquor"/>
        <s v="Gooseberry"/>
        <s v="Cranberry"/>
        <s v="Turnip, roots"/>
        <s v="Lemon"/>
        <s v="Lime"/>
        <s v="Grapefruit"/>
        <s v="Millet, grain"/>
        <s v="Sesame, seed"/>
        <s v="Chestnut"/>
        <s v="Ginger"/>
        <s v="Cinnamon"/>
        <s v="Plum"/>
        <s v="Guava"/>
        <s v="Yam, true"/>
        <s v="Bean, cowpea, seed"/>
        <s v="Date"/>
        <s v="Plantain"/>
        <s v="Artichoke, globe"/>
        <s v="Cottonseed, oil"/>
        <s v="Pea, dry"/>
        <s v="Sunflower, seed"/>
        <s v="Coconut, meat"/>
        <s v="Corn, field, flour"/>
        <s v="Oat, flour"/>
        <s v="clover, seed"/>
        <s v="Bean, broad, seed"/>
        <s v="Beet, garden, roots"/>
        <s v="Cabbage"/>
        <s v="kale"/>
        <s v="Watermelon"/>
        <s v="zucchini"/>
        <s v="Bean, dry"/>
        <s v="squash, winter"/>
        <s v="Celery"/>
        <s v="lettuce, head"/>
        <s v="hops"/>
        <s v="pumpkin"/>
        <s v="lentil, seed"/>
        <s v="Chickpea, seed"/>
        <s v="Sugarcane, molasses"/>
        <s v="soybean, meal"/>
        <s v="Corn, sweet"/>
        <s v="beet, sugar"/>
        <s v="beet, sugar, molasses"/>
        <s v="Cassava"/>
        <s v="chicory, roots"/>
        <s v="Coconut, oil"/>
        <s v="Pea, pigeon, seed"/>
        <s v="Rice, bran"/>
        <s v="Rye, flour"/>
        <s v="Rye, grain"/>
        <s v="Pepper, black and white"/>
        <s v="Apricot"/>
        <s v="Papaya"/>
        <s v="corn, field, starch"/>
        <s v="Grape, wine and sherry"/>
        <s v="Maple syrup"/>
        <s v="Meat, game"/>
        <s v="Water, direct, tap"/>
        <s v="Water, direct, bottled"/>
        <s v="Tempeh"/>
        <s v="Herbs and Spices"/>
        <s v="carrot, frozen"/>
        <s v="onion"/>
        <s v="quinoa"/>
        <s v="fish sticks"/>
        <s v="pepper, nonbell"/>
        <s v="cantaloupe"/>
        <s v="sweet corn"/>
        <s v="Melon"/>
        <s v="Melon, greenhouse"/>
        <s v="Pepper, greenhouse"/>
        <s v="Zucchini, greenhouse"/>
        <m/>
        <s v="Almonds" u="1"/>
        <s v="x_Strawberry, greenhouse" u="1"/>
        <s v="Bean,  dry" u="1"/>
        <s v="Shrimp" u="1"/>
        <s v="x_Lettuce, greenhouse" u="1"/>
        <s v="Okra" u="1"/>
        <s v="Poultry" u="1"/>
        <s v="Water chestnut" u="1"/>
        <s v="Fruits, Citrus " u="1"/>
        <s v="Olives_x" u="1"/>
        <s v="x_Cucumber, greenhouse" u="1"/>
        <s v="Citrus Fruits" u="1"/>
        <s v="Potato, chips " u="1"/>
        <s v="Flour, Whole Wheat" u="1"/>
        <s v="x_Beef from dairy" u="1"/>
        <s v="Rapeseed, Oil_x" u="1"/>
        <s v=" Cocoa Butter" u="1"/>
        <s v="x_Tomato, greenhouse" u="1"/>
        <s v="Strawberries_x" u="1"/>
        <s v="Potato, tuber, w/ peel" u="1"/>
        <s v="x_Bean, snap, succulent, air freight" u="1"/>
        <s v="Lettuce_x" u="1"/>
        <s v="x_Escarole_greenhouse" u="1"/>
        <s v="wheat" u="1"/>
        <s v="Bean, brown" u="1"/>
      </sharedItems>
    </cacheField>
    <cacheField name="FOOD FORM" numFmtId="0">
      <sharedItems containsBlank="1"/>
    </cacheField>
    <cacheField name="PRODUCT OR PRODUCTION SPECIFICS" numFmtId="0">
      <sharedItems containsBlank="1"/>
    </cacheField>
    <cacheField name="COMPARES PRODUCTION STRATEGIES / METHODS?" numFmtId="0">
      <sharedItems containsBlank="1"/>
    </cacheField>
    <cacheField name="COUNTRY OF ORIGIN" numFmtId="0">
      <sharedItems containsBlank="1"/>
    </cacheField>
    <cacheField name="Publication Year" numFmtId="0">
      <sharedItems containsBlank="1" containsMixedTypes="1" containsNumber="1" containsInteger="1" minValue="2002" maxValue="2018"/>
    </cacheField>
    <cacheField name="Publication Authors" numFmtId="0">
      <sharedItems containsBlank="1"/>
    </cacheField>
    <cacheField name="Publication Author Affiliations" numFmtId="0">
      <sharedItems containsBlank="1" longText="1"/>
    </cacheField>
    <cacheField name="Publication Source Type" numFmtId="0">
      <sharedItems containsBlank="1"/>
    </cacheField>
    <cacheField name="Bibliographic Reference" numFmtId="0">
      <sharedItems containsBlank="1" longText="1"/>
    </cacheField>
    <cacheField name="LC Stage: Ag Production" numFmtId="0">
      <sharedItems containsBlank="1"/>
    </cacheField>
    <cacheField name="LC Stage: LU/LUC" numFmtId="0">
      <sharedItems containsBlank="1"/>
    </cacheField>
    <cacheField name="LC Stage: Transport Farm to Processing" numFmtId="0">
      <sharedItems containsBlank="1"/>
    </cacheField>
    <cacheField name="LC Stage: Processing" numFmtId="0">
      <sharedItems containsBlank="1"/>
    </cacheField>
    <cacheField name="LC Stage: Packaging" numFmtId="0">
      <sharedItems containsBlank="1"/>
    </cacheField>
    <cacheField name="LC Stage: Transport Processing to Retail" numFmtId="0">
      <sharedItems containsBlank="1"/>
    </cacheField>
    <cacheField name="LC Stage: Retail" numFmtId="0">
      <sharedItems containsBlank="1"/>
    </cacheField>
    <cacheField name="LC Stage: Transport Retail to Consumer" numFmtId="0">
      <sharedItems containsBlank="1"/>
    </cacheField>
    <cacheField name="LC Stage: Household Storge" numFmtId="0">
      <sharedItems containsBlank="1"/>
    </cacheField>
    <cacheField name="LC Stage: Prep and Cooking" numFmtId="0">
      <sharedItems containsBlank="1"/>
    </cacheField>
    <cacheField name="LC Stage: Dishwashing" numFmtId="0">
      <sharedItems containsBlank="1"/>
    </cacheField>
    <cacheField name="LC Stage: Capital Goods" numFmtId="0">
      <sharedItems containsBlank="1"/>
    </cacheField>
    <cacheField name="LC Stage: Other" numFmtId="0">
      <sharedItems containsBlank="1"/>
    </cacheField>
    <cacheField name="LC Stage: Notes" numFmtId="0">
      <sharedItems containsBlank="1" longText="1"/>
    </cacheField>
    <cacheField name="Inclusion of Food Waste?" numFmtId="0">
      <sharedItems containsBlank="1"/>
    </cacheField>
    <cacheField name="Results at Intermediary Stages?" numFmtId="0">
      <sharedItems containsBlank="1"/>
    </cacheField>
    <cacheField name="Reported Functional Unit" numFmtId="0">
      <sharedItems containsBlank="1"/>
    </cacheField>
    <cacheField name="Adjustment of FU for KG Edible Food" numFmtId="0">
      <sharedItems containsBlank="1" longText="1"/>
    </cacheField>
    <cacheField name="ACTIVE     CED, FARM GATE (MJ/kg)" numFmtId="0">
      <sharedItems containsBlank="1" containsMixedTypes="1" containsNumber="1" minValue="0" maxValue="1066.6666666666667"/>
    </cacheField>
    <cacheField name="CED, processor gate (MJ/kg)" numFmtId="0">
      <sharedItems containsBlank="1" containsMixedTypes="1" containsNumber="1" minValue="4.1807661240187933E-3" maxValue="246.05"/>
    </cacheField>
    <cacheField name="ACTIVE     GHGE, FARM GATE (kg CO2e/kg)" numFmtId="0">
      <sharedItems containsBlank="1" containsMixedTypes="1" containsNumber="1" minValue="-0.01" maxValue="166.71732522796353"/>
    </cacheField>
    <cacheField name="GHGE, processor gate (kg CO2e/kg)" numFmtId="0">
      <sharedItems containsBlank="1" containsMixedTypes="1" containsNumber="1" minValue="2.7919572459079257E-4" maxValue="58.44"/>
    </cacheField>
    <cacheField name="CED,Ag Production (MJ/kg)" numFmtId="0">
      <sharedItems containsString="0" containsBlank="1" containsNumber="1" minValue="0" maxValue="1066.6666666666667"/>
    </cacheField>
    <cacheField name="CED,Transport Farm to Processing (MJ/kg)" numFmtId="0">
      <sharedItems containsString="0" containsBlank="1" containsNumber="1" minValue="3.1E-2" maxValue="27.203220000000002"/>
    </cacheField>
    <cacheField name="CED,Processing (MJ/kg)" numFmtId="0">
      <sharedItems containsString="0" containsBlank="1" containsNumber="1" minValue="0" maxValue="187.5"/>
    </cacheField>
    <cacheField name="CED,Packaging (MJ/kg)" numFmtId="0">
      <sharedItems containsString="0" containsBlank="1" containsNumber="1" minValue="0" maxValue="100"/>
    </cacheField>
    <cacheField name="CED, Distibribution (MJ/kg)" numFmtId="0">
      <sharedItems containsString="0" containsBlank="1" containsNumber="1" minValue="0" maxValue="854.83870967741939"/>
    </cacheField>
    <cacheField name="CED, Retail Stages (MJ/kg)" numFmtId="0">
      <sharedItems containsString="0" containsBlank="1" containsNumber="1" minValue="0.03" maxValue="55.115565546219393"/>
    </cacheField>
    <cacheField name="CED,Consumer Stages (MJ/kg)" numFmtId="0">
      <sharedItems containsString="0" containsBlank="1" containsNumber="1" minValue="8.9189677312400935E-4" maxValue="377.14285714285717"/>
    </cacheField>
    <cacheField name="CED, End of Life (MJ/kg)" numFmtId="0">
      <sharedItems containsString="0" containsBlank="1" containsNumber="1" minValue="-7.6923076923076934" maxValue="2.81"/>
    </cacheField>
    <cacheField name="CED,Capital Goods (MJ/kg)" numFmtId="0">
      <sharedItems containsString="0" containsBlank="1" containsNumber="1" minValue="0" maxValue="71.111111111111114"/>
    </cacheField>
    <cacheField name="CED, FARM GATE (MJ/kg)" numFmtId="0">
      <sharedItems containsString="0" containsBlank="1" containsNumber="1" minValue="0" maxValue="1066.6666666666667"/>
    </cacheField>
    <cacheField name="CED, TOTAL LC (MJ/kg)" numFmtId="0">
      <sharedItems containsString="0" containsBlank="1" containsNumber="1" minValue="4.0298507462686569E-3" maxValue="7200"/>
    </cacheField>
    <cacheField name="CED, LCIA METHOD AND UNIT" numFmtId="0">
      <sharedItems containsBlank="1"/>
    </cacheField>
    <cacheField name="Notes (CED)" numFmtId="0">
      <sharedItems containsBlank="1"/>
    </cacheField>
    <cacheField name="GHGE, Ag Production (kg CO2e/kg)" numFmtId="0">
      <sharedItems containsBlank="1" containsMixedTypes="1" containsNumber="1" minValue="-0.01" maxValue="166.71732522796353"/>
    </cacheField>
    <cacheField name="GHGE, Transport Farm to Processing (kg CO2e/kg)" numFmtId="0">
      <sharedItems containsString="0" containsBlank="1" containsNumber="1" minValue="1.1000000000000001E-3" maxValue="11.120000000000001"/>
    </cacheField>
    <cacheField name="GHGE, Processing (kg CO2e/kg)" numFmtId="0">
      <sharedItems containsBlank="1" containsMixedTypes="1" containsNumber="1" minValue="0" maxValue="50.440724000000003"/>
    </cacheField>
    <cacheField name="GHGE, Packaging (kg CO2e/kg)" numFmtId="0">
      <sharedItems containsBlank="1" containsMixedTypes="1" containsNumber="1" minValue="0" maxValue="5.5175000000000001"/>
    </cacheField>
    <cacheField name="GHGE, Distribution (kg CO2e/kg)" numFmtId="0">
      <sharedItems containsBlank="1" containsMixedTypes="1" containsNumber="1" minValue="0" maxValue="56.451612903225808"/>
    </cacheField>
    <cacheField name="GHGE, Retail Stages (kg CO2e/kg)" numFmtId="0">
      <sharedItems containsBlank="1" containsMixedTypes="1" containsNumber="1" minValue="7.0500000000000001E-4" maxValue="5.4013254235295012"/>
    </cacheField>
    <cacheField name="GHGE, Consumer Stages (kg CO2e/kg)" numFmtId="0">
      <sharedItems containsString="0" containsBlank="1" containsNumber="1" minValue="6.230977544515541E-5" maxValue="17.5"/>
    </cacheField>
    <cacheField name="GHGE, End of Life (kg CO2e/kg)" numFmtId="0">
      <sharedItems containsBlank="1" containsMixedTypes="1" containsNumber="1" minValue="-1.1000000000000001" maxValue="0.9538461538461539"/>
    </cacheField>
    <cacheField name="GHGE, Capital Goods (kg CO2e/kg)" numFmtId="0">
      <sharedItems containsString="0" containsBlank="1" containsNumber="1" minValue="-0.12039603960396039" maxValue="2.5999999999999996"/>
    </cacheField>
    <cacheField name="GHGE, FARM GATE (kg CO2e/kg)" numFmtId="0">
      <sharedItems containsBlank="1" containsMixedTypes="1" containsNumber="1" minValue="-0.01" maxValue="166.71732522796353"/>
    </cacheField>
    <cacheField name="GHGE, TOTAL LC (kg CO2e/kg)" numFmtId="0">
      <sharedItems containsBlank="1" containsMixedTypes="1" containsNumber="1" minValue="-3.4347826086956519" maxValue="118.62548000000001"/>
    </cacheField>
    <cacheField name="reported variance" numFmtId="0">
      <sharedItems containsBlank="1" containsMixedTypes="1" containsNumber="1" minValue="2.9000000000000001E-2" maxValue="0.43"/>
    </cacheField>
    <cacheField name="GHGE, LCIA METHOD AND UNIT"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ler, Martin" refreshedDate="43735.588944675925" createdVersion="4" refreshedVersion="6" minRefreshableVersion="3" recordCount="1646" xr:uid="{00000000-000A-0000-FFFF-FFFF01000000}">
  <cacheSource type="worksheet">
    <worksheetSource ref="C1:BG1048576" sheet="literature entries"/>
  </cacheSource>
  <cacheFields count="57">
    <cacheField name="FOOD TYPE" numFmtId="0">
      <sharedItems containsBlank="1" count="14">
        <s v="Dairy"/>
        <s v="Meat"/>
        <s v="Eggs"/>
        <s v="Vegetables"/>
        <s v="Fruit"/>
        <s v="Cereals and Grains"/>
        <s v="Meat Substitutes"/>
        <s v="Beverages"/>
        <s v="Oils and Fats"/>
        <s v="Sweeteners"/>
        <s v="Other"/>
        <s v="Legumes and Nuts"/>
        <s v="Fish and Seafood"/>
        <m/>
      </sharedItems>
    </cacheField>
    <cacheField name="SUB TYPE" numFmtId="0">
      <sharedItems containsBlank="1" count="269">
        <s v="Fluid Milk, Cow"/>
        <s v="Sheep"/>
        <s v="Eggs, Chicken"/>
        <s v="Beef"/>
        <s v="Cheese, Cow"/>
        <s v="Yogurt, Cow"/>
        <s v="Fluid Milk, Cream"/>
        <s v="Butter"/>
        <s v="Tomato, puree"/>
        <s v="Cottage Cheese"/>
        <s v="Sour Cream"/>
        <s v="Fluid Milk, Buttermilk"/>
        <s v="Dairy Products, Fozen"/>
        <s v="Dairy Powders"/>
        <s v="Fluid Milk, Concentrate"/>
        <s v="Tomato, chopped"/>
        <s v="Tomato, peeled"/>
        <s v="Tomato, paste"/>
        <s v="Tomato, greenhouse"/>
        <s v="Tomato"/>
        <s v="Banana"/>
        <s v="Margarine"/>
        <s v="Bread"/>
        <s v="Pork"/>
        <s v="Chicken"/>
        <s v="Beef from dairy"/>
        <s v="Fluid Milk, Buffalo"/>
        <s v="Fluid Milk, Sheep"/>
        <s v="Goat"/>
        <s v="Fluid Milk, Goat"/>
        <s v="Poultry, other"/>
        <s v="Turkey"/>
        <s v="Veal"/>
        <s v="Rabbit, meat"/>
        <s v="Falafel, Tivall"/>
        <s v="Vegetable Patty"/>
        <s v="Meatless"/>
        <s v="Quorn"/>
        <s v="Tofu"/>
        <s v="Valess"/>
        <s v="Soybean, soy milk"/>
        <s v="Cheese, Goat"/>
        <s v="Cheese, Buffalo"/>
        <s v="Pineapple"/>
        <s v="Potato, tuber, w/peel"/>
        <s v="Rapeseed"/>
        <s v="Palm, oil"/>
        <s v="soybean, oil"/>
        <s v="x_Rapeseed, Oil"/>
        <s v="Sunflower, oil"/>
        <s v="Peanut, Oil"/>
        <s v="Olive, oil"/>
        <s v="Honey"/>
        <s v="Grapes, Wine"/>
        <s v="Potato, tuber, w/o peel"/>
        <s v="Potatoes, mashed"/>
        <s v="Potato, chips"/>
        <s v="Lettuce, leaf"/>
        <s v="Barley"/>
        <s v="Lettuce, greenhouse"/>
        <s v="Escarole"/>
        <s v="Escarole, greenhouse"/>
        <s v="x_Lettuce"/>
        <s v="Mushroom"/>
        <s v="x_Strawberries"/>
        <s v="Orange, Juice"/>
        <s v="Apple, fruit with peel"/>
        <s v="Wheat, grain"/>
        <s v="Raspberry"/>
        <s v="Fruits, Citrus"/>
        <s v="Fruits"/>
        <s v="Fruits, Subtropical"/>
        <s v="Treenuts"/>
        <s v="Olive"/>
        <s v="x_Olives"/>
        <s v="Broccoli"/>
        <s v="Lettuce, leaf, air freight"/>
        <s v="Bean, snap, succulent"/>
        <s v="Bean, snap, succulent, air freight"/>
        <s v="Blueberry"/>
        <s v="Grape, Raisin"/>
        <s v="Strawberry"/>
        <s v="Almond"/>
        <s v="Walnut"/>
        <s v="Asparagus, air freight"/>
        <s v="Pear"/>
        <s v="Cucumber"/>
        <s v="Grape"/>
        <s v="Pepper, bell"/>
        <s v="Avocado"/>
        <s v="Honeydew melon"/>
        <s v="Kiwifruit, fuzzy"/>
        <s v="Leek"/>
        <s v="onion, bulb"/>
        <s v="Carrot"/>
        <s v="Cauliflower"/>
        <s v="Fennel, Florence"/>
        <s v="Eggplant"/>
        <s v="Fennel, Cauliflower, Broccoli"/>
        <s v="Squash, Summer"/>
        <s v="Spinach"/>
        <s v="Fish-Saltwater Finfish, Tuna"/>
        <s v="Fish-Freshwater Finfish, Farm Raised"/>
        <s v="Fish-Shellfish, Mollusc"/>
        <s v="Fish-Saltwater Finfish, Other"/>
        <s v="Coffee, Instant"/>
        <s v="Coffee, roasted bean"/>
        <s v="Coffee, brewed"/>
        <s v="Tea, dried"/>
        <s v="Tea"/>
        <s v="Carbonated Drinks"/>
        <s v="Fish-Shellfish, Crustacean"/>
        <s v="Fish-Freshwater Finfish"/>
        <s v="Candy"/>
        <s v="Cocoa Bean, Chocolate"/>
        <s v="Peanut"/>
        <s v="Cashew"/>
        <s v="tropical fruit"/>
        <s v="Corn, Chips"/>
        <s v="Cacao"/>
        <s v="Cereal"/>
        <s v="Soy Burger"/>
        <s v="Rice, brown"/>
        <s v="Corn, field, oil"/>
        <s v="Corn, field, meal"/>
        <s v="Canola"/>
        <s v="Corn, field"/>
        <s v="Soybean, seed"/>
        <s v="Wheat, flour"/>
        <s v="Rice, white"/>
        <s v="Peanut, butter"/>
        <s v="Sugarcane, sugar"/>
        <s v="Cocoa Liquor"/>
        <s v="Cocoa Butter"/>
        <s v="Cocoa Cake"/>
        <s v="Cocoa bean, Powder"/>
        <s v="orange"/>
        <s v="Peach"/>
        <s v="Mandarins"/>
        <s v="Asparagus"/>
        <s v="Oat, groats/rolled oats"/>
        <s v="Beer"/>
        <s v="Potato, Flour"/>
        <s v="Cucumber, greenhouse"/>
        <s v="snail"/>
        <s v="Guar, Seed"/>
        <s v="Cassava Starch"/>
        <s v="Rapeseed, oil"/>
        <s v="Hazelnut"/>
        <s v="Hazelnuts, paste"/>
        <s v="Pistachio"/>
        <s v="Hazelnut, Spread"/>
        <s v="Hazelnut, Chocolate covered"/>
        <s v="Essential Oil, orange"/>
        <s v="Essential Oil, Lemon"/>
        <s v="Lemon, juice"/>
        <s v="Orange, Juice,  concentrate"/>
        <s v="Lemon, Juice, concentrate"/>
        <s v="Blackberry, Andean"/>
        <s v="Lulo"/>
        <s v="Passion Fruit"/>
        <s v="Tree Tomato"/>
        <s v="Golden Berry"/>
        <s v="Mango"/>
        <s v="Cherry"/>
        <s v="Garlic, bulb"/>
        <s v="Pea, succulent"/>
        <s v="Tomato, juice"/>
        <s v="Strawberry, greenhouse"/>
        <s v="liquor"/>
        <s v="Gooseberry"/>
        <s v="Cranberry"/>
        <s v="Turnip, roots"/>
        <s v="Lemon"/>
        <s v="Lime"/>
        <s v="Grapefruit"/>
        <s v="Millet, grain"/>
        <s v="Sesame, seed"/>
        <s v="Chestnut"/>
        <s v="Ginger"/>
        <s v="Cinnamon"/>
        <s v="Plum"/>
        <s v="Guava"/>
        <s v="Yam, true"/>
        <s v="Bean, cowpea, seed"/>
        <s v="Date"/>
        <s v="Plantain"/>
        <s v="Artichoke, globe"/>
        <s v="Cottonseed, oil"/>
        <s v="Pea, dry"/>
        <s v="Sunflower, seed"/>
        <s v="Coconut, meat"/>
        <s v="Corn, field, flour"/>
        <s v="Oat, flour"/>
        <s v="clover, seed"/>
        <s v="Bean, broad, seed"/>
        <s v="Beet, garden, roots"/>
        <s v="Cabbage"/>
        <s v="kale"/>
        <s v="Watermelon"/>
        <s v="zucchini"/>
        <s v="Bean, dry"/>
        <s v="squash, winter"/>
        <s v="Celery"/>
        <s v="lettuce, head"/>
        <s v="hops"/>
        <s v="pumpkin"/>
        <s v="lentil, seed"/>
        <s v="Chickpea, seed"/>
        <s v="Sugarcane, molasses"/>
        <s v="soybean, meal"/>
        <s v="Corn, sweet"/>
        <s v="beet, sugar"/>
        <s v="beet, sugar, molasses"/>
        <s v="Cassava"/>
        <s v="chicory, roots"/>
        <s v="Coconut, oil"/>
        <s v="Pea, pigeon, seed"/>
        <s v="Rice, bran"/>
        <s v="Rye, flour"/>
        <s v="Rye, grain"/>
        <s v="Pepper, black and white"/>
        <s v="Apricot"/>
        <s v="Papaya"/>
        <s v="corn, field, starch"/>
        <s v="Grape, wine and sherry"/>
        <s v="Maple syrup"/>
        <s v="Meat, game"/>
        <s v="Water, direct, tap"/>
        <s v="Water, direct, bottled"/>
        <s v="Tempeh"/>
        <s v="Herbs and Spices"/>
        <s v="carrot, frozen"/>
        <s v="onion"/>
        <s v="quinoa"/>
        <s v="fish sticks"/>
        <s v="pepper, nonbell"/>
        <s v="cantaloupe"/>
        <s v="sweet corn"/>
        <s v="Melon"/>
        <s v="Melon, greenhouse"/>
        <s v="Pepper, greenhouse"/>
        <s v="Zucchini, greenhouse"/>
        <m/>
        <s v="Almonds" u="1"/>
        <s v="x_Strawberry, greenhouse" u="1"/>
        <s v="Bean,  dry" u="1"/>
        <s v="Shrimp" u="1"/>
        <s v="x_Lettuce, greenhouse" u="1"/>
        <s v="Okra" u="1"/>
        <s v="Poultry" u="1"/>
        <s v="Water chestnut" u="1"/>
        <s v="Fruits, Citrus " u="1"/>
        <s v="Olives_x" u="1"/>
        <s v="x_Cucumber, greenhouse" u="1"/>
        <s v="Citrus Fruits" u="1"/>
        <s v="Potato, chips " u="1"/>
        <s v="Flour, Whole Wheat" u="1"/>
        <s v="x_Beef from dairy" u="1"/>
        <s v="Rapeseed, Oil_x" u="1"/>
        <s v=" Cocoa Butter" u="1"/>
        <s v="x_Tomato, greenhouse" u="1"/>
        <s v="Strawberries_x" u="1"/>
        <s v="Potato, tuber, w/ peel" u="1"/>
        <s v="x_Bean, snap, succulent, air freight" u="1"/>
        <s v="Lettuce_x" u="1"/>
        <s v="x_Escarole_greenhouse" u="1"/>
        <s v="wheat" u="1"/>
        <s v="Bean, brown" u="1"/>
      </sharedItems>
    </cacheField>
    <cacheField name="FOOD FORM" numFmtId="0">
      <sharedItems containsBlank="1"/>
    </cacheField>
    <cacheField name="PRODUCT OR PRODUCTION SPECIFICS" numFmtId="0">
      <sharedItems containsBlank="1"/>
    </cacheField>
    <cacheField name="COMPARES PRODUCTION STRATEGIES / METHODS?" numFmtId="0">
      <sharedItems containsBlank="1"/>
    </cacheField>
    <cacheField name="COUNTRY OF ORIGIN" numFmtId="0">
      <sharedItems containsBlank="1"/>
    </cacheField>
    <cacheField name="Publication Year" numFmtId="0">
      <sharedItems containsBlank="1" containsMixedTypes="1" containsNumber="1" containsInteger="1" minValue="2002" maxValue="2018"/>
    </cacheField>
    <cacheField name="Publication Authors" numFmtId="0">
      <sharedItems containsBlank="1"/>
    </cacheField>
    <cacheField name="Publication Author Affiliations" numFmtId="0">
      <sharedItems containsBlank="1" longText="1"/>
    </cacheField>
    <cacheField name="Publication Source Type" numFmtId="0">
      <sharedItems containsBlank="1"/>
    </cacheField>
    <cacheField name="Bibliographic Reference" numFmtId="0">
      <sharedItems containsBlank="1" longText="1"/>
    </cacheField>
    <cacheField name="LC Stage: Ag Production" numFmtId="0">
      <sharedItems containsBlank="1"/>
    </cacheField>
    <cacheField name="LC Stage: LU/LUC" numFmtId="0">
      <sharedItems containsBlank="1"/>
    </cacheField>
    <cacheField name="LC Stage: Transport Farm to Processing" numFmtId="0">
      <sharedItems containsBlank="1"/>
    </cacheField>
    <cacheField name="LC Stage: Processing" numFmtId="0">
      <sharedItems containsBlank="1"/>
    </cacheField>
    <cacheField name="LC Stage: Packaging" numFmtId="0">
      <sharedItems containsBlank="1"/>
    </cacheField>
    <cacheField name="LC Stage: Transport Processing to Retail" numFmtId="0">
      <sharedItems containsBlank="1"/>
    </cacheField>
    <cacheField name="LC Stage: Retail" numFmtId="0">
      <sharedItems containsBlank="1"/>
    </cacheField>
    <cacheField name="LC Stage: Transport Retail to Consumer" numFmtId="0">
      <sharedItems containsBlank="1"/>
    </cacheField>
    <cacheField name="LC Stage: Household Storge" numFmtId="0">
      <sharedItems containsBlank="1"/>
    </cacheField>
    <cacheField name="LC Stage: Prep and Cooking" numFmtId="0">
      <sharedItems containsBlank="1"/>
    </cacheField>
    <cacheField name="LC Stage: Dishwashing" numFmtId="0">
      <sharedItems containsBlank="1"/>
    </cacheField>
    <cacheField name="LC Stage: Capital Goods" numFmtId="0">
      <sharedItems containsBlank="1"/>
    </cacheField>
    <cacheField name="LC Stage: Other" numFmtId="0">
      <sharedItems containsBlank="1"/>
    </cacheField>
    <cacheField name="LC Stage: Notes" numFmtId="0">
      <sharedItems containsBlank="1" longText="1"/>
    </cacheField>
    <cacheField name="Inclusion of Food Waste?" numFmtId="0">
      <sharedItems containsBlank="1"/>
    </cacheField>
    <cacheField name="Results at Intermediary Stages?" numFmtId="0">
      <sharedItems containsBlank="1"/>
    </cacheField>
    <cacheField name="Reported Functional Unit" numFmtId="0">
      <sharedItems containsBlank="1"/>
    </cacheField>
    <cacheField name="Adjustment of FU for KG Edible Food" numFmtId="0">
      <sharedItems containsBlank="1" longText="1"/>
    </cacheField>
    <cacheField name="ACTIVE     CED, FARM GATE (MJ/kg)" numFmtId="0">
      <sharedItems containsBlank="1" containsMixedTypes="1" containsNumber="1" minValue="0" maxValue="1066.6666666666667"/>
    </cacheField>
    <cacheField name="CED, processor gate (MJ/kg)" numFmtId="0">
      <sharedItems containsBlank="1" containsMixedTypes="1" containsNumber="1" minValue="4.1807661240187933E-3" maxValue="246.05"/>
    </cacheField>
    <cacheField name="ACTIVE     GHGE, FARM GATE (kg CO2e/kg)" numFmtId="0">
      <sharedItems containsBlank="1" containsMixedTypes="1" containsNumber="1" minValue="-0.01" maxValue="166.71732522796353"/>
    </cacheField>
    <cacheField name="GHGE, processor gate (kg CO2e/kg)" numFmtId="0">
      <sharedItems containsBlank="1" containsMixedTypes="1" containsNumber="1" minValue="2.7919572459079257E-4" maxValue="58.44"/>
    </cacheField>
    <cacheField name="CED,Ag Production (MJ/kg)" numFmtId="0">
      <sharedItems containsString="0" containsBlank="1" containsNumber="1" minValue="0" maxValue="1066.6666666666667"/>
    </cacheField>
    <cacheField name="CED,Transport Farm to Processing (MJ/kg)" numFmtId="0">
      <sharedItems containsString="0" containsBlank="1" containsNumber="1" minValue="3.1E-2" maxValue="27.203220000000002"/>
    </cacheField>
    <cacheField name="CED,Processing (MJ/kg)" numFmtId="0">
      <sharedItems containsString="0" containsBlank="1" containsNumber="1" minValue="0" maxValue="187.5"/>
    </cacheField>
    <cacheField name="CED,Packaging (MJ/kg)" numFmtId="0">
      <sharedItems containsString="0" containsBlank="1" containsNumber="1" minValue="0" maxValue="100"/>
    </cacheField>
    <cacheField name="CED, Distibribution (MJ/kg)" numFmtId="0">
      <sharedItems containsString="0" containsBlank="1" containsNumber="1" minValue="0" maxValue="854.83870967741939"/>
    </cacheField>
    <cacheField name="CED, Retail Stages (MJ/kg)" numFmtId="0">
      <sharedItems containsString="0" containsBlank="1" containsNumber="1" minValue="0.03" maxValue="55.115565546219393"/>
    </cacheField>
    <cacheField name="CED,Consumer Stages (MJ/kg)" numFmtId="0">
      <sharedItems containsString="0" containsBlank="1" containsNumber="1" minValue="8.9189677312400935E-4" maxValue="377.14285714285717"/>
    </cacheField>
    <cacheField name="CED, End of Life (MJ/kg)" numFmtId="0">
      <sharedItems containsString="0" containsBlank="1" containsNumber="1" minValue="-7.6923076923076934" maxValue="2.81"/>
    </cacheField>
    <cacheField name="CED,Capital Goods (MJ/kg)" numFmtId="0">
      <sharedItems containsString="0" containsBlank="1" containsNumber="1" minValue="0" maxValue="71.111111111111114"/>
    </cacheField>
    <cacheField name="CED, FARM GATE (MJ/kg)" numFmtId="0">
      <sharedItems containsString="0" containsBlank="1" containsNumber="1" minValue="0" maxValue="1066.6666666666667"/>
    </cacheField>
    <cacheField name="CED, TOTAL LC (MJ/kg)" numFmtId="0">
      <sharedItems containsString="0" containsBlank="1" containsNumber="1" minValue="4.0298507462686569E-3" maxValue="7200"/>
    </cacheField>
    <cacheField name="CED, LCIA METHOD AND UNIT" numFmtId="0">
      <sharedItems containsBlank="1"/>
    </cacheField>
    <cacheField name="Notes (CED)" numFmtId="0">
      <sharedItems containsBlank="1"/>
    </cacheField>
    <cacheField name="GHGE, Ag Production (kg CO2e/kg)" numFmtId="0">
      <sharedItems containsBlank="1" containsMixedTypes="1" containsNumber="1" minValue="-0.01" maxValue="166.71732522796353"/>
    </cacheField>
    <cacheField name="GHGE, Transport Farm to Processing (kg CO2e/kg)" numFmtId="0">
      <sharedItems containsString="0" containsBlank="1" containsNumber="1" minValue="1.1000000000000001E-3" maxValue="11.120000000000001"/>
    </cacheField>
    <cacheField name="GHGE, Processing (kg CO2e/kg)" numFmtId="0">
      <sharedItems containsBlank="1" containsMixedTypes="1" containsNumber="1" minValue="0" maxValue="50.440724000000003"/>
    </cacheField>
    <cacheField name="GHGE, Packaging (kg CO2e/kg)" numFmtId="0">
      <sharedItems containsBlank="1" containsMixedTypes="1" containsNumber="1" minValue="0" maxValue="5.5175000000000001"/>
    </cacheField>
    <cacheField name="GHGE, Distribution (kg CO2e/kg)" numFmtId="0">
      <sharedItems containsBlank="1" containsMixedTypes="1" containsNumber="1" minValue="0" maxValue="56.451612903225808"/>
    </cacheField>
    <cacheField name="GHGE, Retail Stages (kg CO2e/kg)" numFmtId="0">
      <sharedItems containsBlank="1" containsMixedTypes="1" containsNumber="1" minValue="7.0500000000000001E-4" maxValue="5.4013254235295012"/>
    </cacheField>
    <cacheField name="GHGE, Consumer Stages (kg CO2e/kg)" numFmtId="0">
      <sharedItems containsString="0" containsBlank="1" containsNumber="1" minValue="6.230977544515541E-5" maxValue="17.5"/>
    </cacheField>
    <cacheField name="GHGE, End of Life (kg CO2e/kg)" numFmtId="0">
      <sharedItems containsBlank="1" containsMixedTypes="1" containsNumber="1" minValue="-1.1000000000000001" maxValue="0.9538461538461539"/>
    </cacheField>
    <cacheField name="GHGE, Capital Goods (kg CO2e/kg)" numFmtId="0">
      <sharedItems containsString="0" containsBlank="1" containsNumber="1" minValue="-0.12039603960396039" maxValue="2.5999999999999996"/>
    </cacheField>
    <cacheField name="GHGE, FARM GATE (kg CO2e/kg)" numFmtId="0">
      <sharedItems containsBlank="1" containsMixedTypes="1" containsNumber="1" minValue="-0.01" maxValue="166.71732522796353"/>
    </cacheField>
    <cacheField name="GHGE, TOTAL LC (kg CO2e/kg)" numFmtId="0">
      <sharedItems containsBlank="1" containsMixedTypes="1" containsNumber="1" minValue="-3.4347826086956519" maxValue="118.625480000000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46">
  <r>
    <x v="0"/>
    <x v="0"/>
    <s v="Fresh or Not Specified"/>
    <s v="Liquid Milk"/>
    <s v="No"/>
    <s v="USA"/>
    <n v="2013"/>
    <s v="Greg Thoma a; Jennie Popp b; Darin Nutter c; David Shonnard d; Richard Ulrich a; Marty Matlock e; Dae Soo Kim a; Zara Neiderman e; Nathan Kemper b; Cashion East a; Felix Adomd d"/>
    <s v="a Ralph E. Martin Department of Chemical Engineering, University of Arkansas, 3202 Bell Engineering Center,Fayetteville, AR 72701-1201, United States b Department of Agricultural Economics and Agribusiness, University of Arkansas, 217 Agriculture Building, Fayetteville, AR 72701, United States c Department of Mechanical Engineering, University of Arkansas, 204 Mechanical Engineering Building, Fayetteville, AR 72701, United States d Department of Chemical Engineering and Sustainable Futures Institute, Michigan Technological University, 1400 Townsend Drive, Houghton, MI 49931-1295, United States e Department of Biological and Agricultural Engineering, University of Arkansas, 203 Engineering Hall, Fayetteville, AR 72701, United States"/>
    <s v="Peer Reviewed Journal"/>
    <s v="Thoma, G., Popp, J., Nutter, D., Shonnard, D., Ulrich, R., Matlock, M., Kim, D. S., Neiderman, Z., Kemper, N., East, C. and Adom, F., Greenhouse gas emissions from milk production and consumption in the United States: A cradle-to-grave life cycle assessment circa 2008. International Dairy Journal 2013, 31 (1), S3-S14."/>
    <s v="Yes"/>
    <s v="No"/>
    <s v="Yes"/>
    <s v="Yes"/>
    <s v="Yes"/>
    <s v="Yes"/>
    <s v="Yes"/>
    <s v="Yes"/>
    <s v="Yes"/>
    <s v="No"/>
    <s v="No"/>
    <s v="No"/>
    <m/>
    <s v="Cradle-to-farm gate; farm to processor transportation; processing, packaging and distribution; retail channels; consumer transportation and storage; post consumer waste management; supply chain loss/waste; "/>
    <s v="Yes"/>
    <s v="Yes"/>
    <s v="1 kg of milk consumed"/>
    <s v="No"/>
    <s v=""/>
    <s v=""/>
    <n v="1.4759999999999998"/>
    <n v="1.6225999999999998"/>
    <m/>
    <m/>
    <m/>
    <m/>
    <m/>
    <m/>
    <m/>
    <m/>
    <m/>
    <m/>
    <m/>
    <m/>
    <m/>
    <n v="1.4759999999999998"/>
    <n v="6.9599999999999995E-2"/>
    <n v="7.6999999999999999E-2"/>
    <n v="5.3999999999999999E-2"/>
    <n v="7.1999999999999995E-2"/>
    <n v="0.12299999999999998"/>
    <n v="9.6100000000000005E-2"/>
    <n v="6.399999999999989E-3"/>
    <m/>
    <n v="1.4759999999999998"/>
    <n v="2.0499999999999998"/>
    <m/>
    <s v="IPPC (2006)"/>
  </r>
  <r>
    <x v="1"/>
    <x v="1"/>
    <s v="Fresh or Not Specified"/>
    <s v="lowland farms"/>
    <s v="Yes"/>
    <s v="England &amp; Wales"/>
    <n v="2014"/>
    <s v="A.K. Jones, D.L. Jones, P. Cross"/>
    <s v="Bangor University, UK"/>
    <s v="Peer Reviewed Journal"/>
    <s v="Jones, A. K., Jones, D. L. and Cross, P., The carbon footprint of lamb: Sources of variation and opportunities for mitigation. Agricultural Systems 2014, 123, 97-107."/>
    <s v="Yes"/>
    <s v="No"/>
    <s v="No"/>
    <s v="No"/>
    <s v="No"/>
    <s v="No"/>
    <s v="No"/>
    <s v="No"/>
    <s v="No"/>
    <s v="No"/>
    <s v="No"/>
    <s v="No"/>
    <m/>
    <s v="economic allocation among sheep farm outputs"/>
    <s v="No"/>
    <s v="No"/>
    <s v="1 kg LW"/>
    <s v="dressing yield=50.8%, 65.8% boneless meat"/>
    <s v=""/>
    <s v=""/>
    <n v="32.459373429385153"/>
    <s v=""/>
    <m/>
    <m/>
    <m/>
    <m/>
    <m/>
    <m/>
    <m/>
    <m/>
    <m/>
    <m/>
    <m/>
    <m/>
    <m/>
    <m/>
    <m/>
    <m/>
    <m/>
    <m/>
    <m/>
    <m/>
    <m/>
    <m/>
    <n v="32.459373429385153"/>
    <m/>
    <s v="CV=33%"/>
    <s v="IPPC, 2007, 100 year"/>
  </r>
  <r>
    <x v="1"/>
    <x v="1"/>
    <s v="Fresh or Not Specified"/>
    <s v="highland farms"/>
    <s v="Yes"/>
    <s v="England &amp; Wales"/>
    <n v="2014"/>
    <s v="A.K. Jones, D.L. Jones, P. Cross"/>
    <s v="Bangor University, UK"/>
    <s v="Peer Reviewed Journal"/>
    <s v="Jones, A. K., Jones, D. L. and Cross, P., The carbon footprint of lamb: Sources of variation and opportunities for mitigation. Agricultural Systems 2014, 123, 97-107."/>
    <s v="Yes"/>
    <s v="No"/>
    <s v="No"/>
    <s v="No"/>
    <s v="No"/>
    <s v="No"/>
    <s v="No"/>
    <s v="No"/>
    <s v="No"/>
    <s v="No"/>
    <s v="No"/>
    <s v="No"/>
    <m/>
    <s v="economic allocation among sheep farm outputs"/>
    <s v="No"/>
    <s v="No"/>
    <s v="1 kg LW"/>
    <s v="dressing yield=50.8%, 65.8% boneless meat"/>
    <s v=""/>
    <s v=""/>
    <n v="38.442668070746471"/>
    <s v=""/>
    <m/>
    <m/>
    <m/>
    <m/>
    <m/>
    <m/>
    <m/>
    <m/>
    <m/>
    <m/>
    <m/>
    <m/>
    <m/>
    <m/>
    <m/>
    <m/>
    <m/>
    <m/>
    <m/>
    <m/>
    <m/>
    <m/>
    <n v="38.442668070746471"/>
    <m/>
    <s v="CV=23%"/>
    <s v="IPPC, 2007, 100 year"/>
  </r>
  <r>
    <x v="1"/>
    <x v="1"/>
    <s v="Fresh or Not Specified"/>
    <s v="hill farms"/>
    <s v="Yes"/>
    <s v="England &amp; Wales"/>
    <n v="2014"/>
    <s v="A.K. Jones; D.L. Jones; P. Cross"/>
    <s v="Bangor University, UK"/>
    <s v="Peer Reviewed Journal"/>
    <s v="Jones, A. K., Jones, D. L. and Cross, P., The carbon footprint of lamb: Sources of variation and opportunities for mitigation. Agricultural Systems 2014, 123, 97-107."/>
    <s v="Yes"/>
    <s v="No"/>
    <s v="No"/>
    <s v="No"/>
    <s v="No"/>
    <s v="No"/>
    <s v="No"/>
    <s v="No"/>
    <s v="No"/>
    <s v="No"/>
    <s v="No"/>
    <s v="No"/>
    <m/>
    <s v="economic allocation among sheep farm outputs"/>
    <s v="No"/>
    <s v="No"/>
    <s v="1 kg LW"/>
    <s v="dressing yield=50.8%, 65.8% boneless meat"/>
    <s v=""/>
    <s v=""/>
    <n v="53.430821147356575"/>
    <s v=""/>
    <m/>
    <m/>
    <m/>
    <m/>
    <m/>
    <m/>
    <m/>
    <m/>
    <m/>
    <m/>
    <m/>
    <m/>
    <m/>
    <m/>
    <m/>
    <m/>
    <m/>
    <m/>
    <m/>
    <m/>
    <m/>
    <m/>
    <n v="53.430821147356575"/>
    <m/>
    <s v="CV=34%"/>
    <s v="IPPC, 2007, 100 year"/>
  </r>
  <r>
    <x v="2"/>
    <x v="2"/>
    <s v="Fresh or Not Specified"/>
    <s v="Barn"/>
    <s v="Yes"/>
    <s v="Netherlands"/>
    <n v="2011"/>
    <s v="S.E.M. Dekker (a); I.J.M. de Boer (b); I. Vermeij (c ); A.J.A. Aarnink (c ); P.W.G. Groot Koerkamp (a,c)"/>
    <s v="(a) Farm Technology Group, Wageningen University, The Netherlands; (b) Animal Production Systems Group, Wageningen University, The Netherlands; (c ) Wageningen UR Livestock Research, The Netherlands"/>
    <s v="Peer Reviewed Journal"/>
    <s v="Dekker, S. E. M., De Boer, I. J. M., Vermeij, I., Aarnink, A. J. A. and Koerkamp, P. W. G. G., Ecological and economic evaluation of Dutch egg production systems. Livestock Science 2011, 139 (1-2), 109-121."/>
    <s v="Yes"/>
    <s v="Yes"/>
    <s v="No"/>
    <s v="No"/>
    <s v="No"/>
    <s v="No"/>
    <s v="No"/>
    <s v="No"/>
    <s v="No"/>
    <s v="No"/>
    <s v="No"/>
    <s v="No"/>
    <m/>
    <m/>
    <s v="No"/>
    <s v="Yes"/>
    <s v="1 kg eggs at farm gate"/>
    <m/>
    <n v="23.2"/>
    <s v=""/>
    <n v="2.6"/>
    <s v=""/>
    <m/>
    <m/>
    <m/>
    <m/>
    <m/>
    <m/>
    <m/>
    <m/>
    <m/>
    <n v="23.2"/>
    <m/>
    <m/>
    <m/>
    <m/>
    <m/>
    <m/>
    <m/>
    <m/>
    <m/>
    <m/>
    <m/>
    <m/>
    <n v="2.6"/>
    <m/>
    <s v="2.666 to 2.685"/>
    <s v="IPCC 2006"/>
  </r>
  <r>
    <x v="2"/>
    <x v="2"/>
    <s v="Fresh or Not Specified"/>
    <s v="Free range"/>
    <s v="Yes"/>
    <s v="Netherlands"/>
    <n v="2011"/>
    <s v="S.E.M. Dekker (a); I.J.M. de Boer (b); I. Vermeij (c ); A.J.A. Aarnink (c ); P.W.G. Groot Koerkamp (a,c)"/>
    <s v="(a) Farm Technology Group, Wageningen University, The Netherlands; (b) Animal Production Systems Group, Wageningen University, The Netherlands; (c ) Wageningen UR Livestock Research, The Netherlands"/>
    <s v="Peer Reviewed Journal"/>
    <s v="Dekker, S. E. M., De Boer, I. J. M., Vermeij, I., Aarnink, A. J. A. and Koerkamp, P. W. G. G., Ecological and economic evaluation of Dutch egg production systems. Livestock Science 2011, 139 (1-2), 109-121."/>
    <s v="Yes"/>
    <s v="Yes"/>
    <s v="No"/>
    <s v="No"/>
    <s v="No"/>
    <s v="No"/>
    <s v="No"/>
    <s v="No"/>
    <s v="No"/>
    <s v="No"/>
    <s v="No"/>
    <s v="No"/>
    <m/>
    <m/>
    <s v="No"/>
    <s v="Yes"/>
    <s v="1 kg eggs at farm gate"/>
    <m/>
    <n v="23.8"/>
    <s v=""/>
    <n v="2.7"/>
    <s v=""/>
    <m/>
    <m/>
    <m/>
    <m/>
    <m/>
    <m/>
    <m/>
    <m/>
    <m/>
    <n v="23.8"/>
    <m/>
    <m/>
    <m/>
    <m/>
    <m/>
    <m/>
    <m/>
    <m/>
    <m/>
    <m/>
    <m/>
    <m/>
    <n v="2.7"/>
    <m/>
    <s v="2.74 to 2.754"/>
    <s v="IPCC 2006"/>
  </r>
  <r>
    <x v="2"/>
    <x v="2"/>
    <s v="Fresh or Not Specified"/>
    <s v="Organic"/>
    <s v="Yes"/>
    <s v="Netherlands"/>
    <n v="2011"/>
    <s v="S.E.M. Dekker (a); I.J.M. de Boer (b); I. Vermeij (c ); A.J.A. Aarnink (c ); P.W.G. Groot Koerkamp (a,c)"/>
    <s v="(a) Farm Technology Group, Wageningen University, The Netherlands; (b) Animal Production Systems Group, Wageningen University, The Netherlands; (c ) Wageningen UR Livestock Research, The Netherlands"/>
    <s v="Peer Reviewed Journal"/>
    <s v="Dekker, S. E. M., De Boer, I. J. M., Vermeij, I., Aarnink, A. J. A. and Koerkamp, P. W. G. G., Ecological and economic evaluation of Dutch egg production systems. Livestock Science 2011, 139 (1-2), 109-121."/>
    <s v="Yes"/>
    <s v="Yes"/>
    <s v="No"/>
    <s v="No"/>
    <s v="No"/>
    <s v="No"/>
    <s v="No"/>
    <s v="No"/>
    <s v="No"/>
    <s v="No"/>
    <s v="No"/>
    <s v="No"/>
    <m/>
    <m/>
    <s v="No"/>
    <s v="Yes"/>
    <s v="1 kg eggs at farm gate"/>
    <m/>
    <n v="20.8"/>
    <s v=""/>
    <n v="2.5"/>
    <s v=""/>
    <m/>
    <m/>
    <m/>
    <m/>
    <m/>
    <m/>
    <m/>
    <m/>
    <m/>
    <n v="20.8"/>
    <m/>
    <m/>
    <m/>
    <m/>
    <m/>
    <m/>
    <m/>
    <m/>
    <m/>
    <m/>
    <m/>
    <m/>
    <n v="2.5"/>
    <m/>
    <s v="2.533 to 2.547"/>
    <s v="IPCC 2006"/>
  </r>
  <r>
    <x v="2"/>
    <x v="2"/>
    <s v="Fresh or Not Specified"/>
    <s v="Conventional enriched cage"/>
    <s v="Yes"/>
    <s v="Netherlands"/>
    <n v="2011"/>
    <s v="S.E.M. Dekker (a); I.J.M. de Boer (b); I. Vermeij (c ); A.J.A. Aarnink (c ); P.W.G. Groot Koerkamp (a,c)"/>
    <s v="(a) Farm Technology Group, Wageningen University, The Netherlands; (b) Animal Production Systems Group, Wageningen University, The Netherlands; (c ) Wageningen UR Livestock Research, The Netherlands"/>
    <s v="Peer Reviewed Journal"/>
    <s v="Dekker, S. E. M., De Boer, I. J. M., Vermeij, I., Aarnink, A. J. A. and Koerkamp, P. W. G. G., Ecological and economic evaluation of Dutch egg production systems. Livestock Science 2011, 139 (1-2), 109-121."/>
    <s v="Yes"/>
    <s v="Yes"/>
    <s v="No"/>
    <s v="No"/>
    <s v="No"/>
    <s v="No"/>
    <s v="No"/>
    <s v="No"/>
    <s v="No"/>
    <s v="No"/>
    <s v="No"/>
    <s v="No"/>
    <m/>
    <m/>
    <s v="No"/>
    <s v="Yes"/>
    <s v="1 kg eggs at farm gate"/>
    <m/>
    <n v="20.7"/>
    <s v=""/>
    <n v="2.2349999999999999"/>
    <s v=""/>
    <m/>
    <m/>
    <m/>
    <m/>
    <m/>
    <m/>
    <m/>
    <m/>
    <m/>
    <n v="20.7"/>
    <m/>
    <m/>
    <m/>
    <m/>
    <m/>
    <m/>
    <m/>
    <m/>
    <m/>
    <m/>
    <m/>
    <m/>
    <n v="2.2349999999999999"/>
    <m/>
    <m/>
    <s v="IPCC 2006"/>
  </r>
  <r>
    <x v="1"/>
    <x v="3"/>
    <s v="Fresh or Not Specified"/>
    <s v="grass finished; delivered to USA"/>
    <s v="Yes"/>
    <s v="Australia"/>
    <n v="2015"/>
    <s v="Stephen Wiedemann (a); Eugene McGahan (a); Caoilinn Murphy (a); Ming-Jia Yan (a); Beverley Henry (b); Greg Thoma (c); Stewart Ledgard (d)"/>
    <s v="(a) FSA Consulting, Australia; (b) Institute for Future Environments, Queensland University of Technology, Brisbane,Australia; (c) Ralph E. Martin Department of Chemical Engineering, University of Arkansas, Fayetteville, AR; (d) AgResearch Ruakura Research Centre, Hamilton , New Zealand"/>
    <s v="Peer Reviewed Journal"/>
    <s v="Wiedemann, S., Mcgahan, E., Murphy, C., Yan, M.-J., Henry, B., Thoma, G. and Ledgard, S., Environmental impacts and resource use of Australian beef and lamb exported to the USA determined using life cycle assessment. Journal of Cleaner Production 2015, 94, 67-75."/>
    <s v="Yes"/>
    <s v="Yes"/>
    <s v="Yes"/>
    <s v="Yes"/>
    <m/>
    <s v="Yes"/>
    <s v="No"/>
    <s v="No"/>
    <s v="No"/>
    <s v="No"/>
    <s v="No"/>
    <s v="No"/>
    <m/>
    <s v="GHG assoc with LU/dLUC included bur reported separately"/>
    <s v="Yes"/>
    <s v="Yes"/>
    <s v="kg boneless beef, retail-ready in US"/>
    <m/>
    <n v="18.239999999999998"/>
    <n v="25.9"/>
    <n v="25.49"/>
    <n v="26.47"/>
    <n v="18.239999999999998"/>
    <m/>
    <n v="7.66"/>
    <m/>
    <n v="6.43"/>
    <n v="0.03"/>
    <m/>
    <m/>
    <m/>
    <n v="18.239999999999998"/>
    <n v="32.36"/>
    <m/>
    <m/>
    <n v="25.49"/>
    <m/>
    <n v="0.98"/>
    <m/>
    <n v="0.75600000000000001"/>
    <n v="2E-3"/>
    <m/>
    <m/>
    <m/>
    <n v="25.49"/>
    <n v="27.22"/>
    <m/>
    <s v="IPPC AR4 (2007), 100 y"/>
  </r>
  <r>
    <x v="1"/>
    <x v="1"/>
    <s v="Fresh or Not Specified"/>
    <s v="delivered to USA"/>
    <s v="No"/>
    <s v="Australia"/>
    <n v="2015"/>
    <s v="Stephen Wiedemann (a); Eugene McGahan (a); Caoilinn Murphy (a); Ming-Jia Yan (a); Beverley Henry (b); Greg Thoma (c); Stewart Ledgard (d)"/>
    <s v="(a) FSA Consulting, Australia; (b) Institute for Future Environments, Queensland University of Technology, Brisbane,Australia; (c) Ralph E. Martin Department of Chemical Engineering, University of Arkansas, Fayetteville, AR; (d) AgResearch Ruakura Research Centre, Hamilton , New Zealand"/>
    <s v="Peer Reviewed Journal"/>
    <s v="Wiedemann, S., Mcgahan, E., Murphy, C., Yan, M.-J., Henry, B., Thoma, G. and Ledgard, S., Environmental impacts and resource use of Australian beef and lamb exported to the USA determined using life cycle assessment. Journal of Cleaner Production 2015, 94, 67-75."/>
    <s v="Yes"/>
    <s v="Yes"/>
    <s v="Yes"/>
    <s v="Yes"/>
    <m/>
    <s v="Yes"/>
    <s v="No"/>
    <s v="No"/>
    <s v="No"/>
    <s v="No"/>
    <s v="No"/>
    <s v="No"/>
    <m/>
    <s v="GHG assoc with LU/dLUC included bur reported separately"/>
    <s v="Yes"/>
    <s v="Yes"/>
    <s v="kg bone-in lamb, retail-ready in US"/>
    <s v="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19.468085106382979"/>
    <n v="32.917933034916103"/>
    <n v="21.88449848024316"/>
    <n v="23.268996954437689"/>
    <n v="19.468085010599999"/>
    <m/>
    <n v="13.449848024316108"/>
    <m/>
    <n v="9.7720364741641337"/>
    <n v="0.03"/>
    <m/>
    <m/>
    <m/>
    <n v="19.468085106382979"/>
    <n v="42.735562310030396"/>
    <m/>
    <m/>
    <n v="21.876899689999998"/>
    <m/>
    <n v="1.3920972644376899"/>
    <m/>
    <n v="1.1489361702127658"/>
    <n v="2E-3"/>
    <m/>
    <m/>
    <m/>
    <n v="21.88449848024316"/>
    <n v="24.422492401215806"/>
    <m/>
    <s v="IPPC AR4 (2007), 100 y"/>
  </r>
  <r>
    <x v="1"/>
    <x v="3"/>
    <s v="Fresh or Not Specified"/>
    <s v="mid-fed (115 days on grain); delivered to USA"/>
    <s v="Yes"/>
    <s v="Australia"/>
    <n v="2015"/>
    <s v="Stephen Wiedemann (a); Eugene McGahan (a); Caoilinn Murphy (a); Ming-Jia Yan (a); Beverley Henry (b); Greg Thoma (c); Stewart Ledgard (d)"/>
    <s v="(a) FSA Consulting, Australia; (b) Institute for Future Environments, Queensland University of Technology, Brisbane,Australia; (c) Ralph E. Martin Department of Chemical Engineering, University of Arkansas, Fayetteville, AR; (d) AgResearch Ruakura Research Centre, Hamilton , New Zealand"/>
    <s v="Peer Reviewed Journal"/>
    <s v="Wiedemann, S., Mcgahan, E., Murphy, C., Yan, M.-J., Henry, B., Thoma, G. and Ledgard, S., Environmental impacts and resource use of Australian beef and lamb exported to the USA determined using life cycle assessment. Journal of Cleaner Production 2015, 94, 67-75."/>
    <s v="Yes"/>
    <s v="Yes"/>
    <s v="Yes"/>
    <s v="Yes"/>
    <m/>
    <s v="Yes"/>
    <s v="No"/>
    <s v="No"/>
    <s v="No"/>
    <s v="No"/>
    <s v="No"/>
    <s v="No"/>
    <m/>
    <s v="GHG assoc with LU/dLUC included bur reported separately"/>
    <s v="Yes"/>
    <s v="Yes"/>
    <s v="kg boneless beef, retail-ready in US"/>
    <m/>
    <n v="24"/>
    <n v="31.66"/>
    <n v="21.6"/>
    <n v="22.6"/>
    <n v="24"/>
    <m/>
    <n v="7.66"/>
    <m/>
    <n v="6.43"/>
    <n v="0.03"/>
    <m/>
    <m/>
    <m/>
    <n v="24"/>
    <n v="38.119999999999997"/>
    <m/>
    <m/>
    <n v="21.62"/>
    <m/>
    <n v="0.98"/>
    <m/>
    <n v="0.75600000000000001"/>
    <n v="2E-3"/>
    <m/>
    <m/>
    <m/>
    <n v="21.6"/>
    <n v="23.36"/>
    <m/>
    <s v="IPPC AR4 (2007), 100 y"/>
  </r>
  <r>
    <x v="1"/>
    <x v="3"/>
    <s v="Fresh or Not Specified"/>
    <s v="long-fed (330 days on grain); delivered to USA"/>
    <s v="Yes"/>
    <s v="Australia"/>
    <n v="2015"/>
    <s v="Stephen Wiedemann (a); Eugene McGahan (a); Caoilinn Murphy (a); Ming-Jia Yan (a); Beverley Henry (b); Greg Thoma (c); Stewart Ledgard (d)"/>
    <s v="(a) FSA Consulting, Australia; (b) Institute for Future Environments, Queensland University of Technology, Brisbane,Australia; (c) Ralph E. Martin Department of Chemical Engineering, University of Arkansas, Fayetteville, AR; (d) AgResearch Ruakura Research Centre, Hamilton , New Zealand"/>
    <s v="Peer Reviewed Journal"/>
    <s v="Wiedemann, S., Mcgahan, E., Murphy, C., Yan, M.-J., Henry, B., Thoma, G. and Ledgard, S., Environmental impacts and resource use of Australian beef and lamb exported to the USA determined using life cycle assessment. Journal of Cleaner Production 2015, 94, 67-75."/>
    <s v="Yes"/>
    <s v="Yes"/>
    <s v="Yes"/>
    <s v="Yes"/>
    <m/>
    <s v="Yes"/>
    <s v="No"/>
    <s v="No"/>
    <s v="No"/>
    <s v="No"/>
    <s v="No"/>
    <s v="No"/>
    <m/>
    <s v="GHG assoc with LU/dLUC included bur reported separately"/>
    <s v="Yes"/>
    <s v="Yes"/>
    <s v="kg boneless beef, retail-ready in US"/>
    <m/>
    <n v="32.54"/>
    <n v="40.200000000000003"/>
    <n v="23.8"/>
    <n v="24.803000000000001"/>
    <n v="32.54"/>
    <m/>
    <n v="7.66"/>
    <m/>
    <n v="6.43"/>
    <n v="0.03"/>
    <m/>
    <m/>
    <m/>
    <n v="32.54"/>
    <n v="46.66"/>
    <m/>
    <m/>
    <n v="23.823"/>
    <m/>
    <n v="0.98"/>
    <m/>
    <n v="0.75600000000000001"/>
    <n v="2E-3"/>
    <m/>
    <m/>
    <m/>
    <n v="23.8"/>
    <n v="25.56"/>
    <m/>
    <s v="IPPC AR4 (2007), 100 y"/>
  </r>
  <r>
    <x v="0"/>
    <x v="0"/>
    <s v="Fresh or Not Specified"/>
    <s v="Represents national farm demographics for liquid milk production"/>
    <s v="No"/>
    <s v="USA"/>
    <n v="2012"/>
    <s v="(a);Greg Thoma (a); Jennie Popp (b); David Shonnard (d); Darin Nutter (c); Marty Matlock (e); Richard Ulrich (a); Wayne Kellogg (f); Dae Soo Kim (a); Zara Neiderman (e); Nathan Kemper (b); Felix Adom (d); Cashion East (a)"/>
    <s v="(a) Ralph E. Martin Department of Chemical Engineering, 1 University of Arkansas, Fayetteville, AR 72701, USA; (b) Department of Agricultural Economics and Agribusiness, 1 University of Arkansas, Fayetteville, AR 72701, USA; (c) Department of Mechanical Engineering, 1 University of Arkansas, Fayetteville, AR 72701, USA; (d) Department of Chemical Engineering and Sustainable Futures Institute, Michigan Technological University, 1400 Townsend Drive, Houghton, MI 49931, USA; (e) Department of Biological and Agricultural Engineering, 1 University of Arkansas, Fayetteville, AR 72701, USA; (f) Department of Animal Sciences, 1 University of Arkansas, Fayetteville, AR 72701, USA"/>
    <s v="Peer Reviewed Journal"/>
    <s v="Thoma, G., Popp, J., Shonnard, D., Nutter, D., Matlock, M., Ulrich, R., Kellogg, W., Kim, D. S., Neiderman, Z., Kemper, N., Adom, F. and East, C., Regional analysis of greenhouse gas emissions from USA dairy farms: A cradle to farm-gate assessment of the American dairy industry circa 2008. International Dairy Journal 2013, 31 (1), S29-S40."/>
    <s v="Yes"/>
    <s v="No"/>
    <s v="No"/>
    <s v="No"/>
    <s v="No"/>
    <s v="No"/>
    <s v="No"/>
    <s v="No"/>
    <s v="No"/>
    <s v="No"/>
    <s v="No"/>
    <s v="No"/>
    <m/>
    <s v="GHG during production including manure management and enteric methane emissions"/>
    <s v="No"/>
    <s v="No"/>
    <s v="1 kg of fat and protein corrected milk (FPCM; 4% fat, 3.3% protein)"/>
    <m/>
    <s v=""/>
    <s v=""/>
    <n v="1.23"/>
    <s v=""/>
    <m/>
    <m/>
    <m/>
    <m/>
    <m/>
    <m/>
    <m/>
    <m/>
    <m/>
    <m/>
    <m/>
    <m/>
    <m/>
    <m/>
    <m/>
    <m/>
    <m/>
    <m/>
    <m/>
    <m/>
    <m/>
    <m/>
    <n v="1.23"/>
    <m/>
    <m/>
    <s v="IPCC (2006) and IPCC (2007)"/>
  </r>
  <r>
    <x v="0"/>
    <x v="0"/>
    <s v="Fresh or Not Specified"/>
    <s v="Conventional milk in Galicia (Spain)"/>
    <s v="No"/>
    <s v="Spain"/>
    <n v="2003"/>
    <s v="A. Hospido; M.T. Moreira; G. Feijoo"/>
    <s v="Department of Chemical Engineering, Institute of Technology, University of Santiago de Compostela, 15782"/>
    <s v="Peer Reviewed Journal"/>
    <s v="Hospido, A., Moreira, M. T. and Feijoo, G., Simplified life cycle assessment of galician milk production. International Dairy Journal 2003, 13 (10), 783-796."/>
    <s v="Yes"/>
    <s v="No"/>
    <s v="Yes"/>
    <s v="Yes"/>
    <s v="Yes"/>
    <s v="No"/>
    <s v="No"/>
    <s v="No"/>
    <s v="No"/>
    <s v="No"/>
    <s v="Yes"/>
    <s v="No"/>
    <m/>
    <m/>
    <s v="No"/>
    <s v="No"/>
    <s v="1 L of packaged liquid milk ready to be delivered from dairy to retail"/>
    <s v="1L = .001cubic meters; milk density = 1035 kg/cubic meter"/>
    <s v=""/>
    <s v=""/>
    <n v="0.81159420289855078"/>
    <s v=""/>
    <m/>
    <m/>
    <m/>
    <m/>
    <m/>
    <m/>
    <m/>
    <m/>
    <m/>
    <m/>
    <n v="6"/>
    <s v="BUWAL250 (1996)"/>
    <m/>
    <m/>
    <m/>
    <m/>
    <m/>
    <m/>
    <m/>
    <m/>
    <m/>
    <m/>
    <n v="0.81159420289855078"/>
    <n v="1.0144927536231885"/>
    <m/>
    <s v="IPCC (2001)"/>
  </r>
  <r>
    <x v="2"/>
    <x v="2"/>
    <s v="Fresh or Not Specified"/>
    <s v="Organic"/>
    <s v="No"/>
    <s v="Denmark"/>
    <n v="2013"/>
    <s v="Nicolaj Ingemann Nielsen a; Malene Jørgensen b; Inger Knude Rasmussen b"/>
    <s v="AgroTech A/S, Institute for Agri Technology and Food Innovation, Agro Food Park 15, 8200 Aarhus N, Denmark; Knowledge Centre for Agriculture, Poultry, Agro Food Park 15, 8200 Aarhus N, Denmark."/>
    <s v="NGO Report"/>
    <s v="Nielsen, N., Jørgensen, M. and Rasmussen, I., Greenhouse Gas Emissions from Danish Organic Egg Production estimated via LCA Methodology. 2013, 1-27."/>
    <s v="Yes"/>
    <s v="No"/>
    <s v="No"/>
    <s v="No"/>
    <s v="No"/>
    <s v="No"/>
    <s v="No"/>
    <s v="No"/>
    <s v="No"/>
    <s v="No"/>
    <s v="No"/>
    <s v="No"/>
    <m/>
    <s v="Combination of aloc and conseq approach. manure produced used to offset manure earlier in LC"/>
    <s v="No"/>
    <s v="No"/>
    <s v="1 kg eggs at farm gate"/>
    <m/>
    <s v=""/>
    <s v=""/>
    <n v="1.8"/>
    <s v=""/>
    <m/>
    <m/>
    <m/>
    <m/>
    <m/>
    <m/>
    <m/>
    <m/>
    <m/>
    <m/>
    <m/>
    <m/>
    <m/>
    <m/>
    <m/>
    <m/>
    <m/>
    <m/>
    <m/>
    <m/>
    <m/>
    <m/>
    <n v="1.8"/>
    <m/>
    <s v="1.34 to 1.86"/>
    <s v="IPPC, 2007, 100 year"/>
  </r>
  <r>
    <x v="0"/>
    <x v="0"/>
    <s v="Fresh or Not Specified"/>
    <s v="Liquid milk generated at alpine farms in Italy"/>
    <s v="No"/>
    <s v="Italy"/>
    <n v="2013"/>
    <s v="Chiara A. Penati; Alberto Tamburini, Luciana Bava; Maddalena Zucali; Anna Sandrucci"/>
    <s v="Dipartimento di Scienze Agrarie e Ambientali, Università di Milano, Italy"/>
    <s v="Peer Reviewed Journal"/>
    <s v="Penati, C. A., Tamburini, A., Bava, L., Zucali, M. and Milano, U., Environmental impact of cow milk production in the central Italian Alps using Life Cycle Assessment. Italian Journal of Animal Science 2013, 12 (96), 584-592."/>
    <s v="Yes"/>
    <s v="Yes"/>
    <s v="Yes"/>
    <s v="No"/>
    <s v="No"/>
    <s v="No"/>
    <s v="No"/>
    <s v="No"/>
    <s v="No"/>
    <s v="No"/>
    <s v="No"/>
    <s v="No"/>
    <m/>
    <s v="Cradle-to-farm gate; processes and transport of feed to farm"/>
    <s v="No"/>
    <s v="No"/>
    <s v="1 kg of fat protein corrected milk (FPCM, 4.0% of fat content and 3.2% of protein content)"/>
    <s v="N/A"/>
    <s v=""/>
    <s v=""/>
    <n v="1.1399999999999999"/>
    <s v=""/>
    <m/>
    <m/>
    <m/>
    <m/>
    <m/>
    <m/>
    <m/>
    <m/>
    <m/>
    <m/>
    <m/>
    <m/>
    <m/>
    <m/>
    <m/>
    <m/>
    <m/>
    <m/>
    <m/>
    <m/>
    <m/>
    <m/>
    <n v="1.1399999999999999"/>
    <m/>
    <m/>
    <s v="IPCC, 2007"/>
  </r>
  <r>
    <x v="0"/>
    <x v="4"/>
    <s v="Fresh or Not Specified"/>
    <s v="USA Cheddar Cheese"/>
    <s v="No"/>
    <s v="USA"/>
    <n v="2013"/>
    <s v="Daesoo Kim; Greg Thoma; Darin Nutter; Franco Milani; Rick Ulrich; Greg Norris"/>
    <m/>
    <s v="Peer Reviewed Journal"/>
    <s v="Kim, D., Thoma, G., Nutter, D., Milani, F., Ulrich, R. and Norris, G., Life cycle assessment of cheese and whey production in the USA. The International Journal of Life Cycle Assessment 2013, 18 (5), 1019-1035."/>
    <s v="Yes"/>
    <s v="No"/>
    <s v="Yes"/>
    <s v="Yes"/>
    <s v="Yes"/>
    <s v="Yes"/>
    <s v="Yes"/>
    <s v="Yes"/>
    <s v="Yes"/>
    <s v="No"/>
    <s v="No"/>
    <s v="No"/>
    <m/>
    <s v="Cradle-to-grave: particular emphasis on unit operations under the control of typical cheese-processing plants"/>
    <s v="Yes"/>
    <s v="Yes"/>
    <s v="One ton (1,000 kg) of cheddar cheese consumed, dry weight basis"/>
    <s v="Divide study numbers by 1000, adjusted to 63.2% solids for as sold cheese"/>
    <n v="23.567"/>
    <n v="33.106000000000002"/>
    <n v="6.28"/>
    <n v="7.0293999999999999"/>
    <n v="23.57"/>
    <n v="0.878"/>
    <n v="8.6579999999999995"/>
    <n v="1.226"/>
    <n v="3.0529999999999999"/>
    <n v="4.7270000000000003"/>
    <n v="6.38"/>
    <m/>
    <m/>
    <n v="23.567"/>
    <n v="48.47"/>
    <m/>
    <s v="Less than 1.5% difference"/>
    <n v="6.28"/>
    <n v="6.1400000000000003E-2"/>
    <n v="0.68799999999999994"/>
    <n v="7.8E-2"/>
    <n v="0.21360000000000001"/>
    <n v="0.63800000000000001"/>
    <n v="0.5302"/>
    <m/>
    <m/>
    <n v="6.28"/>
    <n v="8.4700000000000006"/>
    <s v="CV=18.8%"/>
    <s v="IPCC, 2007"/>
  </r>
  <r>
    <x v="0"/>
    <x v="4"/>
    <s v="Fresh or Not Specified"/>
    <s v="USA Mozzarella Cheese"/>
    <s v="No"/>
    <s v="USA"/>
    <n v="2013"/>
    <s v="Daesoo Kim; Greg Thoma; Darin Nutter; Franco Milani; Rick Ulrich; Greg Norris"/>
    <m/>
    <s v="Peer Reviewed Journal"/>
    <s v="Kim, D., Thoma, G., Nutter, D., Milani, F., Ulrich, R. and Norris, G., Life cycle assessment of cheese and whey production in the USA. The International Journal of Life Cycle Assessment 2013, 18 (5), 1019-1035."/>
    <s v="Yes"/>
    <s v="No"/>
    <s v="Yes"/>
    <s v="Yes"/>
    <s v="Yes"/>
    <s v="Yes"/>
    <s v="Yes"/>
    <s v="Yes"/>
    <s v="Yes"/>
    <s v="No"/>
    <s v="No"/>
    <s v="No"/>
    <m/>
    <s v="Cradle-to-grave: particular emphasis on unit operations under the control of typical cheese-processing plants"/>
    <s v="Yes"/>
    <s v="Yes"/>
    <s v="One ton (1,000 kg) of mozzarella cheese consumed, dry weight basis"/>
    <s v="Divide study numbers by 1000, adjusted to 51.4% solids for as sold cheese"/>
    <n v="17.55"/>
    <n v="29.19"/>
    <n v="4.68"/>
    <n v="5.8"/>
    <n v="17.55"/>
    <n v="1.1000000000000001"/>
    <n v="10.54"/>
    <n v="1.56"/>
    <n v="3.48"/>
    <n v="4.72"/>
    <n v="6.37"/>
    <m/>
    <m/>
    <n v="17.55"/>
    <n v="45.39"/>
    <m/>
    <s v="Less than 0.3% difference"/>
    <n v="4.68"/>
    <n v="0.08"/>
    <n v="1.04"/>
    <n v="0.11"/>
    <n v="0.24"/>
    <n v="0.64"/>
    <n v="0.53"/>
    <m/>
    <m/>
    <n v="4.68"/>
    <n v="7.3"/>
    <s v="CV=17%"/>
    <s v="IPCC, 2007"/>
  </r>
  <r>
    <x v="2"/>
    <x v="2"/>
    <s v="Fresh or Not Specified"/>
    <s v="aggregate eggs - 38% cage, 6% organic, 54% free range"/>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2009, 1-97."/>
    <s v="Yes"/>
    <s v="No"/>
    <s v="No"/>
    <s v="No"/>
    <s v="No"/>
    <s v="No"/>
    <s v="No"/>
    <s v="No"/>
    <s v="No"/>
    <s v="No"/>
    <s v="No"/>
    <s v="No"/>
    <m/>
    <s v="GHG during production - feed and manure"/>
    <s v="No"/>
    <s v="Yes"/>
    <s v="1 kg egg at farm gate"/>
    <m/>
    <s v=""/>
    <s v=""/>
    <n v="1.42"/>
    <s v=""/>
    <m/>
    <m/>
    <m/>
    <m/>
    <m/>
    <m/>
    <m/>
    <m/>
    <m/>
    <m/>
    <m/>
    <m/>
    <m/>
    <m/>
    <m/>
    <m/>
    <m/>
    <m/>
    <m/>
    <m/>
    <m/>
    <m/>
    <n v="1.42"/>
    <m/>
    <m/>
    <s v="IPCC 2006"/>
  </r>
  <r>
    <x v="2"/>
    <x v="2"/>
    <s v="Fresh or Not Specified"/>
    <s v="Free range egg production"/>
    <s v="No"/>
    <s v="UK"/>
    <n v="2014"/>
    <s v="R. C. Taylor (a); H. Omed (b); and G. Edwards-Jones (b)"/>
    <s v="(a) British Trust for Ornithology, The Nunnery, Thetford, Norfolk; (b) School of the Environment, Natural Resources and Geography, Bangor University, Bangor, Wales, UK"/>
    <s v="Peer Reviewed Journal"/>
    <s v="Taylor, R. C., Omed, H. and Edwards-Jones, G., The greenhouse emissions footprint of free-range eggs. Poultry science 2014, 93 (1), 231-7."/>
    <s v="Yes"/>
    <s v="No"/>
    <s v="No"/>
    <s v="No"/>
    <s v="Yes"/>
    <s v="No"/>
    <s v="No"/>
    <s v="No"/>
    <s v="No"/>
    <s v="No"/>
    <s v="No"/>
    <s v="No"/>
    <m/>
    <s v="Including packaging, mixed farming methods"/>
    <s v="No"/>
    <s v="Yes"/>
    <s v="I kg egg"/>
    <m/>
    <s v=""/>
    <s v=""/>
    <n v="1.6"/>
    <s v=""/>
    <m/>
    <m/>
    <m/>
    <m/>
    <m/>
    <m/>
    <m/>
    <m/>
    <m/>
    <m/>
    <m/>
    <m/>
    <m/>
    <m/>
    <m/>
    <m/>
    <m/>
    <m/>
    <m/>
    <m/>
    <m/>
    <m/>
    <n v="1.6"/>
    <m/>
    <m/>
    <s v="IPCC, 2006"/>
  </r>
  <r>
    <x v="0"/>
    <x v="4"/>
    <s v="Fresh or Not Specified"/>
    <s v="Semi-Cured Gouda Cheese"/>
    <s v="No"/>
    <s v="Netherlands"/>
    <n v="2014"/>
    <s v="Roline Broekema; Gerard Kramer"/>
    <s v="Blonk Consultants"/>
    <s v="Private Consulting Firm"/>
    <s v="Broekema, R. and Kramer, G., LCA of Dutch semi-skimmed milk and semi-mature cheese. Blonk Consultants; 2014, 1-58."/>
    <s v="Yes"/>
    <s v="Yes"/>
    <s v="Yes"/>
    <s v="Yes"/>
    <s v="Yes"/>
    <s v="Yes"/>
    <s v="Yes"/>
    <s v="No"/>
    <s v="No"/>
    <s v="No"/>
    <s v="No"/>
    <s v="No"/>
    <m/>
    <s v="Cradle-to-farm gate; processing, transportation, retail inputs, and incineratino of spoilage/waste"/>
    <s v="Yes"/>
    <s v="No"/>
    <s v="1 kg packaged cheese"/>
    <m/>
    <s v=""/>
    <s v=""/>
    <n v="7.56"/>
    <s v=""/>
    <m/>
    <m/>
    <m/>
    <m/>
    <m/>
    <m/>
    <m/>
    <m/>
    <m/>
    <m/>
    <m/>
    <m/>
    <m/>
    <m/>
    <m/>
    <m/>
    <m/>
    <m/>
    <m/>
    <m/>
    <m/>
    <m/>
    <n v="7.56"/>
    <n v="8.67"/>
    <s v="CV=14.3%"/>
    <s v="IPCC, 2006"/>
  </r>
  <r>
    <x v="0"/>
    <x v="0"/>
    <s v="Fresh or Not Specified"/>
    <s v="Semi-Skim Milk"/>
    <s v="No"/>
    <s v="Netherlands"/>
    <n v="2014"/>
    <s v="Roline Broekema; Gerard Kramer"/>
    <s v="Blonk Consultants"/>
    <s v="Private Consulting Firm"/>
    <s v="Broekema, R. and Kramer, G., LCA of Dutch semi-skimmed milk and semi-mature cheese. Blonk Consultants; 2014, 1-58."/>
    <s v="Yes"/>
    <s v="Yes"/>
    <s v="Yes"/>
    <s v="Yes"/>
    <s v="Yes"/>
    <s v="Yes"/>
    <s v="Yes"/>
    <s v="No"/>
    <s v="No"/>
    <s v="No"/>
    <s v="No"/>
    <s v="No"/>
    <m/>
    <s v="Cradle-to-farm gate; processing, transportation, retail inputs, and spoilage/waste treatment"/>
    <s v="Yes"/>
    <s v="No"/>
    <s v="1 kg packaged semi-skimmed pasteurized milk"/>
    <m/>
    <s v=""/>
    <s v=""/>
    <n v="0.84"/>
    <s v=""/>
    <m/>
    <m/>
    <m/>
    <m/>
    <m/>
    <m/>
    <m/>
    <m/>
    <m/>
    <m/>
    <m/>
    <m/>
    <m/>
    <m/>
    <m/>
    <m/>
    <m/>
    <m/>
    <m/>
    <m/>
    <m/>
    <m/>
    <n v="0.84"/>
    <n v="1.1200000000000001"/>
    <s v="CV=11.7%"/>
    <s v="IPCC, 2005"/>
  </r>
  <r>
    <x v="0"/>
    <x v="4"/>
    <s v="Fresh or Not Specified"/>
    <s v="Semi-Hard Cheese"/>
    <s v="No"/>
    <s v="Sweden"/>
    <n v="2002"/>
    <s v="Johanna Berlin"/>
    <s v="Environmental Systems Analysis, Chalmers University of Technology, SE-412 96 Goeteborg, Sweden; SIK AB, The Swedish Institute for Food and Biotechnology, P.O. Box 5401, SE-402 29 Goeteborg, Sweden"/>
    <s v="Peer Reviewed Journal"/>
    <s v="Berlin, J., Environmental life cycle assessment (LCA) of Swedish semi-hard cheese. International Dairy Journal 2002, 12, 939-953."/>
    <s v="Yes"/>
    <s v="No"/>
    <s v="Yes"/>
    <s v="Yes"/>
    <s v="Yes"/>
    <s v="Yes"/>
    <s v="Yes"/>
    <s v="Yes"/>
    <s v="Yes"/>
    <s v="No"/>
    <s v="Yes"/>
    <s v="No"/>
    <m/>
    <s v="Cradle-to-grave/waste disposal"/>
    <s v="Yes"/>
    <s v="No"/>
    <s v="1 kg of Angsgarden cheese wrapped in plastic"/>
    <m/>
    <s v=""/>
    <s v=""/>
    <n v="8.3000000000000007"/>
    <s v=""/>
    <m/>
    <m/>
    <m/>
    <m/>
    <m/>
    <m/>
    <m/>
    <m/>
    <m/>
    <m/>
    <n v="49.1"/>
    <m/>
    <m/>
    <m/>
    <m/>
    <m/>
    <m/>
    <m/>
    <m/>
    <m/>
    <m/>
    <m/>
    <n v="8.3000000000000007"/>
    <n v="8.7940000000000005"/>
    <m/>
    <s v="IPCC, 1995"/>
  </r>
  <r>
    <x v="0"/>
    <x v="0"/>
    <s v="Fresh or Not Specified"/>
    <s v="Pasturized Milk, 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1.46"/>
    <m/>
    <m/>
  </r>
  <r>
    <x v="0"/>
    <x v="0"/>
    <s v="Fresh or Not Specified"/>
    <s v="Ultra High Temperature (UHT) Milk, 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1.31"/>
    <m/>
    <m/>
  </r>
  <r>
    <x v="0"/>
    <x v="5"/>
    <s v="Fresh or Not Specified"/>
    <s v="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2.0249999999999999"/>
    <m/>
    <m/>
  </r>
  <r>
    <x v="0"/>
    <x v="6"/>
    <s v="Fresh or Not Specified"/>
    <s v="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4.0250000000000004"/>
    <m/>
    <m/>
  </r>
  <r>
    <x v="0"/>
    <x v="7"/>
    <s v="Fresh or Not Specified"/>
    <s v="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20.995000000000001"/>
    <m/>
    <m/>
  </r>
  <r>
    <x v="0"/>
    <x v="4"/>
    <s v="Fresh or Not Specified"/>
    <s v="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8.1"/>
    <m/>
    <m/>
  </r>
  <r>
    <x v="2"/>
    <x v="2"/>
    <s v="Other (Specify)"/>
    <s v="Processed - liquid egg"/>
    <s v="No"/>
    <s v="USA (Midwest)"/>
    <n v="2013"/>
    <s v="Nathan Pelletier (a); Maro Ibarburu (b); Hongwei Xin (b)"/>
    <s v="(a) Global Ecologic Environmental Consulting and Management Services, Canada; (b) Egg Industry Center, Iowa State University, IA, USA"/>
    <s v="Peer Reviewed Journal"/>
    <s v="Pelletier, N., Ibarburu, M. and Xin, H., A carbon footprint analysis of egg production and processing supply chains in the Midwestern United States. Journal of Cleaner Production 2013, 54, 108-114."/>
    <s v="Yes"/>
    <s v="No"/>
    <s v="Yes"/>
    <s v="Yes"/>
    <s v="Yes"/>
    <s v="No"/>
    <s v="No"/>
    <s v="No"/>
    <s v="No"/>
    <s v="No"/>
    <s v="No"/>
    <s v="No"/>
    <m/>
    <s v="transport supply chains talk only about best and worst case observed in their data"/>
    <s v="No"/>
    <s v="Yes"/>
    <s v="I tonne egg at facility gate"/>
    <s v="*1/1000"/>
    <s v=""/>
    <s v=""/>
    <n v="5.8680000000000003"/>
    <n v="5.9710000000000001"/>
    <m/>
    <m/>
    <m/>
    <m/>
    <m/>
    <m/>
    <m/>
    <m/>
    <m/>
    <m/>
    <m/>
    <m/>
    <m/>
    <n v="5.8680000000000003"/>
    <m/>
    <n v="0.10299999999999976"/>
    <m/>
    <m/>
    <m/>
    <m/>
    <m/>
    <m/>
    <n v="5.8680000000000003"/>
    <n v="5.98"/>
    <s v="7.48 to 4.9"/>
    <s v="ISO 14044, IPCC 2006"/>
  </r>
  <r>
    <x v="2"/>
    <x v="2"/>
    <s v="Other (Specify)"/>
    <s v="Shell egg processed"/>
    <s v="No"/>
    <s v="USA (Midwest)"/>
    <n v="2013"/>
    <s v="Nathan Pelletier (a); Maro Ibarburu (b); Hongwei Xin (b)"/>
    <s v="(a) Global Ecologic Environmental Consulting and Management Services, Canada; (b) Egg Industry Center, Iowa State University, IA, USA"/>
    <s v="Peer Reviewed Journal"/>
    <s v="Pelletier, N., Ibarburu, M. and Xin, H., A carbon footprint analysis of egg production and processing supply chains in the Midwestern United States. Journal of Cleaner Production 2013, 54, 108-114."/>
    <s v="Yes"/>
    <s v="No"/>
    <s v="Yes"/>
    <s v="Yes"/>
    <s v="Yes"/>
    <s v="No"/>
    <s v="No"/>
    <s v="No"/>
    <s v="No"/>
    <s v="No"/>
    <s v="No"/>
    <s v="No"/>
    <m/>
    <m/>
    <s v="No"/>
    <s v="Yes"/>
    <s v="I tonne egg at facility gate"/>
    <s v="*1/1000"/>
    <s v=""/>
    <s v=""/>
    <n v="5.0199999999999996"/>
    <n v="5.1013200000000003"/>
    <m/>
    <m/>
    <m/>
    <m/>
    <m/>
    <m/>
    <m/>
    <m/>
    <m/>
    <m/>
    <m/>
    <m/>
    <m/>
    <n v="5.0199999999999996"/>
    <m/>
    <n v="8.1320000000000475E-2"/>
    <n v="9.5680000000000001E-2"/>
    <m/>
    <m/>
    <m/>
    <m/>
    <m/>
    <n v="5.0199999999999996"/>
    <n v="5.19"/>
    <s v="6.45 to 4.32"/>
    <s v="ISO 14044, IPCC 2006"/>
  </r>
  <r>
    <x v="2"/>
    <x v="2"/>
    <s v="Fresh or Not Specified"/>
    <s v="Average egg production"/>
    <s v="No"/>
    <s v="USA"/>
    <n v="2014"/>
    <s v="Nathan Pelletier (a); Maro Ibarburu (b); and Hongwei Xin (b)"/>
    <s v="(a) Global Ecologic Environmental Consulting and Management Services, Canada; (b) Egg Industry Center, Iowa State University, USA"/>
    <s v="Peer Reviewed Journal"/>
    <s v="Pelletier, N., Ibarburu, M. and Xin, H., Comparison of the environmental footprint of the egg industry in the United States in 1960 and 2010. Poultry science 2014, 93 (2), 241-55."/>
    <s v="Yes"/>
    <s v="No"/>
    <s v="No"/>
    <s v="No"/>
    <s v="No"/>
    <s v="No"/>
    <s v="No"/>
    <s v="No"/>
    <s v="No"/>
    <s v="No"/>
    <s v="No"/>
    <s v="No"/>
    <m/>
    <s v="Egg 'production' alone - assumed farm gate"/>
    <s v="No"/>
    <s v="Yes"/>
    <s v="1 metric ton eggs"/>
    <s v="*1/1000"/>
    <s v=""/>
    <s v=""/>
    <n v="2.08"/>
    <s v=""/>
    <m/>
    <m/>
    <m/>
    <m/>
    <m/>
    <m/>
    <m/>
    <m/>
    <m/>
    <m/>
    <m/>
    <s v="EcoInvent 2010"/>
    <m/>
    <m/>
    <m/>
    <m/>
    <m/>
    <m/>
    <m/>
    <m/>
    <m/>
    <m/>
    <n v="2.08"/>
    <m/>
    <m/>
    <s v="ISO 14044, IPCC 2006"/>
  </r>
  <r>
    <x v="3"/>
    <x v="8"/>
    <s v="Other (Specify)"/>
    <s v="Tomato Sauce - tomatoes processed in France"/>
    <s v="Yes"/>
    <s v="France"/>
    <n v="2014"/>
    <s v="Giulia Palma (a); Martine Padilla (a); Mounia Saheb (a); Sophie Colvine(b); Yasemin Tatar (a); Ahmet Tugulay(a); Imene Kellou (a)"/>
    <s v="(a) CIHEAM-Institut Agronomique Méditerranéen de Montpellier 3191 route de Mende 34093 Montpellier Cedex 5 France; (b) AMITOM Lotissement les valérianes 84700 Sorgues France"/>
    <s v="Conference Proceedings"/>
    <s v="Palma, G., Padilla, M., Saheb, M., Tatar, Y., Tugulay, A. and Kellou, I., Environmental impact of processed tomato in France and in Turkey. Proceedings of the 9th International Conference on Life Cycle Assessment in the Agri-Food Sector 2014,  (October), ."/>
    <s v="Yes"/>
    <s v="No"/>
    <s v="Yes"/>
    <s v="Yes"/>
    <s v="Yes"/>
    <s v="Yes"/>
    <s v="Yes"/>
    <s v="Yes"/>
    <s v="No"/>
    <s v="No"/>
    <s v="No"/>
    <s v="No"/>
    <s v="Disposal of packaging"/>
    <s v="From ag.prod. to packaging disposal"/>
    <s v="No"/>
    <s v="Yes"/>
    <s v="I kg packaged processed tomatoes"/>
    <m/>
    <s v=""/>
    <s v=""/>
    <n v="5.0999999999999997E-2"/>
    <n v="2.3714"/>
    <m/>
    <m/>
    <m/>
    <m/>
    <m/>
    <m/>
    <m/>
    <m/>
    <m/>
    <m/>
    <m/>
    <m/>
    <m/>
    <n v="5.11E-2"/>
    <n v="6.3E-3"/>
    <n v="2.3140000000000001"/>
    <m/>
    <n v="0.12189999999999999"/>
    <n v="2.2100000000000002E-2"/>
    <n v="0.18"/>
    <m/>
    <m/>
    <n v="5.0999999999999997E-2"/>
    <n v="2.6987000000000001"/>
    <m/>
    <s v="Ecoinvent (V2) database"/>
  </r>
  <r>
    <x v="3"/>
    <x v="8"/>
    <s v="Other (Specify)"/>
    <s v="Tomato Sauce - tomatoes processed in France"/>
    <s v="Yes"/>
    <s v="Turkey"/>
    <n v="2014"/>
    <s v="Giulia Palma (a); Martine Padilla (a); Mounia Saheb (a); Sophie Colvine(b); Yasemin Tatar (a); Ahmet Tugulay(a); Imene Kellou (a)"/>
    <s v="(a) CIHEAM-Institut Agronomique Méditerranéen de Montpellier 3191 route de Mende 34093 Montpellier Cedex 5 France; (b) AMITOM Lotissement les valérianes 84700 Sorgues France"/>
    <s v="Conference Proceedings"/>
    <s v="Palma, G., Padilla, M., Saheb, M., Tatar, Y., Tugulay, A. and Kellou, I., Environmental impact of processed tomato in France and in Turkey. Proceedings of the 9th International Conference on Life Cycle Assessment in the Agri-Food Sector 2014,  (October), ."/>
    <s v="Yes"/>
    <s v="No"/>
    <s v="Yes"/>
    <s v="Yes"/>
    <s v="Yes"/>
    <s v="Yes"/>
    <s v="Yes"/>
    <s v="Yes"/>
    <s v="No"/>
    <s v="No"/>
    <s v="No"/>
    <s v="No"/>
    <s v="Disposal of packaging"/>
    <s v="From ag.prod. to packaging disposal"/>
    <s v="No"/>
    <s v="Yes"/>
    <s v="I kg packaged processed tomatoes"/>
    <m/>
    <s v=""/>
    <s v=""/>
    <n v="8.2299999999999998E-2"/>
    <n v="2.7309999999999999"/>
    <m/>
    <m/>
    <m/>
    <m/>
    <m/>
    <m/>
    <m/>
    <m/>
    <m/>
    <m/>
    <m/>
    <m/>
    <m/>
    <n v="8.2299999999999998E-2"/>
    <n v="2.5899999999999999E-2"/>
    <n v="2.6227999999999998"/>
    <m/>
    <n v="0.12189999999999999"/>
    <n v="2.2100000000000002E-2"/>
    <n v="0.18"/>
    <m/>
    <m/>
    <n v="8.2299999999999998E-2"/>
    <n v="3.06"/>
    <m/>
    <s v="Ecoinvent (V2) database"/>
  </r>
  <r>
    <x v="3"/>
    <x v="8"/>
    <s v="Other (Specify)"/>
    <s v="Tomato puree"/>
    <s v="No"/>
    <s v="Italy"/>
    <n v="2013"/>
    <s v="Michele Manfredi (a); Giuseppe Vignali (a)"/>
    <s v="(a) Department of Industrial Engineering, University of Parma, Viale delle Scienze 181/A, 43124, Parma –Italy"/>
    <s v="Peer Reviewed Journal"/>
    <s v="Manfredi, M. and Vignali, G., Life cycle assessment of a packaged tomato puree: a comparison of environmental impacts produced by different life cycle phases. Journal of Cleaner Production 2014, 73, 275-284."/>
    <s v="Yes"/>
    <s v="No"/>
    <s v="Yes"/>
    <s v="Yes"/>
    <s v="Yes"/>
    <s v="Yes"/>
    <s v="No"/>
    <s v="No"/>
    <s v="No"/>
    <s v="No"/>
    <s v="No"/>
    <s v="No"/>
    <s v="Disposal of packaging"/>
    <s v="From ag.prod. to retail, with 5.5% (avg 4-7) of transport attributed to cultivation "/>
    <s v="No"/>
    <s v="Yes"/>
    <s v="700g packaged tomatoes"/>
    <s v="/0.7"/>
    <n v="1.34"/>
    <n v="3.9000000000000004"/>
    <n v="0.25857142857142856"/>
    <n v="0.41285714285714287"/>
    <n v="1.342857142857143"/>
    <m/>
    <n v="2.5571428571428574"/>
    <n v="7.3857142857142861"/>
    <n v="2.5142857142857147"/>
    <m/>
    <m/>
    <m/>
    <m/>
    <n v="1.34"/>
    <n v="13.785714285714286"/>
    <s v="Ecoinvent V2.2"/>
    <m/>
    <n v="0.25857142857142856"/>
    <m/>
    <n v="0.1542857142857143"/>
    <n v="0.39142857142857146"/>
    <n v="0.15857142857142859"/>
    <m/>
    <m/>
    <m/>
    <m/>
    <n v="0.25857142857142856"/>
    <n v="0.96285714285714297"/>
    <m/>
    <s v="(ISO 14040, 2006)"/>
  </r>
  <r>
    <x v="0"/>
    <x v="4"/>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5.3"/>
    <m/>
    <m/>
  </r>
  <r>
    <x v="0"/>
    <x v="9"/>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1.8"/>
    <m/>
    <m/>
  </r>
  <r>
    <x v="0"/>
    <x v="6"/>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2.1"/>
    <m/>
    <m/>
  </r>
  <r>
    <x v="0"/>
    <x v="10"/>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2.5"/>
    <m/>
    <m/>
  </r>
  <r>
    <x v="0"/>
    <x v="5"/>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Yes"/>
    <s v="1 kg of final product"/>
    <s v="N/A"/>
    <s v=""/>
    <s v=""/>
    <n v="1.2635000000000001"/>
    <n v="1.57325"/>
    <m/>
    <m/>
    <m/>
    <m/>
    <m/>
    <m/>
    <m/>
    <m/>
    <m/>
    <m/>
    <m/>
    <m/>
    <m/>
    <n v="1.2635000000000001"/>
    <n v="1.575E-2"/>
    <n v="0.29400000000000004"/>
    <n v="0.17675000000000002"/>
    <m/>
    <m/>
    <m/>
    <m/>
    <m/>
    <n v="1.2635000000000001"/>
    <n v="1.75"/>
    <m/>
    <s v="Includes packaging in polystyrene tubs (4 x 125 g)"/>
  </r>
  <r>
    <x v="0"/>
    <x v="0"/>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Yes"/>
    <s v="1 kg of final product"/>
    <s v="N/A"/>
    <s v=""/>
    <s v=""/>
    <n v="0.86899999999999999"/>
    <n v="0.94399999999999995"/>
    <m/>
    <m/>
    <m/>
    <m/>
    <m/>
    <m/>
    <m/>
    <m/>
    <m/>
    <m/>
    <m/>
    <m/>
    <m/>
    <n v="0.86899999999999999"/>
    <n v="0.01"/>
    <n v="6.5000000000000002E-2"/>
    <n v="5.5E-2"/>
    <m/>
    <m/>
    <m/>
    <m/>
    <m/>
    <n v="0.86899999999999999"/>
    <n v="1"/>
    <m/>
    <s v="Includes packaging in polycoated carton (0.5gal)"/>
  </r>
  <r>
    <x v="0"/>
    <x v="11"/>
    <s v="Fresh or Not Specified"/>
    <s v="Buttermilk, 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1.1000000000000001"/>
    <m/>
    <m/>
  </r>
  <r>
    <x v="0"/>
    <x v="12"/>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2.1"/>
    <m/>
    <m/>
  </r>
  <r>
    <x v="0"/>
    <x v="13"/>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10.1"/>
    <m/>
    <m/>
  </r>
  <r>
    <x v="0"/>
    <x v="14"/>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3.1"/>
    <m/>
    <m/>
  </r>
  <r>
    <x v="0"/>
    <x v="7"/>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7.3"/>
    <m/>
    <m/>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700 g"/>
    <s v="Yes"/>
    <s v="Yes"/>
    <s v="1 kg of packaged product"/>
    <s v="N/A"/>
    <n v="4.5528000000000004"/>
    <n v="7.6028000000000002"/>
    <n v="0.38"/>
    <n v="0.56830000000000003"/>
    <n v="4.5528000000000004"/>
    <m/>
    <n v="3.05"/>
    <n v="7.9802"/>
    <m/>
    <m/>
    <m/>
    <m/>
    <m/>
    <n v="4.5528000000000004"/>
    <n v="15.583"/>
    <s v="International EPD System"/>
    <m/>
    <n v="0.38"/>
    <m/>
    <n v="0.1883"/>
    <n v="0.4985"/>
    <m/>
    <m/>
    <m/>
    <m/>
    <m/>
    <n v="0.38"/>
    <n v="1.0649"/>
    <m/>
    <s v="International EPD System"/>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350 g"/>
    <s v="Yes"/>
    <s v="Yes"/>
    <s v="1 kg of packaged product"/>
    <s v="N/A"/>
    <n v="7.1342999999999996"/>
    <n v="12.2843"/>
    <n v="0.59240000000000004"/>
    <n v="0.93830000000000002"/>
    <n v="7.1342999999999996"/>
    <m/>
    <n v="5.15"/>
    <n v="11.0403"/>
    <m/>
    <m/>
    <m/>
    <m/>
    <m/>
    <n v="7.1342999999999996"/>
    <n v="23.3247"/>
    <s v="International EPD System"/>
    <m/>
    <n v="0.59240000000000004"/>
    <m/>
    <n v="0.34589999999999999"/>
    <n v="0.69240000000000002"/>
    <m/>
    <m/>
    <m/>
    <m/>
    <m/>
    <n v="0.59240000000000004"/>
    <n v="1.6307"/>
    <m/>
    <s v="International EPD System"/>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700 g"/>
    <s v="Yes"/>
    <s v="Yes"/>
    <s v="1 kg of packaged product"/>
    <s v="N/A"/>
    <n v="6.5640000000000001"/>
    <n v="11.944099999999999"/>
    <n v="0.54469999999999996"/>
    <n v="0.87399999999999989"/>
    <n v="6.5640000000000001"/>
    <m/>
    <n v="5.3800999999999997"/>
    <n v="8.2302"/>
    <m/>
    <m/>
    <m/>
    <m/>
    <m/>
    <n v="6.5640000000000001"/>
    <n v="20.164300000000001"/>
    <s v="International EPD System"/>
    <m/>
    <n v="0.54469999999999996"/>
    <m/>
    <n v="0.32929999999999998"/>
    <n v="0.50719999999999998"/>
    <m/>
    <m/>
    <m/>
    <m/>
    <m/>
    <n v="0.54469999999999996"/>
    <n v="1.3813"/>
    <m/>
    <s v="International EPD System"/>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700 g"/>
    <s v="Yes"/>
    <s v="Yes"/>
    <s v="1 kg of packaged product"/>
    <s v="N/A"/>
    <n v="6.7039999999999997"/>
    <n v="11.674200000000001"/>
    <n v="0.55649999999999999"/>
    <n v="0.8609"/>
    <n v="6.7041000000000004"/>
    <m/>
    <n v="4.9701000000000004"/>
    <n v="7.8301999999999996"/>
    <m/>
    <m/>
    <m/>
    <m/>
    <m/>
    <n v="6.7039999999999997"/>
    <n v="19.5044"/>
    <s v="International EPD System"/>
    <m/>
    <n v="0.55649999999999999"/>
    <m/>
    <n v="0.3044"/>
    <n v="0.49070000000000003"/>
    <m/>
    <m/>
    <m/>
    <m/>
    <m/>
    <n v="0.55649999999999999"/>
    <n v="1.3515999999999999"/>
    <m/>
    <s v="International EPD System"/>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Carton-based container 200 g"/>
    <s v="Yes"/>
    <s v="Yes"/>
    <s v="1 kg of packaged product"/>
    <s v="N/A"/>
    <n v="6.6741000000000001"/>
    <n v="11.900141000000001"/>
    <n v="0.55420000000000003"/>
    <n v="0.87519999999999998"/>
    <n v="6.6700410000000003"/>
    <m/>
    <n v="5.2301000000000002"/>
    <n v="2.1800000000000002"/>
    <m/>
    <m/>
    <m/>
    <m/>
    <m/>
    <n v="6.6741000000000001"/>
    <n v="14.084199999999999"/>
    <s v="International EPD System"/>
    <m/>
    <n v="0.55420000000000003"/>
    <m/>
    <n v="0.32100000000000001"/>
    <n v="0.1202"/>
    <m/>
    <m/>
    <m/>
    <m/>
    <m/>
    <n v="0.55420000000000003"/>
    <n v="0.99539999999999995"/>
    <m/>
    <s v="International EPD System"/>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Carton-based container with plastic cap 500 g"/>
    <s v="Yes"/>
    <s v="Yes"/>
    <s v="1 kg of packaged product"/>
    <s v="N/A"/>
    <n v="6.6741000000000001"/>
    <n v="12.460141"/>
    <n v="0.55420000000000003"/>
    <n v="0.90739999999999998"/>
    <n v="6.6700410000000003"/>
    <m/>
    <n v="5.7900999999999998"/>
    <n v="1.79"/>
    <m/>
    <m/>
    <m/>
    <m/>
    <m/>
    <n v="6.6741000000000001"/>
    <n v="14.244199999999999"/>
    <s v="International EPD System"/>
    <m/>
    <n v="0.55420000000000003"/>
    <m/>
    <n v="0.35320000000000001"/>
    <n v="9.7000000000000003E-2"/>
    <m/>
    <m/>
    <m/>
    <m/>
    <m/>
    <n v="0.55420000000000003"/>
    <n v="1.0043"/>
    <m/>
    <s v="International EPD System"/>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Carton-based container with plastic cap 1000 g"/>
    <s v="Yes"/>
    <s v="Yes"/>
    <s v="1 kg of packaged product"/>
    <s v="N/A"/>
    <n v="6.8041"/>
    <n v="12.8842"/>
    <n v="0.56520000000000004"/>
    <n v="0.9355"/>
    <n v="6.8041"/>
    <m/>
    <n v="6.0800999999999998"/>
    <n v="1.78"/>
    <m/>
    <m/>
    <m/>
    <m/>
    <m/>
    <n v="6.8041"/>
    <n v="14.674300000000001"/>
    <s v="International EPD System"/>
    <m/>
    <n v="0.56520000000000004"/>
    <m/>
    <n v="0.37030000000000002"/>
    <n v="0.1007"/>
    <m/>
    <m/>
    <m/>
    <m/>
    <m/>
    <n v="0.56520000000000004"/>
    <n v="1.0362"/>
    <m/>
    <s v="International EPD System"/>
  </r>
  <r>
    <x v="3"/>
    <x v="15"/>
    <s v="Canned"/>
    <s v="Chopp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330 g"/>
    <s v="Yes"/>
    <s v="Yes"/>
    <s v="1 kg of packaged product"/>
    <s v="N/A"/>
    <n v="6.6340000000000003"/>
    <n v="11.824000000000002"/>
    <n v="0.55049999999999999"/>
    <n v="0.86030000000000006"/>
    <n v="6.6340000000000003"/>
    <m/>
    <n v="5.19"/>
    <n v="12.1203"/>
    <m/>
    <m/>
    <m/>
    <m/>
    <m/>
    <n v="6.6340000000000003"/>
    <n v="23.944400000000002"/>
    <s v="International EPD System"/>
    <m/>
    <n v="0.55049999999999999"/>
    <m/>
    <n v="0.30980000000000002"/>
    <n v="0.74760000000000004"/>
    <m/>
    <m/>
    <m/>
    <m/>
    <m/>
    <n v="0.55049999999999999"/>
    <n v="1.6077999999999999"/>
    <m/>
    <s v="International EPD System"/>
  </r>
  <r>
    <x v="3"/>
    <x v="15"/>
    <s v="Canned"/>
    <s v="Chopp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400 g"/>
    <s v="Yes"/>
    <s v="Yes"/>
    <s v="1 kg of packaged product"/>
    <s v="N/A"/>
    <n v="5.4733000000000001"/>
    <n v="9.1533999999999995"/>
    <n v="0.45419999999999999"/>
    <n v="0.67730000000000001"/>
    <n v="5.4733000000000001"/>
    <m/>
    <n v="3.6800999999999999"/>
    <n v="12.2705"/>
    <m/>
    <m/>
    <m/>
    <m/>
    <m/>
    <n v="5.4733000000000001"/>
    <n v="21.4239"/>
    <s v="International EPD System"/>
    <m/>
    <n v="0.45419999999999999"/>
    <m/>
    <n v="0.22309999999999999"/>
    <n v="0.82540000000000002"/>
    <m/>
    <m/>
    <m/>
    <m/>
    <m/>
    <n v="0.45419999999999999"/>
    <n v="1.5025999999999999"/>
    <m/>
    <s v="International EPD System"/>
  </r>
  <r>
    <x v="3"/>
    <x v="15"/>
    <s v="Canned"/>
    <s v="Chopp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400 g"/>
    <s v="Yes"/>
    <s v="Yes"/>
    <s v="1 kg of packaged product"/>
    <s v="N/A"/>
    <n v="5.4733000000000001"/>
    <n v="9.1533999999999995"/>
    <n v="0.4551"/>
    <n v="0.67820000000000003"/>
    <n v="5.4733000000000001"/>
    <m/>
    <n v="3.6800999999999999"/>
    <n v="12.2005"/>
    <m/>
    <m/>
    <m/>
    <m/>
    <m/>
    <n v="5.4733000000000001"/>
    <n v="21.353899999999999"/>
    <s v="International EPD System"/>
    <m/>
    <n v="0.4551"/>
    <m/>
    <n v="0.22309999999999999"/>
    <n v="0.82650000000000001"/>
    <m/>
    <m/>
    <m/>
    <m/>
    <m/>
    <n v="0.4551"/>
    <n v="1.5038"/>
    <m/>
    <s v="International EPD System"/>
  </r>
  <r>
    <x v="3"/>
    <x v="16"/>
    <s v="Canned"/>
    <s v="Peel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400 g"/>
    <s v="Yes"/>
    <s v="Yes"/>
    <s v="1 kg of packaged product"/>
    <s v="N/A"/>
    <n v="4.883"/>
    <n v="8.343"/>
    <n v="0.4052"/>
    <n v="0.64639999999999997"/>
    <n v="4.883"/>
    <m/>
    <n v="3.46"/>
    <n v="10.1904"/>
    <m/>
    <m/>
    <m/>
    <m/>
    <m/>
    <n v="4.883"/>
    <n v="18.5334"/>
    <s v="International EPD System"/>
    <m/>
    <n v="0.4052"/>
    <m/>
    <n v="0.2412"/>
    <n v="0.68320000000000003"/>
    <m/>
    <m/>
    <m/>
    <m/>
    <m/>
    <n v="0.4052"/>
    <n v="1.3295999999999999"/>
    <m/>
    <s v="International EPD System"/>
  </r>
  <r>
    <x v="3"/>
    <x v="16"/>
    <s v="Canned"/>
    <s v="Peel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400 g"/>
    <s v="Yes"/>
    <s v="Yes"/>
    <s v="1 kg of packaged product"/>
    <s v="N/A"/>
    <n v="4.883"/>
    <n v="8.343"/>
    <n v="0.4052"/>
    <n v="0.64670000000000005"/>
    <n v="4.883"/>
    <m/>
    <n v="3.46"/>
    <n v="10.010400000000001"/>
    <m/>
    <m/>
    <m/>
    <m/>
    <m/>
    <n v="4.883"/>
    <n v="18.353400000000001"/>
    <s v="International EPD System"/>
    <m/>
    <n v="0.4052"/>
    <m/>
    <n v="0.24149999999999999"/>
    <n v="0.6855"/>
    <m/>
    <m/>
    <m/>
    <m/>
    <m/>
    <n v="0.4052"/>
    <n v="1.3321000000000001"/>
    <m/>
    <s v="International EPD System"/>
  </r>
  <r>
    <x v="3"/>
    <x v="16"/>
    <s v="Canned"/>
    <s v="Peeled tomato"/>
    <s v="No"/>
    <s v="Italy"/>
    <n v="2015"/>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800 g"/>
    <s v="Yes"/>
    <s v="Yes"/>
    <s v="1 kg of packaged product"/>
    <s v="N/A"/>
    <n v="5.2831999999999999"/>
    <n v="8.5332000000000008"/>
    <n v="0.43869999999999998"/>
    <n v="0.66649999999999998"/>
    <n v="5.2831999999999999"/>
    <m/>
    <n v="3.25"/>
    <n v="8.6203000000000003"/>
    <m/>
    <m/>
    <m/>
    <m/>
    <m/>
    <n v="5.2831999999999999"/>
    <n v="17.153600000000001"/>
    <s v="International EPD System"/>
    <m/>
    <n v="0.43869999999999998"/>
    <m/>
    <n v="0.2278"/>
    <n v="0.56910000000000005"/>
    <m/>
    <m/>
    <m/>
    <m/>
    <m/>
    <n v="0.43869999999999998"/>
    <n v="1.2357"/>
    <m/>
    <s v="International EPD System"/>
  </r>
  <r>
    <x v="3"/>
    <x v="17"/>
    <s v="Canned"/>
    <s v="Paste (local foods)"/>
    <s v="Yes"/>
    <s v="USA"/>
    <n v="2013"/>
    <s v="Sonja Brodt (a); Klaas Jan Kramer (b); Alissa Kendall (c); Gail Feenstra (a)"/>
    <s v="(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
    <s v="Peer Reviewed Journal"/>
    <s v="Brodt, S. B., Jan, K., Kendall, A. and Feenstra, G., Comparing environmental impacts of regional and national-scale food supply chains : A case study of processed tomatoes. JOURNAL OF FOOD POLICY 2013, 42, 106-114."/>
    <s v="Yes"/>
    <s v="No"/>
    <s v="Yes"/>
    <s v="Yes"/>
    <s v="Yes"/>
    <s v="Yes"/>
    <s v="No"/>
    <s v="No"/>
    <s v="No"/>
    <s v="No"/>
    <s v="No"/>
    <s v="No"/>
    <m/>
    <s v="Local (within state) transport"/>
    <s v="No"/>
    <s v="No"/>
    <s v="1 kg canned, consumer ready product"/>
    <s v="N/A"/>
    <s v=""/>
    <s v=""/>
    <s v=""/>
    <s v=""/>
    <m/>
    <m/>
    <m/>
    <m/>
    <m/>
    <m/>
    <m/>
    <m/>
    <m/>
    <m/>
    <n v="19.600000000000001"/>
    <s v="Interviews and published data"/>
    <m/>
    <m/>
    <m/>
    <m/>
    <m/>
    <m/>
    <m/>
    <m/>
    <m/>
    <m/>
    <m/>
    <n v="1.5"/>
    <m/>
    <s v="Ecoinvent 2008, IPCC 2006"/>
  </r>
  <r>
    <x v="3"/>
    <x v="15"/>
    <s v="Canned"/>
    <s v="Diced tomato (local foods)"/>
    <s v="Yes"/>
    <s v="USA"/>
    <n v="2013"/>
    <s v="Sonja Brodt (a); Klaas Jan Kramer (b); Alissa Kendall (c); Gail Feenstra (a)"/>
    <s v="(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
    <s v="Peer Reviewed Journal"/>
    <s v="Brodt, S. B., Jan, K., Kendall, A. and Feenstra, G., Comparing environmental impacts of regional and national-scale food supply chains : A case study of processed tomatoes. JOURNAL OF FOOD POLICY 2013, 42, 106-114."/>
    <s v="Yes"/>
    <s v="No"/>
    <s v="Yes"/>
    <s v="Yes"/>
    <s v="Yes"/>
    <s v="Yes"/>
    <s v="No"/>
    <s v="No"/>
    <s v="No"/>
    <s v="No"/>
    <s v="No"/>
    <s v="No"/>
    <m/>
    <s v="Local (within state) transport"/>
    <s v="No"/>
    <s v="No"/>
    <s v="1 kg canned, consumer ready product"/>
    <s v="N/A"/>
    <s v=""/>
    <s v=""/>
    <s v=""/>
    <s v=""/>
    <m/>
    <m/>
    <m/>
    <m/>
    <m/>
    <m/>
    <m/>
    <m/>
    <m/>
    <m/>
    <n v="9.36"/>
    <s v="Interviews and published data"/>
    <m/>
    <m/>
    <m/>
    <m/>
    <m/>
    <m/>
    <m/>
    <m/>
    <m/>
    <m/>
    <m/>
    <n v="0.71099999999999997"/>
    <m/>
    <s v="Ecoinvent 2008, IPCC 2006"/>
  </r>
  <r>
    <x v="3"/>
    <x v="17"/>
    <s v="Canned"/>
    <s v="Paste (national transport)"/>
    <s v="Yes"/>
    <s v="USA"/>
    <n v="2013"/>
    <s v="Sonja Brodt (a); Klaas Jan Kramer (b); Alissa Kendall (c); Gail Feenstra (a)"/>
    <s v="(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
    <s v="Peer Reviewed Journal"/>
    <s v="Brodt, S. B., Jan, K., Kendall, A. and Feenstra, G., Comparing environmental impacts of regional and national-scale food supply chains : A case study of processed tomatoes. JOURNAL OF FOOD POLICY 2013, 42, 106-114."/>
    <s v="Yes"/>
    <s v="No"/>
    <s v="Yes"/>
    <s v="Yes"/>
    <s v="Yes"/>
    <s v="Yes"/>
    <s v="No"/>
    <s v="No"/>
    <s v="No"/>
    <s v="No"/>
    <s v="No"/>
    <s v="No"/>
    <m/>
    <s v="National (within country) transport"/>
    <s v="No"/>
    <s v="No"/>
    <s v="1 kg canned, consumer ready product"/>
    <s v="N/A"/>
    <s v=""/>
    <s v=""/>
    <s v=""/>
    <s v=""/>
    <m/>
    <m/>
    <m/>
    <m/>
    <m/>
    <m/>
    <m/>
    <m/>
    <m/>
    <m/>
    <n v="20.399999999999999"/>
    <s v="Interviews and published data"/>
    <m/>
    <m/>
    <m/>
    <m/>
    <m/>
    <m/>
    <m/>
    <m/>
    <m/>
    <m/>
    <m/>
    <n v="1.43"/>
    <m/>
    <s v="Ecoinvent 2008, IPCC 2006"/>
  </r>
  <r>
    <x v="3"/>
    <x v="15"/>
    <s v="Canned"/>
    <s v="Diced tomato (national transport)"/>
    <s v="Yes"/>
    <s v="USA"/>
    <n v="2013"/>
    <s v="Sonja Brodt (a); Klaas Jan Kramer (b); Alissa Kendall (c); Gail Feenstra (a)"/>
    <s v="(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
    <s v="Peer Reviewed Journal"/>
    <s v="Brodt, S. B., Jan, K., Kendall, A. and Feenstra, G., Comparing environmental impacts of regional and national-scale food supply chains : A case study of processed tomatoes. JOURNAL OF FOOD POLICY 2013, 42, 106-114."/>
    <s v="Yes"/>
    <s v="No"/>
    <s v="Yes"/>
    <s v="Yes"/>
    <s v="Yes"/>
    <s v="Yes"/>
    <s v="No"/>
    <s v="No"/>
    <s v="No"/>
    <s v="No"/>
    <s v="No"/>
    <s v="No"/>
    <m/>
    <s v="National (within country) transport"/>
    <s v="No"/>
    <s v="No"/>
    <s v="1 kg canned, consumer ready product"/>
    <s v="N/A"/>
    <s v=""/>
    <s v=""/>
    <s v=""/>
    <s v=""/>
    <m/>
    <m/>
    <m/>
    <m/>
    <m/>
    <m/>
    <m/>
    <m/>
    <m/>
    <m/>
    <n v="11"/>
    <s v="Interviews and published data"/>
    <m/>
    <m/>
    <m/>
    <m/>
    <m/>
    <m/>
    <m/>
    <m/>
    <m/>
    <m/>
    <m/>
    <n v="0.76500000000000001"/>
    <m/>
    <s v="Ecoinvent 2008, IPCC 2006"/>
  </r>
  <r>
    <x v="3"/>
    <x v="18"/>
    <s v="Fresh or Not Specified"/>
    <s v="Conventional Austria Greenhouse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No"/>
    <s v="Yes"/>
    <s v="No"/>
    <s v="No"/>
    <s v="No"/>
    <s v="No"/>
    <s v="No"/>
    <s v="Yes"/>
    <m/>
    <s v="Until market"/>
    <s v="No"/>
    <s v="Yes"/>
    <s v="1 kg loose tomatoes"/>
    <s v="N/A"/>
    <s v=""/>
    <s v=""/>
    <n v="1.2849999999999999"/>
    <n v="1.2919999999999998"/>
    <m/>
    <m/>
    <m/>
    <m/>
    <m/>
    <m/>
    <m/>
    <m/>
    <m/>
    <m/>
    <m/>
    <m/>
    <m/>
    <n v="1.2849999999999999"/>
    <n v="7.0000000000000001E-3"/>
    <m/>
    <n v="7.0999999999999994E-2"/>
    <m/>
    <m/>
    <m/>
    <m/>
    <m/>
    <n v="1.2849999999999999"/>
    <n v="1.367"/>
    <m/>
    <s v="IPCC 2006, 100 years"/>
  </r>
  <r>
    <x v="3"/>
    <x v="19"/>
    <s v="Fresh or Not Specified"/>
    <s v="Organic tunnel Austria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No"/>
    <s v="Yes"/>
    <s v="No"/>
    <s v="No"/>
    <s v="No"/>
    <s v="No"/>
    <s v="No"/>
    <s v="Yes"/>
    <m/>
    <s v="Until market"/>
    <s v="No"/>
    <s v="Yes"/>
    <s v="1 kg loose tomatoes"/>
    <s v="N/A"/>
    <s v=""/>
    <s v=""/>
    <n v="2.1000000000000001E-2"/>
    <s v=""/>
    <m/>
    <m/>
    <m/>
    <m/>
    <m/>
    <m/>
    <m/>
    <m/>
    <m/>
    <m/>
    <m/>
    <m/>
    <m/>
    <m/>
    <m/>
    <m/>
    <m/>
    <m/>
    <m/>
    <m/>
    <m/>
    <m/>
    <n v="2.1000000000000001E-2"/>
    <n v="0.109"/>
    <m/>
    <s v="IPCC 2006, 100 years"/>
  </r>
  <r>
    <x v="3"/>
    <x v="19"/>
    <s v="Fresh or Not Specified"/>
    <s v="Conventional Multi tunnel Spain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No"/>
    <s v="Yes"/>
    <s v="No"/>
    <s v="No"/>
    <s v="No"/>
    <s v="No"/>
    <s v="No"/>
    <s v="Yes"/>
    <m/>
    <s v="Until market"/>
    <s v="No"/>
    <s v="Yes"/>
    <s v="1 kg loose tomatoes"/>
    <s v="N/A"/>
    <s v=""/>
    <s v=""/>
    <n v="0.29299999999999998"/>
    <s v=""/>
    <m/>
    <m/>
    <m/>
    <m/>
    <m/>
    <m/>
    <m/>
    <m/>
    <m/>
    <m/>
    <m/>
    <m/>
    <m/>
    <m/>
    <m/>
    <m/>
    <m/>
    <m/>
    <m/>
    <m/>
    <m/>
    <m/>
    <n v="0.29299999999999998"/>
    <n v="0.60899999999999999"/>
    <m/>
    <s v="IPCC 2006, 100 years"/>
  </r>
  <r>
    <x v="3"/>
    <x v="19"/>
    <s v="Fresh or Not Specified"/>
    <s v="Conventional open field Italy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Yes"/>
    <s v="Yes"/>
    <s v="Yes"/>
    <s v="No"/>
    <s v="No"/>
    <s v="No"/>
    <s v="No"/>
    <s v="No"/>
    <s v="Yes"/>
    <m/>
    <s v="Until market"/>
    <s v="No"/>
    <s v="Yes"/>
    <s v="1 kg loose tomatoes"/>
    <s v="N/A"/>
    <s v=""/>
    <s v=""/>
    <n v="8.5999999999999993E-2"/>
    <s v=""/>
    <m/>
    <m/>
    <m/>
    <m/>
    <m/>
    <m/>
    <m/>
    <m/>
    <m/>
    <m/>
    <m/>
    <m/>
    <m/>
    <m/>
    <m/>
    <m/>
    <m/>
    <m/>
    <m/>
    <m/>
    <m/>
    <m/>
    <n v="8.5999999999999993E-2"/>
    <n v="0.28100000000000003"/>
    <m/>
    <s v="IPCC 2006, 100 years"/>
  </r>
  <r>
    <x v="3"/>
    <x v="18"/>
    <s v="Other (Specify)"/>
    <s v="Conventional Austria Greenhouse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Yes"/>
    <s v="Yes"/>
    <s v="No"/>
    <s v="No"/>
    <s v="No"/>
    <s v="No"/>
    <s v="No"/>
    <s v="Yes"/>
    <m/>
    <s v="Until market"/>
    <s v="No"/>
    <s v="Yes"/>
    <s v="1 kg packaged tomato"/>
    <s v="N/A"/>
    <s v=""/>
    <s v=""/>
    <s v=""/>
    <s v=""/>
    <m/>
    <m/>
    <m/>
    <m/>
    <m/>
    <m/>
    <m/>
    <m/>
    <m/>
    <m/>
    <m/>
    <m/>
    <m/>
    <m/>
    <m/>
    <m/>
    <m/>
    <m/>
    <m/>
    <m/>
    <m/>
    <m/>
    <m/>
    <n v="1.367"/>
    <m/>
    <s v="IPCC 2006, 100 years"/>
  </r>
  <r>
    <x v="3"/>
    <x v="19"/>
    <s v="Other (Specify)"/>
    <s v="Organic tunnel Austria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Yes"/>
    <s v="Yes"/>
    <s v="No"/>
    <s v="No"/>
    <s v="No"/>
    <s v="No"/>
    <s v="No"/>
    <s v="Yes"/>
    <m/>
    <s v="Until market"/>
    <s v="No"/>
    <s v="Yes"/>
    <s v="1 kg packaged tomato"/>
    <s v="N/A"/>
    <s v=""/>
    <s v=""/>
    <n v="2.1000000000000001E-2"/>
    <n v="0.10600000000000001"/>
    <m/>
    <m/>
    <m/>
    <m/>
    <m/>
    <m/>
    <m/>
    <m/>
    <m/>
    <m/>
    <m/>
    <m/>
    <m/>
    <n v="2.1000000000000001E-2"/>
    <n v="8.5000000000000006E-2"/>
    <m/>
    <n v="7.0999999999999994E-2"/>
    <m/>
    <m/>
    <m/>
    <m/>
    <m/>
    <n v="2.1000000000000001E-2"/>
    <n v="0.18"/>
    <m/>
    <s v="IPCC 2006, 100 years"/>
  </r>
  <r>
    <x v="3"/>
    <x v="19"/>
    <s v="Other (Specify)"/>
    <s v="Conventional Multi tunnel Spain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Yes"/>
    <s v="Yes"/>
    <s v="No"/>
    <s v="No"/>
    <s v="No"/>
    <s v="No"/>
    <s v="No"/>
    <s v="Yes"/>
    <m/>
    <s v="Until market"/>
    <s v="No"/>
    <s v="Yes"/>
    <s v="1 kg packaged tomato"/>
    <s v="N/A"/>
    <s v=""/>
    <s v=""/>
    <n v="0.29299999999999998"/>
    <n v="0.68500000000000005"/>
    <m/>
    <m/>
    <m/>
    <m/>
    <m/>
    <m/>
    <m/>
    <m/>
    <m/>
    <m/>
    <m/>
    <m/>
    <m/>
    <n v="0.29299999999999998"/>
    <n v="0.39200000000000002"/>
    <m/>
    <n v="7.0999999999999994E-2"/>
    <m/>
    <m/>
    <m/>
    <m/>
    <m/>
    <n v="0.29299999999999998"/>
    <n v="0.75900000000000001"/>
    <m/>
    <s v="IPCC 2006, 100 years"/>
  </r>
  <r>
    <x v="3"/>
    <x v="16"/>
    <s v="Canned"/>
    <s v="Conventional open field Italy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Yes"/>
    <s v="Yes"/>
    <s v="Yes"/>
    <s v="No"/>
    <s v="No"/>
    <s v="No"/>
    <s v="No"/>
    <s v="No"/>
    <s v="Yes"/>
    <m/>
    <s v="Until market"/>
    <s v="No"/>
    <s v="Yes"/>
    <s v="1 kg processed and packed tomato"/>
    <s v="N/A"/>
    <s v=""/>
    <s v=""/>
    <n v="8.500000000000002E-2"/>
    <n v="0.24200000000000005"/>
    <m/>
    <m/>
    <m/>
    <m/>
    <m/>
    <m/>
    <m/>
    <m/>
    <m/>
    <m/>
    <m/>
    <m/>
    <m/>
    <n v="8.500000000000002E-2"/>
    <n v="1.7999999999999999E-2"/>
    <n v="0.13900000000000001"/>
    <n v="0.44700000000000001"/>
    <n v="0.17799999999999999"/>
    <m/>
    <m/>
    <m/>
    <m/>
    <n v="8.500000000000002E-2"/>
    <n v="0.86799999999999999"/>
    <m/>
    <s v="IPCC 2006, 100 years"/>
  </r>
  <r>
    <x v="4"/>
    <x v="20"/>
    <s v="Fresh or Not Specified"/>
    <s v="Organic grown "/>
    <s v="Yes"/>
    <s v="Ecuador"/>
    <n v="2015"/>
    <s v="Laura Roibása (a); Aziz Elbehrib (b); Almudena Hospidoa (a)"/>
    <s v="(a) Department of Chemical Engineering, Institute of Technology, University of Santiago de Compostela, 15782 Santiago de Compostela, Galicia, Spain; (b) Trade and Markets Division (EST), Food and Agriculture Organization of the United Nations,_x000a_ Viale delle Terme di Caracalla, 00153 Rome, Italy"/>
    <s v="Peer Reviewed Journal"/>
    <s v="Roibas, L., Elbehri, A. and Hospido, A., Evaluating the sustainability of Ecuadorian bananas: Carbon footprint, water usage and wealth distribution along the supply chain. Sustainable Production and Consumption 2015, 2 (July), 3-16."/>
    <s v="Yes"/>
    <s v="No"/>
    <s v="Yes"/>
    <s v="No"/>
    <s v="Yes"/>
    <s v="Yes"/>
    <s v="Yes"/>
    <s v="No"/>
    <s v="No"/>
    <s v="No"/>
    <s v="No"/>
    <s v="No"/>
    <s v="Waste disposal"/>
    <s v="Cradle to Grave"/>
    <s v="No"/>
    <s v="Yes"/>
    <s v="1 kg banana"/>
    <s v="N/A"/>
    <s v=""/>
    <s v=""/>
    <n v="0.249"/>
    <s v=""/>
    <m/>
    <m/>
    <m/>
    <m/>
    <m/>
    <m/>
    <m/>
    <m/>
    <m/>
    <m/>
    <m/>
    <m/>
    <m/>
    <n v="0.249"/>
    <m/>
    <m/>
    <n v="0.08"/>
    <n v="0.62719999999999998"/>
    <n v="6.4000000000000001E-2"/>
    <n v="0.2432"/>
    <m/>
    <m/>
    <n v="0.249"/>
    <n v="1.28"/>
    <n v="2.9000000000000001E-2"/>
    <s v="ISO 14067"/>
  </r>
  <r>
    <x v="4"/>
    <x v="20"/>
    <s v="Fresh or Not Specified"/>
    <s v="Conventional grown"/>
    <s v="Yes"/>
    <s v="Ecuador"/>
    <n v="2015"/>
    <s v="Laura Roibása (a); Aziz Elbehrib (b); Almudena Hospidoa (a)"/>
    <s v="(a) Department of Chemical Engineering, Institute of Technology, University of Santiago de Compostela, 15782 Santiago de Compostela, Galicia, Spain; (b) Trade and Markets Division (EST), Food and Agriculture Organization of the United Nations,_x000a_ Viale delle Terme di Caracalla, 00153 Rome, Italy"/>
    <s v="Peer Reviewed Journal"/>
    <s v="Roibas, L., Elbehri, A. and Hospido, A., Evaluating the sustainability of Ecuadorian bananas: Carbon footprint, water usage and wealth distribution along the supply chain. Sustainable Production and Consumption 2015, 2 (July), 3-16."/>
    <s v="Yes"/>
    <s v="No"/>
    <s v="Yes"/>
    <s v="No"/>
    <s v="Yes"/>
    <s v="Yes"/>
    <s v="Yes"/>
    <s v="No"/>
    <s v="No"/>
    <s v="No"/>
    <s v="No"/>
    <s v="No"/>
    <s v="Waste disposal"/>
    <s v="Cradle to Grave"/>
    <s v="No"/>
    <s v="Yes"/>
    <s v="1 kg banana"/>
    <s v="N/A"/>
    <s v=""/>
    <s v=""/>
    <n v="0.30199999999999999"/>
    <s v=""/>
    <m/>
    <m/>
    <m/>
    <m/>
    <m/>
    <m/>
    <m/>
    <m/>
    <m/>
    <m/>
    <m/>
    <m/>
    <m/>
    <n v="0.30199999999999999"/>
    <m/>
    <m/>
    <n v="0.08"/>
    <n v="0.62719999999999998"/>
    <n v="6.4000000000000001E-2"/>
    <n v="0.2432"/>
    <m/>
    <m/>
    <n v="0.30199999999999999"/>
    <n v="1.28"/>
    <n v="0.1"/>
    <s v="ISO 14068"/>
  </r>
  <r>
    <x v="0"/>
    <x v="0"/>
    <s v="Fresh or Not Specified"/>
    <s v="Liquid Milk"/>
    <s v="No"/>
    <s v="Global"/>
    <n v="2010"/>
    <s v="Pierre Gerber; Theun Vellinga; Klaas Dietze; Alessandra Falcucci; Guya Gianni; Jerome Mounsey; Luigi Maiorano; Carolyn Opio; Daniela Sironi; Olaf Thieme; Viola Weiler"/>
    <s v="Food and Agriculture Organization of the United Nations, Animal Production and Health Division"/>
    <s v="Peer Reviewed Journal"/>
    <s v="Gerber, P., Vellinga, T., Dietze, K., Falcucci, A., Gianni, G., Mounsey, J., Maiorano, L., Opio, C., Sironi, D., Thieme, O. and Weiler, V., Greenhouse gas emissions from the dairy sector: A life cycle assessment. FAO; 2010, 1-96."/>
    <s v="Yes"/>
    <s v="Yes"/>
    <s v="Yes"/>
    <s v="Yes"/>
    <s v="Yes"/>
    <s v="Yes"/>
    <s v="No"/>
    <s v="No"/>
    <s v="No"/>
    <s v="No"/>
    <s v="No"/>
    <s v="No"/>
    <m/>
    <s v="Cradle to Farm Gate; Processing to Retail"/>
    <s v="No"/>
    <s v="No"/>
    <s v="1 kg FPCM"/>
    <s v="N/A"/>
    <s v=""/>
    <s v=""/>
    <s v=""/>
    <s v=""/>
    <m/>
    <m/>
    <m/>
    <m/>
    <m/>
    <m/>
    <m/>
    <m/>
    <m/>
    <m/>
    <m/>
    <m/>
    <m/>
    <m/>
    <m/>
    <m/>
    <m/>
    <m/>
    <m/>
    <m/>
    <m/>
    <m/>
    <m/>
    <n v="2.4"/>
    <s v="1.776 to 3.024"/>
    <s v="IPCC, 2007"/>
  </r>
  <r>
    <x v="0"/>
    <x v="21"/>
    <s v="Fresh or Not Specified"/>
    <s v="Margarine"/>
    <s v="No"/>
    <s v="UK"/>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18.2"/>
    <m/>
    <m/>
    <m/>
    <m/>
    <m/>
    <m/>
    <m/>
    <m/>
    <m/>
    <m/>
    <m/>
    <m/>
    <n v="1.1000000000000001"/>
    <m/>
    <s v="IPCC, 2007"/>
  </r>
  <r>
    <x v="0"/>
    <x v="7"/>
    <s v="Fresh or Not Specified"/>
    <s v="Butter"/>
    <s v="No"/>
    <s v="UK"/>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42"/>
    <m/>
    <m/>
    <m/>
    <m/>
    <m/>
    <m/>
    <m/>
    <m/>
    <m/>
    <m/>
    <m/>
    <m/>
    <n v="9.6"/>
    <m/>
    <s v="IPCC, 2007"/>
  </r>
  <r>
    <x v="0"/>
    <x v="21"/>
    <s v="Fresh or Not Specified"/>
    <s v="Margarine"/>
    <s v="No"/>
    <s v="Germany"/>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22"/>
    <m/>
    <m/>
    <m/>
    <m/>
    <m/>
    <m/>
    <m/>
    <m/>
    <m/>
    <m/>
    <m/>
    <m/>
    <n v="1.32"/>
    <m/>
    <s v="IPCC, 2007"/>
  </r>
  <r>
    <x v="0"/>
    <x v="7"/>
    <s v="Fresh or Not Specified"/>
    <s v="Butter"/>
    <s v="No"/>
    <s v="Germany"/>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30"/>
    <m/>
    <m/>
    <m/>
    <m/>
    <m/>
    <m/>
    <m/>
    <m/>
    <m/>
    <m/>
    <m/>
    <m/>
    <n v="9"/>
    <m/>
    <s v="IPCC, 2007"/>
  </r>
  <r>
    <x v="0"/>
    <x v="21"/>
    <s v="Fresh or Not Specified"/>
    <s v="Margarine"/>
    <s v="No"/>
    <s v="France"/>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26"/>
    <m/>
    <m/>
    <m/>
    <m/>
    <m/>
    <m/>
    <m/>
    <m/>
    <m/>
    <m/>
    <m/>
    <m/>
    <n v="1.66"/>
    <m/>
    <s v="IPCC, 2007"/>
  </r>
  <r>
    <x v="0"/>
    <x v="7"/>
    <s v="Fresh or Not Specified"/>
    <s v="Butter"/>
    <s v="No"/>
    <s v="France"/>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32"/>
    <m/>
    <m/>
    <m/>
    <m/>
    <m/>
    <m/>
    <m/>
    <m/>
    <m/>
    <m/>
    <m/>
    <m/>
    <n v="7.2"/>
    <m/>
    <s v="IPCC, 2007"/>
  </r>
  <r>
    <x v="5"/>
    <x v="22"/>
    <s v="Fresh or Not Specified"/>
    <s v="White bread, medium slices, plastic bag"/>
    <s v="No"/>
    <s v="UK"/>
    <n v="2011"/>
    <s v="Namy Espinoza-Orias; Heinz Stichnothe; Adisa Azapagic"/>
    <m/>
    <s v="Peer Reviewed Journal"/>
    <s v="Espinoza-Orias, N., Stichnothe, H. and Azapagic, A., The carbon footprint of bread. The International Journal of Life Cycle Assessment 2011, 16, 351-365."/>
    <s v="Yes"/>
    <s v="No"/>
    <s v="Yes"/>
    <s v="Yes"/>
    <s v="Yes"/>
    <s v="Yes"/>
    <s v="Yes"/>
    <s v="Yes"/>
    <s v="Yes"/>
    <s v="Yes"/>
    <s v="No"/>
    <s v="No"/>
    <m/>
    <s v="Cradle to Grave"/>
    <s v="Yes"/>
    <s v="Yes"/>
    <s v="800g loaf of sliced bread"/>
    <s v="Multiply results by 1.25"/>
    <s v=""/>
    <s v=""/>
    <n v="0.56147683749999999"/>
    <n v="0.93009182499999998"/>
    <m/>
    <m/>
    <m/>
    <m/>
    <m/>
    <m/>
    <m/>
    <m/>
    <m/>
    <m/>
    <m/>
    <m/>
    <m/>
    <n v="0.56147683749999999"/>
    <m/>
    <n v="0.36861498749999999"/>
    <n v="2.4885400000000002E-2"/>
    <n v="6.2057966249999999E-2"/>
    <n v="6.2213500000000005E-2"/>
    <n v="0.40376561500000002"/>
    <n v="7.450066625E-2"/>
    <m/>
    <n v="0.56147683749999999"/>
    <n v="1.5553375"/>
    <m/>
    <s v="PAS-2050 Compliant, IPCC 2006"/>
  </r>
  <r>
    <x v="5"/>
    <x v="22"/>
    <s v="Fresh or Not Specified"/>
    <s v="White bread, thick slices, plastic bag"/>
    <s v="No"/>
    <s v="UK"/>
    <n v="2011"/>
    <s v="Namy Espinoza-Orias; Heinz Stichnothe; Adisa Azapagic"/>
    <m/>
    <s v="Peer Reviewed Journal"/>
    <s v="Espinoza-Orias, N., Stichnothe, H. and Azapagic, A., The carbon footprint of bread. The International Journal of Life Cycle Assessment 2011, 16, 351-365."/>
    <s v="Yes"/>
    <s v="No"/>
    <s v="Yes"/>
    <s v="Yes"/>
    <s v="Yes"/>
    <s v="Yes"/>
    <s v="Yes"/>
    <s v="Yes"/>
    <s v="Yes"/>
    <s v="Yes"/>
    <s v="No"/>
    <s v="No"/>
    <m/>
    <s v="Cradle to Grave"/>
    <s v="Yes"/>
    <s v="Yes"/>
    <s v="800g loaf of sliced bread"/>
    <s v="Multiply results by 1.25"/>
    <s v=""/>
    <s v=""/>
    <n v="0.57533104874999996"/>
    <n v="0.94453064875000003"/>
    <m/>
    <m/>
    <m/>
    <m/>
    <m/>
    <m/>
    <m/>
    <m/>
    <m/>
    <m/>
    <m/>
    <m/>
    <m/>
    <n v="0.57533104874999996"/>
    <m/>
    <n v="0.36919960000000002"/>
    <n v="1.4983750000000001E-2"/>
    <n v="6.2587123750000001E-2"/>
    <n v="6.8775412500000008E-2"/>
    <n v="0.35046991249999998"/>
    <n v="6.8775412500000008E-2"/>
    <m/>
    <n v="0.57533104874999996"/>
    <n v="1.498375"/>
    <m/>
    <s v="PAS-2050 Compliant, IPCC 2006"/>
  </r>
  <r>
    <x v="5"/>
    <x v="22"/>
    <s v="Fresh or Not Specified"/>
    <s v="Wholemeal bread, medium slices, plastic bag"/>
    <s v="No"/>
    <s v="UK"/>
    <n v="2011"/>
    <s v="Namy Espinoza-Orias; Heinz Stichnothe; Adisa Azapagic"/>
    <m/>
    <s v="Peer Reviewed Journal"/>
    <s v="Espinoza-Orias, N., Stichnothe, H. and Azapagic, A., The carbon footprint of bread. The International Journal of Life Cycle Assessment 2011, 16, 351-365."/>
    <s v="Yes"/>
    <s v="No"/>
    <s v="Yes"/>
    <s v="Yes"/>
    <s v="Yes"/>
    <s v="Yes"/>
    <s v="Yes"/>
    <s v="Yes"/>
    <s v="Yes"/>
    <s v="Yes"/>
    <s v="No"/>
    <s v="No"/>
    <m/>
    <s v="Cradle to Grave"/>
    <s v="Yes"/>
    <s v="Yes"/>
    <s v="800g loaf of sliced bread"/>
    <s v="Multiply results by 1.25"/>
    <s v=""/>
    <s v=""/>
    <n v="0.4567740500000001"/>
    <n v="0.83780455500000017"/>
    <m/>
    <m/>
    <m/>
    <m/>
    <m/>
    <m/>
    <m/>
    <m/>
    <m/>
    <m/>
    <m/>
    <m/>
    <m/>
    <n v="0.4567740500000001"/>
    <m/>
    <n v="0.38103050500000007"/>
    <n v="2.5035843500000002E-2"/>
    <n v="5.6316193000000014E-2"/>
    <n v="5.6316193000000014E-2"/>
    <n v="0.40618198750000012"/>
    <n v="6.8805205000000022E-2"/>
    <m/>
    <n v="0.4567740500000001"/>
    <n v="1.4454875000000003"/>
    <m/>
    <s v="PAS-2050 Compliant, IPCC 2006"/>
  </r>
  <r>
    <x v="5"/>
    <x v="22"/>
    <s v="Fresh or Not Specified"/>
    <s v="Wholemeal bread, thick slices, plastic bag"/>
    <s v="No"/>
    <s v="UK"/>
    <n v="2011"/>
    <s v="Namy Espinoza-Orias; Heinz Stichnothe; Adisa Azapagic"/>
    <m/>
    <s v="Peer Reviewed Journal"/>
    <s v="Espinoza-Orias, N., Stichnothe, H. and Azapagic, A., The carbon footprint of bread. The International Journal of Life Cycle Assessment 2011, 16, 351-365."/>
    <s v="Yes"/>
    <s v="No"/>
    <s v="Yes"/>
    <s v="Yes"/>
    <s v="Yes"/>
    <s v="Yes"/>
    <s v="Yes"/>
    <s v="Yes"/>
    <s v="Yes"/>
    <s v="Yes"/>
    <s v="No"/>
    <s v="No"/>
    <m/>
    <s v="Cradle to Grave"/>
    <s v="Yes"/>
    <s v="Yes"/>
    <s v="800g loaf of sliced bread"/>
    <s v="Multiply results by 1.25"/>
    <s v=""/>
    <s v=""/>
    <n v="0.45680005000000001"/>
    <n v="0.83251461999999998"/>
    <m/>
    <m/>
    <m/>
    <m/>
    <m/>
    <m/>
    <m/>
    <m/>
    <m/>
    <m/>
    <m/>
    <m/>
    <m/>
    <n v="0.45680005000000001"/>
    <m/>
    <n v="0.37571457000000003"/>
    <n v="2.4992099999999996E-2"/>
    <n v="5.6232224999999997E-2"/>
    <n v="5.6232224999999997E-2"/>
    <n v="0.35960855000000003"/>
    <n v="6.2480249999999994E-2"/>
    <m/>
    <n v="0.45680005000000001"/>
    <n v="1.38845"/>
    <m/>
    <s v="PAS-2050 Compliant, IPCC 2006"/>
  </r>
  <r>
    <x v="1"/>
    <x v="23"/>
    <s v="Fresh or Not Specified"/>
    <s v="backyard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No"/>
    <s v="Yes"/>
    <s v="No"/>
    <s v="No"/>
    <s v="No"/>
    <s v="No"/>
    <s v="No"/>
    <s v="No"/>
    <s v="No"/>
    <s v="No"/>
    <s v="No"/>
    <m/>
    <m/>
    <s v="No"/>
    <s v="Yes"/>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7.5445816186556929"/>
    <s v=""/>
    <m/>
    <m/>
    <m/>
    <m/>
    <m/>
    <m/>
    <m/>
    <m/>
    <m/>
    <m/>
    <m/>
    <m/>
    <m/>
    <m/>
    <m/>
    <m/>
    <m/>
    <m/>
    <m/>
    <m/>
    <m/>
    <m/>
    <n v="7.5445816186556929"/>
    <n v="7.5445816186556929"/>
    <m/>
    <m/>
  </r>
  <r>
    <x v="1"/>
    <x v="23"/>
    <s v="Fresh or Not Specified"/>
    <s v="intermediate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Yes"/>
    <s v="Yes"/>
    <s v="Yes"/>
    <s v="No"/>
    <s v="Yes"/>
    <s v="No"/>
    <s v="No"/>
    <s v="No"/>
    <s v="No"/>
    <s v="No"/>
    <s v="No"/>
    <m/>
    <s v="LUC due to soybeans adds ~0.5 kg CO2e/kg CW here"/>
    <s v="No"/>
    <s v="Yes"/>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3676268861454037"/>
    <s v=""/>
    <m/>
    <m/>
    <m/>
    <m/>
    <m/>
    <m/>
    <m/>
    <m/>
    <m/>
    <m/>
    <m/>
    <m/>
    <m/>
    <m/>
    <m/>
    <m/>
    <m/>
    <m/>
    <m/>
    <m/>
    <m/>
    <m/>
    <n v="8.3676268861454037"/>
    <n v="8.9163237311385455"/>
    <m/>
    <s v="IPPC, 2007, 100 yr"/>
  </r>
  <r>
    <x v="1"/>
    <x v="23"/>
    <s v="Fresh or Not Specified"/>
    <s v="industrial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Yes"/>
    <s v="Yes"/>
    <s v="Yes"/>
    <s v="No"/>
    <s v="Yes"/>
    <s v="No"/>
    <s v="No"/>
    <s v="No"/>
    <s v="No"/>
    <s v="No"/>
    <s v="No"/>
    <m/>
    <s v="LUC due to soybeans adds ~1.0 kg CO2e/kg CW here"/>
    <s v="No"/>
    <s v="Yes"/>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7.6817558299039774"/>
    <s v=""/>
    <m/>
    <m/>
    <m/>
    <m/>
    <m/>
    <m/>
    <m/>
    <m/>
    <m/>
    <m/>
    <m/>
    <m/>
    <m/>
    <m/>
    <m/>
    <m/>
    <m/>
    <m/>
    <m/>
    <m/>
    <m/>
    <m/>
    <n v="7.6817558299039774"/>
    <n v="8.3676268861454037"/>
    <m/>
    <s v="IPPC, 2007, 100 yr"/>
  </r>
  <r>
    <x v="1"/>
    <x v="23"/>
    <s v="Fresh or Not Specified"/>
    <s v="industrial production"/>
    <s v="Yes"/>
    <s v="North America"/>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No"/>
    <s v="Yes"/>
    <s v="Yes"/>
    <s v="No"/>
    <s v="Yes"/>
    <s v="No"/>
    <s v="No"/>
    <s v="No"/>
    <s v="No"/>
    <s v="No"/>
    <s v="No"/>
    <m/>
    <m/>
    <s v="No"/>
    <s v="Yes"/>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5.6241426611796976"/>
    <s v=""/>
    <m/>
    <m/>
    <m/>
    <m/>
    <m/>
    <m/>
    <m/>
    <m/>
    <m/>
    <m/>
    <m/>
    <m/>
    <m/>
    <m/>
    <m/>
    <m/>
    <m/>
    <m/>
    <m/>
    <m/>
    <m/>
    <m/>
    <n v="5.6241426611796976"/>
    <n v="6.3100137174211248"/>
    <m/>
    <s v="IPPC, 2007, 100 yr"/>
  </r>
  <r>
    <x v="1"/>
    <x v="24"/>
    <s v="Fresh or Not Specified"/>
    <s v="industrial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Yes"/>
    <s v="Yes"/>
    <s v="Yes"/>
    <s v="No"/>
    <s v="Yes"/>
    <s v="No"/>
    <s v="No"/>
    <s v="No"/>
    <s v="No"/>
    <s v="No"/>
    <s v="No"/>
    <m/>
    <s v="LUC due to soybeans ~1.0 kg CO2e/kg CW here"/>
    <s v="No"/>
    <s v="Yes"/>
    <s v="kg carcass weight"/>
    <s v="boneless = 77%*carcass (Sonesson, 2010)"/>
    <s v=""/>
    <s v=""/>
    <n v="6.3636363636363642"/>
    <s v=""/>
    <m/>
    <m/>
    <m/>
    <m/>
    <m/>
    <m/>
    <m/>
    <m/>
    <m/>
    <m/>
    <m/>
    <m/>
    <m/>
    <m/>
    <m/>
    <m/>
    <m/>
    <m/>
    <m/>
    <m/>
    <m/>
    <m/>
    <n v="6.3636363636363642"/>
    <n v="5.2"/>
    <m/>
    <s v="IPPC, 2007, 100 yr"/>
  </r>
  <r>
    <x v="1"/>
    <x v="24"/>
    <s v="Fresh or Not Specified"/>
    <s v="industrial production"/>
    <s v="Yes"/>
    <s v="N. America"/>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No"/>
    <s v="Yes"/>
    <s v="Yes"/>
    <s v="No"/>
    <s v="Yes"/>
    <s v="No"/>
    <s v="No"/>
    <s v="No"/>
    <s v="No"/>
    <s v="No"/>
    <s v="No"/>
    <m/>
    <m/>
    <s v="No"/>
    <s v="Yes"/>
    <s v="kg carcass weight"/>
    <s v="boneless = 77%*carcass (Sonesson, 2010)"/>
    <s v=""/>
    <s v=""/>
    <n v="5.1948051948051948"/>
    <s v=""/>
    <m/>
    <m/>
    <m/>
    <m/>
    <m/>
    <m/>
    <m/>
    <m/>
    <m/>
    <m/>
    <m/>
    <m/>
    <m/>
    <m/>
    <m/>
    <m/>
    <m/>
    <m/>
    <m/>
    <m/>
    <m/>
    <m/>
    <n v="5.1948051948051948"/>
    <n v="4.4000000000000004"/>
    <m/>
    <s v="IPPC, 2007, 100 yr"/>
  </r>
  <r>
    <x v="2"/>
    <x v="2"/>
    <s v="Fresh or Not Specified"/>
    <s v="industrial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Yes"/>
    <s v="Yes"/>
    <s v="Yes"/>
    <s v="No"/>
    <s v="Yes"/>
    <s v="No"/>
    <s v="No"/>
    <s v="No"/>
    <s v="No"/>
    <s v="No"/>
    <s v="No"/>
    <m/>
    <s v="LUC due to soybeans ~1.1 kg CO2e/kg CW here"/>
    <s v="No"/>
    <s v="Yes"/>
    <s v="kg egg"/>
    <m/>
    <s v=""/>
    <s v=""/>
    <n v="3.4"/>
    <s v=""/>
    <m/>
    <m/>
    <m/>
    <m/>
    <m/>
    <m/>
    <m/>
    <m/>
    <m/>
    <m/>
    <m/>
    <m/>
    <m/>
    <m/>
    <m/>
    <m/>
    <m/>
    <m/>
    <m/>
    <m/>
    <m/>
    <m/>
    <n v="3.4"/>
    <n v="3.7"/>
    <m/>
    <s v="IPPC, 2007, 100 yr"/>
  </r>
  <r>
    <x v="2"/>
    <x v="2"/>
    <s v="Fresh or Not Specified"/>
    <s v="industrial production"/>
    <s v="Yes"/>
    <s v="N. America"/>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No"/>
    <s v="Yes"/>
    <s v="Yes"/>
    <s v="No"/>
    <s v="Yes"/>
    <s v="No"/>
    <s v="No"/>
    <s v="No"/>
    <s v="No"/>
    <s v="No"/>
    <s v="No"/>
    <m/>
    <m/>
    <s v="No"/>
    <s v="Yes"/>
    <s v="kg egg"/>
    <m/>
    <s v=""/>
    <s v=""/>
    <n v="2.75"/>
    <s v=""/>
    <m/>
    <m/>
    <m/>
    <m/>
    <m/>
    <m/>
    <m/>
    <m/>
    <m/>
    <m/>
    <m/>
    <m/>
    <m/>
    <m/>
    <m/>
    <m/>
    <m/>
    <m/>
    <m/>
    <m/>
    <m/>
    <m/>
    <n v="2.75"/>
    <n v="2.85"/>
    <m/>
    <s v="IPPC, 2007, 100 yr"/>
  </r>
  <r>
    <x v="1"/>
    <x v="3"/>
    <s v="Fresh or Not Specified"/>
    <s v="normal operation"/>
    <s v="Yes"/>
    <s v="USA, Northern Great Plains"/>
    <n v="2013"/>
    <s v="Christopher D. Lupo, David E. Clay, Jennifer L. Benning, and James J. Stone"/>
    <s v="C.D. Lupo, J.L. Benning, and J.J. Stone, Dep. of Civil and Environmental Engineering,South Dakota School of Mines and Technology, Rapid City, SD 57701; D.E. Clay, Dep. of Plant Sciences, South Dakota State Univ., Brookings, SD 57007."/>
    <s v="Peer Reviewed Journal"/>
    <s v="Lupo, C. D., Clay, D. E., Benning, J. L. and Stone, J. J., Life-cycle assessment of the beef cattle production system for the northern great plains, USA. Journal of environmental quality 2013, 42 (5), 1386-94."/>
    <s v="Yes"/>
    <s v="No"/>
    <s v="No"/>
    <s v="No"/>
    <s v="No"/>
    <s v="No"/>
    <s v="No"/>
    <s v="No"/>
    <s v="No"/>
    <s v="No"/>
    <s v="No"/>
    <s v="No"/>
    <m/>
    <m/>
    <s v="No"/>
    <s v="No"/>
    <s v="kg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4.482758620689651"/>
    <s v=""/>
    <m/>
    <m/>
    <m/>
    <m/>
    <m/>
    <m/>
    <m/>
    <m/>
    <m/>
    <m/>
    <m/>
    <m/>
    <m/>
    <m/>
    <m/>
    <m/>
    <m/>
    <m/>
    <m/>
    <m/>
    <m/>
    <m/>
    <n v="34.482758620689651"/>
    <m/>
    <m/>
    <s v="ReCiPe midpoint"/>
  </r>
  <r>
    <x v="1"/>
    <x v="3"/>
    <s v="Fresh or Not Specified"/>
    <s v="early weaning"/>
    <s v="Yes"/>
    <s v="USA, Northern Great Plains"/>
    <n v="2013"/>
    <s v="Christopher D. Lupo, David E. Clay, Jennifer L. Benning, and James J. Stone"/>
    <s v="C.D. Lupo, J.L. Benning, and J.J. Stone, Dep. of Civil and Environmental Engineering,South Dakota School of Mines and Technology, Rapid City, SD 57701; D.E. Clay, Dep. of Plant Sciences, South Dakota State Univ., Brookings, SD 57007."/>
    <s v="Peer Reviewed Journal"/>
    <s v="Lupo, C. D., Clay, D. E., Benning, J. L. and Stone, J. J., Life-cycle assessment of the beef cattle production system for the northern great plains, USA. Journal of environmental quality 2013, 42 (5), 1386-94."/>
    <s v="Yes"/>
    <s v="No"/>
    <s v="No"/>
    <s v="No"/>
    <s v="No"/>
    <s v="No"/>
    <s v="No"/>
    <s v="No"/>
    <s v="No"/>
    <s v="No"/>
    <s v="No"/>
    <s v="No"/>
    <m/>
    <m/>
    <s v="No"/>
    <s v="No"/>
    <s v="kg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6.131934032983509"/>
    <s v=""/>
    <m/>
    <m/>
    <m/>
    <m/>
    <m/>
    <m/>
    <m/>
    <m/>
    <m/>
    <m/>
    <m/>
    <m/>
    <m/>
    <m/>
    <m/>
    <m/>
    <m/>
    <m/>
    <m/>
    <m/>
    <m/>
    <m/>
    <n v="36.131934032983509"/>
    <m/>
    <m/>
    <s v="ReCiPe midpoint"/>
  </r>
  <r>
    <x v="1"/>
    <x v="3"/>
    <s v="Fresh or Not Specified"/>
    <s v="fast-track backgrounding"/>
    <s v="Yes"/>
    <s v="USA, Northern Great Plains"/>
    <n v="2013"/>
    <s v="Christopher D. Lupo, David E. Clay, Jennifer L. Benning, and James J. Stone"/>
    <s v="C.D. Lupo, J.L. Benning, and J.J. Stone, Dep. of Civil and Environmental Engineering,South Dakota School of Mines and Technology, Rapid City, SD 57701; D.E. Clay, Dep. of Plant Sciences, South Dakota State Univ., Brookings, SD 57007."/>
    <s v="Peer Reviewed Journal"/>
    <s v="Lupo, C. D., Clay, D. E., Benning, J. L. and Stone, J. J., Life-cycle assessment of the beef cattle production system for the northern great plains, USA. Journal of environmental quality 2013, 42 (5), 1386-94."/>
    <s v="Yes"/>
    <s v="No"/>
    <s v="No"/>
    <s v="No"/>
    <s v="No"/>
    <s v="No"/>
    <s v="No"/>
    <s v="No"/>
    <s v="No"/>
    <s v="No"/>
    <s v="No"/>
    <s v="No"/>
    <m/>
    <m/>
    <s v="No"/>
    <s v="No"/>
    <s v="kg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4.332833583208391"/>
    <s v=""/>
    <m/>
    <m/>
    <m/>
    <m/>
    <m/>
    <m/>
    <m/>
    <m/>
    <m/>
    <m/>
    <m/>
    <m/>
    <m/>
    <m/>
    <m/>
    <m/>
    <m/>
    <m/>
    <m/>
    <m/>
    <m/>
    <m/>
    <n v="34.332833583208391"/>
    <m/>
    <m/>
    <s v="ReCiPe midpoint"/>
  </r>
  <r>
    <x v="1"/>
    <x v="3"/>
    <s v="Fresh or Not Specified"/>
    <s v="grassfed"/>
    <s v="Yes"/>
    <s v="USA, Northern Great Plains"/>
    <n v="2013"/>
    <s v="Christopher D. Lupo, David E. Clay, Jennifer L. Benning, and James J. Stone"/>
    <s v="C.D. Lupo, J.L. Benning, and J.J. Stone, Dep. of Civil and Environmental Engineering,South Dakota School of Mines and Technology, Rapid City, SD 57701; D.E. Clay, Dep. of Plant Sciences, South Dakota State Univ., Brookings, SD 57007."/>
    <s v="Peer Reviewed Journal"/>
    <s v="Lupo, C. D., Clay, D. E., Benning, J. L. and Stone, J. J., Life-cycle assessment of the beef cattle production system for the northern great plains, USA. Journal of environmental quality 2013, 42 (5), 1386-94."/>
    <s v="Yes"/>
    <s v="No"/>
    <s v="No"/>
    <s v="No"/>
    <s v="No"/>
    <s v="No"/>
    <s v="No"/>
    <s v="No"/>
    <s v="No"/>
    <s v="No"/>
    <s v="No"/>
    <s v="No"/>
    <m/>
    <m/>
    <s v="No"/>
    <s v="No"/>
    <s v="kg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7.376311844077961"/>
    <s v=""/>
    <m/>
    <m/>
    <m/>
    <m/>
    <m/>
    <m/>
    <m/>
    <m/>
    <m/>
    <m/>
    <m/>
    <m/>
    <m/>
    <m/>
    <m/>
    <m/>
    <m/>
    <m/>
    <m/>
    <m/>
    <m/>
    <m/>
    <n v="47.376311844077961"/>
    <m/>
    <m/>
    <s v="ReCiPe midpoint"/>
  </r>
  <r>
    <x v="1"/>
    <x v="3"/>
    <s v="Fresh or Not Specified"/>
    <s v="feedlot finishing"/>
    <s v="Yes"/>
    <s v="USA, Upper Midwest"/>
    <n v="2010"/>
    <s v="Nathan Pelletier a,*, Rich Pirog b, Rebecca Rasmussen b"/>
    <s v="a School for Resource and Environmental Studies, Dalhousie University, Suite 5010, 6100 University Ave., Halifax, Nova Scotia, Canada B3H 3J5 b Leopold Center for Sustainable Agriculture, 209 Curtis Hall, Iowa State University, Ames, Iowa 50011-1050, United States"/>
    <s v="Peer Reviewed Journal"/>
    <s v="Pelletier, N., Pirog, R. and Rasmussen, R., Comparative life cycle environmental impacts of three beef production strategies in the Upper Midwestern United States. Agricultural Systems 2010, 103 (6), 380-389."/>
    <s v="Yes"/>
    <s v="No"/>
    <s v="No"/>
    <s v="No"/>
    <s v="No"/>
    <s v="No"/>
    <s v="No"/>
    <s v="No"/>
    <s v="No"/>
    <s v="No"/>
    <s v="No"/>
    <s v="No"/>
    <m/>
    <s v="cradle to farm gate"/>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6.815920398009951"/>
    <s v=""/>
    <m/>
    <m/>
    <m/>
    <m/>
    <m/>
    <m/>
    <m/>
    <m/>
    <m/>
    <m/>
    <m/>
    <m/>
    <m/>
    <m/>
    <m/>
    <m/>
    <m/>
    <m/>
    <m/>
    <m/>
    <m/>
    <m/>
    <n v="36.815920398009951"/>
    <m/>
    <m/>
    <s v="IPPC, 2007, 100 yr"/>
  </r>
  <r>
    <x v="1"/>
    <x v="3"/>
    <s v="Fresh or Not Specified"/>
    <s v="background/feedlot finish"/>
    <s v="Yes"/>
    <s v="USA, Upper Midwest"/>
    <n v="2010"/>
    <s v="Nathan Pelletier a,*, Rich Pirog b, Rebecca Rasmussen b"/>
    <s v="a School for Resource and Environmental Studies, Dalhousie University, Suite 5010, 6100 University Ave., Halifax, Nova Scotia, Canada B3H 3J5 b Leopold Center for Sustainable Agriculture, 209 Curtis Hall, Iowa State University, Ames, Iowa 50011-1050, United States"/>
    <s v="Peer Reviewed Journal"/>
    <s v="Pelletier, N., Pirog, R. and Rasmussen, R., Comparative life cycle environmental impacts of three beef production strategies in the Upper Midwestern United States. Agricultural Systems 2010, 103 (6), 380-389."/>
    <s v="Yes"/>
    <s v="No"/>
    <s v="No"/>
    <s v="No"/>
    <s v="No"/>
    <s v="No"/>
    <s v="No"/>
    <s v="No"/>
    <s v="No"/>
    <s v="No"/>
    <s v="No"/>
    <s v="No"/>
    <m/>
    <s v="cradle to farm gate"/>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0.298507462686565"/>
    <s v=""/>
    <m/>
    <m/>
    <m/>
    <m/>
    <m/>
    <m/>
    <m/>
    <m/>
    <m/>
    <m/>
    <m/>
    <m/>
    <m/>
    <m/>
    <m/>
    <m/>
    <m/>
    <m/>
    <m/>
    <m/>
    <m/>
    <m/>
    <n v="40.298507462686565"/>
    <m/>
    <m/>
    <s v="IPPC, 2007, 100 yr"/>
  </r>
  <r>
    <x v="1"/>
    <x v="3"/>
    <s v="Fresh or Not Specified"/>
    <s v="pasture finishing"/>
    <s v="Yes"/>
    <s v="USA, Upper Midwest"/>
    <n v="2010"/>
    <s v="Nathan Pelletier a,*, Rich Pirog b, Rebecca Rasmussen b"/>
    <s v="a School for Resource and Environmental Studies, Dalhousie University, Suite 5010, 6100 University Ave., Halifax, Nova Scotia, Canada B3H 3J5 b Leopold Center for Sustainable Agriculture, 209 Curtis Hall, Iowa State University, Ames, Iowa 50011-1050, United States"/>
    <s v="Peer Reviewed Journal"/>
    <s v="Pelletier, N., Pirog, R. and Rasmussen, R., Comparative life cycle environmental impacts of three beef production strategies in the Upper Midwestern United States. Agricultural Systems 2010, 103 (6), 380-389."/>
    <s v="Yes"/>
    <s v="No"/>
    <s v="No"/>
    <s v="No"/>
    <s v="No"/>
    <s v="No"/>
    <s v="No"/>
    <s v="No"/>
    <s v="No"/>
    <s v="No"/>
    <s v="No"/>
    <s v="No"/>
    <m/>
    <s v="cradle to farm gate"/>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7.761194029850742"/>
    <s v=""/>
    <m/>
    <m/>
    <m/>
    <m/>
    <m/>
    <m/>
    <m/>
    <m/>
    <m/>
    <m/>
    <m/>
    <m/>
    <m/>
    <m/>
    <m/>
    <m/>
    <m/>
    <m/>
    <m/>
    <m/>
    <m/>
    <m/>
    <n v="47.761194029850742"/>
    <m/>
    <m/>
    <s v="IPPC, 2007, 100 yr"/>
  </r>
  <r>
    <x v="1"/>
    <x v="3"/>
    <s v="Fresh or Not Specified"/>
    <s v="feedlot finishing (ave of 2002 &amp; 2004 data)"/>
    <s v="No"/>
    <s v="Australia (New South Wales)"/>
    <n v="2010"/>
    <s v="Peters, Gregory M; Rowley, Hazel V; Wiedemann, Stephen; Tucker, Robyn; Short, Michael D;Schulz, Matthias"/>
    <s v="UNSW Water Research Centre, The University of New South Wales, UNSW Sydney, NSW 2052, and FSA Consulting, Toowoomba, Queensland, Australia"/>
    <s v="Peer Reviewed Journal"/>
    <s v="Peters, G. M., Rowley, H. V., Wiedemann, S., Tucker, R., Short, M. D. and Schulz, M., Red Meat Production in Australia: Life Cycle Assessment and Comparison with Overseas Studies. Environmental Science &amp; Technology 2010, 44 (4), 1327-1332."/>
    <s v="Yes"/>
    <s v="No"/>
    <s v="Yes"/>
    <s v="Yes"/>
    <s v="No"/>
    <s v="No"/>
    <s v="No"/>
    <s v="No"/>
    <s v="No"/>
    <s v="No"/>
    <s v="No"/>
    <s v="No"/>
    <m/>
    <s v="processing plant gate"/>
    <s v="No"/>
    <s v="No"/>
    <s v="kg hot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2.788605697151421"/>
    <s v=""/>
    <m/>
    <m/>
    <m/>
    <m/>
    <m/>
    <m/>
    <m/>
    <m/>
    <m/>
    <m/>
    <m/>
    <s v="primary energy"/>
    <m/>
    <m/>
    <m/>
    <m/>
    <m/>
    <m/>
    <m/>
    <m/>
    <m/>
    <m/>
    <n v="22.788605697151421"/>
    <m/>
    <m/>
    <m/>
  </r>
  <r>
    <x v="1"/>
    <x v="3"/>
    <s v="Fresh or Not Specified"/>
    <s v="organic (ave of 2002 &amp; 2004 data)"/>
    <s v="No"/>
    <s v="Australia (Victoria)"/>
    <n v="2010"/>
    <s v="Peters, Gregory M; Rowley, Hazel V; Wiedemann, Stephen; Tucker, Robyn; Short, Michael D;Schulz, Matthias"/>
    <s v="UNSW Water Research Centre, The University of New South Wales, UNSW Sydney, NSW 2052, and FSA Consulting, Toowoomba, Queensland, Australia"/>
    <s v="Peer Reviewed Journal"/>
    <s v="Peters, G. M., Rowley, H. V., Wiedemann, S., Tucker, R., Short, M. D. and Schulz, M., Red Meat Production in Australia: Life Cycle Assessment and Comparison with Overseas Studies. Environmental Science &amp; Technology 2010, 44 (4), 1327-1332."/>
    <s v="Yes"/>
    <s v="No"/>
    <s v="Yes"/>
    <s v="Yes"/>
    <s v="No"/>
    <s v="No"/>
    <s v="No"/>
    <s v="No"/>
    <s v="No"/>
    <s v="No"/>
    <s v="No"/>
    <s v="No"/>
    <m/>
    <s v="processing plant gate"/>
    <s v="No"/>
    <s v="No"/>
    <s v="kg hot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2.263868065967014"/>
    <s v=""/>
    <m/>
    <m/>
    <m/>
    <m/>
    <m/>
    <m/>
    <m/>
    <m/>
    <m/>
    <m/>
    <m/>
    <m/>
    <m/>
    <m/>
    <m/>
    <m/>
    <m/>
    <m/>
    <m/>
    <m/>
    <m/>
    <m/>
    <n v="22.263868065967014"/>
    <m/>
    <m/>
    <m/>
  </r>
  <r>
    <x v="1"/>
    <x v="1"/>
    <s v="Fresh or Not Specified"/>
    <s v="(ave of 2002 &amp; 2004 data)"/>
    <s v="No"/>
    <s v="Australia (Western)"/>
    <n v="2010"/>
    <s v="Peters, Gregory M; Rowley, Hazel V; Wiedemann, Stephen; Tucker, Robyn; Short, Michael D;Schulz, Matthias"/>
    <s v="UNSW Water Research Centre, The University of New South Wales, UNSW Sydney, NSW 2052, and FSA Consulting, Toowoomba, Queensland, Australia"/>
    <s v="Peer Reviewed Journal"/>
    <s v="Peters, G. M., Rowley, H. V., Wiedemann, S., Tucker, R., Short, M. D. and Schulz, M., Red Meat Production in Australia: Life Cycle Assessment and Comparison with Overseas Studies. Environmental Science &amp; Technology 2010, 44 (4), 1327-1332."/>
    <s v="Yes"/>
    <s v="No"/>
    <s v="Yes"/>
    <s v="Yes"/>
    <s v="No"/>
    <s v="No"/>
    <s v="No"/>
    <s v="No"/>
    <s v="No"/>
    <s v="No"/>
    <s v="No"/>
    <s v="No"/>
    <m/>
    <s v="processing plant gate"/>
    <s v="No"/>
    <s v="No"/>
    <s v="kg hot standard carcass weight"/>
    <s v="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5.957446808510637"/>
    <s v=""/>
    <m/>
    <m/>
    <m/>
    <m/>
    <m/>
    <m/>
    <m/>
    <m/>
    <m/>
    <m/>
    <m/>
    <m/>
    <m/>
    <m/>
    <m/>
    <m/>
    <m/>
    <m/>
    <m/>
    <m/>
    <m/>
    <m/>
    <n v="15.957446808510637"/>
    <m/>
    <m/>
    <m/>
  </r>
  <r>
    <x v="1"/>
    <x v="3"/>
    <s v="Fresh or Not Specified"/>
    <s v="Phase 1 study: on-farm data are representative of the U.S. Department of Agriculture’s Roman L. Hruska Meat Animal Research Center (USMARC) located in Clay Center, Nebraska.  Including only 2011 values here"/>
    <s v="n"/>
    <s v="USA"/>
    <n v="2013"/>
    <s v="Thomas Battagliese, Juliana Andrade, Isabel Schulze, Bruce Uhlman, Cristian Barcan"/>
    <s v="BASF Corporation, 100 Park Avenue, Florham Park, NJ, 07932"/>
    <s v="Industry Based Report"/>
    <s v="Battagliese, T., Andrade, J., Schulze, I., Uhlman, B. and Barcan, C., More Sustainable Beef Optimization Project Phase 1. BASF; 2013."/>
    <s v="Yes"/>
    <s v="No"/>
    <s v="Yes"/>
    <s v="Yes"/>
    <s v="Yes"/>
    <s v="Yes"/>
    <s v="Yes"/>
    <s v="Yes"/>
    <s v="Yes"/>
    <s v="Yes"/>
    <s v="No"/>
    <s v="No"/>
    <m/>
    <m/>
    <s v="Yes"/>
    <s v="Yes"/>
    <s v="1 pound of consumed,boneless, edible beef"/>
    <s v="*0.45359237 to convert to kg"/>
    <n v="43.805851496135176"/>
    <n v="54.828964605379056"/>
    <n v="41.226443028572106"/>
    <n v="41.667367552941862"/>
    <n v="43.805851496135176"/>
    <m/>
    <n v="11.023113109243878"/>
    <n v="17.636980974790205"/>
    <m/>
    <n v="55.115565546219393"/>
    <n v="61.729433411765719"/>
    <m/>
    <m/>
    <n v="43.805851496135176"/>
    <n v="189.31094453815436"/>
    <m/>
    <m/>
    <n v="41.226443028572106"/>
    <m/>
    <n v="0.44092452436975516"/>
    <n v="0.66138678655463268"/>
    <m/>
    <n v="5.4013254235295012"/>
    <n v="4.1887829815126736"/>
    <m/>
    <m/>
    <n v="41.226443028572106"/>
    <n v="52.029093875631112"/>
    <m/>
    <m/>
  </r>
  <r>
    <x v="1"/>
    <x v="3"/>
    <s v="Fresh or Not Specified"/>
    <m/>
    <s v="n"/>
    <s v="Canada"/>
    <n v="2010"/>
    <s v="Karen A. Beauchemin *, H. Henry Janzen, Shannan M. Little, Tim A. McAllister, Sean M. McGinn"/>
    <s v="Agriculture and Agri-Food Canada, Lethbridge, AB, Canada T1J 4B1"/>
    <s v="Peer Reviewed Journal"/>
    <s v="Beauchemin, K. A., Janzen, H. H., Little, S. M., Mcallister, T. A. and Mcginn, S. M., Life cycle assessment of greenhouse gas emissions from beef production in western Canada: A case study. Agricultural Systems 2010, 103 (6), 371-379."/>
    <s v="Yes"/>
    <s v="No"/>
    <s v="No"/>
    <s v="No"/>
    <s v="No"/>
    <s v="No"/>
    <s v="No"/>
    <s v="No"/>
    <s v="No"/>
    <s v="No"/>
    <s v="No"/>
    <s v="No"/>
    <m/>
    <s v="considers cow-calf &amp; feedlot operations; to farm ga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2.53373313343328"/>
    <s v=""/>
    <m/>
    <m/>
    <m/>
    <m/>
    <m/>
    <m/>
    <m/>
    <m/>
    <m/>
    <m/>
    <m/>
    <m/>
    <m/>
    <m/>
    <m/>
    <m/>
    <m/>
    <m/>
    <m/>
    <m/>
    <m/>
    <m/>
    <n v="32.53373313343328"/>
    <m/>
    <m/>
    <s v="IPPC, 2001"/>
  </r>
  <r>
    <x v="1"/>
    <x v="3"/>
    <s v="Fresh or Not Specified"/>
    <s v="suckler cow-calf beef"/>
    <s v="n"/>
    <s v="European Union"/>
    <n v="2010"/>
    <s v="Thu Lan T. Nguyen*, John E. Hermansen, Lisbeth Mogensen"/>
    <s v="Aarhus University, Faculty of Agricultural Sciences, Department of Agroecology and Environment, Blichers Alle´ 20, Postbox 50, DK-8830 Tjele, Denmark"/>
    <s v="Peer Reviewed Journal"/>
    <s v="Nguyen, T. L. T., Hermansen, J. E. and Mogensen, L., Environmental consequences of different beef production systems in the EU. Journal of Cleaner Production 2010, 18 (8), 756-766."/>
    <s v="Yes"/>
    <s v="Yes"/>
    <s v="No"/>
    <s v="No"/>
    <s v="No"/>
    <s v="No"/>
    <s v="No"/>
    <s v="No"/>
    <s v="No"/>
    <s v="No"/>
    <s v="No"/>
    <s v="No"/>
    <m/>
    <s v="land use is considered separately; not inlcuded here"/>
    <s v="No"/>
    <s v="No"/>
    <s v="kg meat (slaughter weight)"/>
    <m/>
    <s v=""/>
    <s v=""/>
    <n v="27.3"/>
    <s v=""/>
    <m/>
    <m/>
    <m/>
    <m/>
    <m/>
    <m/>
    <m/>
    <m/>
    <m/>
    <m/>
    <m/>
    <s v="Impact 2002+"/>
    <m/>
    <m/>
    <m/>
    <m/>
    <m/>
    <m/>
    <m/>
    <m/>
    <m/>
    <m/>
    <n v="27.3"/>
    <m/>
    <m/>
    <s v="IPPC, 2007"/>
  </r>
  <r>
    <x v="1"/>
    <x v="25"/>
    <s v="Fresh or Not Specified"/>
    <s v="dairy bull calf steers, 24 mo. at slaughter"/>
    <s v="n"/>
    <s v="European Union"/>
    <n v="2010"/>
    <s v="Thu Lan T. Nguyen*, John E. Hermansen, Lisbeth Mogensen"/>
    <s v="Aarhus University, Faculty of Agricultural Sciences, Department of Agroecology and Environment, Blichers Alle´ 20, Postbox 50, DK-8830 Tjele, Denmark"/>
    <s v="Peer Reviewed Journal"/>
    <s v="Nguyen, T. L. T., Hermansen, J. E. and Mogensen, L., Environmental consequences of different beef production systems in the EU. Journal of Cleaner Production 2010, 18 (8), 756-766."/>
    <s v="Yes"/>
    <s v="Yes"/>
    <s v="No"/>
    <s v="No"/>
    <s v="No"/>
    <s v="No"/>
    <s v="No"/>
    <s v="No"/>
    <s v="No"/>
    <s v="No"/>
    <s v="No"/>
    <s v="No"/>
    <m/>
    <s v="land use is considered separately; not inlcuded here"/>
    <s v="No"/>
    <s v="No"/>
    <s v="kg meat (slaughter weight)"/>
    <m/>
    <s v=""/>
    <s v=""/>
    <n v="19.899999999999999"/>
    <s v=""/>
    <m/>
    <m/>
    <m/>
    <m/>
    <m/>
    <m/>
    <m/>
    <m/>
    <m/>
    <m/>
    <m/>
    <s v="Impact 2002+"/>
    <m/>
    <m/>
    <m/>
    <m/>
    <m/>
    <m/>
    <m/>
    <m/>
    <m/>
    <m/>
    <n v="19.899999999999999"/>
    <m/>
    <m/>
    <s v="IPPC, 2007"/>
  </r>
  <r>
    <x v="1"/>
    <x v="3"/>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58.620689655172413"/>
    <s v=""/>
    <m/>
    <m/>
    <m/>
    <m/>
    <m/>
    <m/>
    <m/>
    <m/>
    <m/>
    <m/>
    <m/>
    <m/>
    <m/>
    <n v="58.620689655172413"/>
    <m/>
    <m/>
    <n v="7.4962518740629688E-2"/>
    <m/>
    <m/>
    <m/>
    <m/>
    <m/>
    <n v="58.620689655172413"/>
    <n v="59.070464767616187"/>
    <m/>
    <s v="IPPC, 2007, 100 yr"/>
  </r>
  <r>
    <x v="1"/>
    <x v="3"/>
    <s v="Fresh or Not Specified"/>
    <s v="2005 base year"/>
    <s v="Yes"/>
    <s v="N America"/>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3.478260869565212"/>
    <s v=""/>
    <m/>
    <m/>
    <m/>
    <m/>
    <m/>
    <m/>
    <m/>
    <m/>
    <m/>
    <m/>
    <m/>
    <m/>
    <m/>
    <n v="43.478260869565212"/>
    <m/>
    <m/>
    <n v="7.4962518740629688E-2"/>
    <m/>
    <m/>
    <m/>
    <m/>
    <m/>
    <n v="43.478260869565212"/>
    <n v="43.778110944527732"/>
    <m/>
    <s v="IPPC, 2007, 100 yr"/>
  </r>
  <r>
    <x v="0"/>
    <x v="0"/>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n v="2.61"/>
    <s v=""/>
    <m/>
    <m/>
    <m/>
    <m/>
    <m/>
    <m/>
    <m/>
    <m/>
    <m/>
    <m/>
    <m/>
    <m/>
    <m/>
    <m/>
    <m/>
    <m/>
    <m/>
    <m/>
    <m/>
    <m/>
    <m/>
    <m/>
    <n v="2.61"/>
    <n v="2.79"/>
    <m/>
    <s v="IPPC, 2007, 100 yr"/>
  </r>
  <r>
    <x v="0"/>
    <x v="0"/>
    <s v="Fresh or Not Specified"/>
    <s v="2005 base year"/>
    <s v="Yes"/>
    <s v="N America"/>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n v="1.41"/>
    <s v=""/>
    <m/>
    <m/>
    <m/>
    <m/>
    <m/>
    <m/>
    <m/>
    <m/>
    <m/>
    <m/>
    <m/>
    <m/>
    <m/>
    <m/>
    <m/>
    <m/>
    <m/>
    <m/>
    <m/>
    <m/>
    <m/>
    <m/>
    <n v="1.41"/>
    <n v="1.69"/>
    <m/>
    <s v="IPPC, 2007, 100 yr"/>
  </r>
  <r>
    <x v="0"/>
    <x v="26"/>
    <s v="Fresh or Not Specified"/>
    <s v="Buffalo Milk, 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n v="3.16"/>
    <s v=""/>
    <m/>
    <m/>
    <m/>
    <m/>
    <m/>
    <m/>
    <m/>
    <m/>
    <m/>
    <m/>
    <m/>
    <m/>
    <m/>
    <m/>
    <m/>
    <m/>
    <m/>
    <m/>
    <m/>
    <m/>
    <m/>
    <m/>
    <n v="3.16"/>
    <n v="3.38"/>
    <m/>
    <s v="IPPC, 2007, 100 yr"/>
  </r>
  <r>
    <x v="1"/>
    <x v="1"/>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carcass weight"/>
    <s v="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n v="6.8389057750759878"/>
    <n v="36.398176291793312"/>
    <s v=""/>
    <m/>
    <m/>
    <n v="6.8389057750759878"/>
    <m/>
    <m/>
    <m/>
    <m/>
    <m/>
    <m/>
    <m/>
    <m/>
    <m/>
    <m/>
    <n v="36.398176291793312"/>
    <m/>
    <m/>
    <n v="7.598784194528875E-2"/>
    <m/>
    <m/>
    <m/>
    <m/>
    <m/>
    <n v="36.398176291793312"/>
    <n v="36.474164133738597"/>
    <m/>
    <s v="IPPC, 2007, 100 yr"/>
  </r>
  <r>
    <x v="0"/>
    <x v="27"/>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s v=""/>
    <s v=""/>
    <m/>
    <m/>
    <m/>
    <m/>
    <m/>
    <m/>
    <m/>
    <m/>
    <m/>
    <m/>
    <m/>
    <m/>
    <m/>
    <m/>
    <m/>
    <m/>
    <m/>
    <m/>
    <m/>
    <m/>
    <m/>
    <m/>
    <m/>
    <n v="8.4"/>
    <m/>
    <s v="IPPC, 2007, 100 yr"/>
  </r>
  <r>
    <x v="1"/>
    <x v="28"/>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carcass weight"/>
    <s v="assume same as sheep, above"/>
    <s v=""/>
    <s v=""/>
    <s v=""/>
    <s v=""/>
    <m/>
    <m/>
    <m/>
    <m/>
    <m/>
    <m/>
    <m/>
    <m/>
    <m/>
    <m/>
    <m/>
    <m/>
    <m/>
    <m/>
    <m/>
    <m/>
    <m/>
    <m/>
    <m/>
    <m/>
    <m/>
    <m/>
    <m/>
    <n v="35.714285714285715"/>
    <m/>
    <s v="IPPC, 2007, 100 yr"/>
  </r>
  <r>
    <x v="0"/>
    <x v="29"/>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s v=""/>
    <s v=""/>
    <m/>
    <m/>
    <m/>
    <m/>
    <m/>
    <m/>
    <m/>
    <m/>
    <m/>
    <m/>
    <m/>
    <m/>
    <m/>
    <m/>
    <m/>
    <m/>
    <m/>
    <m/>
    <m/>
    <m/>
    <m/>
    <m/>
    <m/>
    <n v="5.2"/>
    <m/>
    <s v="IPPC, 2007, 100 yr"/>
  </r>
  <r>
    <x v="1"/>
    <x v="3"/>
    <s v="Fresh or Not Specified"/>
    <s v="conventional (w hormone growth promotants"/>
    <s v="Yes"/>
    <s v="US"/>
    <n v="2012"/>
    <s v="J. L. Capper*2 and D. J. Hayes†"/>
    <s v="*Department of Animal Sciences, Washington State University, Pullman 99164; and †Department of Economics, Iowa State University, Ames 50011"/>
    <s v="Peer Reviewed Journal"/>
    <s v="Capper, J. L. and Hayes, D. J., The environmental and economic impact of removing growth-enhancing technologies from U . S . beef production. Journal of Animal Science 2012, 90, 3527-3537."/>
    <s v="Yes"/>
    <m/>
    <s v="Yes"/>
    <s v="No"/>
    <s v="No"/>
    <s v="No"/>
    <s v="No"/>
    <s v="No"/>
    <s v="No"/>
    <s v="No"/>
    <s v="No"/>
    <s v="No"/>
    <m/>
    <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n v="13.193403298350825"/>
    <m/>
    <m/>
    <m/>
    <m/>
    <m/>
    <m/>
    <m/>
    <m/>
    <m/>
    <m/>
    <m/>
    <m/>
    <n v="23.988005997001498"/>
    <m/>
    <m/>
  </r>
  <r>
    <x v="1"/>
    <x v="3"/>
    <s v="Fresh or Not Specified"/>
    <s v="natural (W/o HGP)"/>
    <s v="Yes"/>
    <s v="US"/>
    <n v="2012"/>
    <s v="J. L. Capper*2 and D. J. Hayes†"/>
    <s v="*Department of Animal Sciences, Washington State University, Pullman 99164; and †Department of Economics, Iowa State University, Ames 50011"/>
    <s v="Peer Reviewed Journal"/>
    <s v="Capper, J. L. and Hayes, D. J., The environmental and economic impact of removing growth-enhancing technologies from U . S . beef production. Journal of Animal Science 2012, 90, 3527-3537."/>
    <s v="Yes"/>
    <m/>
    <s v="Yes"/>
    <s v="No"/>
    <s v="No"/>
    <s v="No"/>
    <s v="No"/>
    <s v="No"/>
    <s v="No"/>
    <s v="No"/>
    <s v="No"/>
    <s v="No"/>
    <m/>
    <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n v="15.442278860569715"/>
    <m/>
    <m/>
    <m/>
    <m/>
    <m/>
    <m/>
    <m/>
    <m/>
    <m/>
    <m/>
    <m/>
    <m/>
    <n v="28.18590704647676"/>
    <m/>
    <m/>
  </r>
  <r>
    <x v="1"/>
    <x v="3"/>
    <s v="Fresh or Not Specified"/>
    <s v="grass-fed (no HGP)"/>
    <s v="Yes"/>
    <s v="US"/>
    <n v="2012"/>
    <s v="J. L. Capper*2 and D. J. Hayes†"/>
    <s v="*Department of Animal Sciences, Washington State University, Pullman 99164; and †Department of Economics, Iowa State University, Ames 50011"/>
    <s v="Peer Reviewed Journal"/>
    <s v="Capper, J. L. and Hayes, D. J., The environmental and economic impact of removing growth-enhancing technologies from U . S . beef production. Journal of Animal Science 2012, 90, 3527-3537."/>
    <s v="Yes"/>
    <m/>
    <s v="Yes"/>
    <s v="No"/>
    <s v="No"/>
    <s v="No"/>
    <s v="No"/>
    <s v="No"/>
    <s v="No"/>
    <s v="No"/>
    <s v="No"/>
    <s v="No"/>
    <m/>
    <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n v="18.440779610194902"/>
    <m/>
    <m/>
    <m/>
    <m/>
    <m/>
    <m/>
    <m/>
    <m/>
    <m/>
    <m/>
    <m/>
    <m/>
    <n v="40.179910044977511"/>
    <m/>
    <m/>
  </r>
  <r>
    <x v="1"/>
    <x v="3"/>
    <s v="Fresh or Not Specified"/>
    <s v="suckler cow-calf beef with stocker phase"/>
    <s v="Yes"/>
    <s v="US (California)"/>
    <n v="2012"/>
    <s v="K. R. Stackhouse-Lawson,* C. A. Rotz,† J. W. Oltjen,* and F. M. Mitloehner*2"/>
    <s v="*Department of Animal Science, University of California, Davis 95616; †USDA-ARS, Pasture Systems and Watershed Management Research Unit, University Park, PA 16802"/>
    <s v="Peer Reviewed Journal"/>
    <s v="Stackhouse-Lawson, K. R., Rotz, C. A., Oltjen, J. W. and Mitloehner, F. M., Carbon footprint and ammonia emissions of California beef production systems 1. Journal of Animal Science 2012, 90 (12), 4641-4655."/>
    <s v="Yes"/>
    <s v="No"/>
    <s v="No"/>
    <s v="No"/>
    <s v="No"/>
    <s v="No"/>
    <s v="No"/>
    <s v="No"/>
    <s v="No"/>
    <s v="No"/>
    <s v="No"/>
    <s v="No"/>
    <m/>
    <s v="modeled using IFS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3.883058470764617"/>
    <s v=""/>
    <m/>
    <m/>
    <m/>
    <m/>
    <m/>
    <m/>
    <m/>
    <m/>
    <m/>
    <m/>
    <m/>
    <m/>
    <m/>
    <m/>
    <m/>
    <m/>
    <m/>
    <m/>
    <m/>
    <m/>
    <m/>
    <m/>
    <n v="33.883058470764617"/>
    <m/>
    <m/>
    <s v="IPPC, 2007, 100 yr"/>
  </r>
  <r>
    <x v="1"/>
    <x v="3"/>
    <s v="Fresh or Not Specified"/>
    <s v="suckler cow-calf beef without stocker phase"/>
    <s v="Yes"/>
    <s v="US (California)"/>
    <n v="2012"/>
    <s v="K. R. Stackhouse-Lawson,* C. A. Rotz,† J. W. Oltjen,* and F. M. Mitloehner*2"/>
    <s v="*Department of Animal Science, University of California, Davis 95616; †USDA-ARS, Pasture Systems and Watershed Management Research Unit, University Park, PA 16802"/>
    <s v="Peer Reviewed Journal"/>
    <s v="Stackhouse-Lawson, K. R., Rotz, C. A., Oltjen, J. W. and Mitloehner, F. M., Carbon footprint and ammonia emissions of California beef production systems 1. Journal of Animal Science 2012, 90 (12), 4641-4655."/>
    <s v="Yes"/>
    <s v="No"/>
    <s v="No"/>
    <s v="No"/>
    <s v="No"/>
    <s v="No"/>
    <s v="No"/>
    <s v="No"/>
    <s v="No"/>
    <s v="No"/>
    <s v="No"/>
    <s v="No"/>
    <m/>
    <s v="modeled using IFS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1.934032983508246"/>
    <s v=""/>
    <m/>
    <m/>
    <m/>
    <m/>
    <m/>
    <m/>
    <m/>
    <m/>
    <m/>
    <m/>
    <m/>
    <m/>
    <m/>
    <m/>
    <m/>
    <m/>
    <m/>
    <m/>
    <m/>
    <m/>
    <m/>
    <m/>
    <n v="31.934032983508246"/>
    <m/>
    <m/>
    <s v="IPPC, 2007, 100 yr"/>
  </r>
  <r>
    <x v="1"/>
    <x v="25"/>
    <s v="Fresh or Not Specified"/>
    <s v="dairy beef (holstein)"/>
    <s v="Yes"/>
    <s v="US (California)"/>
    <n v="2012"/>
    <s v="K. R. Stackhouse-Lawson,* C. A. Rotz,† J. W. Oltjen,* and F. M. Mitloehner*2"/>
    <s v="*Department of Animal Science, University of California, Davis 95616; †USDA-ARS, Pasture Systems and Watershed Management Research Unit, University Park, PA 16802"/>
    <s v="Peer Reviewed Journal"/>
    <s v="Stackhouse-Lawson, K. R., Rotz, C. A., Oltjen, J. W. and Mitloehner, F. M., Carbon footprint and ammonia emissions of California beef production systems 1. Journal of Animal Science 2012, 90 (12), 4641-4655."/>
    <s v="Yes"/>
    <s v="No"/>
    <s v="No"/>
    <s v="No"/>
    <s v="No"/>
    <s v="No"/>
    <s v="No"/>
    <s v="No"/>
    <s v="No"/>
    <s v="No"/>
    <s v="No"/>
    <s v="No"/>
    <m/>
    <s v="modeled using IFS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6.04197901049475"/>
    <s v=""/>
    <m/>
    <m/>
    <m/>
    <m/>
    <m/>
    <m/>
    <m/>
    <m/>
    <m/>
    <m/>
    <m/>
    <m/>
    <m/>
    <m/>
    <m/>
    <m/>
    <m/>
    <m/>
    <m/>
    <m/>
    <m/>
    <m/>
    <n v="16.04197901049475"/>
    <m/>
    <m/>
    <s v="IPPC, 2007, 100 yr"/>
  </r>
  <r>
    <x v="1"/>
    <x v="3"/>
    <s v="Fresh or Not Specified"/>
    <s v="intensive beef breed cow-calf herd"/>
    <s v="Yes"/>
    <s v="Denmark"/>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4.632683658170912"/>
    <s v=""/>
    <m/>
    <m/>
    <m/>
    <m/>
    <m/>
    <m/>
    <m/>
    <m/>
    <m/>
    <m/>
    <m/>
    <m/>
    <m/>
    <m/>
    <m/>
    <m/>
    <m/>
    <m/>
    <m/>
    <m/>
    <m/>
    <m/>
    <n v="34.632683658170912"/>
    <m/>
    <m/>
    <m/>
  </r>
  <r>
    <x v="1"/>
    <x v="3"/>
    <s v="Fresh or Not Specified"/>
    <s v="intensive beef breed cow-calf herd"/>
    <s v="Yes"/>
    <s v="Sweden"/>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8.080959520239873"/>
    <s v=""/>
    <m/>
    <m/>
    <m/>
    <m/>
    <m/>
    <m/>
    <m/>
    <m/>
    <m/>
    <m/>
    <m/>
    <m/>
    <m/>
    <m/>
    <m/>
    <m/>
    <m/>
    <m/>
    <m/>
    <m/>
    <m/>
    <m/>
    <n v="38.080959520239873"/>
    <m/>
    <m/>
    <m/>
  </r>
  <r>
    <x v="1"/>
    <x v="3"/>
    <s v="Fresh or Not Specified"/>
    <s v="extensive beef breed cow-calf herd"/>
    <s v="Yes"/>
    <s v="Denmark"/>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4.527736131934027"/>
    <s v=""/>
    <m/>
    <m/>
    <m/>
    <m/>
    <m/>
    <m/>
    <m/>
    <m/>
    <m/>
    <m/>
    <m/>
    <m/>
    <m/>
    <m/>
    <m/>
    <m/>
    <m/>
    <m/>
    <m/>
    <m/>
    <m/>
    <m/>
    <n v="44.527736131934027"/>
    <m/>
    <m/>
    <m/>
  </r>
  <r>
    <x v="1"/>
    <x v="25"/>
    <s v="Fresh or Not Specified"/>
    <s v="dairy beef, steer (harvested at 25 mo.)"/>
    <s v="Yes"/>
    <s v="Denmark"/>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4.887556221889056"/>
    <s v=""/>
    <m/>
    <m/>
    <m/>
    <m/>
    <m/>
    <m/>
    <m/>
    <m/>
    <m/>
    <m/>
    <m/>
    <m/>
    <m/>
    <m/>
    <m/>
    <m/>
    <m/>
    <m/>
    <m/>
    <m/>
    <m/>
    <m/>
    <n v="24.887556221889056"/>
    <m/>
    <m/>
    <m/>
  </r>
  <r>
    <x v="1"/>
    <x v="25"/>
    <s v="Fresh or Not Specified"/>
    <s v="dairy beef, steer (harvested at 25 mo.)"/>
    <s v="Yes"/>
    <s v="Sweden"/>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5.487256371814091"/>
    <s v=""/>
    <m/>
    <m/>
    <m/>
    <m/>
    <m/>
    <m/>
    <m/>
    <m/>
    <m/>
    <m/>
    <m/>
    <m/>
    <m/>
    <m/>
    <m/>
    <m/>
    <m/>
    <m/>
    <m/>
    <m/>
    <m/>
    <m/>
    <n v="25.487256371814091"/>
    <m/>
    <m/>
    <m/>
  </r>
  <r>
    <x v="1"/>
    <x v="3"/>
    <s v="Fresh or Not Specified"/>
    <m/>
    <s v="Yes"/>
    <s v="Argentina"/>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6.1"/>
    <m/>
    <s v="ReCiPe (hierarchic endpoint)"/>
  </r>
  <r>
    <x v="1"/>
    <x v="3"/>
    <s v="Fresh or Not Specified"/>
    <m/>
    <s v="Yes"/>
    <s v="Brazil"/>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7.1"/>
    <m/>
    <s v="ReCiPe (hierarchic endpoint)"/>
  </r>
  <r>
    <x v="1"/>
    <x v="3"/>
    <s v="Fresh or Not Specified"/>
    <m/>
    <s v="Yes"/>
    <s v="Germany"/>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0.3"/>
    <m/>
    <s v="ReCiPe (hierarchic endpoint)"/>
  </r>
  <r>
    <x v="1"/>
    <x v="3"/>
    <s v="Fresh or Not Specified"/>
    <m/>
    <s v="Yes"/>
    <s v="Ireland"/>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5.6"/>
    <m/>
    <s v="ReCiPe (hierarchic endpoint)"/>
  </r>
  <r>
    <x v="1"/>
    <x v="3"/>
    <s v="Fresh or Not Specified"/>
    <m/>
    <s v="Yes"/>
    <s v="Poland"/>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6.7"/>
    <m/>
    <s v="ReCiPe (hierarchic endpoint)"/>
  </r>
  <r>
    <x v="1"/>
    <x v="3"/>
    <s v="Fresh or Not Specified"/>
    <s v="conventional"/>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3.9"/>
    <m/>
    <s v="ReCiPe (hierarchic endpoint)"/>
  </r>
  <r>
    <x v="1"/>
    <x v="3"/>
    <s v="Fresh or Not Specified"/>
    <s v="organic"/>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3.6"/>
    <m/>
    <s v="ReCiPe (hierarchic endpoint)"/>
  </r>
  <r>
    <x v="1"/>
    <x v="3"/>
    <s v="Fresh or Not Specified"/>
    <s v="nature"/>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5.7"/>
    <m/>
    <s v="ReCiPe (hierarchic endpoint)"/>
  </r>
  <r>
    <x v="1"/>
    <x v="3"/>
    <s v="Fresh or Not Specified"/>
    <s v="Beef Cuts, (spent dairy cows)"/>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6"/>
    <m/>
    <s v="ReCiPe (hierarchic endpoint)"/>
  </r>
  <r>
    <x v="1"/>
    <x v="3"/>
    <s v="Fresh or Not Specified"/>
    <s v="Minced Beef, conventional (spent dairy cows)"/>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1999999999999993"/>
    <m/>
    <s v="ReCiPe (hierarchic endpoint)"/>
  </r>
  <r>
    <x v="1"/>
    <x v="3"/>
    <s v="Fresh or Not Specified"/>
    <s v="Minced Beef, organic (spent dairy cows)"/>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
    <m/>
    <s v="ReCiPe (hierarchic endpoint)"/>
  </r>
  <r>
    <x v="1"/>
    <x v="23"/>
    <s v="Fresh or Not Specified"/>
    <s v="conventional"/>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01"/>
    <m/>
    <s v="ReCiPe (hierarchic endpoint)"/>
  </r>
  <r>
    <x v="1"/>
    <x v="23"/>
    <s v="Fresh or Not Specified"/>
    <s v="organic"/>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26"/>
    <m/>
    <s v="ReCiPe (hierarchic endpoint)"/>
  </r>
  <r>
    <x v="1"/>
    <x v="23"/>
    <s v="Fresh or Not Specified"/>
    <s v="AH 1 star"/>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01"/>
    <m/>
    <s v="ReCiPe (hierarchic endpoint)"/>
  </r>
  <r>
    <x v="1"/>
    <x v="23"/>
    <s v="Fresh or Not Specified"/>
    <s v="AH 2 star"/>
    <s v="Yes"/>
    <s v="United Kingdo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4"/>
    <m/>
    <s v="ReCiPe (hierarchic endpoint)"/>
  </r>
  <r>
    <x v="1"/>
    <x v="23"/>
    <s v="Fresh or Not Specified"/>
    <s v="Jumbo bewust"/>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01"/>
    <m/>
    <s v="ReCiPe (hierarchic endpoint)"/>
  </r>
  <r>
    <x v="1"/>
    <x v="23"/>
    <s v="Fresh or Not Specified"/>
    <s v="Milieukeur"/>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01"/>
    <m/>
    <s v="ReCiPe (hierarchic endpoint)"/>
  </r>
  <r>
    <x v="1"/>
    <x v="24"/>
    <s v="Fresh or Not Specified"/>
    <m/>
    <s v="Yes"/>
    <s v="Brazil"/>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5.75"/>
    <m/>
    <s v="ReCiPe (hierarchic endpoint)"/>
  </r>
  <r>
    <x v="1"/>
    <x v="24"/>
    <s v="Fresh or Not Specified"/>
    <s v="label rouge"/>
    <s v="Yes"/>
    <s v="France"/>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82"/>
    <m/>
    <s v="ReCiPe (hierarchic endpoint)"/>
  </r>
  <r>
    <x v="1"/>
    <x v="24"/>
    <s v="Fresh or Not Specified"/>
    <s v="conventional"/>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5.96"/>
    <m/>
    <s v="ReCiPe (hierarchic endpoint)"/>
  </r>
  <r>
    <x v="1"/>
    <x v="24"/>
    <s v="Fresh or Not Specified"/>
    <s v="organic"/>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5.78"/>
    <m/>
    <s v="ReCiPe (hierarchic endpoint)"/>
  </r>
  <r>
    <x v="1"/>
    <x v="24"/>
    <s v="Fresh or Not Specified"/>
    <s v="corn"/>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2699999999999996"/>
    <m/>
    <s v="ReCiPe (hierarchic endpoint)"/>
  </r>
  <r>
    <x v="1"/>
    <x v="24"/>
    <s v="Fresh or Not Specified"/>
    <s v="scharrel"/>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6.4"/>
    <m/>
    <s v="ReCiPe (hierarchic endpoint)"/>
  </r>
  <r>
    <x v="1"/>
    <x v="24"/>
    <s v="Fresh or Not Specified"/>
    <s v="volwaard"/>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6.26"/>
    <m/>
    <s v="ReCiPe (hierarchic endpoint)"/>
  </r>
  <r>
    <x v="1"/>
    <x v="30"/>
    <s v="Fresh or Not Specified"/>
    <s v="Duck"/>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6.11"/>
    <m/>
    <s v="ReCiPe (hierarchic endpoint)"/>
  </r>
  <r>
    <x v="1"/>
    <x v="31"/>
    <s v="Fresh or Not Specified"/>
    <m/>
    <s v="Yes"/>
    <s v="Brazil"/>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85"/>
    <m/>
    <s v="ReCiPe (hierarchic endpoint)"/>
  </r>
  <r>
    <x v="1"/>
    <x v="31"/>
    <s v="Fresh or Not Specified"/>
    <m/>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34"/>
    <m/>
    <s v="ReCiPe (hierarchic endpoint)"/>
  </r>
  <r>
    <x v="1"/>
    <x v="1"/>
    <m/>
    <s v="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1"/>
    <m/>
    <s v="ReCiPe (hierarchic endpoint)"/>
  </r>
  <r>
    <x v="1"/>
    <x v="1"/>
    <m/>
    <s v="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6.600000000000001"/>
    <m/>
    <s v="ReCiPe (hierarchic endpoint)"/>
  </r>
  <r>
    <x v="1"/>
    <x v="32"/>
    <m/>
    <s v="rosé,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7.4"/>
    <m/>
    <s v="ReCiPe (hierarchic endpoint)"/>
  </r>
  <r>
    <x v="1"/>
    <x v="32"/>
    <m/>
    <s v="rosé,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8"/>
    <m/>
    <s v="ReCiPe (hierarchic endpoint)"/>
  </r>
  <r>
    <x v="1"/>
    <x v="32"/>
    <m/>
    <s v="rosé, 1 star (van Dri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6.3"/>
    <m/>
    <s v="ReCiPe (hierarchic endpoint)"/>
  </r>
  <r>
    <x v="1"/>
    <x v="33"/>
    <m/>
    <m/>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0.14"/>
    <m/>
    <s v="ReCiPe (hierarchic endpoint)"/>
  </r>
  <r>
    <x v="1"/>
    <x v="33"/>
    <m/>
    <m/>
    <s v="Yes"/>
    <s v="Argentina"/>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27"/>
    <m/>
    <s v="ReCiPe (hierarchic endpoint)"/>
  </r>
  <r>
    <x v="1"/>
    <x v="33"/>
    <m/>
    <m/>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81"/>
    <m/>
    <s v="ReCiPe (hierarchic endpoint)"/>
  </r>
  <r>
    <x v="6"/>
    <x v="34"/>
    <m/>
    <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5099999999999998"/>
    <m/>
    <s v="ReCiPe (hierarchic endpoint)"/>
  </r>
  <r>
    <x v="6"/>
    <x v="35"/>
    <m/>
    <s v="Groentenschijf, Vivera (Veggie Patty)"/>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95"/>
    <m/>
    <s v="ReCiPe (hierarchic endpoint)"/>
  </r>
  <r>
    <x v="6"/>
    <x v="36"/>
    <m/>
    <s v="Meatless made from lupine and wheat"/>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29"/>
    <m/>
    <s v="ReCiPe (hierarchic endpoint)"/>
  </r>
  <r>
    <x v="6"/>
    <x v="37"/>
    <m/>
    <s v="Quorn Minc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4"/>
    <m/>
    <s v="ReCiPe (hierarchic endpoint)"/>
  </r>
  <r>
    <x v="6"/>
    <x v="38"/>
    <m/>
    <s v="certified"/>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54"/>
    <m/>
    <s v="ReCiPe (hierarchic endpoint)"/>
  </r>
  <r>
    <x v="6"/>
    <x v="38"/>
    <m/>
    <s v="certifie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
    <m/>
    <s v="ReCiPe (hierarchic endpoint)"/>
  </r>
  <r>
    <x v="6"/>
    <x v="38"/>
    <m/>
    <s v="uncertified"/>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72"/>
    <m/>
    <s v="ReCiPe (hierarchic endpoint)"/>
  </r>
  <r>
    <x v="6"/>
    <x v="38"/>
    <m/>
    <s v="uncertifie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24"/>
    <m/>
    <s v="ReCiPe (hierarchic endpoint)"/>
  </r>
  <r>
    <x v="6"/>
    <x v="39"/>
    <m/>
    <s v="Valess, Schnitzel made from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79"/>
    <m/>
    <s v="ReCiPe (hierarchic endpoint)"/>
  </r>
  <r>
    <x v="0"/>
    <x v="0"/>
    <m/>
    <s v="conventional,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31"/>
    <m/>
    <s v="ReCiPe (hierarchic endpoint)"/>
  </r>
  <r>
    <x v="0"/>
    <x v="0"/>
    <m/>
    <s v="organic,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7"/>
    <m/>
    <s v="ReCiPe (hierarchic endpoint)"/>
  </r>
  <r>
    <x v="0"/>
    <x v="0"/>
    <m/>
    <s v="pasture (weidegang),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3"/>
    <m/>
    <s v="ReCiPe (hierarchic endpoint)"/>
  </r>
  <r>
    <x v="0"/>
    <x v="0"/>
    <m/>
    <s v="conventional,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1"/>
    <m/>
    <s v="ReCiPe (hierarchic endpoint)"/>
  </r>
  <r>
    <x v="0"/>
    <x v="0"/>
    <m/>
    <s v="organic,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45"/>
    <m/>
    <s v="ReCiPe (hierarchic endpoint)"/>
  </r>
  <r>
    <x v="0"/>
    <x v="0"/>
    <m/>
    <s v="pasture (weidegang),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
    <m/>
    <s v="ReCiPe (hierarchic endpoint)"/>
  </r>
  <r>
    <x v="0"/>
    <x v="0"/>
    <m/>
    <s v="conventional,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1"/>
    <m/>
    <s v="ReCiPe (hierarchic endpoint)"/>
  </r>
  <r>
    <x v="0"/>
    <x v="0"/>
    <m/>
    <s v="organic,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
    <m/>
    <s v="ReCiPe (hierarchic endpoint)"/>
  </r>
  <r>
    <x v="0"/>
    <x v="0"/>
    <m/>
    <s v="pasture (weidegang),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
    <m/>
    <s v="ReCiPe (hierarchic endpoint)"/>
  </r>
  <r>
    <x v="0"/>
    <x v="0"/>
    <m/>
    <s v="conventional, butter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4"/>
    <m/>
    <s v="ReCiPe (hierarchic endpoint)"/>
  </r>
  <r>
    <x v="0"/>
    <x v="0"/>
    <m/>
    <s v="organic, butter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3"/>
    <m/>
    <s v="ReCiPe (hierarchic endpoint)"/>
  </r>
  <r>
    <x v="0"/>
    <x v="0"/>
    <m/>
    <s v="pasture, butter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3"/>
    <m/>
    <s v="ReCiPe (hierarchic endpoint)"/>
  </r>
  <r>
    <x v="0"/>
    <x v="29"/>
    <m/>
    <s v="conventional,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5"/>
    <m/>
    <s v="ReCiPe (hierarchic endpoint)"/>
  </r>
  <r>
    <x v="0"/>
    <x v="29"/>
    <m/>
    <s v="organic,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6"/>
    <m/>
    <s v="ReCiPe (hierarchic endpoint)"/>
  </r>
  <r>
    <x v="7"/>
    <x v="40"/>
    <m/>
    <s v="certified"/>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0.61"/>
    <m/>
    <s v="ReCiPe (hierarchic endpoint)"/>
  </r>
  <r>
    <x v="7"/>
    <x v="40"/>
    <m/>
    <s v="certifie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0.72"/>
    <m/>
    <s v="ReCiPe (hierarchic endpoint)"/>
  </r>
  <r>
    <x v="7"/>
    <x v="40"/>
    <m/>
    <s v="uncertified"/>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0.89"/>
    <m/>
    <s v="ReCiPe (hierarchic endpoint)"/>
  </r>
  <r>
    <x v="7"/>
    <x v="40"/>
    <m/>
    <s v="uncertifie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0.78"/>
    <m/>
    <s v="ReCiPe (hierarchic endpoint)"/>
  </r>
  <r>
    <x v="0"/>
    <x v="4"/>
    <m/>
    <s v="cow, old,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8000000000000007"/>
    <m/>
    <s v="ReCiPe (hierarchic endpoint)"/>
  </r>
  <r>
    <x v="0"/>
    <x v="4"/>
    <m/>
    <s v="cow, ol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17"/>
    <m/>
    <s v="ReCiPe (hierarchic endpoint)"/>
  </r>
  <r>
    <x v="0"/>
    <x v="4"/>
    <m/>
    <s v="cow, old, pastur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75"/>
    <m/>
    <s v="ReCiPe (hierarchic endpoint)"/>
  </r>
  <r>
    <x v="0"/>
    <x v="4"/>
    <m/>
    <s v="cow, medium,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02"/>
    <m/>
    <s v="ReCiPe (hierarchic endpoint)"/>
  </r>
  <r>
    <x v="0"/>
    <x v="4"/>
    <m/>
    <s v="cow, medium,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32"/>
    <m/>
    <s v="ReCiPe (hierarchic endpoint)"/>
  </r>
  <r>
    <x v="0"/>
    <x v="4"/>
    <m/>
    <s v="cow, medium, pastur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98"/>
    <m/>
    <s v="ReCiPe (hierarchic endpoint)"/>
  </r>
  <r>
    <x v="0"/>
    <x v="4"/>
    <m/>
    <s v="cow, young,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57"/>
    <m/>
    <s v="ReCiPe (hierarchic endpoint)"/>
  </r>
  <r>
    <x v="0"/>
    <x v="4"/>
    <m/>
    <s v="cow, young,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82"/>
    <m/>
    <s v="ReCiPe (hierarchic endpoint)"/>
  </r>
  <r>
    <x v="0"/>
    <x v="4"/>
    <m/>
    <s v="cow, young, pastur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52"/>
    <m/>
    <s v="ReCiPe (hierarchic endpoint)"/>
  </r>
  <r>
    <x v="0"/>
    <x v="41"/>
    <m/>
    <s v="goat, old,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48"/>
    <m/>
    <s v="ReCiPe (hierarchic endpoint)"/>
  </r>
  <r>
    <x v="0"/>
    <x v="41"/>
    <m/>
    <s v="goat, ol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130000000000001"/>
    <m/>
    <s v="ReCiPe (hierarchic endpoint)"/>
  </r>
  <r>
    <x v="0"/>
    <x v="41"/>
    <m/>
    <s v="goat, medium,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71"/>
    <m/>
    <s v="ReCiPe (hierarchic endpoint)"/>
  </r>
  <r>
    <x v="0"/>
    <x v="41"/>
    <m/>
    <s v="goat, medium,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2899999999999991"/>
    <m/>
    <s v="ReCiPe (hierarchic endpoint)"/>
  </r>
  <r>
    <x v="0"/>
    <x v="41"/>
    <m/>
    <s v="goat, young,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27"/>
    <m/>
    <s v="ReCiPe (hierarchic endpoint)"/>
  </r>
  <r>
    <x v="0"/>
    <x v="41"/>
    <m/>
    <s v="goat, young,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7899999999999991"/>
    <m/>
    <s v="ReCiPe (hierarchic endpoint)"/>
  </r>
  <r>
    <x v="0"/>
    <x v="42"/>
    <m/>
    <s v="buffalo, mozzarella"/>
    <s v="Yes"/>
    <s v="Italy"/>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99"/>
    <m/>
    <s v="ReCiPe (hierarchic endpoint)"/>
  </r>
  <r>
    <x v="0"/>
    <x v="4"/>
    <m/>
    <s v="cow, mozzarella"/>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6.89"/>
    <m/>
    <s v="ReCiPe (hierarchic endpoint)"/>
  </r>
  <r>
    <x v="0"/>
    <x v="5"/>
    <m/>
    <s v="conventional, cow, whol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8"/>
    <m/>
    <s v="ReCiPe (hierarchic endpoint)"/>
  </r>
  <r>
    <x v="0"/>
    <x v="5"/>
    <m/>
    <s v="organic, cow, whol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06"/>
    <m/>
    <s v="ReCiPe (hierarchic endpoint)"/>
  </r>
  <r>
    <x v="0"/>
    <x v="5"/>
    <m/>
    <s v="pasture, cow, whol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79"/>
    <m/>
    <s v="ReCiPe (hierarchic endpoint)"/>
  </r>
  <r>
    <x v="0"/>
    <x v="5"/>
    <m/>
    <s v="conventional, cow,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66"/>
    <m/>
    <s v="ReCiPe (hierarchic endpoint)"/>
  </r>
  <r>
    <x v="0"/>
    <x v="5"/>
    <m/>
    <s v="organic, cow,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9"/>
    <m/>
    <s v="ReCiPe (hierarchic endpoint)"/>
  </r>
  <r>
    <x v="0"/>
    <x v="5"/>
    <m/>
    <s v="pasture, cow,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65"/>
    <m/>
    <s v="ReCiPe (hierarchic endpoint)"/>
  </r>
  <r>
    <x v="0"/>
    <x v="5"/>
    <m/>
    <s v="conventional, cow,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38"/>
    <m/>
    <s v="ReCiPe (hierarchic endpoint)"/>
  </r>
  <r>
    <x v="0"/>
    <x v="5"/>
    <m/>
    <s v="organic, cow,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37"/>
    <m/>
    <s v="ReCiPe (hierarchic endpoint)"/>
  </r>
  <r>
    <x v="0"/>
    <x v="5"/>
    <m/>
    <s v="pasture, cow,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7"/>
    <m/>
    <s v="ReCiPe (hierarchic endpoint)"/>
  </r>
  <r>
    <x v="2"/>
    <x v="2"/>
    <m/>
    <s v="battery"/>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26"/>
    <m/>
    <s v="ReCiPe (hierarchic endpoint)"/>
  </r>
  <r>
    <x v="2"/>
    <x v="2"/>
    <m/>
    <s v="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43"/>
    <m/>
    <s v="ReCiPe (hierarchic endpoint)"/>
  </r>
  <r>
    <x v="2"/>
    <x v="2"/>
    <m/>
    <s v="enriched cag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26"/>
    <m/>
    <s v="ReCiPe (hierarchic endpoint)"/>
  </r>
  <r>
    <x v="2"/>
    <x v="2"/>
    <m/>
    <s v="barn (scharre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49"/>
    <m/>
    <s v="ReCiPe (hierarchic endpoint)"/>
  </r>
  <r>
    <x v="2"/>
    <x v="2"/>
    <m/>
    <s v="1 star (scharrel +)"/>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49"/>
    <m/>
    <s v="ReCiPe (hierarchic endpoint)"/>
  </r>
  <r>
    <x v="2"/>
    <x v="2"/>
    <m/>
    <s v="rondee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86"/>
    <m/>
    <s v="ReCiPe (hierarchic endpoint)"/>
  </r>
  <r>
    <x v="2"/>
    <x v="2"/>
    <m/>
    <s v="free rang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5599999999999996"/>
    <m/>
    <s v="ReCiPe (hierarchic endpoint)"/>
  </r>
  <r>
    <x v="2"/>
    <x v="2"/>
    <m/>
    <s v="grass"/>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49"/>
    <m/>
    <s v="ReCiPe (hierarchic endpoint)"/>
  </r>
  <r>
    <x v="2"/>
    <x v="2"/>
    <m/>
    <s v="omega-3"/>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82"/>
    <m/>
    <s v="ReCiPe (hierarchic endpoint)"/>
  </r>
  <r>
    <x v="2"/>
    <x v="2"/>
    <m/>
    <s v="60% corn"/>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05"/>
    <m/>
    <s v="ReCiPe (hierarchic endpoint)"/>
  </r>
  <r>
    <x v="4"/>
    <x v="20"/>
    <s v="Fresh or Not Specified"/>
    <s v="fresh bananas"/>
    <s v="No"/>
    <s v="USA"/>
    <n v="2012"/>
    <s v="Anthony J. Craig(a); Yossi Sheffi (a); Edgar E. Blanco (c)"/>
    <s v="(a) Engineering Systems Division Massachusetts Institute of Technology; (b) Center for Transportation &amp; Logistics_x000a_ Massachusetts Institute of Technology"/>
    <s v="NGO Report"/>
    <s v="Craig, A. J., Blanco, E. E. and Sheffi, Y., ESD Working Paper Series A Supply Chain View of Product Carbon Footprints : Results from the Banana Supply Chain 2012,  (ESD-WP-2012-25), ."/>
    <s v="Yes"/>
    <s v="No"/>
    <s v="Yes"/>
    <s v="Yes"/>
    <s v="Yes"/>
    <s v="Yes"/>
    <s v="Yes"/>
    <s v="No"/>
    <s v="No"/>
    <s v="No"/>
    <s v="No"/>
    <s v="No"/>
    <m/>
    <s v="Tracked fro 1 box banana, yet 1 kg impact also reported"/>
    <s v="No"/>
    <s v="Yes"/>
    <s v="1 box banana"/>
    <s v="/18.14 (one box = 18.14 kg)"/>
    <s v=""/>
    <s v=""/>
    <n v="0.20396912899669239"/>
    <s v=""/>
    <m/>
    <m/>
    <m/>
    <m/>
    <m/>
    <m/>
    <m/>
    <m/>
    <m/>
    <m/>
    <m/>
    <m/>
    <m/>
    <n v="0.20396912899669239"/>
    <m/>
    <n v="0"/>
    <n v="7.1664829106945979E-2"/>
    <n v="0.4299889746416759"/>
    <n v="0.19294377067254684"/>
    <m/>
    <m/>
    <m/>
    <n v="0.20396912899669239"/>
    <n v="0.93560814529444125"/>
    <m/>
    <s v="2007 IPCC 100 year"/>
  </r>
  <r>
    <x v="4"/>
    <x v="20"/>
    <s v="Fresh or Not Specified"/>
    <s v="fresh bananas"/>
    <s v="No"/>
    <s v="Costa Rica"/>
    <n v="2013"/>
    <s v="Erik Svanes  (a); Anna K. S. Aronsson (b)"/>
    <s v="(a) Department of Food and Packaging, Ostfold Research,_x000a_ Gamle Bedding vei 2b,_x000a_ 1671 Fredrikstad, Norway; (b) Swedish Institute for Food and Biotechnology, P.O. Box 5401,_x000a_ 40229 Gothenburg, Sweden"/>
    <s v="Peer Reviewed Journal"/>
    <s v="Svanes, E. and Aronsson, A. K. S., Carbon footprint of a Cavendish banana supply chain. The International Journal of Life Cycle Assessment 2013, 18 (8), 1450-1464."/>
    <s v="Yes"/>
    <s v="No"/>
    <s v="Yes"/>
    <s v="Yes"/>
    <s v="Yes"/>
    <s v="Yes"/>
    <s v="Yes"/>
    <s v="Yes"/>
    <s v="No"/>
    <s v="No"/>
    <s v="No"/>
    <s v="No"/>
    <m/>
    <s v="Cradle to grave"/>
    <s v="Yes"/>
    <s v="Yes"/>
    <s v="1 kg banana"/>
    <m/>
    <s v=""/>
    <s v=""/>
    <n v="0.2944"/>
    <n v="0.33119999999999999"/>
    <m/>
    <m/>
    <m/>
    <m/>
    <m/>
    <m/>
    <m/>
    <m/>
    <m/>
    <m/>
    <m/>
    <m/>
    <m/>
    <n v="0.2944"/>
    <m/>
    <n v="3.6799999999999999E-2"/>
    <n v="0.12880000000000003"/>
    <n v="1.2328000000000001"/>
    <n v="5.5199999999999999E-2"/>
    <n v="9.2000000000000012E-2"/>
    <m/>
    <n v="2.3E-3"/>
    <n v="0.2944"/>
    <n v="1.84"/>
    <m/>
    <s v="IPCC 2006"/>
  </r>
  <r>
    <x v="4"/>
    <x v="20"/>
    <s v="Fresh or Not Specified"/>
    <s v="conventional"/>
    <s v="Yes"/>
    <s v="Costa Rica"/>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banana"/>
    <m/>
    <s v=""/>
    <s v=""/>
    <s v=""/>
    <s v=""/>
    <m/>
    <m/>
    <m/>
    <m/>
    <m/>
    <m/>
    <m/>
    <m/>
    <m/>
    <m/>
    <m/>
    <m/>
    <m/>
    <m/>
    <m/>
    <m/>
    <m/>
    <m/>
    <m/>
    <m/>
    <m/>
    <m/>
    <m/>
    <m/>
    <m/>
    <m/>
  </r>
  <r>
    <x v="4"/>
    <x v="20"/>
    <s v="Fresh or Not Specified"/>
    <s v="conventional"/>
    <s v="Yes"/>
    <s v="Honduras"/>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banana"/>
    <m/>
    <s v=""/>
    <s v=""/>
    <s v=""/>
    <s v=""/>
    <m/>
    <m/>
    <m/>
    <m/>
    <m/>
    <m/>
    <m/>
    <m/>
    <m/>
    <m/>
    <m/>
    <m/>
    <m/>
    <m/>
    <m/>
    <m/>
    <m/>
    <m/>
    <m/>
    <m/>
    <m/>
    <m/>
    <m/>
    <m/>
    <m/>
    <m/>
  </r>
  <r>
    <x v="4"/>
    <x v="43"/>
    <s v="Fresh or Not Specified"/>
    <s v="conventional"/>
    <s v="Yes"/>
    <s v="Costa Rica"/>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pineapple"/>
    <m/>
    <s v=""/>
    <s v=""/>
    <s v=""/>
    <s v=""/>
    <m/>
    <m/>
    <m/>
    <m/>
    <m/>
    <m/>
    <m/>
    <m/>
    <m/>
    <m/>
    <m/>
    <m/>
    <m/>
    <m/>
    <m/>
    <m/>
    <m/>
    <m/>
    <m/>
    <m/>
    <m/>
    <m/>
    <m/>
    <m/>
    <m/>
    <m/>
  </r>
  <r>
    <x v="4"/>
    <x v="43"/>
    <s v="Fresh or Not Specified"/>
    <s v="organic"/>
    <s v="Yes"/>
    <s v="Costa Rica"/>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pineapple"/>
    <m/>
    <s v=""/>
    <s v=""/>
    <s v=""/>
    <s v=""/>
    <m/>
    <m/>
    <m/>
    <m/>
    <m/>
    <m/>
    <m/>
    <m/>
    <m/>
    <m/>
    <m/>
    <m/>
    <m/>
    <m/>
    <m/>
    <m/>
    <m/>
    <m/>
    <m/>
    <m/>
    <m/>
    <m/>
    <m/>
    <m/>
    <m/>
    <m/>
  </r>
  <r>
    <x v="4"/>
    <x v="43"/>
    <s v="Fresh or Not Specified"/>
    <s v="conventional"/>
    <s v="Yes"/>
    <s v="Honduras"/>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pineapple"/>
    <m/>
    <s v=""/>
    <s v=""/>
    <s v=""/>
    <s v=""/>
    <m/>
    <m/>
    <m/>
    <m/>
    <m/>
    <m/>
    <m/>
    <m/>
    <m/>
    <m/>
    <m/>
    <m/>
    <m/>
    <m/>
    <m/>
    <m/>
    <m/>
    <m/>
    <m/>
    <m/>
    <m/>
    <m/>
    <m/>
    <m/>
    <m/>
    <m/>
  </r>
  <r>
    <x v="4"/>
    <x v="20"/>
    <s v="Fresh or Not Specified"/>
    <s v="conventional"/>
    <s v="No"/>
    <s v="Costa Rica"/>
    <n v="2010"/>
    <s v="Boki Luske"/>
    <s v="Soil &amp; More International Hoofdstraat 24 3972 LA Driebergen The Netherlands"/>
    <s v="Private consulting firm report"/>
    <s v="Luske, B., Comprehensive carbon footprint assessment. Dole bananas. Soil and More International 2010,  (2010), 1-45."/>
    <s v="Yes"/>
    <s v="No"/>
    <s v="Yes"/>
    <s v="Yes"/>
    <s v="Yes"/>
    <s v="Yes"/>
    <s v="No"/>
    <s v="No"/>
    <s v="No"/>
    <s v="No"/>
    <s v="No"/>
    <s v="No"/>
    <m/>
    <s v="Cradle to shelf"/>
    <s v="No"/>
    <s v="Yes"/>
    <s v="1 ton banana"/>
    <s v="/1000"/>
    <s v=""/>
    <s v=""/>
    <n v="0.13783000000000001"/>
    <s v=""/>
    <m/>
    <m/>
    <m/>
    <m/>
    <m/>
    <m/>
    <m/>
    <m/>
    <m/>
    <m/>
    <m/>
    <m/>
    <m/>
    <n v="0.13783000000000001"/>
    <m/>
    <m/>
    <n v="8.9599999999999999E-2"/>
    <n v="0.84267999999999998"/>
    <m/>
    <m/>
    <m/>
    <m/>
    <n v="0.13783000000000001"/>
    <n v="1.1240000000000001"/>
    <m/>
    <s v="IPCC 2006"/>
  </r>
  <r>
    <x v="5"/>
    <x v="22"/>
    <s v="Fresh or Not Specified"/>
    <s v="White Loaf Bread - Industrial Production"/>
    <s v="Yes"/>
    <s v="Sweden"/>
    <n v="2006"/>
    <s v="Michael Bimpeh; Ernest Djokoto; Henry Doe; Roberto Jequier"/>
    <s v="KTH, Life Cycle Assessment Course (1N1800)"/>
    <s v="Other (specify)"/>
    <s v="Bimpeh, M., Djokoto, E., Doe, H. and Jequier, R., Life Cycle Assessment ( LCA ) of the Production of Home made and Industrial Bread in Sweden. KTH; 2006, 1-25."/>
    <s v="Yes"/>
    <s v="No"/>
    <s v="Yes"/>
    <s v="Yes"/>
    <s v="Yes"/>
    <s v="Yes"/>
    <s v="Yes"/>
    <s v="Yes"/>
    <s v="No"/>
    <s v="No"/>
    <s v="No"/>
    <s v="No"/>
    <m/>
    <s v="Cradle to Grave"/>
    <s v="No"/>
    <s v="No"/>
    <s v=" kg bread ready for consumption"/>
    <s v="N/A"/>
    <s v=""/>
    <s v=""/>
    <s v=""/>
    <s v=""/>
    <m/>
    <m/>
    <m/>
    <m/>
    <m/>
    <m/>
    <m/>
    <m/>
    <m/>
    <m/>
    <n v="5252.4000000000005"/>
    <m/>
    <m/>
    <m/>
    <m/>
    <m/>
    <m/>
    <m/>
    <m/>
    <m/>
    <m/>
    <m/>
    <m/>
    <n v="-0.56000000000000005"/>
    <m/>
    <m/>
  </r>
  <r>
    <x v="5"/>
    <x v="22"/>
    <s v="Fresh or Not Specified"/>
    <s v="White Loaf Bread - Home Production"/>
    <s v="Yes"/>
    <s v="Sweden"/>
    <n v="2006"/>
    <s v="Michael Bimpeh; Ernest Djokoto; Henry Doe; Roberto Jequier"/>
    <s v="KTH, Life Cycle Assessment Course (1N1800)"/>
    <s v="Other (specify)"/>
    <s v="Bimpeh, M., Djokoto, E., Doe, H. and Jequier, R., Life Cycle Assessment ( LCA ) of the Production of Home made and Industrial Bread in Sweden. KTH; 2006, 1-25."/>
    <s v="Yes"/>
    <s v="No"/>
    <s v="Yes"/>
    <s v="Yes"/>
    <s v="Yes"/>
    <s v="Yes"/>
    <s v="Yes"/>
    <s v="No"/>
    <s v="No"/>
    <s v="Yes"/>
    <s v="No"/>
    <s v="No"/>
    <m/>
    <s v="Cradle to Grave"/>
    <s v="No"/>
    <s v="No"/>
    <s v=" kg bread ready for consumption"/>
    <s v="N/A"/>
    <s v=""/>
    <s v=""/>
    <s v=""/>
    <s v=""/>
    <m/>
    <m/>
    <m/>
    <m/>
    <m/>
    <m/>
    <m/>
    <m/>
    <m/>
    <m/>
    <n v="7200"/>
    <m/>
    <m/>
    <m/>
    <m/>
    <m/>
    <m/>
    <m/>
    <m/>
    <m/>
    <m/>
    <m/>
    <m/>
    <n v="-0.501"/>
    <m/>
    <m/>
  </r>
  <r>
    <x v="5"/>
    <x v="22"/>
    <s v="Fresh or Not Specified"/>
    <s v="Conventional Rye Bread"/>
    <s v="Yes"/>
    <s v="Finland"/>
    <n v="2006"/>
    <s v="(a) Juha Gronroos; (a) Jyri Seppala; (b) Pasi Voutilainen; (c) Pentti Seuri; (d) Kauko Koikkalainen"/>
    <s v="(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
    <s v="Peer Reviewed Journal"/>
    <s v="Grönroos, J., Seppälä, J., Voutilainen, P., Seuri, P. and Koikkalainen, K., Energy use in conventional and organic milk and rye bread production in Finland. Agriculture, Ecosystems and Environment 2006, 117, 109-118."/>
    <s v="Yes"/>
    <s v="No"/>
    <s v="Yes"/>
    <s v="Yes"/>
    <s v="Yes"/>
    <s v="Yes"/>
    <s v="Yes"/>
    <s v="No"/>
    <s v="No"/>
    <s v="No"/>
    <s v="No"/>
    <s v="No"/>
    <m/>
    <s v="Cradle to Transport to Retail"/>
    <s v="No"/>
    <s v="Yes"/>
    <s v="1000kg bread transported to retailer"/>
    <s v="Divide quantities by 1000"/>
    <n v="3.64"/>
    <n v="14.21"/>
    <s v=""/>
    <n v="10.57"/>
    <n v="3.64"/>
    <m/>
    <n v="10.57"/>
    <n v="0.45"/>
    <n v="0.67"/>
    <m/>
    <m/>
    <m/>
    <m/>
    <n v="3.64"/>
    <n v="15.3"/>
    <m/>
    <m/>
    <m/>
    <m/>
    <n v="10.57"/>
    <n v="0.45"/>
    <n v="0.67"/>
    <m/>
    <m/>
    <m/>
    <m/>
    <m/>
    <m/>
    <m/>
    <m/>
  </r>
  <r>
    <x v="5"/>
    <x v="22"/>
    <s v="Fresh or Not Specified"/>
    <s v="Organic Rye Bread"/>
    <s v="Yes"/>
    <s v="Finland"/>
    <n v="2006"/>
    <s v="(a) Juha Gronroos; (a) Jyri Seppala; (b) Pasi Voutilainen; (c) Pentti Seuri; (d) Kauko Koikkalainen"/>
    <s v="(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
    <s v="Peer Reviewed Journal"/>
    <s v="Grönroos, J., Seppälä, J., Voutilainen, P., Seuri, P. and Koikkalainen, K., Energy use in conventional and organic milk and rye bread production in Finland. Agriculture, Ecosystems and Environment 2006, 117, 109-118."/>
    <s v="Yes"/>
    <s v="No"/>
    <s v="Yes"/>
    <s v="Yes"/>
    <s v="Yes"/>
    <s v="Yes"/>
    <s v="Yes"/>
    <s v="No"/>
    <s v="No"/>
    <s v="No"/>
    <s v="No"/>
    <s v="No"/>
    <m/>
    <s v="Cradle to Transport to Retail"/>
    <s v="No"/>
    <s v="Yes"/>
    <s v="1000kg bread transported to retailer"/>
    <s v="Divide quantities by 1000"/>
    <n v="1.61"/>
    <n v="12.18"/>
    <s v=""/>
    <n v="7.57"/>
    <n v="1.61"/>
    <m/>
    <n v="10.57"/>
    <n v="0.45"/>
    <n v="0.71"/>
    <m/>
    <m/>
    <m/>
    <m/>
    <n v="1.61"/>
    <n v="13.3"/>
    <m/>
    <m/>
    <m/>
    <m/>
    <n v="7.57"/>
    <n v="0.45"/>
    <n v="0.71"/>
    <m/>
    <m/>
    <m/>
    <m/>
    <m/>
    <m/>
    <m/>
    <m/>
  </r>
  <r>
    <x v="0"/>
    <x v="0"/>
    <s v="Fresh or Not Specified"/>
    <s v="Conventional Milk"/>
    <s v="Yes"/>
    <s v="Finland"/>
    <n v="2006"/>
    <s v="(a) Juha Gronroos; (a) Jyri Seppala; (b) Pasi Voutilainen; (c) Pentti Seuri; (d) Kauko Koikkalainen"/>
    <s v="(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
    <s v="Peer Reviewed Journal"/>
    <s v="Grönroos, J., Seppälä, J., Voutilainen, P., Seuri, P. and Koikkalainen, K., Energy use in conventional and organic milk and rye bread production in Finland. Agriculture, Ecosystems and Environment 2006, 117, 109-118."/>
    <s v="Yes"/>
    <s v="No"/>
    <s v="Yes"/>
    <s v="Yes"/>
    <s v="Yes"/>
    <s v="Yes"/>
    <s v="Yes"/>
    <s v="No"/>
    <s v="No"/>
    <s v="No"/>
    <s v="No"/>
    <s v="No"/>
    <m/>
    <s v="Cradle to Transport to Retail"/>
    <s v="No"/>
    <s v="Yes"/>
    <s v="1000L of milk transported to retailer"/>
    <s v="Convert to m3 (1L = .001 m3) then multiply by milk density (1035 kg/m3)"/>
    <n v="4.2849000000000004"/>
    <n v="5.3095500000000007"/>
    <s v=""/>
    <n v="1.0246500000000001"/>
    <n v="4.2849000000000004"/>
    <m/>
    <n v="1.0246500000000001"/>
    <n v="1.0349999999999999"/>
    <n v="0.25874999999999998"/>
    <m/>
    <m/>
    <m/>
    <m/>
    <n v="4.2849000000000004"/>
    <n v="6.6139999999999999"/>
    <m/>
    <m/>
    <m/>
    <m/>
    <n v="1.0246500000000001"/>
    <n v="1.0349999999999999"/>
    <n v="0.25874999999999998"/>
    <m/>
    <m/>
    <m/>
    <m/>
    <m/>
    <m/>
    <m/>
    <m/>
  </r>
  <r>
    <x v="0"/>
    <x v="0"/>
    <s v="Fresh or Not Specified"/>
    <s v="Organic Milk"/>
    <s v="Yes"/>
    <s v="Finland"/>
    <n v="2006"/>
    <s v="(a) Juha Gronroos; (a) Jyri Seppala; (b) Pasi Voutilainen; (c) Pentti Seuri; (d) Kauko Koikkalainen"/>
    <s v="(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
    <s v="Peer Reviewed Journal"/>
    <s v="Grönroos, J., Seppälä, J., Voutilainen, P., Seuri, P. and Koikkalainen, K., Energy use in conventional and organic milk and rye bread production in Finland. Agriculture, Ecosystems and Environment 2006, 117, 109-118."/>
    <s v="Yes"/>
    <s v="No"/>
    <s v="Yes"/>
    <s v="Yes"/>
    <s v="Yes"/>
    <s v="Yes"/>
    <s v="Yes"/>
    <s v="No"/>
    <s v="No"/>
    <s v="No"/>
    <s v="No"/>
    <s v="No"/>
    <m/>
    <s v="Cradle to Transport to Retail"/>
    <s v="No"/>
    <s v="Yes"/>
    <s v="1000L of milk transported to retailer"/>
    <s v="Convert to m3 (1L = .001 m3) then multiply by milk density (1035 kg/m3)"/>
    <n v="2.2149000000000001"/>
    <n v="3.2395500000000004"/>
    <s v=""/>
    <n v="1.0246500000000001"/>
    <n v="2.2149000000000001"/>
    <m/>
    <n v="1.0246500000000001"/>
    <n v="1.0349999999999999"/>
    <n v="0.30015000000000003"/>
    <m/>
    <m/>
    <m/>
    <m/>
    <n v="2.2149000000000001"/>
    <n v="4.5640000000000001"/>
    <m/>
    <m/>
    <m/>
    <m/>
    <n v="1.0246500000000001"/>
    <n v="1.0349999999999999"/>
    <n v="0.30014999999999997"/>
    <m/>
    <m/>
    <m/>
    <m/>
    <m/>
    <m/>
    <m/>
    <m/>
  </r>
  <r>
    <x v="3"/>
    <x v="44"/>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potato"/>
    <s v="reported value/1000"/>
    <s v=""/>
    <s v=""/>
    <n v="0.215"/>
    <s v=""/>
    <m/>
    <m/>
    <m/>
    <m/>
    <m/>
    <m/>
    <m/>
    <m/>
    <m/>
    <m/>
    <m/>
    <m/>
    <m/>
    <m/>
    <m/>
    <m/>
    <m/>
    <m/>
    <m/>
    <m/>
    <m/>
    <m/>
    <n v="0.215"/>
    <m/>
    <m/>
    <m/>
  </r>
  <r>
    <x v="3"/>
    <x v="44"/>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potato"/>
    <s v="reported value/1000"/>
    <s v=""/>
    <s v=""/>
    <n v="0.19900000000000001"/>
    <s v=""/>
    <m/>
    <m/>
    <m/>
    <m/>
    <m/>
    <m/>
    <m/>
    <m/>
    <m/>
    <m/>
    <m/>
    <m/>
    <m/>
    <m/>
    <m/>
    <m/>
    <m/>
    <m/>
    <m/>
    <m/>
    <m/>
    <m/>
    <n v="0.19900000000000001"/>
    <m/>
    <m/>
    <m/>
  </r>
  <r>
    <x v="5"/>
    <x v="22"/>
    <s v="Fresh or Not Specified"/>
    <s v="Wheat Bread, 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of bread wheat"/>
    <s v="reported value/1000"/>
    <s v=""/>
    <s v=""/>
    <n v="0.80400000000000005"/>
    <s v=""/>
    <m/>
    <m/>
    <m/>
    <m/>
    <m/>
    <m/>
    <m/>
    <m/>
    <m/>
    <m/>
    <m/>
    <m/>
    <m/>
    <m/>
    <m/>
    <m/>
    <m/>
    <m/>
    <m/>
    <m/>
    <m/>
    <m/>
    <n v="0.80400000000000005"/>
    <m/>
    <m/>
    <m/>
  </r>
  <r>
    <x v="5"/>
    <x v="22"/>
    <s v="Fresh or Not Specified"/>
    <s v="Wheat Bread,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of bread wheat"/>
    <s v="reported value/1000"/>
    <s v=""/>
    <s v=""/>
    <n v="0.78600000000000003"/>
    <s v=""/>
    <m/>
    <m/>
    <m/>
    <m/>
    <m/>
    <m/>
    <m/>
    <m/>
    <m/>
    <m/>
    <m/>
    <m/>
    <m/>
    <m/>
    <m/>
    <m/>
    <m/>
    <m/>
    <m/>
    <m/>
    <m/>
    <m/>
    <n v="0.78600000000000003"/>
    <m/>
    <m/>
    <m/>
  </r>
  <r>
    <x v="5"/>
    <x v="45"/>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rapeseed"/>
    <s v="reported value/1000"/>
    <s v=""/>
    <s v=""/>
    <n v="1.71"/>
    <s v=""/>
    <m/>
    <m/>
    <m/>
    <m/>
    <m/>
    <m/>
    <m/>
    <m/>
    <m/>
    <m/>
    <m/>
    <m/>
    <m/>
    <m/>
    <m/>
    <m/>
    <m/>
    <m/>
    <m/>
    <m/>
    <m/>
    <m/>
    <n v="1.71"/>
    <m/>
    <m/>
    <m/>
  </r>
  <r>
    <x v="5"/>
    <x v="45"/>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rapeseed"/>
    <s v="reported value/1000"/>
    <s v=""/>
    <s v=""/>
    <n v="1.62"/>
    <s v=""/>
    <m/>
    <m/>
    <m/>
    <m/>
    <m/>
    <m/>
    <m/>
    <m/>
    <m/>
    <m/>
    <m/>
    <m/>
    <m/>
    <m/>
    <m/>
    <m/>
    <m/>
    <m/>
    <m/>
    <m/>
    <m/>
    <m/>
    <n v="1.62"/>
    <m/>
    <m/>
    <m/>
  </r>
  <r>
    <x v="1"/>
    <x v="3"/>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3.68815592203898"/>
    <s v=""/>
    <m/>
    <m/>
    <m/>
    <m/>
    <m/>
    <m/>
    <m/>
    <m/>
    <m/>
    <m/>
    <m/>
    <m/>
    <m/>
    <m/>
    <m/>
    <m/>
    <m/>
    <m/>
    <m/>
    <m/>
    <m/>
    <m/>
    <n v="23.68815592203898"/>
    <m/>
    <m/>
    <m/>
  </r>
  <r>
    <x v="1"/>
    <x v="3"/>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7.286356821589202"/>
    <s v=""/>
    <m/>
    <m/>
    <m/>
    <m/>
    <m/>
    <m/>
    <m/>
    <m/>
    <m/>
    <m/>
    <m/>
    <m/>
    <m/>
    <m/>
    <m/>
    <m/>
    <m/>
    <m/>
    <m/>
    <m/>
    <m/>
    <m/>
    <n v="27.286356821589202"/>
    <m/>
    <m/>
    <m/>
  </r>
  <r>
    <x v="1"/>
    <x v="3"/>
    <s v="Fresh or Not Specified"/>
    <s v="100% suckler"/>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7.931034482758619"/>
    <s v=""/>
    <m/>
    <m/>
    <m/>
    <m/>
    <m/>
    <m/>
    <m/>
    <m/>
    <m/>
    <m/>
    <m/>
    <m/>
    <m/>
    <m/>
    <m/>
    <m/>
    <m/>
    <m/>
    <m/>
    <m/>
    <m/>
    <m/>
    <n v="37.931034482758619"/>
    <m/>
    <m/>
    <m/>
  </r>
  <r>
    <x v="1"/>
    <x v="3"/>
    <s v="Fresh or Not Specified"/>
    <s v="Lowland"/>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3.38830584707646"/>
    <s v=""/>
    <m/>
    <m/>
    <m/>
    <m/>
    <m/>
    <m/>
    <m/>
    <m/>
    <m/>
    <m/>
    <m/>
    <m/>
    <m/>
    <m/>
    <m/>
    <m/>
    <m/>
    <m/>
    <m/>
    <m/>
    <m/>
    <m/>
    <n v="23.38830584707646"/>
    <m/>
    <m/>
    <m/>
  </r>
  <r>
    <x v="1"/>
    <x v="3"/>
    <s v="Fresh or Not Specified"/>
    <s v="Hill &amp; Upland"/>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4.587706146926532"/>
    <s v=""/>
    <m/>
    <m/>
    <m/>
    <m/>
    <m/>
    <m/>
    <m/>
    <m/>
    <m/>
    <m/>
    <m/>
    <m/>
    <m/>
    <m/>
    <m/>
    <m/>
    <m/>
    <m/>
    <m/>
    <m/>
    <m/>
    <m/>
    <n v="24.587706146926532"/>
    <m/>
    <m/>
    <m/>
  </r>
  <r>
    <x v="1"/>
    <x v="23"/>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7242798353909468"/>
    <s v=""/>
    <m/>
    <m/>
    <m/>
    <m/>
    <m/>
    <m/>
    <m/>
    <m/>
    <m/>
    <m/>
    <m/>
    <m/>
    <m/>
    <m/>
    <m/>
    <m/>
    <m/>
    <m/>
    <m/>
    <m/>
    <m/>
    <m/>
    <n v="8.7242798353909468"/>
    <m/>
    <m/>
    <m/>
  </r>
  <r>
    <x v="1"/>
    <x v="23"/>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7.7366255144032916"/>
    <s v=""/>
    <m/>
    <m/>
    <m/>
    <m/>
    <m/>
    <m/>
    <m/>
    <m/>
    <m/>
    <m/>
    <m/>
    <m/>
    <m/>
    <m/>
    <m/>
    <m/>
    <m/>
    <m/>
    <m/>
    <m/>
    <m/>
    <m/>
    <n v="7.7366255144032916"/>
    <m/>
    <m/>
    <m/>
  </r>
  <r>
    <x v="1"/>
    <x v="23"/>
    <s v="Fresh or Not Specified"/>
    <s v="Heavier finishing"/>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3401920438957475"/>
    <s v=""/>
    <m/>
    <m/>
    <m/>
    <m/>
    <m/>
    <m/>
    <m/>
    <m/>
    <m/>
    <m/>
    <m/>
    <m/>
    <m/>
    <m/>
    <m/>
    <m/>
    <m/>
    <m/>
    <m/>
    <m/>
    <m/>
    <m/>
    <n v="8.3401920438957475"/>
    <m/>
    <m/>
    <m/>
  </r>
  <r>
    <x v="1"/>
    <x v="23"/>
    <s v="Fresh or Not Specified"/>
    <s v="Indoor breeding"/>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8065843621399171"/>
    <s v=""/>
    <m/>
    <m/>
    <m/>
    <m/>
    <m/>
    <m/>
    <m/>
    <m/>
    <m/>
    <m/>
    <m/>
    <m/>
    <m/>
    <m/>
    <m/>
    <m/>
    <m/>
    <m/>
    <m/>
    <m/>
    <m/>
    <m/>
    <n v="8.8065843621399171"/>
    <m/>
    <m/>
    <m/>
  </r>
  <r>
    <x v="1"/>
    <x v="23"/>
    <s v="Fresh or Not Specified"/>
    <s v="Outdoor breeding"/>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6831275720164616"/>
    <s v=""/>
    <m/>
    <m/>
    <m/>
    <m/>
    <m/>
    <m/>
    <m/>
    <m/>
    <m/>
    <m/>
    <m/>
    <m/>
    <m/>
    <m/>
    <m/>
    <m/>
    <m/>
    <m/>
    <m/>
    <m/>
    <m/>
    <m/>
    <n v="8.6831275720164616"/>
    <m/>
    <m/>
    <m/>
  </r>
  <r>
    <x v="1"/>
    <x v="24"/>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 boneless = 77%*carcass (Sonesson, 2010)"/>
    <s v=""/>
    <s v=""/>
    <n v="5.9350649350649354"/>
    <s v=""/>
    <m/>
    <m/>
    <m/>
    <m/>
    <m/>
    <m/>
    <m/>
    <m/>
    <m/>
    <m/>
    <m/>
    <m/>
    <m/>
    <m/>
    <m/>
    <m/>
    <m/>
    <m/>
    <m/>
    <m/>
    <m/>
    <m/>
    <n v="5.9350649350649354"/>
    <m/>
    <m/>
    <m/>
  </r>
  <r>
    <x v="1"/>
    <x v="24"/>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 boneless = 77%*carcass (Sonesson, 2010)"/>
    <s v=""/>
    <s v=""/>
    <n v="8.6753246753246742"/>
    <s v=""/>
    <m/>
    <m/>
    <m/>
    <m/>
    <m/>
    <m/>
    <m/>
    <m/>
    <m/>
    <m/>
    <m/>
    <m/>
    <m/>
    <m/>
    <m/>
    <m/>
    <m/>
    <m/>
    <m/>
    <m/>
    <m/>
    <m/>
    <n v="8.6753246753246742"/>
    <m/>
    <m/>
    <m/>
  </r>
  <r>
    <x v="1"/>
    <x v="24"/>
    <s v="Fresh or Not Specified"/>
    <s v="Free range 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 boneless = 77%*carcass (Sonesson, 2010)"/>
    <s v=""/>
    <s v=""/>
    <n v="7.116883116883117"/>
    <s v=""/>
    <m/>
    <m/>
    <m/>
    <m/>
    <m/>
    <m/>
    <m/>
    <m/>
    <m/>
    <m/>
    <m/>
    <m/>
    <m/>
    <m/>
    <m/>
    <m/>
    <m/>
    <m/>
    <m/>
    <m/>
    <m/>
    <m/>
    <n v="7.116883116883117"/>
    <m/>
    <m/>
    <m/>
  </r>
  <r>
    <x v="1"/>
    <x v="1"/>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58  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6.595744680851062"/>
    <s v=""/>
    <m/>
    <m/>
    <m/>
    <m/>
    <m/>
    <m/>
    <m/>
    <m/>
    <m/>
    <m/>
    <m/>
    <m/>
    <m/>
    <m/>
    <m/>
    <m/>
    <m/>
    <m/>
    <m/>
    <m/>
    <m/>
    <m/>
    <n v="26.595744680851062"/>
    <m/>
    <m/>
    <m/>
  </r>
  <r>
    <x v="1"/>
    <x v="1"/>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58  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5.349544072948326"/>
    <s v=""/>
    <m/>
    <m/>
    <m/>
    <m/>
    <m/>
    <m/>
    <m/>
    <m/>
    <m/>
    <m/>
    <m/>
    <m/>
    <m/>
    <m/>
    <m/>
    <m/>
    <m/>
    <m/>
    <m/>
    <m/>
    <m/>
    <m/>
    <n v="15.349544072948326"/>
    <m/>
    <m/>
    <m/>
  </r>
  <r>
    <x v="2"/>
    <x v="2"/>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eggs"/>
    <s v="reported value/1000"/>
    <s v=""/>
    <s v=""/>
    <n v="5.53"/>
    <s v=""/>
    <m/>
    <m/>
    <m/>
    <m/>
    <m/>
    <m/>
    <m/>
    <m/>
    <m/>
    <m/>
    <m/>
    <m/>
    <m/>
    <m/>
    <m/>
    <m/>
    <m/>
    <m/>
    <m/>
    <m/>
    <m/>
    <m/>
    <n v="5.53"/>
    <m/>
    <m/>
    <m/>
  </r>
  <r>
    <x v="2"/>
    <x v="2"/>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eggs"/>
    <s v="reported value/1000"/>
    <s v=""/>
    <s v=""/>
    <n v="7"/>
    <s v=""/>
    <m/>
    <m/>
    <m/>
    <m/>
    <m/>
    <m/>
    <m/>
    <m/>
    <m/>
    <m/>
    <m/>
    <m/>
    <m/>
    <m/>
    <m/>
    <m/>
    <m/>
    <m/>
    <m/>
    <m/>
    <m/>
    <m/>
    <n v="7"/>
    <m/>
    <m/>
    <m/>
  </r>
  <r>
    <x v="2"/>
    <x v="2"/>
    <s v="Fresh or Not Specified"/>
    <s v="100% cage 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eggs"/>
    <s v="reported value/1000"/>
    <s v=""/>
    <s v=""/>
    <n v="5.25"/>
    <s v=""/>
    <m/>
    <m/>
    <m/>
    <m/>
    <m/>
    <m/>
    <m/>
    <m/>
    <m/>
    <m/>
    <m/>
    <m/>
    <m/>
    <m/>
    <m/>
    <m/>
    <m/>
    <m/>
    <m/>
    <m/>
    <m/>
    <m/>
    <n v="5.25"/>
    <m/>
    <m/>
    <m/>
  </r>
  <r>
    <x v="2"/>
    <x v="2"/>
    <s v="Fresh or Not Specified"/>
    <s v="100% free range 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eggs"/>
    <s v="reported value/1000"/>
    <s v=""/>
    <s v=""/>
    <n v="6.18"/>
    <s v=""/>
    <m/>
    <m/>
    <m/>
    <m/>
    <m/>
    <m/>
    <m/>
    <m/>
    <m/>
    <m/>
    <m/>
    <m/>
    <m/>
    <m/>
    <m/>
    <m/>
    <m/>
    <m/>
    <m/>
    <m/>
    <m/>
    <m/>
    <n v="6.18"/>
    <m/>
    <m/>
    <m/>
  </r>
  <r>
    <x v="0"/>
    <x v="0"/>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0000 litre milk"/>
    <s v="reported value/10300"/>
    <s v=""/>
    <s v=""/>
    <n v="10.6"/>
    <s v=""/>
    <m/>
    <m/>
    <m/>
    <m/>
    <m/>
    <m/>
    <m/>
    <m/>
    <m/>
    <m/>
    <m/>
    <m/>
    <m/>
    <m/>
    <m/>
    <m/>
    <m/>
    <m/>
    <m/>
    <m/>
    <m/>
    <m/>
    <n v="10.6"/>
    <m/>
    <m/>
    <m/>
  </r>
  <r>
    <x v="0"/>
    <x v="0"/>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0000 litre milk"/>
    <s v="reported value/10300"/>
    <s v=""/>
    <s v=""/>
    <n v="12.3"/>
    <s v=""/>
    <m/>
    <m/>
    <m/>
    <m/>
    <m/>
    <m/>
    <m/>
    <m/>
    <m/>
    <m/>
    <m/>
    <m/>
    <m/>
    <m/>
    <m/>
    <m/>
    <m/>
    <m/>
    <m/>
    <m/>
    <m/>
    <m/>
    <n v="12.3"/>
    <m/>
    <m/>
    <m/>
  </r>
  <r>
    <x v="0"/>
    <x v="0"/>
    <s v="Fresh or Not Specified"/>
    <s v="20% autumn calving herd"/>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0000 litre milk"/>
    <s v="reported value/10300"/>
    <s v=""/>
    <s v=""/>
    <n v="10.3"/>
    <s v=""/>
    <m/>
    <m/>
    <m/>
    <m/>
    <m/>
    <m/>
    <m/>
    <m/>
    <m/>
    <m/>
    <m/>
    <m/>
    <m/>
    <m/>
    <m/>
    <m/>
    <m/>
    <m/>
    <m/>
    <m/>
    <m/>
    <m/>
    <n v="10.3"/>
    <m/>
    <m/>
    <m/>
  </r>
  <r>
    <x v="3"/>
    <x v="18"/>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tomatoes"/>
    <s v="reported value/1000"/>
    <s v=""/>
    <s v=""/>
    <n v="17.5"/>
    <s v=""/>
    <m/>
    <m/>
    <m/>
    <m/>
    <m/>
    <m/>
    <m/>
    <m/>
    <m/>
    <m/>
    <m/>
    <m/>
    <m/>
    <m/>
    <m/>
    <m/>
    <m/>
    <m/>
    <m/>
    <m/>
    <m/>
    <m/>
    <n v="17.5"/>
    <m/>
    <m/>
    <m/>
  </r>
  <r>
    <x v="3"/>
    <x v="18"/>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tomatoes"/>
    <s v="reported value/1000"/>
    <s v=""/>
    <s v=""/>
    <n v="9.1"/>
    <s v=""/>
    <m/>
    <m/>
    <m/>
    <m/>
    <m/>
    <m/>
    <m/>
    <m/>
    <m/>
    <m/>
    <m/>
    <m/>
    <m/>
    <m/>
    <m/>
    <m/>
    <m/>
    <m/>
    <m/>
    <m/>
    <m/>
    <m/>
    <n v="9.1"/>
    <m/>
    <m/>
    <m/>
  </r>
  <r>
    <x v="3"/>
    <x v="18"/>
    <s v="Fresh or Not Specified"/>
    <s v="Nutrient Film Technique"/>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tomatoes"/>
    <s v="reported value/1000"/>
    <s v=""/>
    <s v=""/>
    <n v="9.1"/>
    <s v=""/>
    <m/>
    <m/>
    <m/>
    <m/>
    <m/>
    <m/>
    <m/>
    <m/>
    <m/>
    <m/>
    <m/>
    <m/>
    <m/>
    <m/>
    <m/>
    <m/>
    <m/>
    <m/>
    <m/>
    <m/>
    <m/>
    <m/>
    <n v="9.1"/>
    <m/>
    <m/>
    <m/>
  </r>
  <r>
    <x v="3"/>
    <x v="18"/>
    <s v="Fresh or Not Specified"/>
    <s v="Rockwool base"/>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tomatoes"/>
    <s v="reported value/1000"/>
    <s v=""/>
    <s v=""/>
    <n v="12.2"/>
    <s v=""/>
    <m/>
    <m/>
    <m/>
    <m/>
    <m/>
    <m/>
    <m/>
    <m/>
    <m/>
    <m/>
    <m/>
    <m/>
    <m/>
    <m/>
    <m/>
    <m/>
    <m/>
    <m/>
    <m/>
    <m/>
    <m/>
    <m/>
    <n v="12.2"/>
    <m/>
    <m/>
    <m/>
  </r>
  <r>
    <x v="5"/>
    <x v="22"/>
    <s v="Fresh or Not Specified"/>
    <s v="Rye Bread on Industrial Scale"/>
    <s v="Yes"/>
    <s v="Denmark"/>
    <n v="2014"/>
    <s v="Jan Stentoft Arlbjørn; Jesper Kronborg Jensen"/>
    <s v="University of Southern Denmark, Department of Entrepreneurship and Relationship Management"/>
    <s v="Peer Reviewed Journal"/>
    <s v="Jensen, J. K. and Arlbjørn, J. S., Product carbon footprint of rye bread. Journal of Cleaner Production 2014, 82, 45-57."/>
    <s v="Yes"/>
    <s v="No"/>
    <s v="Yes"/>
    <s v="Yes"/>
    <s v="Yes"/>
    <s v="Yes"/>
    <s v="Yes"/>
    <s v="No"/>
    <s v="No"/>
    <s v="No"/>
    <s v="No"/>
    <s v="No"/>
    <m/>
    <s v="Cradle to Grave"/>
    <s v="Yes"/>
    <s v="No"/>
    <s v="1 kg rye bread"/>
    <s v="N/A"/>
    <s v=""/>
    <s v=""/>
    <s v=""/>
    <s v=""/>
    <m/>
    <m/>
    <m/>
    <m/>
    <m/>
    <m/>
    <m/>
    <m/>
    <m/>
    <m/>
    <m/>
    <m/>
    <m/>
    <m/>
    <m/>
    <m/>
    <m/>
    <m/>
    <m/>
    <m/>
    <m/>
    <m/>
    <m/>
    <n v="0.47799999999999998"/>
    <m/>
    <s v="IPCC (2007)"/>
  </r>
  <r>
    <x v="8"/>
    <x v="46"/>
    <s v="Fresh or Not Specified"/>
    <s v="Palm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1.7"/>
    <m/>
    <s v="Incl. LUC, IPCC (2006)"/>
  </r>
  <r>
    <x v="8"/>
    <x v="47"/>
    <s v="Fresh or Not Specified"/>
    <s v="Soybean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1.7"/>
    <m/>
    <s v="Incl. LUC, IPCC (2006)"/>
  </r>
  <r>
    <x v="8"/>
    <x v="48"/>
    <s v="Fresh or Not Specified"/>
    <s v="Rapeseed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0.05"/>
    <m/>
    <s v="Incl. LUC, IPCC (2006)"/>
  </r>
  <r>
    <x v="8"/>
    <x v="49"/>
    <s v="Fresh or Not Specified"/>
    <s v="Sunflower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3.9"/>
    <m/>
    <s v="Incl. LUC, IPCC (2006)"/>
  </r>
  <r>
    <x v="8"/>
    <x v="50"/>
    <s v="Fresh or Not Specified"/>
    <s v="Peanut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1.6"/>
    <m/>
    <s v="Incl. LUC, IPCC (2006)"/>
  </r>
  <r>
    <x v="8"/>
    <x v="51"/>
    <s v="Fresh or Not Specified"/>
    <s v="Olive Oil"/>
    <s v="No"/>
    <s v="Cyprus"/>
    <n v="2007"/>
    <s v="M. Avraamides; D. Fatta"/>
    <s v="Department of Civil and Environmental Engineering, University of Cyprus, 75 Kallipoleos Street, 1678 Nicosia, Cyprus"/>
    <s v="Peer Reviewed Journal"/>
    <s v="Avraamides, M. and Fatta, D., Resource consumption and emissions from olive oil production: a life cycle inventory case study in Cyprus. Journal of Cleaner Production 2008, 16 (7), 809-821."/>
    <s v="Yes"/>
    <s v="No"/>
    <s v="Yes"/>
    <s v="Yes"/>
    <s v="No"/>
    <s v="No"/>
    <s v="Yes"/>
    <s v="No"/>
    <s v="No"/>
    <s v="No"/>
    <s v="No"/>
    <s v="No"/>
    <m/>
    <s v="Cradle to Refinery Gate"/>
    <s v="No"/>
    <s v="No"/>
    <s v="1 Liter EVOO extracted"/>
    <s v="reported value / .001 m3 / density of EVOO (920 kg/m3)"/>
    <n v="19.81304347826087"/>
    <n v="22.616086956521741"/>
    <n v="3.9130434782608696"/>
    <n v="4.1706521739130435"/>
    <n v="19.81304347826087"/>
    <m/>
    <n v="2.8030434782608697"/>
    <m/>
    <m/>
    <m/>
    <m/>
    <m/>
    <m/>
    <n v="19.81304347826087"/>
    <n v="22.616086956521741"/>
    <m/>
    <m/>
    <n v="3.9130434782608696"/>
    <m/>
    <n v="0.25760869565217387"/>
    <m/>
    <m/>
    <m/>
    <m/>
    <m/>
    <m/>
    <n v="3.9130434782608696"/>
    <n v="4.1706521739130435"/>
    <m/>
    <m/>
  </r>
  <r>
    <x v="8"/>
    <x v="49"/>
    <s v="Fresh or Not Specified"/>
    <s v="Sunflower Oil"/>
    <s v="No"/>
    <s v="Italy"/>
    <n v="2014"/>
    <s v="(a) Benedetta Nucci; (a) Monica Puccini; (b) Luigi Pelagagge; (a) Sandra Vitolo; (a) Cristiano Nicolella"/>
    <s v="(a) Department of Civil and Industrial Engineering, University of Pisa, Largo Lucio Lazzarino 1, 56122 Pisa, Italy; (b) SALOV e Società Alimentare Lucchese Oli e Vini S.p.A., Via Montramito 1600, 55040 Massarosa, Italy"/>
    <s v="Peer Reviewed Journal"/>
    <s v=" Nucci, B., Puccini, M., Pelagagge, L., Vitolo, S. and Nicolella, C., Improving the environmental performance of vegetable oil processing through LCA. Journal of Cleaner Production 2014, 64, 310-322."/>
    <s v="Yes"/>
    <s v="No"/>
    <s v="Yes"/>
    <s v="Yes"/>
    <s v="Yes"/>
    <s v="Yes"/>
    <s v="Yes"/>
    <s v="No"/>
    <s v="No"/>
    <s v="No"/>
    <s v="Yes"/>
    <s v="No"/>
    <m/>
    <s v="Cradle to Grave"/>
    <s v="No"/>
    <s v="No"/>
    <s v="1 L of sunflower oil refined and packaged"/>
    <s v="reported value / .001 m3 / density of Sun Oil (920 kg/m3)"/>
    <s v=""/>
    <s v=""/>
    <s v=""/>
    <s v=""/>
    <m/>
    <m/>
    <m/>
    <m/>
    <m/>
    <m/>
    <m/>
    <m/>
    <m/>
    <m/>
    <n v="3.2608695652173911"/>
    <m/>
    <m/>
    <m/>
    <m/>
    <m/>
    <m/>
    <m/>
    <m/>
    <m/>
    <m/>
    <m/>
    <m/>
    <m/>
    <m/>
    <m/>
  </r>
  <r>
    <x v="8"/>
    <x v="51"/>
    <s v="Fresh or Not Specified"/>
    <s v="Olive Oil, Scenario 1A"/>
    <s v="Yes"/>
    <s v="Sicily"/>
    <n v="2012"/>
    <s v="Roberta Salomone; Giuseppe Ioppolo"/>
    <s v="Department SEA, University of Messina, Piazza S. Pugliatti, 1, 98122 Messina, Italy"/>
    <s v="Peer Reviewed Journal"/>
    <s v="Salomone, R. and Ioppolo, G., Environmental impacts of olive oil production: A Life Cycle Assessment case study in the province of Messina (Sicily). Journal of Cleaner Production 2012, 28, 88-100."/>
    <s v="Yes"/>
    <s v="No"/>
    <s v="No"/>
    <s v="Yes"/>
    <s v="No"/>
    <s v="No"/>
    <s v="No"/>
    <s v="No"/>
    <s v="No"/>
    <s v="No"/>
    <s v="No"/>
    <s v="No"/>
    <m/>
    <s v="Cradle to Refinery Gate"/>
    <s v="Yes"/>
    <s v="No"/>
    <s v="1000 kg of olives"/>
    <s v="4000kg olives makes 760 liters of oil: reported value*(4000kg/760L)/.001m3/density (920kg/m3)"/>
    <s v=""/>
    <s v=""/>
    <n v="2.5921167048054916"/>
    <n v="2.751716247139588"/>
    <m/>
    <m/>
    <m/>
    <m/>
    <m/>
    <m/>
    <m/>
    <m/>
    <m/>
    <m/>
    <m/>
    <m/>
    <m/>
    <n v="2.5921167048054916"/>
    <m/>
    <n v="0.15959954233409623"/>
    <m/>
    <m/>
    <m/>
    <m/>
    <m/>
    <m/>
    <n v="2.5921167048054916"/>
    <n v="2.751716247139588"/>
    <m/>
    <s v="kg CO2 / kg olive oil, CML 2 baseline 2000"/>
  </r>
  <r>
    <x v="8"/>
    <x v="51"/>
    <s v="Fresh or Not Specified"/>
    <s v="Olive Oil, Scenario 4B"/>
    <s v="Yes"/>
    <s v="Sicily"/>
    <n v="2012"/>
    <s v="Roberta Salomone; Giuseppe Ioppolo"/>
    <s v="Department SEA, University of Messina, Piazza S. Pugliatti, 1, 98122 Messina, Italy"/>
    <s v="Peer Reviewed Journal"/>
    <s v="Salomone, R. and Ioppolo, G., Environmental impacts of olive oil production: A Life Cycle Assessment case study in the province of Messina (Sicily). Journal of Cleaner Production 2012, 28, 88-100."/>
    <s v="Yes"/>
    <s v="No"/>
    <s v="No"/>
    <s v="Yes"/>
    <s v="No"/>
    <s v="No"/>
    <s v="No"/>
    <s v="No"/>
    <s v="No"/>
    <s v="No"/>
    <s v="No"/>
    <s v="No"/>
    <m/>
    <s v="Cradle to Refinery Gate"/>
    <s v="Yes"/>
    <s v="No"/>
    <s v="1000 kg of olives"/>
    <s v="4000kg olives makes 800 liters of oil: reported value*(4000kg/800L)/.001m3/density (920kg/m3)"/>
    <s v=""/>
    <s v=""/>
    <n v="2.3910434782608694"/>
    <n v="2.695652173913043"/>
    <m/>
    <m/>
    <m/>
    <m/>
    <m/>
    <m/>
    <m/>
    <m/>
    <m/>
    <m/>
    <m/>
    <m/>
    <m/>
    <n v="2.3910434782608694"/>
    <m/>
    <n v="0.30460869565217386"/>
    <m/>
    <m/>
    <m/>
    <m/>
    <m/>
    <m/>
    <n v="2.3910434782608694"/>
    <n v="2.6956521739130435"/>
    <m/>
    <s v="kg CO2 / kg olive oil, CML 2 baseline 2003"/>
  </r>
  <r>
    <x v="8"/>
    <x v="51"/>
    <s v="Fresh or Not Specified"/>
    <s v="Olive Oil, Scenario 5C"/>
    <s v="Yes"/>
    <s v="Sicily"/>
    <n v="2012"/>
    <s v="Roberta Salomone; Giuseppe Ioppolo"/>
    <s v="Department SEA, University of Messina, Piazza S. Pugliatti, 1, 98122 Messina, Italy"/>
    <s v="Peer Reviewed Journal"/>
    <s v="Salomone, R. and Ioppolo, G., Environmental impacts of olive oil production: A Life Cycle Assessment case study in the province of Messina (Sicily). Journal of Cleaner Production 2012, 28, 88-100."/>
    <s v="Yes"/>
    <s v="No"/>
    <s v="No"/>
    <s v="Yes"/>
    <s v="No"/>
    <s v="No"/>
    <s v="No"/>
    <s v="No"/>
    <s v="No"/>
    <s v="No"/>
    <s v="No"/>
    <s v="No"/>
    <m/>
    <s v="Cradle to Refinery Gate"/>
    <s v="Yes"/>
    <s v="No"/>
    <s v="1000 kg of olives"/>
    <s v="4000kg olives makes 800 liters of oil: reported value*(4000kg/800L)/.001m3/density (920kg/m3)"/>
    <s v=""/>
    <s v=""/>
    <s v=""/>
    <s v=""/>
    <m/>
    <m/>
    <m/>
    <m/>
    <m/>
    <m/>
    <m/>
    <m/>
    <m/>
    <m/>
    <m/>
    <m/>
    <m/>
    <m/>
    <m/>
    <m/>
    <m/>
    <m/>
    <m/>
    <m/>
    <m/>
    <m/>
    <m/>
    <n v="-2.6739130434782612"/>
    <m/>
    <s v="kg CO2 / kg olive oil, CML 2 baseline 2004"/>
  </r>
  <r>
    <x v="8"/>
    <x v="51"/>
    <s v="Fresh or Not Specified"/>
    <s v="Olive Oil, Scenario 8D"/>
    <s v="Yes"/>
    <s v="Sicily"/>
    <n v="2012"/>
    <s v="Roberta Salomone; Giuseppe Ioppolo"/>
    <s v="Department SEA, University of Messina, Piazza S. Pugliatti, 1, 98122 Messina, Italy"/>
    <s v="Peer Reviewed Journal"/>
    <s v="Salomone, R. and Ioppolo, G., Environmental impacts of olive oil production: A Life Cycle Assessment case study in the province of Messina (Sicily). Journal of Cleaner Production 2012, 28, 88-100."/>
    <s v="Yes"/>
    <s v="No"/>
    <s v="No"/>
    <s v="Yes"/>
    <s v="No"/>
    <s v="No"/>
    <s v="No"/>
    <s v="No"/>
    <s v="No"/>
    <s v="No"/>
    <s v="No"/>
    <s v="No"/>
    <m/>
    <s v="Cradle to Refinery Gate"/>
    <s v="Yes"/>
    <s v="No"/>
    <s v="1000 kg of olives"/>
    <s v="2000kg olives makes 400 liters of oil: reported value*(2000kg/400L)/.001m3/density (920kg/m3)"/>
    <s v=""/>
    <s v=""/>
    <s v=""/>
    <s v=""/>
    <m/>
    <m/>
    <m/>
    <m/>
    <m/>
    <m/>
    <m/>
    <m/>
    <m/>
    <m/>
    <m/>
    <m/>
    <m/>
    <m/>
    <m/>
    <m/>
    <m/>
    <m/>
    <m/>
    <m/>
    <m/>
    <m/>
    <m/>
    <n v="-3.4347826086956519"/>
    <m/>
    <s v="kg CO2 / kg olive oil, CML 2 baseline 2007"/>
  </r>
  <r>
    <x v="1"/>
    <x v="23"/>
    <s v="Fresh or Not Specified"/>
    <s v="National Pork production, Swedish industry 2005"/>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SIK Report No. 793, 2009, 1-97."/>
    <s v="Yes"/>
    <s v="No"/>
    <s v="No"/>
    <s v="No"/>
    <s v="No"/>
    <s v="No"/>
    <s v="No"/>
    <s v="No"/>
    <s v="No"/>
    <s v="No"/>
    <s v="No"/>
    <s v="No"/>
    <m/>
    <s v="GHG during production - feed and manure"/>
    <s v="No"/>
    <s v="Yes"/>
    <s v="1 kg carcass weight"/>
    <s v="edible boneless weight = 0.729*carcass weight"/>
    <s v=""/>
    <s v=""/>
    <n v="4.6639231824417013"/>
    <s v=""/>
    <m/>
    <m/>
    <m/>
    <m/>
    <m/>
    <m/>
    <m/>
    <m/>
    <m/>
    <m/>
    <m/>
    <m/>
    <m/>
    <m/>
    <m/>
    <m/>
    <m/>
    <m/>
    <m/>
    <m/>
    <m/>
    <m/>
    <n v="4.6639231824417013"/>
    <m/>
    <m/>
    <s v="IPCC 2006"/>
  </r>
  <r>
    <x v="1"/>
    <x v="3"/>
    <s v="Fresh or Not Specified"/>
    <s v="National Beef production, Swedish industry 2005"/>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SIK Report No. 793, 2009, 1-97."/>
    <s v="Yes"/>
    <s v="No"/>
    <s v="No"/>
    <s v="No"/>
    <s v="No"/>
    <s v="No"/>
    <s v="No"/>
    <s v="No"/>
    <s v="No"/>
    <s v="No"/>
    <s v="No"/>
    <s v="No"/>
    <m/>
    <s v="GHG during production - feed and manure"/>
    <s v="No"/>
    <s v="Yes"/>
    <s v="1 kg carcass weight"/>
    <s v="edible boneless weight = 0.667*carcass weight"/>
    <s v=""/>
    <s v=""/>
    <n v="29.685157421289354"/>
    <s v=""/>
    <m/>
    <m/>
    <m/>
    <m/>
    <m/>
    <m/>
    <m/>
    <m/>
    <m/>
    <m/>
    <m/>
    <m/>
    <m/>
    <m/>
    <m/>
    <m/>
    <m/>
    <m/>
    <m/>
    <m/>
    <m/>
    <m/>
    <n v="29.685157421289354"/>
    <m/>
    <m/>
    <s v="IPCC 2006"/>
  </r>
  <r>
    <x v="0"/>
    <x v="0"/>
    <s v="Fresh or Not Specified"/>
    <s v="Energy Corrected Milk, Sweden 2005"/>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SIK Report No. 793, 2009, 1-97."/>
    <s v="Yes"/>
    <s v="No"/>
    <s v="No"/>
    <s v="No"/>
    <s v="No"/>
    <s v="No"/>
    <s v="No"/>
    <s v="No"/>
    <s v="No"/>
    <s v="No"/>
    <s v="No"/>
    <s v="No"/>
    <m/>
    <s v="GHG during production - feed and manure"/>
    <s v="No"/>
    <s v="Yes"/>
    <s v="1 kg milk"/>
    <m/>
    <s v=""/>
    <s v=""/>
    <n v="1.02"/>
    <s v=""/>
    <m/>
    <m/>
    <m/>
    <m/>
    <m/>
    <m/>
    <m/>
    <m/>
    <m/>
    <m/>
    <m/>
    <m/>
    <m/>
    <m/>
    <m/>
    <m/>
    <m/>
    <m/>
    <m/>
    <m/>
    <m/>
    <m/>
    <n v="1.02"/>
    <m/>
    <m/>
    <s v="IPCC 2006"/>
  </r>
  <r>
    <x v="1"/>
    <x v="24"/>
    <s v="Fresh or Not Specified"/>
    <s v="National Chicken production, Swedish industry 2005"/>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SIK Report No. 793, 2009, 1-97."/>
    <s v="Yes"/>
    <s v="No"/>
    <s v="No"/>
    <s v="No"/>
    <s v="No"/>
    <s v="No"/>
    <s v="No"/>
    <s v="No"/>
    <s v="No"/>
    <s v="No"/>
    <s v="No"/>
    <s v="No"/>
    <m/>
    <s v="GHG during production - feed and manure"/>
    <s v="No"/>
    <s v="Yes"/>
    <s v="1 kg carcass weight"/>
    <s v="edible boneless weight = 0.667*carcass weight"/>
    <s v=""/>
    <s v=""/>
    <n v="2.8485757121439277"/>
    <s v=""/>
    <m/>
    <m/>
    <m/>
    <m/>
    <m/>
    <m/>
    <m/>
    <m/>
    <m/>
    <m/>
    <m/>
    <m/>
    <m/>
    <m/>
    <m/>
    <m/>
    <m/>
    <m/>
    <m/>
    <m/>
    <m/>
    <m/>
    <n v="2.8485757121439277"/>
    <m/>
    <m/>
    <s v="IPCC 2006"/>
  </r>
  <r>
    <x v="9"/>
    <x v="52"/>
    <s v="Fresh or Not Specified"/>
    <s v="Honey Production in the US"/>
    <s v="No"/>
    <s v="USA"/>
    <n v="2012"/>
    <s v="(a) Alissa Kendall; (b) Juhong Yuan; (c) Sonja B. Brodt"/>
    <s v="(a) Department of Civil and Environmental Engineering, University of California, Davis, One Shields Ave., Davis, CA 95616, USA; (b) Institute of Transportation Studies, University of California, Davis, One Shields Ave., Davis, CA, USA; (c) Agricultural Sustainability Institute, University of California, Davis, One Shields Ave., Davis, CA, USA "/>
    <m/>
    <s v="Kendall, A., Yuan, J. and Brodt, S. B., Carbon footprint and air emissions inventories for US honey production: Case studies. International Journal of Life Cycle Assessment 2013, 18 (2), 392-400."/>
    <s v="Yes"/>
    <s v="No"/>
    <s v="Yes"/>
    <s v="Yes"/>
    <s v="No"/>
    <s v="No"/>
    <s v="No"/>
    <s v="No"/>
    <s v="No"/>
    <s v="No"/>
    <s v="No"/>
    <s v="No"/>
    <m/>
    <s v="Starts at hive management (not construction) through processing"/>
    <s v="No"/>
    <s v="No"/>
    <s v="1 kg of processed honey"/>
    <s v="None"/>
    <s v=""/>
    <s v=""/>
    <s v=""/>
    <s v=""/>
    <m/>
    <m/>
    <m/>
    <m/>
    <m/>
    <m/>
    <m/>
    <m/>
    <m/>
    <m/>
    <m/>
    <m/>
    <m/>
    <m/>
    <m/>
    <m/>
    <m/>
    <m/>
    <m/>
    <m/>
    <m/>
    <m/>
    <m/>
    <n v="0.81"/>
    <s v="Range 0.39 - 1.39"/>
    <s v="IPCC, 2007"/>
  </r>
  <r>
    <x v="4"/>
    <x v="53"/>
    <s v="Fresh or Not Specified"/>
    <s v="Wine Grapes in Napa California"/>
    <s v="Yes"/>
    <s v="USA, Napa CA"/>
    <n v="2015"/>
    <s v="(a) Kerri L. Steenwerth; (b) Emma B. Strong; (a) Rachel F. Greenhut; (c) Larry Williams; (b) Alissa Kendall"/>
    <s v="(a) USDA/ARS Crops Pathology and Genetics Research Unit,_x000a_ Davis, CA 95616, USA; (b) Civil and Environmental Engineering Department, U. C. Davis,_x000a_ Davis, CA 95616, USA; (c) Viticulture and Enology Department, U. C. Davis, Davis, CA 95616,_x000a_ USA"/>
    <m/>
    <s v="Steenwerth, K. L., Strong, E. B., Greenhut, R. F., Williams, L. and Kendall, A., Life cycle greenhouse gas, energy, and water assessment of wine grape production in California. The International Journal of Life Cycle Assessment 2015, 20 (9), 1243-1253."/>
    <s v="Yes"/>
    <s v="No"/>
    <s v="Yes"/>
    <s v="No"/>
    <s v="No"/>
    <s v="No"/>
    <s v="No"/>
    <s v="No"/>
    <s v="No"/>
    <s v="No"/>
    <s v="No"/>
    <s v="No"/>
    <m/>
    <s v="Cradle to Farm-gate"/>
    <s v="No"/>
    <s v="No"/>
    <s v="1 tonne wine grapes"/>
    <s v="Reported Value / 1000"/>
    <s v=""/>
    <s v=""/>
    <s v=""/>
    <s v=""/>
    <m/>
    <m/>
    <m/>
    <m/>
    <m/>
    <m/>
    <m/>
    <m/>
    <m/>
    <m/>
    <n v="6.5289999999999999"/>
    <m/>
    <m/>
    <m/>
    <m/>
    <m/>
    <m/>
    <m/>
    <m/>
    <m/>
    <m/>
    <m/>
    <m/>
    <n v="0.45600000000000002"/>
    <m/>
    <s v="IPCC, 2006"/>
  </r>
  <r>
    <x v="4"/>
    <x v="53"/>
    <s v="Fresh or Not Specified"/>
    <s v="Wine Grapes in Lodi California"/>
    <s v="Yes"/>
    <s v="USA, Lodi CA"/>
    <n v="2015"/>
    <s v="(a) Kerri L. Steenwerth; (b) Emma B. Strong; (a) Rachel F. Greenhut; (c) Larry Williams; (b) Alissa Kendall"/>
    <s v="(a) USDA/ARS Crops Pathology and Genetics Research Unit,_x000a_ Davis, CA 95616, USA; (b) Civil and Environmental Engineering Department, U. C. Davis,_x000a_ Davis, CA 95616, USA; (c) Viticulture and Enology Department, U. C. Davis, Davis, CA 95616,_x000a_ USA"/>
    <m/>
    <s v="Steenwerth, K. L., Strong, E. B., Greenhut, R. F., Williams, L. and Kendall, A., Life cycle greenhouse gas, energy, and water assessment of wine grape production in California. The International Journal of Life Cycle Assessment 2015, 20 (9), 1243-1253."/>
    <s v="Yes"/>
    <s v="No"/>
    <s v="Yes"/>
    <s v="No"/>
    <s v="No"/>
    <s v="No"/>
    <s v="No"/>
    <s v="No"/>
    <s v="No"/>
    <s v="No"/>
    <s v="No"/>
    <s v="No"/>
    <m/>
    <s v="Cradle to Farm-gate"/>
    <s v="No"/>
    <s v="No"/>
    <s v="1 tonne wine grapes"/>
    <s v="Reported Value / 1000"/>
    <s v=""/>
    <s v=""/>
    <s v=""/>
    <s v=""/>
    <m/>
    <m/>
    <m/>
    <m/>
    <m/>
    <m/>
    <m/>
    <m/>
    <m/>
    <m/>
    <n v="2.7589999999999999"/>
    <m/>
    <m/>
    <m/>
    <m/>
    <m/>
    <m/>
    <m/>
    <m/>
    <m/>
    <m/>
    <m/>
    <m/>
    <n v="0.20300000000000001"/>
    <m/>
    <s v="IPCC, 2006"/>
  </r>
  <r>
    <x v="3"/>
    <x v="44"/>
    <s v="Fresh or Not Specified"/>
    <s v="Organic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otato"/>
    <m/>
    <s v=""/>
    <s v=""/>
    <n v="0.126"/>
    <s v=""/>
    <m/>
    <m/>
    <m/>
    <m/>
    <m/>
    <m/>
    <m/>
    <m/>
    <m/>
    <m/>
    <m/>
    <m/>
    <m/>
    <n v="0.126"/>
    <m/>
    <m/>
    <m/>
    <n v="6.8000000000000005E-2"/>
    <m/>
    <m/>
    <m/>
    <m/>
    <n v="0.126"/>
    <n v="0.19400000000000001"/>
    <m/>
    <m/>
  </r>
  <r>
    <x v="3"/>
    <x v="44"/>
    <s v="Fresh or Not Specified"/>
    <s v="Conventional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otato"/>
    <m/>
    <s v=""/>
    <s v=""/>
    <n v="0.14499999999999999"/>
    <s v=""/>
    <m/>
    <m/>
    <m/>
    <m/>
    <m/>
    <m/>
    <m/>
    <m/>
    <m/>
    <m/>
    <m/>
    <m/>
    <m/>
    <n v="0.14499999999999999"/>
    <m/>
    <m/>
    <m/>
    <n v="4.2000000000000003E-2"/>
    <m/>
    <m/>
    <m/>
    <m/>
    <n v="0.14499999999999999"/>
    <n v="0.187"/>
    <m/>
    <m/>
  </r>
  <r>
    <x v="3"/>
    <x v="54"/>
    <s v="Fresh or Not Specified"/>
    <s v="Peeled organic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eeled potato"/>
    <m/>
    <s v=""/>
    <s v=""/>
    <n v="0.151"/>
    <n v="0.17799999999999999"/>
    <m/>
    <m/>
    <m/>
    <m/>
    <m/>
    <m/>
    <m/>
    <m/>
    <m/>
    <m/>
    <m/>
    <m/>
    <m/>
    <n v="0.151"/>
    <m/>
    <n v="2.7E-2"/>
    <m/>
    <n v="6.9000000000000006E-2"/>
    <m/>
    <m/>
    <m/>
    <m/>
    <n v="0.151"/>
    <n v="0.247"/>
    <m/>
    <m/>
  </r>
  <r>
    <x v="3"/>
    <x v="54"/>
    <s v="Fresh or Not Specified"/>
    <s v="Peeled conventional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eeled potato"/>
    <m/>
    <s v=""/>
    <s v=""/>
    <n v="0.17399999999999999"/>
    <n v="0.20099999999999998"/>
    <m/>
    <m/>
    <m/>
    <m/>
    <m/>
    <m/>
    <m/>
    <m/>
    <m/>
    <m/>
    <m/>
    <m/>
    <m/>
    <n v="0.17399999999999999"/>
    <m/>
    <n v="2.7E-2"/>
    <m/>
    <n v="6.0999999999999999E-2"/>
    <m/>
    <m/>
    <m/>
    <m/>
    <n v="0.17399999999999999"/>
    <n v="0.26200000000000001"/>
    <m/>
    <m/>
  </r>
  <r>
    <x v="3"/>
    <x v="55"/>
    <s v="Fresh or Not Specified"/>
    <s v="Mashed organic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mashed potato"/>
    <m/>
    <s v=""/>
    <s v=""/>
    <n v="0.82899999999999996"/>
    <n v="2.7759999999999998"/>
    <m/>
    <m/>
    <m/>
    <m/>
    <m/>
    <m/>
    <m/>
    <m/>
    <m/>
    <m/>
    <m/>
    <m/>
    <m/>
    <n v="0.82899999999999996"/>
    <m/>
    <n v="1.9470000000000001"/>
    <m/>
    <n v="0.41499999999999998"/>
    <m/>
    <m/>
    <m/>
    <m/>
    <n v="0.82899999999999996"/>
    <n v="3.1920000000000002"/>
    <m/>
    <m/>
  </r>
  <r>
    <x v="3"/>
    <x v="55"/>
    <s v="Fresh or Not Specified"/>
    <s v="Mashed conventional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mashed potato"/>
    <m/>
    <s v=""/>
    <s v=""/>
    <n v="0.95499999999999996"/>
    <n v="2.9020000000000001"/>
    <m/>
    <m/>
    <m/>
    <m/>
    <m/>
    <m/>
    <m/>
    <m/>
    <m/>
    <m/>
    <m/>
    <m/>
    <m/>
    <n v="0.95499999999999996"/>
    <m/>
    <n v="1.9470000000000001"/>
    <m/>
    <n v="0.29899999999999999"/>
    <m/>
    <m/>
    <m/>
    <m/>
    <n v="0.95499999999999996"/>
    <n v="3.2010000000000001"/>
    <m/>
    <m/>
  </r>
  <r>
    <x v="10"/>
    <x v="56"/>
    <s v="Fresh or Not Specified"/>
    <s v="Potato chips - organic"/>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otato chips"/>
    <m/>
    <s v=""/>
    <s v=""/>
    <n v="0.44"/>
    <n v="1.72"/>
    <m/>
    <m/>
    <m/>
    <m/>
    <m/>
    <m/>
    <m/>
    <m/>
    <m/>
    <m/>
    <m/>
    <m/>
    <m/>
    <n v="0.44"/>
    <m/>
    <n v="1.28"/>
    <m/>
    <n v="0.55200000000000005"/>
    <m/>
    <m/>
    <m/>
    <m/>
    <n v="0.44"/>
    <n v="2.2709999999999999"/>
    <m/>
    <m/>
  </r>
  <r>
    <x v="3"/>
    <x v="44"/>
    <s v="Fresh or Not Specified"/>
    <s v="Potato chips - conventional"/>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otato chips"/>
    <m/>
    <s v=""/>
    <s v=""/>
    <n v="0.50600000000000001"/>
    <n v="1.786"/>
    <m/>
    <m/>
    <m/>
    <m/>
    <m/>
    <m/>
    <m/>
    <m/>
    <m/>
    <m/>
    <m/>
    <m/>
    <m/>
    <n v="0.50600000000000001"/>
    <m/>
    <n v="1.28"/>
    <m/>
    <n v="0.28599999999999998"/>
    <m/>
    <m/>
    <m/>
    <m/>
    <n v="0.50600000000000001"/>
    <n v="2.0720000000000001"/>
    <m/>
    <m/>
  </r>
  <r>
    <x v="3"/>
    <x v="44"/>
    <s v="Fresh or Not Specified"/>
    <s v="King Edward table potatoes, Ostergotland"/>
    <s v="No"/>
    <s v="Sweden"/>
    <n v="2010"/>
    <s v="Elin Röös; Cecilia Sundberg; Per-Anders Hansson"/>
    <s v="Department of Energy and Technology, Swedish University of Agricultural Sciences, P.O. Box 7032, 750 07 Uppsala, Sweden"/>
    <s v="Peer Reviewed Journal"/>
    <s v="Röös, E., Sundberg, C. and Hansson, P. A., Uncertainties in the carbon footprint of food products: A case study on table potatoes. International Journal of Life Cycle Assessment 2010, 15 (5), 478-488."/>
    <s v="Yes"/>
    <s v="No"/>
    <s v="Yes"/>
    <s v="No"/>
    <s v="Yes"/>
    <s v="Yes"/>
    <s v="No"/>
    <s v="No"/>
    <s v="No"/>
    <s v="No"/>
    <s v="No"/>
    <s v="Yes"/>
    <m/>
    <s v="Cradle to Retail"/>
    <s v="Yes"/>
    <s v="No"/>
    <s v="1 kg table potatoes in 2 kg bag"/>
    <s v="none"/>
    <s v=""/>
    <s v=""/>
    <s v=""/>
    <s v=""/>
    <m/>
    <m/>
    <m/>
    <m/>
    <m/>
    <m/>
    <m/>
    <m/>
    <m/>
    <m/>
    <m/>
    <m/>
    <m/>
    <m/>
    <m/>
    <m/>
    <m/>
    <m/>
    <m/>
    <m/>
    <m/>
    <m/>
    <m/>
    <n v="0.12"/>
    <s v="0.1-0.16"/>
    <s v="IPCC 2006, Ecoinvent 2007"/>
  </r>
  <r>
    <x v="3"/>
    <x v="57"/>
    <s v="Fresh or Not Specified"/>
    <s v="Organic Lettuce"/>
    <s v="Yes"/>
    <s v="Greece"/>
    <n v="2015"/>
    <s v="Spyros Foteinis (a); Efthalia Chatzisymeon (b);"/>
    <s v="(a) School of Environmental Engineering, Technical University of Crete, Polytechneioupolis, GR-73100 Chania, Greece; (b) Institute for Infrastructure and Environment, School of Engineering, The University of Edinburgh, Edinburgh EH9 3JL, United Kingdom"/>
    <s v="Peer Reviewed Journal"/>
    <s v="Foteinis, S. and Chatzisymeon, E., Life cycle assessment of organic versus conventional agriculture. A case study of lettuce cultivation in Greece. Journal of Cleaner Production 2016, 112, 2462-2471."/>
    <s v="Yes"/>
    <s v="No"/>
    <s v="No"/>
    <s v="No"/>
    <s v="No"/>
    <s v="No"/>
    <s v="No"/>
    <s v="No"/>
    <s v="No"/>
    <s v="No"/>
    <s v="No"/>
    <s v="Yes"/>
    <m/>
    <s v="Until farm gate"/>
    <s v="No"/>
    <s v="Yes"/>
    <s v="I ton Lettuce"/>
    <s v="/1000"/>
    <s v=""/>
    <s v=""/>
    <n v="0.12819999999999998"/>
    <s v=""/>
    <m/>
    <m/>
    <m/>
    <m/>
    <m/>
    <m/>
    <m/>
    <m/>
    <m/>
    <m/>
    <m/>
    <m/>
    <m/>
    <m/>
    <m/>
    <m/>
    <m/>
    <m/>
    <m/>
    <m/>
    <m/>
    <m/>
    <n v="0.12819999999999998"/>
    <m/>
    <m/>
    <s v="IPCC 2013"/>
  </r>
  <r>
    <x v="3"/>
    <x v="57"/>
    <s v="Fresh or Not Specified"/>
    <s v="Conventional Lettuce"/>
    <s v="Yes"/>
    <s v="Greece"/>
    <n v="2015"/>
    <s v="Spyros Foteinis (a); Efthalia Chatzisymeon (b);"/>
    <s v="(a) School of Environmental Engineering, Technical University of Crete, Polytechneioupolis, GR-73100 Chania, Greece; (b) Institute for Infrastructure and Environment, School of Engineering, The University of Edinburgh, Edinburgh EH9 3JL, United Kingdom"/>
    <s v="Peer Reviewed Journal"/>
    <s v="Foteinis, S. and Chatzisymeon, E., Life cycle assessment of organic versus conventional agriculture. A case study of lettuce cultivation in Greece. Journal of Cleaner Production 2016, 112, 2462-2471."/>
    <s v="Yes"/>
    <s v="No"/>
    <s v="No"/>
    <s v="No"/>
    <s v="No"/>
    <s v="No"/>
    <s v="No"/>
    <s v="No"/>
    <s v="No"/>
    <s v="No"/>
    <s v="No"/>
    <s v="Yes"/>
    <m/>
    <s v="Until farm gate"/>
    <s v="No"/>
    <s v="Yes"/>
    <s v="I ton Lettuce"/>
    <s v="/1001"/>
    <s v=""/>
    <s v=""/>
    <n v="6.3100000000000003E-2"/>
    <s v=""/>
    <m/>
    <m/>
    <m/>
    <m/>
    <m/>
    <m/>
    <m/>
    <m/>
    <m/>
    <m/>
    <m/>
    <m/>
    <m/>
    <m/>
    <m/>
    <m/>
    <m/>
    <m/>
    <m/>
    <m/>
    <m/>
    <m/>
    <n v="6.3100000000000003E-2"/>
    <m/>
    <m/>
    <s v="IPCC 2013"/>
  </r>
  <r>
    <x v="5"/>
    <x v="58"/>
    <s v="Fresh or Not Specified"/>
    <s v="Open Field Barley"/>
    <s v="Yes"/>
    <s v="Spain"/>
    <n v="2015"/>
    <s v="G. Bartzas (a); D. Zaharaki (b); K. Komnitsas (b);"/>
    <s v="(a) 6 National Technical University of Athens, School of Mining and Metallurgical Engineering, 15780 Athens, Greece; (b) 7 Technical University of Crete, School of Mineral Resources Engineering, 73100 Chania, Greece"/>
    <s v="Peer Reviewed Journal"/>
    <s v="Bartzas, G., Zaharaki, D. and Komnitsas, K., Life cycle assessment of open field and greenhouse cultivation of lettuce and barley. Information Processing in Agriculture 2015, 2(3-4), 191-207."/>
    <s v="Yes"/>
    <s v="No"/>
    <s v="No"/>
    <s v="No"/>
    <s v="No"/>
    <s v="No"/>
    <s v="No"/>
    <s v="No"/>
    <s v="No"/>
    <s v="No"/>
    <s v="No"/>
    <s v="Yes"/>
    <m/>
    <s v="Cradle to farm gate"/>
    <s v="Yes"/>
    <s v="No"/>
    <s v="1 kg barley"/>
    <m/>
    <s v=""/>
    <s v=""/>
    <n v="0.17100000000000001"/>
    <s v=""/>
    <m/>
    <m/>
    <m/>
    <m/>
    <m/>
    <m/>
    <m/>
    <m/>
    <m/>
    <m/>
    <m/>
    <m/>
    <m/>
    <m/>
    <m/>
    <m/>
    <m/>
    <m/>
    <m/>
    <m/>
    <m/>
    <m/>
    <n v="0.17100000000000001"/>
    <m/>
    <m/>
    <s v="IPCC 2006, Eccoinvent v3.1, Hischier et. al., Ga Bi software"/>
  </r>
  <r>
    <x v="3"/>
    <x v="59"/>
    <s v="Fresh or Not Specified"/>
    <s v="Standard Greenhouse"/>
    <s v="Yes"/>
    <s v="Spain"/>
    <n v="2015"/>
    <s v="G. Bartzas (a); D. Zaharaki (b); K. Komnitsas (b);"/>
    <s v="(a) 6 National Technical University of Athens, School of Mining and Metallurgical Engineering, 15780 Athens, Greece; (b) 7 Technical University of Crete, School of Mineral Resources Engineering, 73100 Chania, Greece"/>
    <s v="Peer Reviewed Journal"/>
    <s v="Bartzas, G., Zaharaki, D. and Komnitsas, K., Life cycle assessment of open field and greenhouse cultivation of lettuce and barley. Information Processing in Agriculture 2015, 2(3-4), 191-207."/>
    <s v="Yes"/>
    <s v="No"/>
    <s v="No"/>
    <s v="No"/>
    <s v="No"/>
    <s v="No"/>
    <s v="No"/>
    <s v="No"/>
    <s v="No"/>
    <s v="No"/>
    <s v="No"/>
    <s v="Yes"/>
    <m/>
    <s v="Cradle to farm gate"/>
    <s v="Yes"/>
    <s v="No"/>
    <s v="1 kg lettuce"/>
    <m/>
    <s v=""/>
    <s v=""/>
    <n v="0.22500000000000001"/>
    <s v=""/>
    <m/>
    <m/>
    <m/>
    <m/>
    <m/>
    <m/>
    <m/>
    <m/>
    <m/>
    <m/>
    <m/>
    <m/>
    <m/>
    <m/>
    <m/>
    <m/>
    <m/>
    <m/>
    <m/>
    <m/>
    <m/>
    <m/>
    <n v="0.22500000000000001"/>
    <m/>
    <m/>
    <s v="IPCC 2006, Eccoinvent v3.1, Hischier et. al., Ga Bi software"/>
  </r>
  <r>
    <x v="3"/>
    <x v="57"/>
    <s v="Fresh or Not Specified"/>
    <s v="Open Field Lettuce"/>
    <s v="Yes"/>
    <s v="Italy"/>
    <n v="2015"/>
    <s v="G. Bartzas (a); D. Zaharaki (b); K. Komnitsas (b);"/>
    <s v="(a) 6 National Technical University of Athens, School of Mining and Metallurgical Engineering, 15780 Athens, Greece; (b) 7 Technical University of Crete, School of Mineral Resources Engineering, 73100 Chania, Greece"/>
    <s v="Peer Reviewed Journal"/>
    <s v="Bartzas, G., Zaharaki, D. and Komnitsas, K., Life cycle assessment of open field and greenhouse cultivation of lettuce and barley. Information Processing in Agriculture 2015, 2(3-4), 191-207."/>
    <s v="Yes"/>
    <s v="No"/>
    <s v="No"/>
    <s v="No"/>
    <s v="No"/>
    <s v="No"/>
    <s v="No"/>
    <s v="No"/>
    <s v="No"/>
    <s v="No"/>
    <s v="No"/>
    <s v="Yes"/>
    <m/>
    <s v="Cradle to farm gate"/>
    <s v="Yes"/>
    <s v="No"/>
    <s v="1 kg lettuce"/>
    <m/>
    <s v=""/>
    <s v=""/>
    <n v="0.24299999999999999"/>
    <s v=""/>
    <m/>
    <m/>
    <m/>
    <m/>
    <m/>
    <m/>
    <m/>
    <m/>
    <m/>
    <m/>
    <m/>
    <m/>
    <m/>
    <m/>
    <m/>
    <m/>
    <m/>
    <m/>
    <m/>
    <m/>
    <m/>
    <m/>
    <n v="0.24299999999999999"/>
    <m/>
    <m/>
    <s v="IPCC 2006, Eccoinvent v3.1, Hischier et. al., Ga Bi software"/>
  </r>
  <r>
    <x v="3"/>
    <x v="59"/>
    <s v="Fresh or Not Specified"/>
    <s v="Standard Greenhouse"/>
    <s v="Yes"/>
    <s v="Italy"/>
    <n v="2015"/>
    <s v="G. Bartzas (a); D. Zaharaki (b); K. Komnitsas (b);"/>
    <s v="(a) 6 National Technical University of Athens, School of Mining and Metallurgical Engineering, 15780 Athens, Greece; (b) 7 Technical University of Crete, School of Mineral Resources Engineering, 73100 Chania, Greece"/>
    <s v="Peer Reviewed Journal"/>
    <s v="Bartzas, G., Zaharaki, D. and Komnitsas, K., Life cycle assessment of open field and greenhouse cultivation of lettuce and barley. Information Processing in Agriculture 2015, 2(3-4), 191-207."/>
    <s v="Yes"/>
    <s v="No"/>
    <s v="No"/>
    <s v="No"/>
    <s v="No"/>
    <s v="No"/>
    <s v="No"/>
    <s v="No"/>
    <s v="No"/>
    <s v="No"/>
    <s v="No"/>
    <s v="Yes"/>
    <m/>
    <s v="Cradle to farm gate"/>
    <s v="Yes"/>
    <s v="No"/>
    <s v="1 kg lettuce"/>
    <m/>
    <s v=""/>
    <s v=""/>
    <n v="0.20499999999999999"/>
    <s v=""/>
    <m/>
    <m/>
    <m/>
    <m/>
    <m/>
    <m/>
    <m/>
    <m/>
    <m/>
    <m/>
    <m/>
    <m/>
    <m/>
    <m/>
    <m/>
    <m/>
    <m/>
    <m/>
    <m/>
    <m/>
    <m/>
    <m/>
    <n v="0.20499999999999999"/>
    <m/>
    <m/>
    <s v="IPCC 2006, Eccoinvent v3.1, Hischier et. al., Ga Bi software"/>
  </r>
  <r>
    <x v="3"/>
    <x v="57"/>
    <s v="Fresh or Not Specified"/>
    <s v="Open Field"/>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lettuce"/>
    <s v="/1000"/>
    <s v=""/>
    <s v=""/>
    <n v="2.5000000000000001E-2"/>
    <s v=""/>
    <m/>
    <m/>
    <m/>
    <m/>
    <m/>
    <m/>
    <m/>
    <m/>
    <m/>
    <m/>
    <m/>
    <m/>
    <m/>
    <m/>
    <m/>
    <m/>
    <m/>
    <m/>
    <m/>
    <m/>
    <m/>
    <m/>
    <n v="2.5000000000000001E-2"/>
    <m/>
    <m/>
    <m/>
  </r>
  <r>
    <x v="3"/>
    <x v="57"/>
    <s v="Fresh or Not Specified"/>
    <s v="Plastic mulch"/>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lettuce"/>
    <m/>
    <s v=""/>
    <s v=""/>
    <n v="3.6700000000000003E-2"/>
    <s v=""/>
    <m/>
    <m/>
    <m/>
    <m/>
    <m/>
    <m/>
    <m/>
    <m/>
    <m/>
    <m/>
    <m/>
    <m/>
    <m/>
    <m/>
    <m/>
    <m/>
    <m/>
    <m/>
    <m/>
    <m/>
    <m/>
    <m/>
    <n v="3.6700000000000003E-2"/>
    <m/>
    <m/>
    <m/>
  </r>
  <r>
    <x v="3"/>
    <x v="57"/>
    <s v="Fresh or Not Specified"/>
    <s v="Plastic mulch combined with fleece"/>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lettuce"/>
    <m/>
    <s v=""/>
    <s v=""/>
    <n v="3.5799999999999998E-2"/>
    <s v=""/>
    <m/>
    <m/>
    <m/>
    <m/>
    <m/>
    <m/>
    <m/>
    <m/>
    <m/>
    <m/>
    <m/>
    <m/>
    <m/>
    <m/>
    <m/>
    <m/>
    <m/>
    <m/>
    <m/>
    <m/>
    <m/>
    <m/>
    <n v="3.5799999999999998E-2"/>
    <m/>
    <m/>
    <m/>
  </r>
  <r>
    <x v="3"/>
    <x v="59"/>
    <s v="Fresh or Not Specified"/>
    <s v="greenhouse grown"/>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lettuce"/>
    <m/>
    <s v=""/>
    <s v=""/>
    <n v="0.20899999999999999"/>
    <s v=""/>
    <m/>
    <m/>
    <m/>
    <m/>
    <m/>
    <m/>
    <m/>
    <m/>
    <m/>
    <m/>
    <m/>
    <m/>
    <m/>
    <m/>
    <m/>
    <m/>
    <m/>
    <m/>
    <m/>
    <m/>
    <m/>
    <m/>
    <n v="0.20899999999999999"/>
    <m/>
    <m/>
    <m/>
  </r>
  <r>
    <x v="3"/>
    <x v="60"/>
    <s v="Fresh or Not Specified"/>
    <s v="Open Field"/>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escarole"/>
    <m/>
    <n v="0.74"/>
    <s v=""/>
    <n v="5.7299999999999997E-2"/>
    <s v=""/>
    <m/>
    <m/>
    <m/>
    <m/>
    <m/>
    <m/>
    <m/>
    <m/>
    <m/>
    <n v="0.74"/>
    <m/>
    <m/>
    <m/>
    <m/>
    <m/>
    <m/>
    <m/>
    <m/>
    <m/>
    <m/>
    <m/>
    <m/>
    <n v="5.7299999999999997E-2"/>
    <m/>
    <m/>
    <m/>
  </r>
  <r>
    <x v="3"/>
    <x v="60"/>
    <s v="Fresh or Not Specified"/>
    <s v="Plastic mulch"/>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escarole"/>
    <m/>
    <n v="1.29"/>
    <s v=""/>
    <n v="5.8299999999999998E-2"/>
    <s v=""/>
    <m/>
    <m/>
    <m/>
    <m/>
    <m/>
    <m/>
    <m/>
    <m/>
    <m/>
    <n v="1.29"/>
    <m/>
    <m/>
    <m/>
    <m/>
    <m/>
    <m/>
    <m/>
    <m/>
    <m/>
    <m/>
    <m/>
    <m/>
    <n v="5.8299999999999998E-2"/>
    <m/>
    <m/>
    <m/>
  </r>
  <r>
    <x v="3"/>
    <x v="60"/>
    <s v="Fresh or Not Specified"/>
    <s v="Plastic mulch combined with fleece"/>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escarole"/>
    <m/>
    <n v="1.1499999999999999"/>
    <s v=""/>
    <n v="5.1400000000000001E-2"/>
    <s v=""/>
    <m/>
    <m/>
    <m/>
    <m/>
    <m/>
    <m/>
    <m/>
    <m/>
    <m/>
    <n v="1.1499999999999999"/>
    <m/>
    <m/>
    <m/>
    <m/>
    <m/>
    <m/>
    <m/>
    <m/>
    <m/>
    <m/>
    <m/>
    <m/>
    <n v="5.1400000000000001E-2"/>
    <m/>
    <m/>
    <m/>
  </r>
  <r>
    <x v="3"/>
    <x v="61"/>
    <s v="Fresh or Not Specified"/>
    <s v="Greenhouse"/>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escarole"/>
    <m/>
    <n v="5.22"/>
    <s v=""/>
    <n v="0.30299999999999999"/>
    <s v=""/>
    <m/>
    <m/>
    <m/>
    <m/>
    <m/>
    <m/>
    <m/>
    <m/>
    <m/>
    <n v="5.22"/>
    <m/>
    <m/>
    <m/>
    <m/>
    <m/>
    <m/>
    <m/>
    <m/>
    <m/>
    <m/>
    <m/>
    <m/>
    <n v="0.30299999999999999"/>
    <m/>
    <m/>
    <m/>
  </r>
  <r>
    <x v="3"/>
    <x v="62"/>
    <s v="Fresh or Not Specified"/>
    <s v="Romaine/cos"/>
    <s v="No"/>
    <s v="Australia"/>
    <n v="2012"/>
    <s v="Maria G.A. Gunady (a); Wahidul Biswas (b); Vicky A. Solah (a); Anthony P. James (a)"/>
    <s v="(a) School of Public Health, Curtin Health Innovation Research Institute, Curtin University, GPO Box U1987, Perth 6845, Western Australia, Australia; (b) Centre for Excellence in Cleaner Production, Curtin University, GPO Box U1987, Perth 6845, Western Australia, Australia"/>
    <s v="Peer Reviewed Journal"/>
    <s v="Gunady, M. G. A., Biswas, W., Solah, V. A. and James, A. P., Evaluating the global warming potential of the fresh produce supply chain for strawberries, romaine/cos lettuces (Lactuca sativa), and button mushrooms (Agaricus bisporus) in Western Australia using life cycle assessment (LCA). Journal of Cleaner Production 2012, 28, 81-87."/>
    <s v="Yes"/>
    <s v="No"/>
    <s v="Yes"/>
    <s v="No"/>
    <s v="Yes"/>
    <s v="Yes"/>
    <s v="No"/>
    <s v="No"/>
    <s v="No"/>
    <s v="No"/>
    <s v="No"/>
    <s v="Yes"/>
    <m/>
    <s v="No processing has been mentioned here, only packaging"/>
    <s v="No"/>
    <s v="Yes"/>
    <s v="1 kJ of nutritional energy"/>
    <s v="CO2 emitted in g/1.38g lettuce per kJ"/>
    <s v=""/>
    <s v=""/>
    <n v="2.2971014492753623"/>
    <n v="2.4130434782608692"/>
    <m/>
    <m/>
    <m/>
    <m/>
    <m/>
    <m/>
    <m/>
    <m/>
    <m/>
    <m/>
    <m/>
    <m/>
    <m/>
    <n v="2.2898550724637676"/>
    <n v="0.12318840579710147"/>
    <m/>
    <n v="0.66304347826086962"/>
    <n v="0.66304347826086962"/>
    <m/>
    <m/>
    <m/>
    <m/>
    <n v="2.2971014492753623"/>
    <n v="3.760869565217392"/>
    <m/>
    <m/>
  </r>
  <r>
    <x v="3"/>
    <x v="63"/>
    <s v="Fresh or Not Specified"/>
    <s v="Button mushroom"/>
    <s v="No"/>
    <s v="Australia"/>
    <n v="2012"/>
    <s v="Maria G.A. Gunady (a); Wahidul Biswas (b); Vicky A. Solah (a); Anthony P. James (a)"/>
    <s v="(a) School of Public Health, Curtin Health Innovation Research Institute, Curtin University, GPO Box U1987, Perth 6845, Western Australia, Australia; (b) Centre for Excellence in Cleaner Production, Curtin University, GPO Box U1987, Perth 6845, Western Australia, Australia"/>
    <s v="Peer Reviewed Journal"/>
    <s v="Gunady, M. G. A., Biswas, W., Solah, V. A. and James, A. P., Evaluating the global warming potential of the fresh produce supply chain for strawberries, romaine/cos lettuces (Lactuca sativa), and button mushrooms (Agaricus bisporus) in Western Australia using life cycle assessment (LCA). Journal of Cleaner Production 2012, 28, 81-87."/>
    <s v="Yes"/>
    <s v="No"/>
    <s v="Yes"/>
    <s v="No"/>
    <s v="Yes"/>
    <s v="Yes"/>
    <s v="No"/>
    <s v="No"/>
    <s v="No"/>
    <s v="No"/>
    <s v="No"/>
    <s v="Yes"/>
    <m/>
    <s v="No processing has been mentioned here, only packaging"/>
    <s v="No"/>
    <s v="Yes"/>
    <s v="1 kJ of energy"/>
    <s v="CO2 emitted in g/1.09 g mushrooms per kJ"/>
    <s v=""/>
    <s v=""/>
    <n v="2.1467889908256876"/>
    <n v="2.2935779816513762"/>
    <m/>
    <m/>
    <m/>
    <m/>
    <m/>
    <m/>
    <m/>
    <m/>
    <m/>
    <m/>
    <m/>
    <m/>
    <m/>
    <n v="2.1376146788990824"/>
    <n v="0.15596330275229359"/>
    <m/>
    <n v="0.2293577981651376"/>
    <n v="0.2293577981651376"/>
    <m/>
    <m/>
    <m/>
    <m/>
    <n v="2.1467889908256876"/>
    <n v="2.7614678899082565"/>
    <m/>
    <m/>
  </r>
  <r>
    <x v="4"/>
    <x v="64"/>
    <s v="Fresh or Not Specified"/>
    <s v="Generic Strawberries"/>
    <s v="No"/>
    <s v="Australia"/>
    <n v="2012"/>
    <s v="Maria G.A. Gunady (a); Wahidul Biswas (b); Vicky A. Solah (a); Anthony P. James (a)"/>
    <s v="(a) School of Public Health, Curtin Health Innovation Research Institute, Curtin University, GPO Box U1987, Perth 6845, Western Australia, Australia; (b) Centre for Excellence in Cleaner Production, Curtin University, GPO Box U1987, Perth 6845, Western Australia, Australia"/>
    <s v="Peer Reviewed Journal"/>
    <s v="Gunady, M. G. A., Biswas, W., Solah, V. A. and James, A. P., Evaluating the global warming potential of the fresh produce supply chain for strawberries, romaine/cos lettuces (Lactuca sativa), and button mushrooms (Agaricus bisporus) in Western Australia using life cycle assessment (LCA). Journal of Cleaner Production 2012, 28, 81-87."/>
    <s v="Yes"/>
    <s v="No"/>
    <s v="Yes"/>
    <s v="No"/>
    <s v="Yes"/>
    <s v="Yes"/>
    <s v="No"/>
    <s v="No"/>
    <s v="No"/>
    <s v="No"/>
    <s v="No"/>
    <s v="Yes"/>
    <m/>
    <s v="No processing has been mentioned here, only packaging"/>
    <s v="No"/>
    <s v="Yes"/>
    <s v="1 kJ of energy"/>
    <s v="CO2 emitted in g/0.746 g strawberries per kJ"/>
    <s v=""/>
    <s v=""/>
    <n v="2.2252010723860591"/>
    <n v="2.4530831099195711"/>
    <m/>
    <m/>
    <m/>
    <m/>
    <m/>
    <m/>
    <m/>
    <m/>
    <m/>
    <m/>
    <m/>
    <m/>
    <m/>
    <n v="2.2252010723860591"/>
    <n v="0.22788203753351208"/>
    <m/>
    <n v="0.42225201072386059"/>
    <n v="0.42225201072386059"/>
    <m/>
    <m/>
    <m/>
    <m/>
    <n v="2.2252010723860591"/>
    <n v="3.2975871313672922"/>
    <m/>
    <m/>
  </r>
  <r>
    <x v="7"/>
    <x v="65"/>
    <s v="Other (Specify)"/>
    <s v="NFC Orange juic"/>
    <s v="No"/>
    <s v="Spain"/>
    <n v="2012"/>
    <s v="Geneviève Doublet _x000a_(a); Niels Jungbluth (a); Matthias Stucki (a); Salome Schori"/>
    <s v="(a) ESU-services Ltd."/>
    <s v="Industry Based Report"/>
    <s v="Doublet, G., Jungbluth, N., Flury, K., Stucki, M. and Schori, S., Life cycle assessment of orange juice. SENSE-Harmonised Environmental Sustainability in the European food and drink chain, Zürich: ESU-services Ltd; 2013."/>
    <s v="Yes"/>
    <s v="Yes"/>
    <s v="Yes"/>
    <s v="Yes"/>
    <s v="Yes"/>
    <s v="No"/>
    <s v="No"/>
    <s v="No"/>
    <s v="No"/>
    <s v="No"/>
    <s v="No"/>
    <s v="Yes"/>
    <m/>
    <s v="Farm to finished product, transport to retail and downstream not included"/>
    <s v="Yes"/>
    <s v="Yes"/>
    <s v="1 litre orange juice"/>
    <s v="*1.048 kg/l"/>
    <s v=""/>
    <s v=""/>
    <n v="0.15744274809160305"/>
    <n v="0.29580152671755722"/>
    <m/>
    <m/>
    <m/>
    <m/>
    <m/>
    <m/>
    <m/>
    <m/>
    <m/>
    <m/>
    <m/>
    <m/>
    <m/>
    <n v="0.15744274809160305"/>
    <m/>
    <n v="0.13835877862595419"/>
    <n v="0.32347328244274809"/>
    <m/>
    <m/>
    <m/>
    <m/>
    <m/>
    <n v="0.15744274809160305"/>
    <n v="0.63740458015267176"/>
    <m/>
    <s v="Bern Model – IPCC 2007"/>
  </r>
  <r>
    <x v="7"/>
    <x v="65"/>
    <s v="Other (Specify)"/>
    <s v="NFC, without resetting trees"/>
    <s v="Yes"/>
    <s v="USA, Florida"/>
    <n v="2012"/>
    <s v="Puneet Dwivedi (a); Thomas Spreen (b); Renée Goodrich-Schneider (c)"/>
    <s v="(a) School of Forestry &amp; Environmental Studies, Yale University, New Haven, CT, USA_x000a_; (b) Food and Resource Economics Department, University of Florida, Gainesville, FL, USA; (c) Food Science and Human Nutrition, University of Florida, Gainesville, FL, USA"/>
    <s v="Peer Reviewed Journal"/>
    <s v="Dwivedi, P., Spreen, T. and Goodrich-Schneider, R., Global warming impact of Florida's Not-From-Concentrate (NFC) orange juice. Agricultural Systems 2012, 108, 104-111."/>
    <s v="Yes"/>
    <s v="No"/>
    <s v="Yes"/>
    <s v="Yes"/>
    <s v="Yes"/>
    <s v="Yes"/>
    <s v="Yes"/>
    <s v="No"/>
    <s v="No"/>
    <s v="No"/>
    <s v="No"/>
    <s v="No"/>
    <m/>
    <s v="Until point of sale."/>
    <s v="No"/>
    <s v="Yes"/>
    <s v="1.893 L carton"/>
    <s v="*(1.048 kg/l)/1.893L"/>
    <s v=""/>
    <s v=""/>
    <n v="0.54616135235076602"/>
    <n v="0.8129553523507661"/>
    <m/>
    <m/>
    <m/>
    <m/>
    <m/>
    <m/>
    <m/>
    <m/>
    <m/>
    <m/>
    <m/>
    <m/>
    <m/>
    <n v="0.54616135235076602"/>
    <n v="2.6800000000000001E-2"/>
    <n v="0.23999400000000001"/>
    <n v="4.6626000000000001E-2"/>
    <n v="2.2255E-2"/>
    <n v="8.8413000000000005E-2"/>
    <m/>
    <m/>
    <m/>
    <n v="0.54616135235076602"/>
    <n v="0.9732614896988907"/>
    <m/>
    <s v="ISO 14040"/>
  </r>
  <r>
    <x v="7"/>
    <x v="65"/>
    <s v="Other (Specify)"/>
    <s v="NFC, with resetting of trees"/>
    <s v="Yes"/>
    <s v="USA, Florida"/>
    <n v="2012"/>
    <s v="Puneet Dwivedi (a); Thomas Spreen (b); Renée Goodrich-Schneider (c)"/>
    <s v="(a) School of Forestry &amp; Environmental Studies, Yale University, New Haven, CT, USA_x000a_; (b) Food and Resource Economics Department, University of Florida, Gainesville, FL, USA; (c) Food Science and Human Nutrition, University of Florida, Gainesville, FL, USA"/>
    <s v="Peer Reviewed Journal"/>
    <s v="Dwivedi, P., Spreen, T. and Goodrich-Schneider, R., Global warming impact of Florida's Not-From-Concentrate (NFC) orange juice. Agricultural Systems 2012, 108, 104-111."/>
    <s v="Yes"/>
    <s v="No"/>
    <s v="Yes"/>
    <s v="Yes"/>
    <s v="Yes"/>
    <s v="Yes"/>
    <s v="Yes"/>
    <s v="No"/>
    <s v="No"/>
    <s v="No"/>
    <s v="No"/>
    <s v="No"/>
    <m/>
    <s v="Until point of sale."/>
    <s v="No"/>
    <s v="Yes"/>
    <s v="1.893 L carton"/>
    <s v="*(1.048 kg/l)/1.893L"/>
    <s v=""/>
    <s v=""/>
    <n v="0.45408904384574755"/>
    <n v="0.71617304384574754"/>
    <m/>
    <m/>
    <m/>
    <m/>
    <m/>
    <m/>
    <m/>
    <m/>
    <m/>
    <m/>
    <m/>
    <m/>
    <m/>
    <n v="0.45408904384574755"/>
    <n v="2.2089999999999999E-2"/>
    <n v="0.23999400000000001"/>
    <n v="4.6626000000000001E-2"/>
    <n v="2.2255E-2"/>
    <n v="8.8413000000000005E-2"/>
    <m/>
    <m/>
    <m/>
    <n v="0.45408904384574755"/>
    <n v="0.87693185419968311"/>
    <m/>
    <s v="ISO 14040"/>
  </r>
  <r>
    <x v="4"/>
    <x v="66"/>
    <s v="Fresh or Not Specified"/>
    <s v="Swedish IP certified"/>
    <s v="Yes"/>
    <s v="Sweden"/>
    <n v="2015"/>
    <s v="Davida Johansson (a); Helena Karlén (a); Lars Mogren (a);"/>
    <s v="(a) Swedish University of Agricultural Sciences,_x000a_ Department of Biosystems and Technology"/>
    <s v="Master's Thesis"/>
    <s v="Johansson, D., Life cycle assessment ( LCA ) of apples- A comparison between apples produced in Sweden, Italy and Argentina. Master thesis, Swedish University of Agricultural Sciences, Alnarp, 2015."/>
    <s v="Yes"/>
    <s v="Yes"/>
    <s v="Yes"/>
    <s v="Yes"/>
    <s v="Yes"/>
    <s v="Yes"/>
    <s v="No"/>
    <s v="No"/>
    <s v="No"/>
    <s v="No"/>
    <s v="No"/>
    <s v="No"/>
    <m/>
    <s v="No processing, instead sorting has been accounted for"/>
    <s v="No"/>
    <s v="Yes"/>
    <s v="1 kg apples"/>
    <m/>
    <s v=""/>
    <s v=""/>
    <n v="5.5E-2"/>
    <s v=""/>
    <m/>
    <m/>
    <m/>
    <m/>
    <m/>
    <m/>
    <m/>
    <m/>
    <m/>
    <m/>
    <m/>
    <m/>
    <m/>
    <n v="5.5E-2"/>
    <m/>
    <m/>
    <n v="0.23400000000000001"/>
    <n v="4.1000000000000002E-2"/>
    <m/>
    <m/>
    <m/>
    <m/>
    <n v="5.5E-2"/>
    <n v="0.32900000000000001"/>
    <m/>
    <m/>
  </r>
  <r>
    <x v="4"/>
    <x v="66"/>
    <s v="Fresh or Not Specified"/>
    <s v="Swedish organic certified"/>
    <s v="Yes"/>
    <s v="Sweden"/>
    <n v="2015"/>
    <s v="Davida Johansson (a); Helena Karlén (a); Lars Mogren (a);"/>
    <s v="(a) Swedish University of Agricultural Sciences,_x000a_ Department of Biosystems and Technology"/>
    <s v="Master's Thesis"/>
    <s v="Johansson, D., Life cycle assessment ( LCA ) of apples- A comparison between apples produced in Sweden, Italy and Argentina. Master thesis, Swedish University of Agricultural Sciences, Alnarp, 2015."/>
    <s v="Yes"/>
    <s v="Yes"/>
    <s v="No"/>
    <s v="No"/>
    <s v="No"/>
    <s v="No"/>
    <s v="No"/>
    <s v="No"/>
    <s v="No"/>
    <s v="No"/>
    <s v="No"/>
    <s v="No"/>
    <m/>
    <s v="Only production"/>
    <s v="No"/>
    <s v="Yes"/>
    <s v="1 kg apples"/>
    <m/>
    <s v=""/>
    <s v=""/>
    <n v="1.04"/>
    <s v=""/>
    <m/>
    <m/>
    <m/>
    <m/>
    <m/>
    <m/>
    <m/>
    <m/>
    <m/>
    <m/>
    <m/>
    <m/>
    <m/>
    <m/>
    <m/>
    <m/>
    <m/>
    <m/>
    <m/>
    <m/>
    <m/>
    <m/>
    <n v="1.04"/>
    <n v="1.0409999999999999"/>
    <m/>
    <m/>
  </r>
  <r>
    <x v="4"/>
    <x v="66"/>
    <s v="Fresh or Not Specified"/>
    <s v="Italian IP certified"/>
    <s v="Yes"/>
    <s v="Italy"/>
    <n v="2015"/>
    <s v="Davida Johansson (a); Helena Karlén (a); Lars Mogren (a);"/>
    <s v="(a) Swedish University of Agricultural Sciences,_x000a_ Department of Biosystems and Technology"/>
    <s v="Master's Thesis"/>
    <s v="Johansson, D., Life cycle assessment ( LCA ) of apples- A comparison between apples produced in Sweden, Italy and Argentina. Master thesis, Swedish University of Agricultural Sciences, Alnarp, 2015."/>
    <s v="Yes"/>
    <s v="Yes"/>
    <s v="Yes"/>
    <s v="Yes"/>
    <s v="Yes"/>
    <s v="Yes"/>
    <s v="No"/>
    <s v="No"/>
    <s v="No"/>
    <s v="No"/>
    <s v="No"/>
    <s v="No"/>
    <m/>
    <s v="No processing, instead sorting has been accounted for"/>
    <s v="No"/>
    <s v="Yes"/>
    <s v="1 kg apples"/>
    <m/>
    <s v=""/>
    <s v=""/>
    <n v="0.24399999999999999"/>
    <s v=""/>
    <m/>
    <m/>
    <m/>
    <m/>
    <m/>
    <m/>
    <m/>
    <m/>
    <m/>
    <m/>
    <m/>
    <m/>
    <m/>
    <n v="0.24399999999999999"/>
    <m/>
    <m/>
    <n v="0"/>
    <n v="0.21099999999999999"/>
    <m/>
    <m/>
    <m/>
    <m/>
    <n v="0.24399999999999999"/>
    <n v="0.45700000000000002"/>
    <m/>
    <s v="EcoInvent 2015"/>
  </r>
  <r>
    <x v="4"/>
    <x v="66"/>
    <s v="Fresh or Not Specified"/>
    <s v="Hawkes Bay region"/>
    <s v="Yes"/>
    <s v="New Zealand"/>
    <n v="2005"/>
    <s v="L. Mila` i Canals (a); G.M. Burnip (b); S.J. Cowell (c)"/>
    <s v="(a) Chemistry Department, Universitat Auto`noma de Barcelona, ES-08193 Bellaterra, Barcelona, Catalonia, Spain; (b) The Horticulture and Food Research Institute of New Zealand Ltd., P.O. Box 51, Lincoln (Canterbury), New Zealand; (c) Centre for Environmental Strategy, The University of Surrey, Guildford (Surrey) GU2 7XH, United Kingdom; "/>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s v="Reported values from farm alone - the paper also had &quot;reference&quot; values from industry standard procedure"/>
    <s v="No"/>
    <s v="Yes"/>
    <s v="1 tonne apples"/>
    <s v="/1000"/>
    <s v=""/>
    <s v=""/>
    <n v="4.0909000000000001E-2"/>
    <s v=""/>
    <m/>
    <m/>
    <m/>
    <m/>
    <m/>
    <m/>
    <m/>
    <m/>
    <m/>
    <m/>
    <m/>
    <m/>
    <m/>
    <m/>
    <m/>
    <m/>
    <m/>
    <m/>
    <m/>
    <m/>
    <m/>
    <m/>
    <n v="4.0909000000000001E-2"/>
    <m/>
    <m/>
    <s v="ISO 2000a"/>
  </r>
  <r>
    <x v="4"/>
    <x v="66"/>
    <s v="Fresh or Not Specified"/>
    <s v="Central Otago region"/>
    <s v="Yes"/>
    <s v="New Zealand"/>
    <n v="2005"/>
    <s v="L. Mila` i Canals (a); G.M. Burnip (b); S.J. Cowell (c)"/>
    <s v="(a) Chemistry Department, Universitat Auto`noma de Barcelona, ES-08193 Bellaterra, Barcelona, Catalonia, Spain; (b) The Horticulture and Food Research Institute of New Zealand Ltd., P.O. Box 51, Lincoln (Canterbury), New Zealand; (c) Centre for Environmental Strategy, The University of Surrey, Guildford (Surrey) GU2 7XH, United Kingdom; "/>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s v="Reported values from farm alone - the paper also had &quot;reference&quot; values from industry standard procedure"/>
    <s v="No"/>
    <s v="Yes"/>
    <s v="1 tonne apples"/>
    <s v="/1000"/>
    <s v=""/>
    <s v=""/>
    <n v="6.3182000000000002E-2"/>
    <s v=""/>
    <m/>
    <m/>
    <m/>
    <m/>
    <m/>
    <m/>
    <m/>
    <m/>
    <m/>
    <m/>
    <m/>
    <m/>
    <m/>
    <m/>
    <m/>
    <m/>
    <m/>
    <m/>
    <m/>
    <m/>
    <m/>
    <m/>
    <n v="6.3182000000000002E-2"/>
    <m/>
    <m/>
    <s v="ISO 2000a"/>
  </r>
  <r>
    <x v="4"/>
    <x v="66"/>
    <s v="Fresh or Not Specified"/>
    <s v="Fresh Fruit"/>
    <s v="No"/>
    <s v="Switzerland"/>
    <n v="2006"/>
    <s v="Patrik Mouron (a); Thomas Nemecek (b)_x000a_; Roland W. Scholz (a); Olaf Weber (a)"/>
    <s v="(a) Swiss Federal Institute of Technology, Department of Environmental Sciences, Institute for Human-Environment Systems, ETH Zentrum, CHN J76.1, CH-8092 Zurich, Switzerland (b) Agroscope FAL Reckenholz, Swiss Federal Research Station of Agroecology and Agriculture, CH-8046 Zurich, Switzerland"/>
    <s v="Peer Reviewed Journal"/>
    <s v="Mouron, P., Nemecek, T., Scholz, R. W. and Weber, O., Management influence on environmental impacts in an apple production system on Swiss fruit farms: Combining life cycle assessment with statistical risk assessment. Agriculture, Ecosystems and Environment 2006, 114 (2-4), 311-322."/>
    <s v="Yes"/>
    <s v="No"/>
    <s v="No"/>
    <s v="No"/>
    <s v="No"/>
    <s v="No"/>
    <s v="No"/>
    <s v="No"/>
    <s v="No"/>
    <s v="No"/>
    <s v="No"/>
    <s v="Yes"/>
    <m/>
    <s v="Only average values reported in paper are transferred here. Compares management practices on different farms, but has more of a manager/people focus than process focus."/>
    <s v="No"/>
    <s v="Yes"/>
    <s v="1 ha tilled"/>
    <s v="Avg yield = 31.4 t/ha. Conversion = /31400 (assumed metric ton)"/>
    <s v=""/>
    <s v=""/>
    <n v="8.2802547770700632E-2"/>
    <s v=""/>
    <m/>
    <m/>
    <m/>
    <m/>
    <m/>
    <m/>
    <m/>
    <m/>
    <m/>
    <m/>
    <m/>
    <s v="SALCA database Version 031a"/>
    <m/>
    <m/>
    <m/>
    <m/>
    <m/>
    <m/>
    <m/>
    <m/>
    <m/>
    <m/>
    <n v="8.2802547770700632E-2"/>
    <m/>
    <s v="0.051 to 0.121"/>
    <s v="SALCA database Version 031a"/>
  </r>
  <r>
    <x v="4"/>
    <x v="66"/>
    <s v="Fresh or Not Specified"/>
    <s v="Conventional production"/>
    <s v="Yes"/>
    <s v="Canada"/>
    <n v="2013"/>
    <s v="Sarah Keyes;"/>
    <s v="Dalhousie University, Halifax, Nova Scotia"/>
    <s v="Master's Thesis"/>
    <s v="Keyes, S., Evaluating the Environmental Impacts of Conventional and Organic Apple Production in Nova Scotia, Canada, through Life Cycle Assessment. Master thesis, Dalhousie University, Halifax, Nova Scotia, 2013."/>
    <s v="Yes"/>
    <s v="No"/>
    <s v="Yes"/>
    <s v="Yes"/>
    <s v="Yes"/>
    <s v="Yes"/>
    <s v="No"/>
    <s v="No"/>
    <s v="No"/>
    <s v="No"/>
    <s v="No"/>
    <s v="Yes"/>
    <m/>
    <s v="Cradle to retail"/>
    <s v="No"/>
    <s v="Yes"/>
    <s v="1 ton apples"/>
    <s v="/1000"/>
    <n v="1.1000000000000001"/>
    <n v="1.1576000000000002"/>
    <n v="6.4100000000000004E-2"/>
    <n v="6.787E-2"/>
    <n v="1.1000000000000001"/>
    <n v="5.7599999999999998E-2"/>
    <n v="0"/>
    <n v="2.665"/>
    <n v="0.28299999999999997"/>
    <m/>
    <m/>
    <m/>
    <n v="0"/>
    <n v="1.1000000000000001"/>
    <n v="4.0999999999999996"/>
    <m/>
    <m/>
    <n v="6.4100000000000004E-2"/>
    <n v="3.7699999999999999E-3"/>
    <n v="0"/>
    <n v="0.19299999999999998"/>
    <n v="1.4500000000000001E-2"/>
    <m/>
    <m/>
    <m/>
    <n v="4.9499999999999995E-3"/>
    <n v="6.4100000000000004E-2"/>
    <n v="0.27600000000000002"/>
    <m/>
    <s v="Recipe H"/>
  </r>
  <r>
    <x v="4"/>
    <x v="66"/>
    <s v="Fresh or Not Specified"/>
    <s v="Organic production"/>
    <s v="Yes"/>
    <s v="Canada"/>
    <n v="2013"/>
    <s v="Sarah Keyes;"/>
    <s v="Dalhousie University, Halifax, Nova Scotia"/>
    <s v="Master's Thesis"/>
    <s v="Keyes, S., Evaluating the Environmental Impacts of Conventional and Organic Apple Production in Nova Scotia, Canada, through Life Cycle Assessment. Master thesis, Dalhousie University, Halifax, Nova Scotia, 2013."/>
    <s v="Yes"/>
    <s v="No"/>
    <s v="Yes"/>
    <s v="Yes"/>
    <s v="Yes"/>
    <s v="Yes"/>
    <s v="No"/>
    <s v="No"/>
    <s v="No"/>
    <s v="No"/>
    <s v="No"/>
    <s v="Yes"/>
    <m/>
    <s v="Cradle to retail"/>
    <s v="No"/>
    <s v="Yes"/>
    <s v="1 ton apples"/>
    <s v="/1000"/>
    <n v="1.76"/>
    <n v="1.591"/>
    <n v="7.3200000000000001E-2"/>
    <n v="7.5020000000000003E-2"/>
    <n v="1.56"/>
    <n v="3.1E-2"/>
    <n v="0"/>
    <n v="2.6350000000000002"/>
    <n v="0.23300000000000001"/>
    <m/>
    <m/>
    <m/>
    <n v="0.29959999999999998"/>
    <n v="1.76"/>
    <n v="4.82"/>
    <m/>
    <m/>
    <n v="7.3200000000000001E-2"/>
    <n v="1.82E-3"/>
    <n v="0"/>
    <n v="0.19299999999999998"/>
    <n v="1.4500000000000001E-2"/>
    <m/>
    <m/>
    <m/>
    <n v="1.17363E-2"/>
    <n v="7.3200000000000001E-2"/>
    <n v="0.28299999999999997"/>
    <m/>
    <s v="Recipe H"/>
  </r>
  <r>
    <x v="3"/>
    <x v="44"/>
    <s v="Fresh or Not Specified"/>
    <s v="Table potatoes"/>
    <s v="No"/>
    <s v="Netherlands"/>
    <n v="2011"/>
    <s v="Tommie Ponsioen (a); Hans Blonk (a)"/>
    <m/>
    <s v="NGO Report"/>
    <s v="Ponsioen, T. and Blonk, H., Case studies for more insight into the methodology and composition of carbon footprints of table potatoes and chips. Blonk Milieuadvies; 2011,  (July), 27."/>
    <s v="Yes"/>
    <s v="No"/>
    <s v="Yes"/>
    <s v="Yes"/>
    <s v="Yes"/>
    <s v="Yes"/>
    <s v="Yes"/>
    <s v="Yes"/>
    <s v="Yes"/>
    <s v="Yes"/>
    <s v="Yes"/>
    <s v="No"/>
    <m/>
    <s v="Cradle to retail"/>
    <s v="Yes"/>
    <s v="Yes"/>
    <s v="1 ton of potatoes"/>
    <s v="/1000"/>
    <s v=""/>
    <s v=""/>
    <n v="0.17"/>
    <n v="0.21000000000000002"/>
    <m/>
    <m/>
    <m/>
    <m/>
    <m/>
    <m/>
    <m/>
    <m/>
    <m/>
    <m/>
    <m/>
    <m/>
    <m/>
    <n v="0.17"/>
    <n v="0.04"/>
    <m/>
    <m/>
    <m/>
    <m/>
    <n v="0.30499999999999999"/>
    <m/>
    <m/>
    <n v="0.17"/>
    <n v="0.52"/>
    <m/>
    <s v="IPCC 2006"/>
  </r>
  <r>
    <x v="10"/>
    <x v="56"/>
    <s v="Fresh or Not Specified"/>
    <s v="Potato Chips"/>
    <s v="No"/>
    <s v="Netherlands"/>
    <n v="2011"/>
    <s v="Tommie Ponsioen (a); Hans Blonk (a)"/>
    <m/>
    <s v="NGO Report"/>
    <s v="Ponsioen, T. and Blonk, H., Case studies for more insight into the methodology and composition of carbon footprints of table potatoes and chips. Blonk Milieuadvies; 2011,  (July), 27."/>
    <s v="Yes"/>
    <s v="No"/>
    <s v="Yes"/>
    <s v="Yes"/>
    <s v="Yes"/>
    <s v="Yes"/>
    <s v="Yes"/>
    <s v="Yes"/>
    <s v="Yes"/>
    <s v="Yes"/>
    <s v="Yes"/>
    <s v="No"/>
    <m/>
    <s v="Cradle to retail"/>
    <s v="Yes"/>
    <s v="Yes"/>
    <s v="1 ton of frozen chips"/>
    <s v="/1000"/>
    <s v=""/>
    <s v=""/>
    <n v="0.25"/>
    <n v="0.92999999999999994"/>
    <m/>
    <m/>
    <m/>
    <m/>
    <m/>
    <m/>
    <m/>
    <m/>
    <m/>
    <m/>
    <m/>
    <m/>
    <m/>
    <n v="0.25"/>
    <n v="0.04"/>
    <n v="0.64"/>
    <m/>
    <m/>
    <m/>
    <n v="1.1199999999999997"/>
    <m/>
    <m/>
    <n v="0.25"/>
    <n v="2.06"/>
    <m/>
    <s v="IPCC 2006"/>
  </r>
  <r>
    <x v="5"/>
    <x v="67"/>
    <s v="Fresh or Not Specified"/>
    <s v="Winter wheat - small holdings"/>
    <s v="No"/>
    <s v="Poland"/>
    <n v="2015"/>
    <s v="Alina Syp (a); Antoni Faber (a); Magdalena Borzęcka-Walker (a); Dariusz Osuch (b)"/>
    <s v="(a) Institute of Soil Science and Plant Cultivation – State Research Institute, Department of Agrometorology and Applied Informatics, Czartoryskich 8, 24-100 Puławy, Poland; (b) Institute of Agricultural and Food Economics – National Research Institute, Agricultural Accountancy Department, Świętokrzyska 20, 00-002 Warsaw, Poland"/>
    <s v="Peer Reviewed Journal"/>
    <s v="Syp, A., Faber, A., Borzecka-Walker, M. and Osuch, D., Assessment of Greenhouse Gas Emissions in Winter Wheat Farms Using Data Envelopment Analysis Approach. Polish Journal of Environmental Studies 2015, 24 (5), 2197-2203."/>
    <s v="Yes"/>
    <s v="No"/>
    <s v="No"/>
    <s v="No"/>
    <s v="No"/>
    <s v="No"/>
    <s v="No"/>
    <s v="No"/>
    <s v="No"/>
    <s v="No"/>
    <s v="No"/>
    <s v="No"/>
    <m/>
    <s v="DEA study instead of LCA - appears to talk only about ag production"/>
    <s v="No"/>
    <s v="No"/>
    <s v="1 kg wheat"/>
    <m/>
    <s v=""/>
    <s v=""/>
    <n v="0.44800000000000001"/>
    <s v=""/>
    <m/>
    <m/>
    <m/>
    <m/>
    <m/>
    <m/>
    <m/>
    <m/>
    <m/>
    <m/>
    <m/>
    <m/>
    <m/>
    <m/>
    <m/>
    <m/>
    <m/>
    <m/>
    <m/>
    <m/>
    <m/>
    <m/>
    <n v="0.44800000000000001"/>
    <m/>
    <m/>
    <s v="IPCC 2007"/>
  </r>
  <r>
    <x v="5"/>
    <x v="67"/>
    <s v="Fresh or Not Specified"/>
    <s v="Winter wheat - medium holdings"/>
    <s v="No"/>
    <s v="Poland"/>
    <n v="2015"/>
    <s v="Alina Syp (a); Antoni Faber (a); Magdalena Borzęcka-Walker (a); Dariusz Osuch (b)"/>
    <s v="(a) Institute of Soil Science and Plant Cultivation – State Research Institute, Department of Agrometorology and Applied Informatics, Czartoryskich 8, 24-100 Puławy, Poland; (b) Institute of Agricultural and Food Economics – National Research Institute, Agricultural Accountancy Department, Świętokrzyska 20, 00-002 Warsaw, Poland"/>
    <s v="Peer Reviewed Journal"/>
    <s v="Syp, A., Faber, A., Borzecka-Walker, M. and Osuch, D., Assessment of Greenhouse Gas Emissions in Winter Wheat Farms Using Data Envelopment Analysis Approach. Polish Journal of Environmental Studies 2015, 24 (5), 2197-2203."/>
    <s v="Yes"/>
    <s v="No"/>
    <s v="No"/>
    <s v="No"/>
    <s v="No"/>
    <s v="No"/>
    <s v="No"/>
    <s v="No"/>
    <s v="No"/>
    <s v="No"/>
    <s v="No"/>
    <s v="No"/>
    <m/>
    <s v="DEA study instead of LCA - appears to talk only about ag production"/>
    <s v="No"/>
    <s v="No"/>
    <s v="1 kg wheat"/>
    <m/>
    <s v=""/>
    <s v=""/>
    <n v="0.48099999999999998"/>
    <s v=""/>
    <m/>
    <m/>
    <m/>
    <m/>
    <m/>
    <m/>
    <m/>
    <m/>
    <m/>
    <m/>
    <m/>
    <m/>
    <m/>
    <m/>
    <m/>
    <m/>
    <m/>
    <m/>
    <m/>
    <m/>
    <m/>
    <m/>
    <n v="0.48099999999999998"/>
    <m/>
    <m/>
    <s v="IPCC 2007"/>
  </r>
  <r>
    <x v="5"/>
    <x v="67"/>
    <s v="Fresh or Not Specified"/>
    <s v="Winter wheat - large holdings"/>
    <s v="No"/>
    <s v="Poland"/>
    <n v="2015"/>
    <s v="Alina Syp (a); Antoni Faber (a); Magdalena Borzęcka-Walker (a); Dariusz Osuch (b)"/>
    <s v="(a) Institute of Soil Science and Plant Cultivation – State Research Institute, Department of Agrometorology and Applied Informatics, Czartoryskich 8, 24-100 Puławy, Poland; (b) Institute of Agricultural and Food Economics – National Research Institute, Agricultural Accountancy Department, Świętokrzyska 20, 00-002 Warsaw, Poland"/>
    <s v="Peer Reviewed Journal"/>
    <s v="Syp, A., Faber, A., Borzecka-Walker, M. and Osuch, D., Assessment of Greenhouse Gas Emissions in Winter Wheat Farms Using Data Envelopment Analysis Approach. Polish Journal of Environmental Studies 2015, 24 (5), 2197-2203."/>
    <s v="Yes"/>
    <s v="No"/>
    <s v="No"/>
    <s v="No"/>
    <s v="No"/>
    <s v="No"/>
    <s v="No"/>
    <s v="No"/>
    <s v="No"/>
    <s v="No"/>
    <s v="No"/>
    <s v="No"/>
    <m/>
    <s v="DEA study instead of LCA - appears to talk only about ag production"/>
    <s v="No"/>
    <s v="No"/>
    <s v="1 kg wheat"/>
    <m/>
    <s v=""/>
    <s v=""/>
    <n v="0.41099999999999998"/>
    <s v=""/>
    <m/>
    <m/>
    <m/>
    <m/>
    <m/>
    <m/>
    <m/>
    <m/>
    <m/>
    <m/>
    <m/>
    <m/>
    <m/>
    <m/>
    <m/>
    <m/>
    <m/>
    <m/>
    <m/>
    <m/>
    <m/>
    <m/>
    <n v="0.41099999999999998"/>
    <m/>
    <m/>
    <s v="IPCC 2007"/>
  </r>
  <r>
    <x v="3"/>
    <x v="63"/>
    <s v="Fresh or Not Specified"/>
    <s v="Mushroom"/>
    <s v="No"/>
    <s v="Spain"/>
    <n v="2015"/>
    <s v="F.J. Leivaa(a); J.C. Saenz-Díez (b); E. Martínez (a); E. Jiménez (b); J. Blancoa (a);"/>
    <s v="(a) Department of Mechanical Engineering, University of la Rioja, Edificio Departamental—C/Luis de Ulloa, 20, 26004 Logro ̃no, La Rioja, Spain (b) Department of Electrical Engineering, University of la Rioja, Edificio Departamental—C/Luis de Ulloa, 20, 26004 Logro ̃no, La Rioja, Spain"/>
    <s v="Peer Reviewed Journal"/>
    <s v="Leiva, F. J., Saenz-Díez, J. C., Martínez, E., Jiménez, E. and Blanco, J., Environmental impact of Agaricus bisporus cultivation process. European Journal of Agronomy 2015, 71, 141-148."/>
    <s v="Yes"/>
    <s v="No"/>
    <s v="No"/>
    <s v="No"/>
    <s v="Yes"/>
    <s v="No"/>
    <s v="No"/>
    <s v="Yes"/>
    <s v="No"/>
    <s v="No"/>
    <s v="No"/>
    <s v="No"/>
    <m/>
    <s v="Assumed all produce is distributed as soon as it is grown. Cradle to farm gate to consumer"/>
    <s v="Yes"/>
    <s v="Yes"/>
    <s v="1 kg mushroom"/>
    <m/>
    <s v=""/>
    <s v=""/>
    <n v="4.42"/>
    <s v=""/>
    <m/>
    <m/>
    <m/>
    <m/>
    <m/>
    <m/>
    <m/>
    <m/>
    <m/>
    <m/>
    <m/>
    <m/>
    <m/>
    <m/>
    <m/>
    <m/>
    <m/>
    <m/>
    <m/>
    <m/>
    <m/>
    <m/>
    <n v="4.42"/>
    <m/>
    <m/>
    <s v="CML Leiden 2000"/>
  </r>
  <r>
    <x v="4"/>
    <x v="68"/>
    <s v="Fresh or Not Specified"/>
    <s v="Seasonal - May supply"/>
    <s v="Yes"/>
    <s v="Spain, UK"/>
    <n v="2014"/>
    <s v="Chris Foster (a); Catarina Guében (a); Mark Holmes (b); Jeremy Wiltshire (b); Sarah Wynn (b);"/>
    <s v="(a) EuGeos Limited, UK; (b) ADAS, UK;"/>
    <s v="Peer Reviewed Journal"/>
    <s v="Foster, C., Guében, C., Holmes, M., Wiltshire, J. and Wynn, S., The environmental effects of seasonal food purchase: a raspberry case study. Journal of Cleaner Production 2014, 73, 269-274."/>
    <s v="Yes"/>
    <s v="Yes"/>
    <s v="Yes"/>
    <s v="Yes"/>
    <s v="Yes"/>
    <s v="Yes"/>
    <s v="Yes"/>
    <s v="No"/>
    <s v="No"/>
    <s v="No"/>
    <s v="No"/>
    <s v="No"/>
    <m/>
    <s v="Until retail"/>
    <s v="No"/>
    <s v="No"/>
    <s v="1 kg raspberry"/>
    <m/>
    <s v=""/>
    <s v=""/>
    <s v=""/>
    <s v=""/>
    <m/>
    <m/>
    <m/>
    <m/>
    <m/>
    <m/>
    <m/>
    <m/>
    <m/>
    <m/>
    <m/>
    <m/>
    <m/>
    <m/>
    <m/>
    <m/>
    <m/>
    <m/>
    <m/>
    <m/>
    <m/>
    <m/>
    <m/>
    <n v="7.3"/>
    <m/>
    <s v="IPCC 2006, PAS 2050:2008."/>
  </r>
  <r>
    <x v="4"/>
    <x v="68"/>
    <s v="Fresh or Not Specified"/>
    <s v="Seasonal - July supply"/>
    <s v="Yes"/>
    <s v="UK"/>
    <n v="2014"/>
    <s v="Chris Foster (a); Catarina Guében (a); Mark Holmes (b); Jeremy Wiltshire (b); Sarah Wynn (b);"/>
    <s v="(a) EuGeos Limited, UK; (b) ADAS, UK;"/>
    <s v="Peer Reviewed Journal"/>
    <s v="Foster, C., Guében, C., Holmes, M., Wiltshire, J. and Wynn, S., The environmental effects of seasonal food purchase: a raspberry case study. Journal of Cleaner Production 2014, 73, 269-274."/>
    <s v="Yes"/>
    <s v="Yes"/>
    <s v="Yes"/>
    <s v="Yes"/>
    <s v="Yes"/>
    <s v="Yes"/>
    <s v="Yes"/>
    <s v="No"/>
    <s v="No"/>
    <s v="No"/>
    <s v="No"/>
    <s v="No"/>
    <m/>
    <s v="Until retail"/>
    <s v="No"/>
    <s v="No"/>
    <s v="1 kg raspberry"/>
    <m/>
    <s v=""/>
    <s v=""/>
    <s v=""/>
    <s v=""/>
    <m/>
    <m/>
    <m/>
    <m/>
    <m/>
    <m/>
    <m/>
    <m/>
    <m/>
    <m/>
    <m/>
    <m/>
    <m/>
    <m/>
    <m/>
    <m/>
    <m/>
    <m/>
    <m/>
    <m/>
    <m/>
    <m/>
    <m/>
    <n v="7.4"/>
    <m/>
    <s v="IPCC 2006, PAS 2050:2008."/>
  </r>
  <r>
    <x v="4"/>
    <x v="68"/>
    <s v="Fresh or Not Specified"/>
    <s v="Seasonal - November supply"/>
    <s v="Yes"/>
    <s v="UK"/>
    <n v="2014"/>
    <s v="Chris Foster (a); Catarina Guében (a); Mark Holmes (b); Jeremy Wiltshire (b); Sarah Wynn (b);"/>
    <s v="(a) EuGeos Limited, UK; (b) ADAS, UK;"/>
    <s v="Peer Reviewed Journal"/>
    <s v="Foster, C., Guében, C., Holmes, M., Wiltshire, J. and Wynn, S., The environmental effects of seasonal food purchase: a raspberry case study. Journal of Cleaner Production 2014, 73, 269-274."/>
    <s v="Yes"/>
    <s v="Yes"/>
    <s v="Yes"/>
    <s v="Yes"/>
    <s v="Yes"/>
    <s v="Yes"/>
    <s v="Yes"/>
    <s v="No"/>
    <s v="No"/>
    <s v="No"/>
    <s v="No"/>
    <s v="No"/>
    <m/>
    <s v="Until retail"/>
    <s v="No"/>
    <s v="No"/>
    <s v="1 kg raspberry"/>
    <m/>
    <s v=""/>
    <s v=""/>
    <s v=""/>
    <s v=""/>
    <m/>
    <m/>
    <m/>
    <m/>
    <m/>
    <m/>
    <m/>
    <m/>
    <m/>
    <m/>
    <m/>
    <m/>
    <m/>
    <m/>
    <m/>
    <m/>
    <m/>
    <m/>
    <m/>
    <m/>
    <m/>
    <m/>
    <m/>
    <n v="7.7"/>
    <m/>
    <s v="IPCC 2006, PAS 2050:2008."/>
  </r>
  <r>
    <x v="4"/>
    <x v="69"/>
    <s v="Fresh or Not Specified"/>
    <s v="Conventional - Average of mandarins and orang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4699999999999999"/>
    <s v=""/>
    <m/>
    <m/>
    <m/>
    <m/>
    <m/>
    <m/>
    <m/>
    <m/>
    <m/>
    <m/>
    <m/>
    <m/>
    <m/>
    <n v="0.14699999999999999"/>
    <m/>
    <m/>
    <m/>
    <m/>
    <m/>
    <m/>
    <m/>
    <n v="6.0000000000000001E-3"/>
    <n v="0.14699999999999999"/>
    <m/>
    <m/>
    <s v="IPCC 2006"/>
  </r>
  <r>
    <x v="4"/>
    <x v="70"/>
    <s v="Fresh or Not Specified"/>
    <s v="Conventional - Average of apples, pears, plums, table grapes, peach, apricot, fig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1799999999999999"/>
    <s v=""/>
    <m/>
    <m/>
    <m/>
    <m/>
    <m/>
    <m/>
    <m/>
    <m/>
    <m/>
    <m/>
    <m/>
    <m/>
    <m/>
    <n v="0.11799999999999999"/>
    <m/>
    <m/>
    <m/>
    <m/>
    <m/>
    <m/>
    <m/>
    <n v="8.9999999999999993E-3"/>
    <n v="0.11799999999999999"/>
    <m/>
    <m/>
    <s v="IPCC 2006"/>
  </r>
  <r>
    <x v="4"/>
    <x v="71"/>
    <s v="Fresh or Not Specified"/>
    <s v="Conventional - Average of Avocado, mango, banana"/>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30099999999999999"/>
    <s v=""/>
    <m/>
    <m/>
    <m/>
    <m/>
    <m/>
    <m/>
    <m/>
    <m/>
    <m/>
    <m/>
    <m/>
    <m/>
    <m/>
    <n v="0.30099999999999999"/>
    <m/>
    <m/>
    <m/>
    <m/>
    <m/>
    <m/>
    <m/>
    <n v="1.4999999999999999E-2"/>
    <n v="0.30099999999999999"/>
    <m/>
    <m/>
    <s v="IPCC 2006"/>
  </r>
  <r>
    <x v="11"/>
    <x v="72"/>
    <s v="Fresh or Not Specified"/>
    <s v="Conventional - Average of Almond,hazelnut, carob tree"/>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97199999999999998"/>
    <s v=""/>
    <m/>
    <m/>
    <m/>
    <m/>
    <m/>
    <m/>
    <m/>
    <m/>
    <m/>
    <m/>
    <m/>
    <m/>
    <m/>
    <n v="0.97199999999999998"/>
    <m/>
    <m/>
    <m/>
    <m/>
    <m/>
    <m/>
    <m/>
    <n v="0.109"/>
    <n v="0.97199999999999998"/>
    <m/>
    <m/>
    <s v="IPCC 2006"/>
  </r>
  <r>
    <x v="4"/>
    <x v="53"/>
    <s v="Fresh or Not Specified"/>
    <s v="Conventional - wine grap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58"/>
    <s v=""/>
    <m/>
    <m/>
    <m/>
    <m/>
    <m/>
    <m/>
    <m/>
    <m/>
    <m/>
    <m/>
    <m/>
    <m/>
    <m/>
    <n v="0.158"/>
    <m/>
    <m/>
    <m/>
    <m/>
    <m/>
    <m/>
    <m/>
    <n v="6.0000000000000001E-3"/>
    <n v="0.158"/>
    <m/>
    <m/>
    <s v="IPCC 2006"/>
  </r>
  <r>
    <x v="4"/>
    <x v="73"/>
    <s v="Fresh or Not Specified"/>
    <s v="Conventional - oliv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32400000000000001"/>
    <s v=""/>
    <m/>
    <m/>
    <m/>
    <m/>
    <m/>
    <m/>
    <m/>
    <m/>
    <m/>
    <m/>
    <m/>
    <m/>
    <m/>
    <n v="0.32400000000000001"/>
    <m/>
    <m/>
    <m/>
    <m/>
    <m/>
    <m/>
    <m/>
    <n v="0.01"/>
    <n v="0.32400000000000001"/>
    <m/>
    <m/>
    <s v="IPCC 2006"/>
  </r>
  <r>
    <x v="4"/>
    <x v="69"/>
    <s v="Fresh or Not Specified"/>
    <s v="organic - Average of mandarins and orang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83"/>
    <s v=""/>
    <m/>
    <m/>
    <m/>
    <m/>
    <m/>
    <m/>
    <m/>
    <m/>
    <m/>
    <m/>
    <m/>
    <m/>
    <m/>
    <n v="0.83"/>
    <m/>
    <m/>
    <m/>
    <m/>
    <m/>
    <m/>
    <m/>
    <n v="1.2999999999999999E-2"/>
    <n v="0.83"/>
    <m/>
    <m/>
    <s v="IPCC 2006"/>
  </r>
  <r>
    <x v="4"/>
    <x v="70"/>
    <s v="Fresh or Not Specified"/>
    <s v="Organic - Average of apples, pears, plums, table grapes, peach, apricot, fig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94"/>
    <s v=""/>
    <m/>
    <m/>
    <m/>
    <m/>
    <m/>
    <m/>
    <m/>
    <m/>
    <m/>
    <m/>
    <m/>
    <m/>
    <m/>
    <n v="0.94"/>
    <m/>
    <m/>
    <m/>
    <m/>
    <m/>
    <m/>
    <m/>
    <n v="1.7000000000000001E-2"/>
    <n v="0.94"/>
    <m/>
    <m/>
    <s v="IPCC 2006"/>
  </r>
  <r>
    <x v="4"/>
    <x v="71"/>
    <s v="Fresh or Not Specified"/>
    <s v="Organic - Average of Avocado, mango, banana"/>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13"/>
    <s v=""/>
    <m/>
    <m/>
    <m/>
    <m/>
    <m/>
    <m/>
    <m/>
    <m/>
    <m/>
    <m/>
    <m/>
    <m/>
    <m/>
    <n v="0.113"/>
    <m/>
    <m/>
    <m/>
    <m/>
    <m/>
    <m/>
    <m/>
    <n v="1.4999999999999999E-2"/>
    <n v="0.113"/>
    <m/>
    <m/>
    <s v="IPCC 2006"/>
  </r>
  <r>
    <x v="11"/>
    <x v="72"/>
    <s v="Fresh or Not Specified"/>
    <s v="organic - Average of Almond,hazelnut, carob tree"/>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95499999999999996"/>
    <s v=""/>
    <m/>
    <m/>
    <m/>
    <m/>
    <m/>
    <m/>
    <m/>
    <m/>
    <m/>
    <m/>
    <m/>
    <m/>
    <m/>
    <n v="0.95499999999999996"/>
    <m/>
    <m/>
    <m/>
    <m/>
    <m/>
    <m/>
    <m/>
    <n v="0.121"/>
    <n v="0.95499999999999996"/>
    <m/>
    <m/>
    <s v="IPCC 2006"/>
  </r>
  <r>
    <x v="4"/>
    <x v="53"/>
    <s v="Fresh or Not Specified"/>
    <s v="Organic - wine grap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06"/>
    <s v=""/>
    <m/>
    <m/>
    <m/>
    <m/>
    <m/>
    <m/>
    <m/>
    <m/>
    <m/>
    <m/>
    <m/>
    <m/>
    <m/>
    <n v="0.106"/>
    <m/>
    <m/>
    <m/>
    <m/>
    <m/>
    <m/>
    <m/>
    <n v="8.0000000000000002E-3"/>
    <n v="0.106"/>
    <m/>
    <m/>
    <s v="IPCC 2006"/>
  </r>
  <r>
    <x v="4"/>
    <x v="74"/>
    <s v="Fresh or Not Specified"/>
    <s v="Organic - oliv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01"/>
    <s v=""/>
    <m/>
    <m/>
    <m/>
    <m/>
    <m/>
    <m/>
    <m/>
    <m/>
    <m/>
    <m/>
    <m/>
    <m/>
    <m/>
    <n v="-0.01"/>
    <m/>
    <m/>
    <m/>
    <m/>
    <m/>
    <m/>
    <m/>
    <n v="8.9999999999999993E-3"/>
    <n v="-0.01"/>
    <m/>
    <m/>
    <s v="IPCC 2006"/>
  </r>
  <r>
    <x v="3"/>
    <x v="75"/>
    <s v="Fresh or Not Specified"/>
    <s v="UK grown broccoli sold 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m/>
    <s v="Capital goods - Machinery included but not buildings. Land Use reported in sq. m. includes cropping, retail, transport, waste disposal, etc."/>
    <s v="Yes"/>
    <s v="Yes"/>
    <s v="1 kg broccoli on plate"/>
    <m/>
    <n v="4.05"/>
    <n v="4.8499999999999996"/>
    <n v="0.4"/>
    <n v="0.42000000000000004"/>
    <n v="4.05"/>
    <m/>
    <n v="0.8"/>
    <m/>
    <n v="2"/>
    <m/>
    <n v="24.05"/>
    <n v="0.8"/>
    <m/>
    <n v="4.05"/>
    <n v="31.6"/>
    <m/>
    <m/>
    <n v="0.4"/>
    <m/>
    <n v="0.02"/>
    <m/>
    <n v="0.15"/>
    <m/>
    <n v="1.3"/>
    <n v="0.2"/>
    <m/>
    <n v="0.4"/>
    <n v="2.0700000000000003"/>
    <m/>
    <s v="CML 2001 method"/>
  </r>
  <r>
    <x v="3"/>
    <x v="75"/>
    <s v="Frozen"/>
    <s v="UK grown broccoli sold 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broccoli on plate"/>
    <m/>
    <n v="3.45"/>
    <n v="5.5500000000000007"/>
    <n v="0.2"/>
    <n v="0.35"/>
    <n v="3.45"/>
    <m/>
    <n v="2.1"/>
    <m/>
    <n v="15.1"/>
    <m/>
    <n v="25.45"/>
    <n v="0.9"/>
    <m/>
    <n v="3.45"/>
    <n v="46.9"/>
    <m/>
    <m/>
    <n v="0.2"/>
    <m/>
    <n v="0.15"/>
    <m/>
    <n v="0.75"/>
    <m/>
    <n v="1.3"/>
    <n v="0.2"/>
    <m/>
    <n v="0.2"/>
    <n v="2.6000000000000005"/>
    <m/>
    <s v="CML 2001 method"/>
  </r>
  <r>
    <x v="3"/>
    <x v="75"/>
    <s v="Fresh or Not Specified"/>
    <s v="Spanish grown broccoli sold in UK"/>
    <s v="Yes"/>
    <s v="Spain"/>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broccoli on plate"/>
    <m/>
    <n v="7.15"/>
    <n v="9.3000000000000007"/>
    <n v="0.2"/>
    <n v="0.37"/>
    <n v="7.15"/>
    <m/>
    <n v="2.15"/>
    <m/>
    <n v="4.7"/>
    <m/>
    <n v="24.1"/>
    <n v="1.05"/>
    <m/>
    <n v="7.15"/>
    <n v="39.107140000000001"/>
    <m/>
    <m/>
    <n v="0.2"/>
    <m/>
    <n v="0.17"/>
    <m/>
    <n v="0.37"/>
    <m/>
    <n v="1.4"/>
    <n v="0.2"/>
    <m/>
    <n v="0.2"/>
    <n v="2.34"/>
    <m/>
    <s v="CML 2001 method"/>
  </r>
  <r>
    <x v="3"/>
    <x v="57"/>
    <s v="Fresh or Not Specified"/>
    <s v="UK outdoor grown lettuce, sold 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No"/>
    <s v="No"/>
    <s v="Yes"/>
    <s v="Waste disposal"/>
    <s v="Capital goods - Machinery included but not buildings. Land Use reported in sq. m. includes cropping, retail, transport, waste disposal, etc."/>
    <s v="Yes"/>
    <s v="Yes"/>
    <s v="1 kg lettuce at market"/>
    <m/>
    <n v="3.7"/>
    <n v="4.45"/>
    <n v="0.28899999999999998"/>
    <n v="0.34499999999999997"/>
    <n v="3.7"/>
    <m/>
    <n v="0.75"/>
    <m/>
    <n v="1.85"/>
    <m/>
    <n v="0.1"/>
    <n v="0.05"/>
    <m/>
    <n v="3.7"/>
    <n v="6.52"/>
    <m/>
    <m/>
    <n v="0.28899999999999998"/>
    <m/>
    <n v="5.6000000000000001E-2"/>
    <m/>
    <n v="0.108"/>
    <m/>
    <n v="9.6699999999999994E-2"/>
    <n v="8.5000000000000006E-2"/>
    <m/>
    <n v="0.28899999999999998"/>
    <n v="0.63469999999999993"/>
    <m/>
    <s v="CML 2001 method"/>
  </r>
  <r>
    <x v="3"/>
    <x v="59"/>
    <s v="Fresh or Not Specified"/>
    <s v="UK indoor grown lettuce, sold 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No"/>
    <s v="No"/>
    <s v="Yes"/>
    <s v="Waste disposal"/>
    <s v="Capital goods - Machinery included but not buildings. Land Use reported in sq. m. includes cropping, retail, transport, waste disposal, etc."/>
    <s v="Yes"/>
    <s v="Yes"/>
    <s v="1 kg lettuce on plate"/>
    <m/>
    <n v="64.099999999999994"/>
    <n v="65.75"/>
    <n v="2.9725000000000001"/>
    <n v="2.9975000000000001"/>
    <n v="64.099999999999994"/>
    <m/>
    <n v="1.65"/>
    <m/>
    <n v="2.25"/>
    <m/>
    <n v="0.05"/>
    <n v="2.5000000000000001E-2"/>
    <m/>
    <n v="64.099999999999994"/>
    <n v="68"/>
    <m/>
    <m/>
    <n v="2.9725000000000001"/>
    <m/>
    <n v="2.5000000000000001E-2"/>
    <m/>
    <n v="0.29799999999999999"/>
    <m/>
    <n v="8.1000000000000003E-2"/>
    <n v="8.5000000000000006E-2"/>
    <m/>
    <n v="2.9725000000000001"/>
    <n v="3.4615"/>
    <m/>
    <s v="CML 2001 method"/>
  </r>
  <r>
    <x v="3"/>
    <x v="57"/>
    <s v="Fresh or Not Specified"/>
    <s v="Spanish grown lettuce sold in UK"/>
    <s v="Yes"/>
    <s v="Spain"/>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No"/>
    <s v="No"/>
    <s v="Yes"/>
    <s v="Waste disposal"/>
    <s v="Capital goods - Machinery included but not buildings. Land Use reported in sq. m. includes cropping, retail, transport, waste disposal, etc."/>
    <s v="Yes"/>
    <s v="Yes"/>
    <s v="1 kg lettuce on plate"/>
    <m/>
    <n v="4.5999999999999996"/>
    <n v="4.8999999999999995"/>
    <n v="0.214"/>
    <n v="0.2205"/>
    <n v="4.5999999999999996"/>
    <m/>
    <n v="0.3"/>
    <m/>
    <n v="5.45"/>
    <m/>
    <n v="0.05"/>
    <n v="2.5000000000000001E-2"/>
    <m/>
    <n v="4.5999999999999996"/>
    <n v="10.36145"/>
    <m/>
    <m/>
    <n v="0.214"/>
    <m/>
    <n v="6.4999999999999997E-3"/>
    <m/>
    <n v="0.52"/>
    <m/>
    <n v="0.104"/>
    <n v="8.5000000000000006E-2"/>
    <m/>
    <n v="0.214"/>
    <n v="0.92949999999999999"/>
    <m/>
    <s v="CML 2001 method"/>
  </r>
  <r>
    <x v="3"/>
    <x v="76"/>
    <s v="Fresh or Not Specified"/>
    <s v="Ugandan lettuce sold in UK"/>
    <s v="Yes"/>
    <s v="Uganda"/>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No"/>
    <s v="No"/>
    <s v="Yes"/>
    <s v="Waste disposal"/>
    <s v="Capital goods - Machinery included but not buildings. Land Use reported in sq. m. includes cropping, retail, transport, waste disposal, etc."/>
    <s v="Yes"/>
    <s v="Yes"/>
    <s v="1 kg lettuce on plate"/>
    <m/>
    <n v="0.5"/>
    <s v=""/>
    <n v="0.05"/>
    <s v=""/>
    <n v="0.5"/>
    <m/>
    <n v="0"/>
    <m/>
    <n v="147.44"/>
    <m/>
    <n v="0.05"/>
    <n v="2.5000000000000001E-2"/>
    <m/>
    <n v="0.5"/>
    <n v="148.01500000000001"/>
    <m/>
    <m/>
    <n v="0.05"/>
    <m/>
    <n v="0"/>
    <m/>
    <n v="9.9"/>
    <m/>
    <n v="7.3999999999999996E-2"/>
    <n v="8.5000000000000006E-2"/>
    <m/>
    <n v="0.05"/>
    <n v="10.109000000000002"/>
    <m/>
    <s v="CML 2001 method"/>
  </r>
  <r>
    <x v="3"/>
    <x v="77"/>
    <s v="Fresh or Not Specified"/>
    <s v="UK grown beans sold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green beans on plate"/>
    <m/>
    <n v="6.1"/>
    <n v="7.1"/>
    <n v="0.52"/>
    <n v="0.54"/>
    <n v="6.1"/>
    <m/>
    <n v="1"/>
    <m/>
    <n v="0.95"/>
    <m/>
    <n v="11.8"/>
    <n v="1.05"/>
    <m/>
    <n v="6.1"/>
    <n v="20.828399999999998"/>
    <m/>
    <m/>
    <n v="0.52"/>
    <m/>
    <n v="0.02"/>
    <m/>
    <n v="0.12"/>
    <m/>
    <n v="0.7"/>
    <n v="0.27"/>
    <m/>
    <n v="0.52"/>
    <n v="1.63"/>
    <m/>
    <s v="CML 2001 method"/>
  </r>
  <r>
    <x v="3"/>
    <x v="77"/>
    <s v="Frozen"/>
    <s v="UK grown beans sold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green beans on plate"/>
    <m/>
    <n v="4.05"/>
    <n v="6.85"/>
    <n v="0.31"/>
    <n v="0.45999999999999996"/>
    <n v="4.05"/>
    <m/>
    <n v="2.8"/>
    <m/>
    <n v="7.5"/>
    <m/>
    <n v="13.1"/>
    <n v="1.05"/>
    <m/>
    <n v="4.05"/>
    <n v="28.402370000000001"/>
    <m/>
    <m/>
    <n v="0.31"/>
    <m/>
    <n v="0.15"/>
    <m/>
    <n v="0.41"/>
    <m/>
    <n v="0.7"/>
    <n v="0.27"/>
    <m/>
    <n v="0.31"/>
    <n v="1.8399999999999999"/>
    <m/>
    <s v="CML 2001 method"/>
  </r>
  <r>
    <x v="3"/>
    <x v="78"/>
    <s v="Fresh or Not Specified"/>
    <s v="Ugandan beans sold in UK"/>
    <s v="Yes"/>
    <s v="Uganda"/>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green beans on plate"/>
    <m/>
    <n v="0.5"/>
    <s v=""/>
    <n v="0.12"/>
    <s v=""/>
    <n v="0.5"/>
    <m/>
    <n v="0"/>
    <m/>
    <n v="145"/>
    <m/>
    <n v="11"/>
    <n v="1.1000000000000001"/>
    <m/>
    <n v="0.5"/>
    <n v="157.15979999999999"/>
    <m/>
    <m/>
    <n v="0.12"/>
    <m/>
    <n v="0"/>
    <m/>
    <n v="9.81"/>
    <m/>
    <n v="0.7"/>
    <n v="0.27"/>
    <m/>
    <n v="0.12"/>
    <n v="10.899999999999999"/>
    <m/>
    <s v="CML 2001 method"/>
  </r>
  <r>
    <x v="3"/>
    <x v="78"/>
    <s v="Fresh or Not Specified"/>
    <s v="Kenyan beans sold in UK"/>
    <s v="Yes"/>
    <s v="Kenya"/>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green beans on plate"/>
    <m/>
    <n v="1.1000000000000001"/>
    <s v=""/>
    <n v="0.06"/>
    <s v=""/>
    <n v="1.1000000000000001"/>
    <m/>
    <n v="0"/>
    <m/>
    <n v="144.9"/>
    <m/>
    <n v="11"/>
    <n v="1.1000000000000001"/>
    <m/>
    <n v="1.1000000000000001"/>
    <n v="158.10650000000001"/>
    <m/>
    <m/>
    <n v="0.06"/>
    <m/>
    <n v="0"/>
    <m/>
    <n v="9.6999999999999993"/>
    <m/>
    <n v="0.7"/>
    <n v="0.27"/>
    <m/>
    <n v="0.06"/>
    <n v="10.729999999999999"/>
    <m/>
    <s v="CML 2001 method"/>
  </r>
  <r>
    <x v="4"/>
    <x v="68"/>
    <s v="Fresh or Not Specified"/>
    <s v="Raspberry"/>
    <s v="No"/>
    <s v="Italy"/>
    <n v="2013"/>
    <s v="Vincenzo Girgenti (a); Cristiana Peano (a); Michele Bounous (a); Claudio Baudino (b);"/>
    <s v="(a) Dipartimento di Scienze Agrarie, Forestali e Alimentari, Università degli Studi di Torino, Via Leonardo da Vinci 44, 10095 Grugliasco, TO, Italy; (b) AgrifruttaSoc. Coop. Agr., Via Beinette 6, 12016 Peveragno, CN, Italy"/>
    <s v="Peer Reviewed Journal"/>
    <s v="Girgenti, V., Peano, C., Bounous, M. and Baudino, C., A life cycle assessment of non-renewable energy use and greenhouse gas emissions associated with blueberry and raspberry production in northern Italy. The Science of the total environment 2013, 458-460, 414-8."/>
    <s v="Yes"/>
    <s v="No"/>
    <s v="Yes"/>
    <s v="Yes"/>
    <s v="Yes"/>
    <s v="Yes"/>
    <s v="Yes"/>
    <s v="No"/>
    <s v="No"/>
    <s v="No"/>
    <s v="No"/>
    <s v="No"/>
    <s v="waste disposal - packaging"/>
    <s v="Cradle to grave, without use phase, but with packaging disposal"/>
    <s v="No"/>
    <s v="Yes"/>
    <s v="125 g box"/>
    <s v="values/0.125"/>
    <n v="6.3972093023255825"/>
    <s v=""/>
    <n v="0.26295652173913026"/>
    <s v=""/>
    <n v="6.3972093023255825"/>
    <m/>
    <m/>
    <n v="2.9525581395348839"/>
    <n v="0.24604651162790703"/>
    <n v="0.24604651162790703"/>
    <m/>
    <m/>
    <m/>
    <n v="6.3972093023255825"/>
    <n v="9.8418604651162802"/>
    <m/>
    <m/>
    <n v="0.26295652173913026"/>
    <m/>
    <m/>
    <n v="0.15026086956521728"/>
    <n v="9.3913043478260801E-3"/>
    <n v="1.408695652173912E-2"/>
    <m/>
    <n v="1.408695652173912E-2"/>
    <m/>
    <n v="0.26295652173913026"/>
    <n v="0.4507826086956519"/>
    <m/>
    <s v="ISO 14040 (2006)"/>
  </r>
  <r>
    <x v="4"/>
    <x v="79"/>
    <s v="Fresh or Not Specified"/>
    <s v="Blueberry"/>
    <s v="No"/>
    <s v="Italy"/>
    <n v="2013"/>
    <s v="Vincenzo Girgenti (a); Cristiana Peano (a); Michele Bounous (a); Claudio Baudino (b);"/>
    <s v="(a) Dipartimento di Scienze Agrarie, Forestali e Alimentari, Università degli Studi di Torino, Via Leonardo da Vinci 44, 10095 Grugliasco, TO, Italy; (b) AgrifruttaSoc. Coop. Agr., Via Beinette 6, 12016 Peveragno, CN, Italy"/>
    <s v="Peer Reviewed Journal"/>
    <s v="Girgenti, V., Peano, C., Bounous, M. and Baudino, C., A life cycle assessment of non-renewable energy use and greenhouse gas emissions associated with blueberry and raspberry production in northern Italy. The Science of the total environment 2013, 458-460, 414-8."/>
    <s v="Yes"/>
    <s v="No"/>
    <s v="Yes"/>
    <s v="Yes"/>
    <s v="Yes"/>
    <s v="Yes"/>
    <s v="Yes"/>
    <s v="No"/>
    <s v="No"/>
    <s v="No"/>
    <s v="No"/>
    <s v="No"/>
    <s v="waste disposal - packaging"/>
    <s v="Cradle to grave, without use phase, but with packaging disposal"/>
    <s v="No"/>
    <s v="Yes"/>
    <s v="125 g box"/>
    <s v="values/0.125"/>
    <n v="3.4533333333333345"/>
    <s v=""/>
    <n v="0.16947368421052647"/>
    <s v=""/>
    <n v="3.4533333333333345"/>
    <m/>
    <m/>
    <n v="4.9333333333333353"/>
    <n v="0.2960000000000001"/>
    <n v="1.1840000000000004"/>
    <m/>
    <m/>
    <m/>
    <n v="3.4533333333333345"/>
    <n v="9.8666666666666671"/>
    <m/>
    <m/>
    <n v="0.16947368421052647"/>
    <m/>
    <m/>
    <n v="0.19368421052631601"/>
    <n v="1.45263157894737E-2"/>
    <n v="8.23157894736843E-2"/>
    <m/>
    <n v="2.4210526315789502E-2"/>
    <m/>
    <n v="0.16947368421052647"/>
    <n v="0.48421052631578998"/>
    <m/>
    <s v="ISO 14040 (2006)"/>
  </r>
  <r>
    <x v="4"/>
    <x v="79"/>
    <s v="Fresh or Not Specified"/>
    <s v="Conventional - highbush"/>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82899999999999996"/>
    <s v=""/>
    <m/>
    <m/>
    <m/>
    <m/>
    <m/>
    <m/>
    <m/>
    <m/>
    <m/>
    <m/>
    <m/>
    <m/>
    <m/>
    <m/>
    <m/>
    <m/>
    <m/>
    <m/>
    <m/>
    <m/>
    <m/>
    <m/>
    <n v="0.82899999999999996"/>
    <m/>
    <m/>
    <m/>
  </r>
  <r>
    <x v="4"/>
    <x v="79"/>
    <s v="Fresh or Not Specified"/>
    <s v="Organic - highbush"/>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72299999999999998"/>
    <s v=""/>
    <m/>
    <m/>
    <m/>
    <m/>
    <m/>
    <m/>
    <m/>
    <m/>
    <m/>
    <m/>
    <m/>
    <m/>
    <m/>
    <m/>
    <m/>
    <m/>
    <m/>
    <m/>
    <m/>
    <m/>
    <m/>
    <m/>
    <n v="0.72299999999999998"/>
    <m/>
    <m/>
    <m/>
  </r>
  <r>
    <x v="4"/>
    <x v="66"/>
    <s v="Fresh or Not Specified"/>
    <s v="Conventional - Fuji"/>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188"/>
    <s v=""/>
    <m/>
    <m/>
    <m/>
    <m/>
    <m/>
    <m/>
    <m/>
    <m/>
    <m/>
    <m/>
    <m/>
    <m/>
    <m/>
    <m/>
    <m/>
    <m/>
    <m/>
    <m/>
    <m/>
    <m/>
    <m/>
    <m/>
    <n v="0.188"/>
    <m/>
    <m/>
    <m/>
  </r>
  <r>
    <x v="4"/>
    <x v="66"/>
    <s v="Fresh or Not Specified"/>
    <s v="Organic - McIntosh, Golden Delicious"/>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26700000000000002"/>
    <s v=""/>
    <m/>
    <m/>
    <m/>
    <m/>
    <m/>
    <m/>
    <m/>
    <m/>
    <m/>
    <m/>
    <m/>
    <m/>
    <m/>
    <m/>
    <m/>
    <m/>
    <m/>
    <m/>
    <m/>
    <m/>
    <m/>
    <m/>
    <n v="0.26700000000000002"/>
    <m/>
    <m/>
    <m/>
  </r>
  <r>
    <x v="4"/>
    <x v="66"/>
    <s v="Fresh or Not Specified"/>
    <s v="Conventional - Granny Smith"/>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108"/>
    <s v=""/>
    <m/>
    <m/>
    <m/>
    <m/>
    <m/>
    <m/>
    <m/>
    <m/>
    <m/>
    <m/>
    <m/>
    <m/>
    <m/>
    <m/>
    <m/>
    <m/>
    <m/>
    <m/>
    <m/>
    <m/>
    <m/>
    <m/>
    <n v="0.108"/>
    <m/>
    <m/>
    <m/>
  </r>
  <r>
    <x v="4"/>
    <x v="66"/>
    <s v="Fresh or Not Specified"/>
    <s v="Organic - Granny Smith, Golden delicious"/>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land use change assumed from conventional to organic hence increase in soil carbon"/>
    <s v="No"/>
    <s v="No"/>
    <s v="1 kg product"/>
    <m/>
    <s v=""/>
    <s v=""/>
    <n v="0.17599999999999999"/>
    <s v=""/>
    <m/>
    <m/>
    <m/>
    <m/>
    <m/>
    <m/>
    <m/>
    <m/>
    <m/>
    <m/>
    <m/>
    <m/>
    <m/>
    <m/>
    <m/>
    <m/>
    <m/>
    <m/>
    <m/>
    <m/>
    <m/>
    <m/>
    <n v="0.17599999999999999"/>
    <m/>
    <m/>
    <m/>
  </r>
  <r>
    <x v="4"/>
    <x v="53"/>
    <s v="Fresh or Not Specified"/>
    <s v="Conventional - Chardonnay"/>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s v="No"/>
    <s v="No"/>
    <s v="1 kg product"/>
    <m/>
    <s v=""/>
    <s v=""/>
    <n v="0.27200000000000002"/>
    <s v=""/>
    <m/>
    <m/>
    <m/>
    <m/>
    <m/>
    <m/>
    <m/>
    <m/>
    <m/>
    <m/>
    <m/>
    <m/>
    <m/>
    <m/>
    <m/>
    <m/>
    <m/>
    <m/>
    <m/>
    <m/>
    <m/>
    <m/>
    <n v="0.27200000000000002"/>
    <m/>
    <m/>
    <m/>
  </r>
  <r>
    <x v="4"/>
    <x v="53"/>
    <s v="Fresh or Not Specified"/>
    <s v="Organic - Chardonnay"/>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land use change assumed from conventional to organic hence increase in soil carbon"/>
    <s v="No"/>
    <s v="No"/>
    <s v="1 kg product"/>
    <m/>
    <s v=""/>
    <s v=""/>
    <n v="0.24399999999999999"/>
    <s v=""/>
    <m/>
    <m/>
    <m/>
    <m/>
    <m/>
    <m/>
    <m/>
    <m/>
    <m/>
    <m/>
    <m/>
    <m/>
    <m/>
    <m/>
    <m/>
    <m/>
    <m/>
    <m/>
    <m/>
    <m/>
    <m/>
    <m/>
    <n v="0.24399999999999999"/>
    <m/>
    <m/>
    <m/>
  </r>
  <r>
    <x v="4"/>
    <x v="53"/>
    <s v="Fresh or Not Specified"/>
    <s v="Convenetional - Cabarnet sauvignon"/>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s v="No"/>
    <s v="No"/>
    <s v="1 kg product"/>
    <m/>
    <s v=""/>
    <s v=""/>
    <n v="0.20499999999999999"/>
    <s v=""/>
    <m/>
    <m/>
    <m/>
    <m/>
    <m/>
    <m/>
    <m/>
    <m/>
    <m/>
    <m/>
    <m/>
    <m/>
    <m/>
    <m/>
    <m/>
    <m/>
    <m/>
    <m/>
    <m/>
    <m/>
    <m/>
    <m/>
    <n v="0.20499999999999999"/>
    <m/>
    <m/>
    <m/>
  </r>
  <r>
    <x v="4"/>
    <x v="53"/>
    <s v="Fresh or Not Specified"/>
    <s v="Organic - Cabarnet sauvignon"/>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land use change assumed from conventional to organic hence increase in soil carbon"/>
    <s v="No"/>
    <s v="No"/>
    <s v="1 kg product"/>
    <m/>
    <s v=""/>
    <s v=""/>
    <n v="0.17899999999999999"/>
    <s v=""/>
    <m/>
    <m/>
    <m/>
    <m/>
    <m/>
    <m/>
    <m/>
    <m/>
    <m/>
    <m/>
    <m/>
    <m/>
    <m/>
    <m/>
    <m/>
    <m/>
    <m/>
    <m/>
    <m/>
    <m/>
    <m/>
    <m/>
    <n v="0.17899999999999999"/>
    <m/>
    <m/>
    <m/>
  </r>
  <r>
    <x v="4"/>
    <x v="80"/>
    <s v="Fresh or Not Specified"/>
    <s v="Conventional - Thompson Seedless"/>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66700000000000004"/>
    <s v=""/>
    <m/>
    <m/>
    <m/>
    <m/>
    <m/>
    <m/>
    <m/>
    <m/>
    <m/>
    <m/>
    <m/>
    <m/>
    <m/>
    <m/>
    <m/>
    <m/>
    <m/>
    <m/>
    <m/>
    <m/>
    <m/>
    <m/>
    <n v="0.66700000000000004"/>
    <m/>
    <m/>
    <m/>
  </r>
  <r>
    <x v="4"/>
    <x v="80"/>
    <s v="Fresh or Not Specified"/>
    <s v="Organic - Thompson seedless"/>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7"/>
    <s v=""/>
    <m/>
    <m/>
    <m/>
    <m/>
    <m/>
    <m/>
    <m/>
    <m/>
    <m/>
    <m/>
    <m/>
    <m/>
    <m/>
    <m/>
    <m/>
    <m/>
    <m/>
    <m/>
    <m/>
    <m/>
    <m/>
    <m/>
    <n v="0.7"/>
    <m/>
    <m/>
    <m/>
  </r>
  <r>
    <x v="4"/>
    <x v="81"/>
    <s v="Fresh or Not Specified"/>
    <s v="Conventional"/>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33700000000000002"/>
    <s v=""/>
    <m/>
    <m/>
    <m/>
    <m/>
    <m/>
    <m/>
    <m/>
    <m/>
    <m/>
    <m/>
    <m/>
    <m/>
    <m/>
    <m/>
    <m/>
    <m/>
    <m/>
    <m/>
    <m/>
    <m/>
    <m/>
    <m/>
    <n v="0.33700000000000002"/>
    <m/>
    <m/>
    <m/>
  </r>
  <r>
    <x v="4"/>
    <x v="81"/>
    <s v="Fresh or Not Specified"/>
    <s v="Organic"/>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23400000000000001"/>
    <s v=""/>
    <m/>
    <m/>
    <m/>
    <m/>
    <m/>
    <m/>
    <m/>
    <m/>
    <m/>
    <m/>
    <m/>
    <m/>
    <m/>
    <m/>
    <m/>
    <m/>
    <m/>
    <m/>
    <m/>
    <m/>
    <m/>
    <m/>
    <n v="0.23400000000000001"/>
    <m/>
    <m/>
    <m/>
  </r>
  <r>
    <x v="11"/>
    <x v="82"/>
    <s v="Fresh or Not Specified"/>
    <s v="Conventional"/>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2.4790000000000001"/>
    <s v=""/>
    <m/>
    <m/>
    <m/>
    <m/>
    <m/>
    <m/>
    <m/>
    <m/>
    <m/>
    <m/>
    <m/>
    <m/>
    <m/>
    <m/>
    <m/>
    <m/>
    <m/>
    <m/>
    <m/>
    <m/>
    <m/>
    <m/>
    <n v="2.4790000000000001"/>
    <m/>
    <m/>
    <m/>
  </r>
  <r>
    <x v="11"/>
    <x v="82"/>
    <s v="Fresh or Not Specified"/>
    <s v="Organic"/>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3.7709999999999999"/>
    <s v=""/>
    <m/>
    <m/>
    <m/>
    <m/>
    <m/>
    <m/>
    <m/>
    <m/>
    <m/>
    <m/>
    <m/>
    <m/>
    <m/>
    <m/>
    <m/>
    <m/>
    <m/>
    <m/>
    <m/>
    <m/>
    <m/>
    <m/>
    <n v="3.7709999999999999"/>
    <m/>
    <m/>
    <m/>
  </r>
  <r>
    <x v="11"/>
    <x v="83"/>
    <s v="Fresh or Not Specified"/>
    <s v="Conventional - Chandler"/>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499"/>
    <s v=""/>
    <m/>
    <m/>
    <m/>
    <m/>
    <m/>
    <m/>
    <m/>
    <m/>
    <m/>
    <m/>
    <m/>
    <m/>
    <m/>
    <m/>
    <m/>
    <m/>
    <m/>
    <m/>
    <m/>
    <m/>
    <m/>
    <m/>
    <n v="0.499"/>
    <m/>
    <m/>
    <m/>
  </r>
  <r>
    <x v="11"/>
    <x v="83"/>
    <s v="Fresh or Not Specified"/>
    <s v="Organic - Terminal bearing"/>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2.9420000000000002"/>
    <s v=""/>
    <m/>
    <m/>
    <m/>
    <m/>
    <m/>
    <m/>
    <m/>
    <m/>
    <m/>
    <m/>
    <m/>
    <m/>
    <m/>
    <m/>
    <m/>
    <m/>
    <m/>
    <m/>
    <m/>
    <m/>
    <m/>
    <m/>
    <n v="2.9420000000000002"/>
    <m/>
    <m/>
    <m/>
  </r>
  <r>
    <x v="3"/>
    <x v="75"/>
    <s v="Fresh or Not Specified"/>
    <s v="Conventional"/>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35299999999999998"/>
    <s v=""/>
    <m/>
    <m/>
    <m/>
    <m/>
    <m/>
    <m/>
    <m/>
    <m/>
    <m/>
    <m/>
    <m/>
    <m/>
    <m/>
    <m/>
    <m/>
    <m/>
    <m/>
    <m/>
    <m/>
    <m/>
    <m/>
    <m/>
    <n v="0.35299999999999998"/>
    <m/>
    <m/>
    <m/>
  </r>
  <r>
    <x v="3"/>
    <x v="75"/>
    <s v="Fresh or Not Specified"/>
    <s v="Organic"/>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40899999999999997"/>
    <s v=""/>
    <m/>
    <m/>
    <m/>
    <m/>
    <m/>
    <m/>
    <m/>
    <m/>
    <m/>
    <m/>
    <m/>
    <m/>
    <m/>
    <m/>
    <m/>
    <m/>
    <m/>
    <m/>
    <m/>
    <m/>
    <m/>
    <m/>
    <n v="0.40899999999999997"/>
    <m/>
    <m/>
    <m/>
  </r>
  <r>
    <x v="3"/>
    <x v="57"/>
    <s v="Fresh or Not Specified"/>
    <s v="Conventional - Iceberg"/>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192"/>
    <s v=""/>
    <m/>
    <m/>
    <m/>
    <m/>
    <m/>
    <m/>
    <m/>
    <m/>
    <m/>
    <m/>
    <m/>
    <m/>
    <m/>
    <m/>
    <m/>
    <m/>
    <m/>
    <m/>
    <m/>
    <m/>
    <m/>
    <m/>
    <n v="0.192"/>
    <m/>
    <m/>
    <m/>
  </r>
  <r>
    <x v="3"/>
    <x v="57"/>
    <s v="Fresh or Not Specified"/>
    <s v="Organic - Leaf"/>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26800000000000002"/>
    <s v=""/>
    <m/>
    <m/>
    <m/>
    <m/>
    <m/>
    <m/>
    <m/>
    <m/>
    <m/>
    <m/>
    <m/>
    <m/>
    <m/>
    <m/>
    <m/>
    <m/>
    <m/>
    <m/>
    <m/>
    <m/>
    <m/>
    <m/>
    <n v="0.26800000000000002"/>
    <m/>
    <m/>
    <m/>
  </r>
  <r>
    <x v="4"/>
    <x v="43"/>
    <s v="Fresh or Not Specified"/>
    <s v="Pineapple"/>
    <s v="No"/>
    <s v="Costa Rica"/>
    <n v="2012"/>
    <s v="Wesley W. Ingwersen;"/>
    <s v="US Environmental Protection Agency, National Risk Management Research Laboratory, Sustainable Technology Division;"/>
    <s v="Peer Reviewed Journal"/>
    <s v="Ingwersen, W. W., Life cycle assessment of fresh pineapple from Costa Rica. Journal of Cleaner Production 2012, 35, 152-163."/>
    <s v="Yes"/>
    <s v="Yes"/>
    <s v="Yes"/>
    <s v="Yes"/>
    <s v="Yes"/>
    <s v="Yes"/>
    <s v="Yes"/>
    <s v="No"/>
    <s v="No"/>
    <s v="No"/>
    <s v="No"/>
    <s v="No"/>
    <m/>
    <s v="Cradle to shelf"/>
    <s v="No"/>
    <s v="Yes"/>
    <s v="1 serving of fruit"/>
    <s v="reported value/0.165 (1 serving pineapple = 165 g)"/>
    <n v="2.8666666666666667"/>
    <s v=""/>
    <n v="0.32727272727272722"/>
    <s v=""/>
    <n v="2.8666666666666667"/>
    <m/>
    <m/>
    <n v="1.9393939392999999"/>
    <n v="1.2121212100000001"/>
    <m/>
    <m/>
    <m/>
    <m/>
    <n v="2.8666666666666667"/>
    <n v="6.0606060606060606"/>
    <m/>
    <m/>
    <n v="0.32727272727272722"/>
    <m/>
    <m/>
    <n v="0.13636363000000001"/>
    <n v="8.1818181000000004E-2"/>
    <m/>
    <m/>
    <m/>
    <m/>
    <n v="0.32727272727272722"/>
    <n v="0.54545454545454541"/>
    <n v="0.43"/>
    <m/>
  </r>
  <r>
    <x v="3"/>
    <x v="84"/>
    <s v="Fresh or Not Specified"/>
    <s v="asparagus"/>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
    <m/>
    <s v=""/>
    <s v=""/>
    <s v=""/>
    <s v=""/>
    <m/>
    <m/>
    <m/>
    <m/>
    <m/>
    <m/>
    <m/>
    <m/>
    <m/>
    <m/>
    <m/>
    <m/>
    <m/>
    <m/>
    <m/>
    <m/>
    <m/>
    <m/>
    <m/>
    <m/>
    <m/>
    <m/>
    <m/>
    <n v="8.8699999999999992"/>
    <s v="0.75to 13.49"/>
    <s v="SimaPro 7 &amp; Ecoinvent v2.0.1"/>
  </r>
  <r>
    <x v="3"/>
    <x v="57"/>
    <s v="Fresh or Not Specified"/>
    <s v="lettuce"/>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
    <m/>
    <s v=""/>
    <s v=""/>
    <s v=""/>
    <s v=""/>
    <m/>
    <m/>
    <m/>
    <m/>
    <m/>
    <m/>
    <m/>
    <m/>
    <m/>
    <m/>
    <m/>
    <m/>
    <m/>
    <m/>
    <m/>
    <m/>
    <m/>
    <m/>
    <m/>
    <m/>
    <m/>
    <m/>
    <m/>
    <n v="3.24"/>
    <s v="0.32to 4.37"/>
    <s v="SimaPro 7 &amp; Ecoinvent v2.0.1"/>
  </r>
  <r>
    <x v="4"/>
    <x v="20"/>
    <s v="Fresh or Not Specified"/>
    <s v="banana"/>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5"/>
    <s v="0.37to 0.47"/>
    <s v="SimaPro 7 &amp; Ecoinvent v2.0.1"/>
  </r>
  <r>
    <x v="3"/>
    <x v="19"/>
    <s v="Fresh or Not Specified"/>
    <s v="tomato"/>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69"/>
    <s v="0.31to 1.07"/>
    <s v="SimaPro 7 &amp; Ecoinvent v2.0.1"/>
  </r>
  <r>
    <x v="4"/>
    <x v="85"/>
    <s v="Fresh or Not Specified"/>
    <s v="pear"/>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8999999999999998"/>
    <s v="0.25to 0.62"/>
    <s v="SimaPro 7 &amp; Ecoinvent v2.0.1"/>
  </r>
  <r>
    <x v="4"/>
    <x v="69"/>
    <s v="Fresh or Not Specified"/>
    <s v="Citrus Fruits"/>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31"/>
    <s v="0.25to 0.61"/>
    <s v="SimaPro 7 &amp; Ecoinvent v2.0.1"/>
  </r>
  <r>
    <x v="3"/>
    <x v="86"/>
    <s v="Fresh or Not Specified"/>
    <s v="cucumber"/>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n v="1.25"/>
    <s v=""/>
    <m/>
    <m/>
    <m/>
    <m/>
    <m/>
    <m/>
    <m/>
    <m/>
    <m/>
    <m/>
    <m/>
    <m/>
    <m/>
    <m/>
    <m/>
    <m/>
    <m/>
    <m/>
    <m/>
    <m/>
    <m/>
    <m/>
    <n v="1.25"/>
    <m/>
    <s v="0.31to 2.13"/>
    <s v="SimaPro 7 &amp; Ecoinvent v2.0.1"/>
  </r>
  <r>
    <x v="4"/>
    <x v="66"/>
    <s v="Fresh or Not Specified"/>
    <s v="apple"/>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7"/>
    <s v="0.22to 0.65"/>
    <s v="SimaPro 7 &amp; Ecoinvent v2.0.1"/>
  </r>
  <r>
    <x v="3"/>
    <x v="19"/>
    <s v="Fresh or Not Specified"/>
    <s v="vine tomato"/>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67"/>
    <s v="0.31to 1.03"/>
    <s v="SimaPro 7 &amp; Ecoinvent v2.0.1"/>
  </r>
  <r>
    <x v="4"/>
    <x v="87"/>
    <s v="Fresh or Not Specified"/>
    <s v="grapes"/>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8999999999999998"/>
    <s v="0.23to 0.49"/>
    <s v="SimaPro 7 &amp; Ecoinvent v2.0.1"/>
  </r>
  <r>
    <x v="3"/>
    <x v="88"/>
    <s v="Fresh or Not Specified"/>
    <s v="bell pepper"/>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88"/>
    <s v="0.57to 1.67"/>
    <s v="SimaPro 7 &amp; Ecoinvent v2.0.1"/>
  </r>
  <r>
    <x v="3"/>
    <x v="44"/>
    <s v="Fresh or Not Specified"/>
    <s v="potato"/>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16"/>
    <s v="0.13to 0.47"/>
    <s v="SimaPro 7 &amp; Ecoinvent v2.0.1"/>
  </r>
  <r>
    <x v="4"/>
    <x v="89"/>
    <s v="Fresh or Not Specified"/>
    <s v="avocado"/>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1.27"/>
    <s v="0.65to 1.56"/>
    <s v="SimaPro 7 &amp; Ecoinvent v2.0.1"/>
  </r>
  <r>
    <x v="4"/>
    <x v="90"/>
    <s v="Fresh or Not Specified"/>
    <s v="melon"/>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7"/>
    <s v="0.19to 0.45"/>
    <s v="SimaPro 7 &amp; Ecoinvent v2.0.1"/>
  </r>
  <r>
    <x v="4"/>
    <x v="91"/>
    <s v="Fresh or Not Specified"/>
    <s v="kiwi"/>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6"/>
    <s v="0.46to 0.77"/>
    <s v="SimaPro 7 &amp; Ecoinvent v2.0.1"/>
  </r>
  <r>
    <x v="4"/>
    <x v="81"/>
    <s v="Fresh or Not Specified"/>
    <s v="strawberry"/>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8000000000000003"/>
    <s v="0.16to 0.36"/>
    <s v="SimaPro 7 &amp; Ecoinvent v2.0.1"/>
  </r>
  <r>
    <x v="3"/>
    <x v="92"/>
    <s v="Fresh or Not Specified"/>
    <s v="leek"/>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s v="0.43to 0.48"/>
    <s v="SimaPro 7 &amp; Ecoinvent v2.0.1"/>
  </r>
  <r>
    <x v="3"/>
    <x v="93"/>
    <s v="Fresh or Not Specified"/>
    <s v="onion"/>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s v="0.43to 0.48"/>
    <s v="SimaPro 7 &amp; Ecoinvent v2.0.1"/>
  </r>
  <r>
    <x v="3"/>
    <x v="94"/>
    <s v="Fresh or Not Specified"/>
    <s v="carrot"/>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s v="0.43to 0.48"/>
    <s v="SimaPro 7 &amp; Ecoinvent v2.0.1"/>
  </r>
  <r>
    <x v="3"/>
    <x v="95"/>
    <s v="Fresh or Not Specified"/>
    <s v="cauliflower"/>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39"/>
    <s v="0.33to 0.47"/>
    <s v="SimaPro 7 &amp; Ecoinvent v2.0.1"/>
  </r>
  <r>
    <x v="4"/>
    <x v="43"/>
    <s v="Fresh or Not Specified"/>
    <s v="pineapple"/>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34"/>
    <s v="0.29to 0.45"/>
    <s v="SimaPro 7 &amp; Ecoinvent v2.0.1"/>
  </r>
  <r>
    <x v="3"/>
    <x v="96"/>
    <s v="Fresh or Not Specified"/>
    <s v="fennel"/>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s v="0.37to 0.56"/>
    <s v="SimaPro 7 &amp; Ecoinvent v2.0.1"/>
  </r>
  <r>
    <x v="3"/>
    <x v="75"/>
    <s v="Fresh or Not Specified"/>
    <s v="broccoli"/>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s v="0.38to 0.51"/>
    <s v="SimaPro 7 &amp; Ecoinvent v2.0.1"/>
  </r>
  <r>
    <x v="3"/>
    <x v="97"/>
    <s v="Fresh or Not Specified"/>
    <s v="eggplant"/>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1.3"/>
    <s v="0.64to 2.92"/>
    <s v="SimaPro 7 &amp; Ecoinvent v2.0.1"/>
  </r>
  <r>
    <x v="3"/>
    <x v="98"/>
    <s v="Fresh or Not Specified"/>
    <s v="fennel, cauliflower, broccoli"/>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8"/>
    <s v="0.37to 0.53"/>
    <s v="SimaPro 7 &amp; Ecoinvent v2.0.1"/>
  </r>
  <r>
    <x v="3"/>
    <x v="99"/>
    <s v="Fresh or Not Specified"/>
    <s v="zucchini"/>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3"/>
    <s v="0.19to 0.34"/>
    <s v="SimaPro 7 &amp; Ecoinvent v2.0.1"/>
  </r>
  <r>
    <x v="3"/>
    <x v="100"/>
    <s v="Fresh or Not Specified"/>
    <s v="spinach"/>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13"/>
    <s v="0.11to 0.27"/>
    <s v="SimaPro 7 &amp; Ecoinvent v2.0.1"/>
  </r>
  <r>
    <x v="1"/>
    <x v="23"/>
    <s v="Fresh or Not Specified"/>
    <s v="scan level, average US"/>
    <s v="Yes"/>
    <s v="US"/>
    <n v="2011"/>
    <s v="Thoma, Greg; Nutter, Darin; Ulrich, Rick; Maxwell, Charles; Frank, Jason; East, Cashion"/>
    <s v="University of Arkansas"/>
    <s v="Industry Based Report"/>
    <s v="Thoma, G., Martin, R. E., Nutter, D., Ulrich, R., Maxwell, C., Frank, J. and East, C., National Life Cycle Carbon Footprint Study for Production of US Swine. National Pork Board; 2011."/>
    <s v="Yes"/>
    <s v="No"/>
    <s v="Yes"/>
    <s v="Yes"/>
    <s v="Yes"/>
    <s v="Yes"/>
    <s v="Yes"/>
    <s v="Yes"/>
    <s v="Yes"/>
    <s v="Yes"/>
    <s v="No"/>
    <s v="No"/>
    <m/>
    <s v="cradle to grave, although farm gate reported explicitly"/>
    <s v="Yes"/>
    <s v="Yes"/>
    <s v="4 oz boneless serving"/>
    <s v="4 oz = 0.113 kg"/>
    <s v=""/>
    <s v=""/>
    <n v="6.2640707964601781"/>
    <n v="6.8240707964601786"/>
    <m/>
    <m/>
    <m/>
    <m/>
    <m/>
    <m/>
    <m/>
    <m/>
    <m/>
    <m/>
    <m/>
    <m/>
    <m/>
    <n v="6.2640707964601781"/>
    <m/>
    <n v="0.56000000000000005"/>
    <n v="0.13182300884955753"/>
    <m/>
    <n v="0.71957522123893813"/>
    <n v="2.2499115044247793"/>
    <m/>
    <m/>
    <n v="6.2640707964601781"/>
    <n v="9.9115044247787623"/>
    <s v="95% CI: 8.84 - 11.65"/>
    <s v="100yr IPCC 2007"/>
  </r>
  <r>
    <x v="1"/>
    <x v="23"/>
    <s v="Fresh or Not Specified"/>
    <s v="Northern Germany, 2010/2011"/>
    <s v="No"/>
    <s v="Germany"/>
    <n v="2013"/>
    <s v="K, Reckmann; I. Traulsen; J. Krieter"/>
    <s v="Institute of Animal Breeding and Husbandry, Christian-Albrechts-University, Olshausenstraße 40, D-24098 Kiel, Germany"/>
    <s v="Peer Reviewed Journal"/>
    <s v="Reckmann, K., Traulsen, I. and Krieter, J., Life Cycle Assessment of pork production: A data inventory for the case of Germany. Livestock Science 2013, 157 (2-3), 586-596."/>
    <s v="Yes"/>
    <s v="No"/>
    <s v="Yes"/>
    <s v="Yes"/>
    <s v="No"/>
    <s v="No"/>
    <s v="No"/>
    <s v="No"/>
    <s v="No"/>
    <s v="No"/>
    <s v="No"/>
    <s v="No"/>
    <m/>
    <m/>
    <s v="No"/>
    <m/>
    <s v="1 kg slaughter weight pork"/>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23.319615912208505"/>
    <n v="26.748970912208506"/>
    <n v="4.1289437585733877"/>
    <n v="4.4170097585733874"/>
    <n v="23.319615912208505"/>
    <m/>
    <n v="3.4293550000000002"/>
    <m/>
    <m/>
    <m/>
    <m/>
    <m/>
    <m/>
    <n v="23.319615912208505"/>
    <n v="26.748971193415638"/>
    <m/>
    <m/>
    <n v="4.1289437585733877"/>
    <m/>
    <n v="0.28806599999999999"/>
    <m/>
    <m/>
    <m/>
    <m/>
    <m/>
    <m/>
    <n v="4.1289437585733877"/>
    <n v="4.4170096021947876"/>
    <m/>
    <s v="CML 2 Baseline 200 (IPCC 2006)"/>
  </r>
  <r>
    <x v="1"/>
    <x v="23"/>
    <s v="Fresh or Not Specified"/>
    <s v="Flanders"/>
    <m/>
    <s v="Belgium"/>
    <n v="2016"/>
    <s v="Graham A. McAuliffe a,b,⁎, Deborah V. Chapman b, Colin L. Sage a"/>
    <s v="a Department of Geography, University College Cork, O'Donovan's Road, Cork, Ireland; b School of Biological, Earth and Environmental Sciences, University College Cork, Distillery Fields, North Mall, Cork, Ireland"/>
    <s v="Peer Reviewed Journal"/>
    <s v="Mcauliffe, G. A., Chapman, D. V. and Sage, C. L., A thematic review of life cycle assessment (LCA) applied to pig production. Environmental Impact Assessment Review 2016, 56, 12-22."/>
    <s v="Yes"/>
    <m/>
    <s v="Yes"/>
    <s v="Yes"/>
    <m/>
    <m/>
    <m/>
    <m/>
    <m/>
    <m/>
    <m/>
    <m/>
    <m/>
    <m/>
    <m/>
    <m/>
    <s v="1 kg deboned pig meat"/>
    <m/>
    <s v=""/>
    <s v=""/>
    <s v=""/>
    <s v=""/>
    <m/>
    <m/>
    <m/>
    <m/>
    <m/>
    <m/>
    <m/>
    <m/>
    <m/>
    <m/>
    <m/>
    <m/>
    <m/>
    <m/>
    <m/>
    <m/>
    <m/>
    <m/>
    <m/>
    <m/>
    <m/>
    <m/>
    <m/>
    <n v="4.8"/>
    <m/>
    <m/>
  </r>
  <r>
    <x v="1"/>
    <x v="23"/>
    <s v="Fresh or Not Specified"/>
    <m/>
    <m/>
    <s v="Belgium"/>
    <n v="2016"/>
    <s v="Graham A. McAuliffe a,b,⁎, Deborah V. Chapman b, Colin L. Sage a"/>
    <s v="a Department of Geography, University College Cork, O'Donovan's Road, Cork, Ireland; b School of Biological, Earth and Environmental Sciences, University College Cork, Distillery Fields, North Mall, Cork, Ireland"/>
    <s v="Peer Reviewed Journal"/>
    <s v="Mcauliffe, G. A., Chapman, D. V. and Sage, C. L., A thematic review of life cycle assessment (LCA) applied to pig production. Environmental Impact Assessment Review 2016, 56, 12-22."/>
    <m/>
    <m/>
    <m/>
    <m/>
    <m/>
    <m/>
    <m/>
    <m/>
    <m/>
    <m/>
    <m/>
    <m/>
    <m/>
    <s v="crop production to delivery of pork to Antwerp in Belgium"/>
    <m/>
    <m/>
    <s v="1 kg carcass weight pig mea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m/>
    <m/>
    <m/>
    <m/>
    <m/>
    <m/>
    <m/>
    <m/>
    <m/>
    <m/>
    <m/>
    <m/>
    <m/>
    <n v="3.4979423868312756"/>
    <m/>
    <m/>
  </r>
  <r>
    <x v="1"/>
    <x v="23"/>
    <s v="Fresh or Not Specified"/>
    <s v="organic; indoor fattening"/>
    <s v="Yes"/>
    <s v="Denmark"/>
    <n v="2010"/>
    <s v="Niels Halberg1*, John E. Hermansen2, Ib Sillebak Kristensen2, Jørgen Eriksen2, Niels Tvedegaard3,Bjørn Molt Petersen2"/>
    <s v="1 International Centre for Research in Organic Food Systems, PO Box 50, 8830 Tjele, Denmark; 2 Faculty of Agricultural Sciences, University of Aarhus, Department of Agroecology &amp; Environment, PO Box 50, 8830 Tjele, Denmark;3 Institute of Food and Resource Economics, Rolighedsvej 25, 1958 Frederiksberg C, Denmark"/>
    <s v="Peer Reviewed Journal"/>
    <s v="Halberg, N., Hermansen, J. E., Kristensen, I. S., Eriksen, J., Tvedegaard, N. and Petersen, B. M., Impact of organic pig production systems on CO2 emission, C sequestration and nitrate pollution. Agronomy for Sustainable Development 2010, 30 (4), 721-731."/>
    <s v="Yes"/>
    <s v="No"/>
    <s v="No"/>
    <s v="No"/>
    <s v="No"/>
    <s v="No"/>
    <s v="No"/>
    <s v="No"/>
    <s v="No"/>
    <s v="No"/>
    <s v="No"/>
    <s v="No"/>
    <m/>
    <s v="pig production only"/>
    <s v="No"/>
    <s v="Yes"/>
    <s v="kg live weight"/>
    <s v="dressing yield=72.4%, boneless = 0.729*carcass  from Weights, Measures, and Conversion Factors for Agricultural Commodities and Their Products."/>
    <s v=""/>
    <s v=""/>
    <n v="5.5324405641573637"/>
    <s v=""/>
    <m/>
    <m/>
    <m/>
    <m/>
    <m/>
    <m/>
    <m/>
    <m/>
    <m/>
    <m/>
    <m/>
    <m/>
    <m/>
    <m/>
    <m/>
    <m/>
    <m/>
    <m/>
    <m/>
    <m/>
    <m/>
    <m/>
    <n v="5.5324405641573637"/>
    <m/>
    <s v="EDIP 97"/>
    <m/>
  </r>
  <r>
    <x v="1"/>
    <x v="23"/>
    <s v="Fresh or Not Specified"/>
    <s v="organic; free range"/>
    <s v="Yes"/>
    <s v="Denmark"/>
    <n v="2010"/>
    <s v="Niels Halberg1*, John E. Hermansen2, Ib Sillebak Kristensen2, Jørgen Eriksen2, Niels Tvedegaard3,Bjørn Molt Petersen2"/>
    <s v="1 International Centre for Research in Organic Food Systems, PO Box 50, 8830 Tjele, Denmark; 2 Faculty of Agricultural Sciences, University of Aarhus, Department of Agroecology &amp; Environment, PO Box 50, 8830 Tjele, Denmark;3 Institute of Food and Resource Economics, Rolighedsvej 25, 1958 Frederiksberg C, Denmark"/>
    <s v="Peer Reviewed Journal"/>
    <s v="Halberg, N., Hermansen, J. E., Kristensen, I. S., Eriksen, J., Tvedegaard, N. and Petersen, B. M., Impact of organic pig production systems on CO2 emission, C sequestration and nitrate pollution. Agronomy for Sustainable Development 2010, 30 (4), 721-731."/>
    <s v="Yes"/>
    <s v="No"/>
    <s v="No"/>
    <s v="No"/>
    <s v="No"/>
    <s v="No"/>
    <s v="No"/>
    <s v="No"/>
    <s v="No"/>
    <s v="No"/>
    <s v="No"/>
    <s v="No"/>
    <m/>
    <s v="pig production only"/>
    <s v="No"/>
    <s v="Yes"/>
    <s v="kg live weight"/>
    <s v="dressing yield=72.4%, boneless = 0.729*carcass  from Weights, Measures, and Conversion Factors for Agricultural Commodities and Their Products."/>
    <s v=""/>
    <s v=""/>
    <n v="6.2903091345898794"/>
    <s v=""/>
    <m/>
    <m/>
    <m/>
    <m/>
    <m/>
    <m/>
    <m/>
    <m/>
    <m/>
    <m/>
    <m/>
    <m/>
    <m/>
    <m/>
    <m/>
    <m/>
    <m/>
    <m/>
    <m/>
    <m/>
    <m/>
    <m/>
    <n v="6.2903091345898794"/>
    <m/>
    <s v="EDIP 97"/>
    <m/>
  </r>
  <r>
    <x v="1"/>
    <x v="23"/>
    <s v="Fresh or Not Specified"/>
    <s v="organic; tent system"/>
    <s v="Yes"/>
    <s v="Denmark"/>
    <n v="2010"/>
    <s v="Niels Halberg1*, John E. Hermansen2, Ib Sillebak Kristensen2, Jørgen Eriksen2, Niels Tvedegaard3,Bjørn Molt Petersen2"/>
    <s v="1 International Centre for Research in Organic Food Systems, PO Box 50, 8830 Tjele, Denmark; 2 Faculty of Agricultural Sciences, University of Aarhus, Department of Agroecology &amp; Environment, PO Box 50, 8830 Tjele, Denmark;3 Institute of Food and Resource Economics, Rolighedsvej 25, 1958 Frederiksberg C, Denmark"/>
    <s v="Peer Reviewed Journal"/>
    <s v="Halberg, N., Hermansen, J. E., Kristensen, I. S., Eriksen, J., Tvedegaard, N. and Petersen, B. M., Impact of organic pig production systems on CO2 emission, C sequestration and nitrate pollution. Agronomy for Sustainable Development 2010, 30 (4), 721-731."/>
    <s v="Yes"/>
    <s v="No"/>
    <s v="No"/>
    <s v="No"/>
    <s v="No"/>
    <s v="No"/>
    <s v="No"/>
    <s v="No"/>
    <s v="No"/>
    <s v="No"/>
    <s v="No"/>
    <s v="No"/>
    <m/>
    <s v="pig production only"/>
    <s v="No"/>
    <s v="Yes"/>
    <s v="kg live weight"/>
    <s v="dressing yield=72.4%, boneless = 0.729*carcass  from Weights, Measures, and Conversion Factors for Agricultural Commodities and Their Products."/>
    <s v=""/>
    <s v=""/>
    <n v="5.3619201358100481"/>
    <s v=""/>
    <m/>
    <m/>
    <m/>
    <m/>
    <m/>
    <m/>
    <m/>
    <m/>
    <m/>
    <m/>
    <m/>
    <m/>
    <m/>
    <m/>
    <m/>
    <m/>
    <m/>
    <m/>
    <m/>
    <m/>
    <m/>
    <m/>
    <n v="5.3619201358100481"/>
    <m/>
    <s v="EDIP 97"/>
    <m/>
  </r>
  <r>
    <x v="1"/>
    <x v="23"/>
    <s v="Fresh or Not Specified"/>
    <s v="commodity production, high profitability"/>
    <s v="Yes"/>
    <s v="Upper Midwest US"/>
    <n v="2010"/>
    <s v="N. Pelletier, P. Lammers, D. Stender, R. Pirog"/>
    <s v="a School for Resource and Environmental Studies, Dalhousie University, Canada; b Department of Animal Science, Iowa State University, United States; c Iowa State University Extension, United States; d Leopold Center for Sustainable Agriculture, Iowa State University, United States"/>
    <s v="Peer Reviewed Journal"/>
    <s v="Pelletier, N., Lammers, P., Stender, D. and Pirog, R., Life cycle assessment of high- and low-profitability commodity and deep-bedded niche swine production systems in the Upper Midwestern United States. Agricultural Systems 2010, 103 (9), 599-608."/>
    <s v="Yes"/>
    <s v="No"/>
    <s v="No"/>
    <s v="No"/>
    <s v="No"/>
    <s v="No"/>
    <s v="No"/>
    <s v="No"/>
    <s v="No"/>
    <s v="No"/>
    <s v="No"/>
    <s v="No"/>
    <m/>
    <s v="cradle to farm gate"/>
    <s v="No"/>
    <s v="No"/>
    <s v="kg live weight"/>
    <s v="dressing yield=72.4%, boneless = 0.729*carcass  from Weights, Measures, and Conversion Factors for Agricultural Commodities and Their Products."/>
    <n v="18.378312832988502"/>
    <s v=""/>
    <n v="4.6798384224207838"/>
    <s v=""/>
    <m/>
    <m/>
    <m/>
    <m/>
    <m/>
    <m/>
    <m/>
    <m/>
    <m/>
    <n v="18.378312832988502"/>
    <m/>
    <m/>
    <m/>
    <m/>
    <m/>
    <m/>
    <m/>
    <m/>
    <m/>
    <m/>
    <m/>
    <m/>
    <n v="4.6798384224207838"/>
    <m/>
    <m/>
    <m/>
  </r>
  <r>
    <x v="1"/>
    <x v="23"/>
    <s v="Fresh or Not Specified"/>
    <s v="commodity production, low profitability"/>
    <s v="Yes"/>
    <s v="Upper Midwest US"/>
    <n v="2010"/>
    <s v="N. Pelletier, P. Lammers, D. Stender, R. Pirog"/>
    <s v="a School for Resource and Environmental Studies, Dalhousie University, Canada; b Department of Animal Science, Iowa State University, United States; c Iowa State University Extension, United States; d Leopold Center for Sustainable Agriculture, Iowa State University, United States"/>
    <s v="Peer Reviewed Journal"/>
    <s v="Pelletier, N., Lammers, P., Stender, D. and Pirog, R., Life cycle assessment of high- and low-profitability commodity and deep-bedded niche swine production systems in the Upper Midwestern United States. Agricultural Systems 2010, 103 (9), 599-608."/>
    <s v="Yes"/>
    <s v="No"/>
    <s v="No"/>
    <s v="No"/>
    <s v="No"/>
    <s v="No"/>
    <s v="No"/>
    <s v="No"/>
    <s v="No"/>
    <s v="No"/>
    <s v="No"/>
    <s v="No"/>
    <m/>
    <s v="cradle to farm gate"/>
    <s v="No"/>
    <s v="No"/>
    <s v="kg live weight"/>
    <s v="dressing yield=72.4%, boneless = 0.729*carcass  from Weights, Measures, and Conversion Factors for Agricultural Commodities and Their Products."/>
    <n v="22.546589970367343"/>
    <s v=""/>
    <n v="5.7787478495479316"/>
    <s v=""/>
    <m/>
    <m/>
    <m/>
    <m/>
    <m/>
    <m/>
    <m/>
    <m/>
    <m/>
    <n v="22.546589970367343"/>
    <m/>
    <m/>
    <m/>
    <m/>
    <m/>
    <m/>
    <m/>
    <m/>
    <m/>
    <m/>
    <m/>
    <m/>
    <n v="5.7787478495479316"/>
    <m/>
    <m/>
    <m/>
  </r>
  <r>
    <x v="1"/>
    <x v="23"/>
    <s v="Fresh or Not Specified"/>
    <s v="deep bedded niche production, high profitability"/>
    <s v="Yes"/>
    <s v="Upper Midwest US"/>
    <n v="2010"/>
    <s v="N. Pelletier, P. Lammers, D. Stender, R. Pirog"/>
    <s v="a School for Resource and Environmental Studies, Dalhousie University, Canada; b Department of Animal Science, Iowa State University, United States; c Iowa State University Extension, United States; d Leopold Center for Sustainable Agriculture, Iowa State University, United States"/>
    <s v="Peer Reviewed Journal"/>
    <s v="Pelletier, N., Lammers, P., Stender, D. and Pirog, R., Life cycle assessment of high- and low-profitability commodity and deep-bedded niche swine production systems in the Upper Midwestern United States. Agricultural Systems 2010, 103 (9), 599-608."/>
    <s v="Yes"/>
    <s v="No"/>
    <s v="No"/>
    <s v="No"/>
    <s v="No"/>
    <s v="No"/>
    <s v="No"/>
    <s v="No"/>
    <s v="No"/>
    <s v="No"/>
    <s v="No"/>
    <s v="No"/>
    <m/>
    <s v="cradle to farm gate"/>
    <s v="No"/>
    <s v="No"/>
    <s v="kg live weight"/>
    <s v="dressing yield=72.4%, boneless = 0.729*carcass  from Weights, Measures, and Conversion Factors for Agricultural Commodities and Their Products."/>
    <n v="21.599254257326695"/>
    <s v=""/>
    <n v="4.774571993724849"/>
    <s v=""/>
    <m/>
    <m/>
    <m/>
    <m/>
    <m/>
    <m/>
    <m/>
    <m/>
    <m/>
    <n v="21.599254257326695"/>
    <m/>
    <m/>
    <m/>
    <m/>
    <m/>
    <m/>
    <m/>
    <m/>
    <m/>
    <m/>
    <m/>
    <m/>
    <n v="4.774571993724849"/>
    <m/>
    <m/>
    <m/>
  </r>
  <r>
    <x v="1"/>
    <x v="23"/>
    <s v="Fresh or Not Specified"/>
    <s v="deep bedded niche production, low profitability"/>
    <s v="Yes"/>
    <s v="Upper Midwest US"/>
    <n v="2010"/>
    <s v="N. Pelletier, P. Lammers, D. Stender, R. Pirog"/>
    <s v="a School for Resource and Environmental Studies, Dalhousie University, Canada; b Department of Animal Science, Iowa State University, United States; c Iowa State University Extension, United States; d Leopold Center for Sustainable Agriculture, Iowa State University, United States"/>
    <s v="Peer Reviewed Journal"/>
    <s v="Pelletier, N., Lammers, P., Stender, D. and Pirog, R., Life cycle assessment of high- and low-profitability commodity and deep-bedded niche swine production systems in the Upper Midwestern United States. Agricultural Systems 2010, 103 (9), 599-608."/>
    <s v="Yes"/>
    <s v="No"/>
    <s v="No"/>
    <s v="No"/>
    <s v="No"/>
    <s v="No"/>
    <s v="No"/>
    <s v="No"/>
    <s v="No"/>
    <s v="No"/>
    <s v="No"/>
    <s v="No"/>
    <m/>
    <s v="cradle to farm gate"/>
    <s v="No"/>
    <s v="No"/>
    <s v="kg live weight"/>
    <s v="dressing yield=72.4%, boneless = 0.729*carcass  from Weights, Measures, and Conversion Factors for Agricultural Commodities and Their Products."/>
    <n v="27.283268535570564"/>
    <s v=""/>
    <n v="6.3092558488506931"/>
    <s v=""/>
    <m/>
    <m/>
    <m/>
    <m/>
    <m/>
    <m/>
    <m/>
    <m/>
    <m/>
    <n v="27.283268535570564"/>
    <m/>
    <m/>
    <m/>
    <m/>
    <m/>
    <m/>
    <m/>
    <m/>
    <m/>
    <m/>
    <m/>
    <m/>
    <n v="6.3092558488506931"/>
    <m/>
    <m/>
    <m/>
  </r>
  <r>
    <x v="1"/>
    <x v="23"/>
    <s v="Fresh or Not Specified"/>
    <s v="southern Australia (deep litter housing)"/>
    <s v="Yes"/>
    <s v="Austalia"/>
    <n v="2010"/>
    <s v="Stephen Wiedemann, Eugene McGahan, Shelly Grist and Tim Grant"/>
    <s v="Australian Government Rural Industries Research and Development Corp."/>
    <s v="Government Report"/>
    <s v="Wiedemann, S., Mcgahan, E., Grist, S. and Grant, T., Environmental Assessment of Two Pork Supply Chains Using Life Cycle Assessment. Rural Industries Research and Development Corporation of the Australian Government; 2010. Report No.: RIRDC Pub. No. 09/176."/>
    <s v="Yes"/>
    <s v="No"/>
    <s v="Yes"/>
    <s v="Yes"/>
    <s v="No"/>
    <s v="No"/>
    <s v="No"/>
    <s v="No"/>
    <s v="No"/>
    <s v="No"/>
    <s v="No"/>
    <s v="No"/>
    <m/>
    <s v="cradle to slaughterhouse gate"/>
    <s v="No"/>
    <s v="Yes"/>
    <s v="kg hot standard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24.554183813443071"/>
    <n v="35.880089163237308"/>
    <n v="3.614540466392318"/>
    <n v="4.252400548696845"/>
    <n v="24.554183813443071"/>
    <n v="7.5750000000000002"/>
    <n v="3.7509053497942384"/>
    <m/>
    <m/>
    <m/>
    <m/>
    <m/>
    <m/>
    <n v="24.554183813443071"/>
    <n v="27.846364883401922"/>
    <m/>
    <m/>
    <n v="3.614540466392318"/>
    <m/>
    <n v="0.63786008230452673"/>
    <m/>
    <m/>
    <m/>
    <m/>
    <m/>
    <m/>
    <n v="3.614540466392318"/>
    <n v="4.252400548696845"/>
    <m/>
    <m/>
  </r>
  <r>
    <x v="1"/>
    <x v="23"/>
    <s v="Fresh or Not Specified"/>
    <s v="northern Australia (conventional housing)"/>
    <s v="Yes"/>
    <s v="Austalia"/>
    <n v="2010"/>
    <s v="Stephen Wiedemann, Eugene McGahan, Shelly Grist and Tim Grant"/>
    <s v="Australian Government Rural Industries Research and Development Corp."/>
    <s v="Government Report"/>
    <s v="Wiedemann, S., Mcgahan, E., Grist, S. and Grant, T., Environmental Assessment of Two Pork Supply Chains Using Life Cycle Assessment. Rural Industries Research and Development Corporation of the Australian Government; 2010. Report No.: RIRDC Pub. No. 09/176."/>
    <s v="Yes"/>
    <s v="No"/>
    <s v="Yes"/>
    <s v="Yes"/>
    <s v="No"/>
    <s v="No"/>
    <s v="No"/>
    <s v="No"/>
    <s v="No"/>
    <s v="No"/>
    <s v="No"/>
    <s v="No"/>
    <m/>
    <s v="cradle to slaughterhouse gate"/>
    <s v="No"/>
    <s v="Yes"/>
    <s v="kg hot standard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30.8641975308642"/>
    <n v="39.165943827160497"/>
    <n v="7.0919067215363505"/>
    <n v="7.544581618655692"/>
    <n v="30.8641975308642"/>
    <n v="5.274"/>
    <n v="3.0277462962962969"/>
    <m/>
    <m/>
    <m/>
    <m/>
    <m/>
    <m/>
    <n v="30.8641975308642"/>
    <n v="33.607681755829908"/>
    <m/>
    <m/>
    <n v="7.0919067215363505"/>
    <m/>
    <n v="0.45267489711934156"/>
    <m/>
    <m/>
    <m/>
    <m/>
    <m/>
    <m/>
    <n v="7.0919067215363505"/>
    <n v="7.5445816186556929"/>
    <m/>
    <m/>
  </r>
  <r>
    <x v="1"/>
    <x v="23"/>
    <s v="Fresh or Not Specified"/>
    <s v="ave of 27 farms"/>
    <s v="Yes"/>
    <s v="Netherlands"/>
    <n v="2012"/>
    <s v="M.A. Dolman a,b,n, H.C.J.Vrolijk a, I.J.M.deBoer b"/>
    <s v="a Agricultural EconomicsResearchInstitute,WageningenUniversityandResearchCentre,POBox29703,NL-2502LS,TheNetherlands_x000a_b Animal ProductionSystemsGroup,WageningenUniversity,TheNetherlands"/>
    <s v="Peer Reviewed Journal"/>
    <s v="Dolman, M. A., Vrolijk, H. C. J. and De Boer, I. J. M., Exploring variation in economic, environmental and societal performance among Dutch fattening pig farms. Livestock Science 2012, 149 (1-2), 143-154."/>
    <s v="Yes"/>
    <s v="No"/>
    <s v="No"/>
    <s v="No"/>
    <s v="No"/>
    <s v="No"/>
    <s v="No"/>
    <s v="No"/>
    <s v="No"/>
    <s v="No"/>
    <s v="No"/>
    <s v="No"/>
    <m/>
    <s v="cradle to farm gate"/>
    <s v="No"/>
    <s v="No"/>
    <s v="100 kg slaughter weight"/>
    <s v="/100/.729"/>
    <n v="38.436213991769549"/>
    <s v=""/>
    <n v="7.4897119341563787"/>
    <s v=""/>
    <m/>
    <m/>
    <m/>
    <m/>
    <m/>
    <m/>
    <m/>
    <m/>
    <m/>
    <n v="38.436213991769549"/>
    <m/>
    <m/>
    <m/>
    <m/>
    <m/>
    <m/>
    <m/>
    <m/>
    <m/>
    <m/>
    <m/>
    <m/>
    <n v="7.4897119341563787"/>
    <m/>
    <m/>
    <m/>
  </r>
  <r>
    <x v="1"/>
    <x v="23"/>
    <s v="Fresh or Not Specified"/>
    <m/>
    <s v="No"/>
    <s v="EU"/>
    <n v="2012"/>
    <s v="Thu Lan T. Nguyen*, John E. Hermansen, Lisbeth Mogensen"/>
    <s v="Department of Agroecology, Aarhus University, Tjele, Denmark"/>
    <s v="Peer Reviewed Journal"/>
    <s v="Nguyen, T. L. T., Hermansen, J. E. and Mogensen, L., Environmental costs of meat production: the case of typical EU pork production. Journal of Cleaner Production 2012, 28, 168-176."/>
    <s v="Yes"/>
    <s v="No"/>
    <s v="No"/>
    <s v="No"/>
    <s v="No"/>
    <s v="No"/>
    <s v="No"/>
    <s v="No"/>
    <s v="No"/>
    <s v="No"/>
    <s v="No"/>
    <s v="No"/>
    <m/>
    <s v="cradle to farm gate"/>
    <s v="No"/>
    <s v="No"/>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26.886145404663925"/>
    <s v=""/>
    <n v="6.5843621399176957"/>
    <s v=""/>
    <m/>
    <m/>
    <m/>
    <m/>
    <m/>
    <m/>
    <m/>
    <m/>
    <m/>
    <n v="26.886145404663925"/>
    <m/>
    <m/>
    <m/>
    <m/>
    <m/>
    <m/>
    <m/>
    <m/>
    <m/>
    <m/>
    <m/>
    <m/>
    <n v="6.5843621399176957"/>
    <m/>
    <m/>
    <m/>
  </r>
  <r>
    <x v="1"/>
    <x v="23"/>
    <s v="Fresh or Not Specified"/>
    <s v="conventional"/>
    <s v="Yes"/>
    <s v="EU"/>
    <n v="2014"/>
    <s v="Dourmad, J. Y.; Ryschawy, J.; Trousson, T.; Bonneau, M.; Gonzàlez, J.; Houwers, H. W. J.;Hviid, M.; Zimmer, C.; Nguyen, T. L. T.; Morgensen, L."/>
    <s v="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
    <s v="Peer Reviewed Journal"/>
    <s v="Dourmad, J. Y., Ryschawy, J., Trousson, T., Bonneau, M., Gonzàlez, J., Houwers, H. W. J., Hviid, M., Zimmer, C., Nguyen, T. L. T. and Morgensen, L., Evaluating environmental impacts of contrasting pig farming systems with life cycle assessment. Animal 2014, 8 (12), 2027-2037."/>
    <s v="Yes"/>
    <s v="No"/>
    <s v="No"/>
    <s v="No"/>
    <s v="No"/>
    <s v="No"/>
    <s v="No"/>
    <s v="No"/>
    <s v="No"/>
    <s v="No"/>
    <s v="No"/>
    <s v="No"/>
    <m/>
    <s v="cradle to farm gate"/>
    <s v="No"/>
    <s v="No"/>
    <s v="1 kg live weight"/>
    <s v="dressing yield=72.4%, boneless = 0.729*carcass  from Weights, Measures, and Conversion Factors for Agricultural Commodities and Their Products."/>
    <n v="30.731570531038503"/>
    <s v=""/>
    <n v="4.2630107086829003"/>
    <s v=""/>
    <m/>
    <m/>
    <m/>
    <m/>
    <m/>
    <m/>
    <m/>
    <m/>
    <m/>
    <n v="30.731570531038503"/>
    <m/>
    <m/>
    <m/>
    <m/>
    <m/>
    <m/>
    <m/>
    <m/>
    <m/>
    <m/>
    <m/>
    <m/>
    <n v="4.2630107086829003"/>
    <m/>
    <s v="SD=.085"/>
    <s v="100 yr IPCC 2006"/>
  </r>
  <r>
    <x v="1"/>
    <x v="23"/>
    <s v="Fresh or Not Specified"/>
    <s v="adapted conventional"/>
    <s v="Yes"/>
    <s v="EU"/>
    <n v="2014"/>
    <s v="Dourmad, J. Y.; Ryschawy, J.; Trousson, T.; Bonneau, M.; Gonzàlez, J.; Houwers, H. W. J.;Hviid, M.; Zimmer, C.; Nguyen, T. L. T.; Morgensen, L."/>
    <s v="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
    <s v="Peer Reviewed Journal"/>
    <s v="Dourmad, J. Y., Ryschawy, J., Trousson, T., Bonneau, M., Gonzàlez, J., Houwers, H. W. J., Hviid, M., Zimmer, C., Nguyen, T. L. T. and Morgensen, L., Evaluating environmental impacts of contrasting pig farming systems with life cycle assessment. Animal 2014, 8 (12), 2027-2037."/>
    <s v="Yes"/>
    <s v="No"/>
    <s v="No"/>
    <s v="No"/>
    <s v="No"/>
    <s v="No"/>
    <s v="No"/>
    <s v="No"/>
    <s v="No"/>
    <s v="No"/>
    <s v="No"/>
    <s v="No"/>
    <m/>
    <s v="cradle to farm gate"/>
    <s v="No"/>
    <s v="No"/>
    <s v="1 kg live weight"/>
    <s v="dressing yield=72.4%, boneless = 0.729*carcass  from Weights, Measures, and Conversion Factors for Agricultural Commodities and Their Products."/>
    <n v="31.26207853034127"/>
    <s v=""/>
    <n v="4.8693055650289123"/>
    <s v=""/>
    <m/>
    <m/>
    <m/>
    <m/>
    <m/>
    <m/>
    <m/>
    <m/>
    <m/>
    <n v="31.26207853034127"/>
    <m/>
    <m/>
    <m/>
    <m/>
    <m/>
    <m/>
    <m/>
    <m/>
    <m/>
    <m/>
    <m/>
    <m/>
    <n v="4.8693055650289123"/>
    <m/>
    <s v="SD=0.602"/>
    <s v="100 yr IPCC 2006"/>
  </r>
  <r>
    <x v="1"/>
    <x v="23"/>
    <s v="Fresh or Not Specified"/>
    <s v="organic"/>
    <s v="Yes"/>
    <s v="EU"/>
    <n v="2014"/>
    <s v="Dourmad, J. Y.; Ryschawy, J.; Trousson, T.; Bonneau, M.; Gonzàlez, J.; Houwers, H. W. J.;Hviid, M.; Zimmer, C.; Nguyen, T. L. T.; Morgensen, L."/>
    <s v="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
    <s v="Peer Reviewed Journal"/>
    <s v="Dourmad, J. Y., Ryschawy, J., Trousson, T., Bonneau, M., Gonzàlez, J., Houwers, H. W. J., Hviid, M., Zimmer, C., Nguyen, T. L. T. and Morgensen, L., Evaluating environmental impacts of contrasting pig farming systems with life cycle assessment. Animal 2014, 8 (12), 2027-2037."/>
    <s v="Yes"/>
    <s v="No"/>
    <s v="No"/>
    <s v="No"/>
    <s v="No"/>
    <s v="No"/>
    <s v="No"/>
    <s v="No"/>
    <s v="No"/>
    <s v="No"/>
    <s v="No"/>
    <s v="No"/>
    <m/>
    <s v="cradle to farm gate"/>
    <s v="No"/>
    <s v="No"/>
    <s v="1 kg live weight"/>
    <s v="dressing yield=72.4%, boneless = 0.729*carcass  from Weights, Measures, and Conversion Factors for Agricultural Commodities and Their Products."/>
    <n v="34.255659383549705"/>
    <s v=""/>
    <n v="4.6040515653775325"/>
    <s v=""/>
    <m/>
    <m/>
    <m/>
    <m/>
    <m/>
    <m/>
    <m/>
    <m/>
    <m/>
    <n v="34.255659383549705"/>
    <m/>
    <m/>
    <m/>
    <m/>
    <m/>
    <m/>
    <m/>
    <m/>
    <m/>
    <m/>
    <m/>
    <m/>
    <n v="4.6040515653775325"/>
    <m/>
    <s v="SD=0.228"/>
    <s v="100 yr IPCC 2006"/>
  </r>
  <r>
    <x v="1"/>
    <x v="23"/>
    <s v="Fresh or Not Specified"/>
    <s v="traditional"/>
    <s v="Yes"/>
    <s v="EU"/>
    <n v="2014"/>
    <s v="Dourmad, J. Y.; Ryschawy, J.; Trousson, T.; Bonneau, M.; Gonzàlez, J.; Houwers, H. W. J.;Hviid, M.; Zimmer, C.; Nguyen, T. L. T.; Morgensen, L."/>
    <s v="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
    <s v="Peer Reviewed Journal"/>
    <s v="Dourmad, J. Y., Ryschawy, J., Trousson, T., Bonneau, M., Gonzàlez, J., Houwers, H. W. J., Hviid, M., Zimmer, C., Nguyen, T. L. T. and Morgensen, L., Evaluating environmental impacts of contrasting pig farming systems with life cycle assessment. Animal 2014, 8 (12), 2027-2037."/>
    <s v="Yes"/>
    <s v="No"/>
    <s v="No"/>
    <s v="No"/>
    <s v="No"/>
    <s v="No"/>
    <s v="No"/>
    <s v="No"/>
    <s v="No"/>
    <s v="No"/>
    <s v="No"/>
    <s v="No"/>
    <m/>
    <s v="cradle to farm gate"/>
    <s v="No"/>
    <s v="No"/>
    <s v="1 kg live weight"/>
    <s v="dressing yield=72.4%, boneless = 0.729*carcass  from Weights, Measures, and Conversion Factors for Agricultural Commodities and Their Products."/>
    <n v="46.002622225253702"/>
    <s v=""/>
    <n v="6.574509848502073"/>
    <s v=""/>
    <m/>
    <m/>
    <m/>
    <m/>
    <m/>
    <m/>
    <m/>
    <m/>
    <m/>
    <n v="46.002622225253702"/>
    <m/>
    <m/>
    <m/>
    <m/>
    <m/>
    <m/>
    <m/>
    <m/>
    <m/>
    <m/>
    <m/>
    <m/>
    <n v="6.574509848502073"/>
    <m/>
    <s v="SD=1.086"/>
    <s v="100 yr IPCC 2006"/>
  </r>
  <r>
    <x v="1"/>
    <x v="23"/>
    <s v="Fresh or Not Specified"/>
    <s v="comparison farm"/>
    <s v="Yes"/>
    <s v="UK"/>
    <n v="2011"/>
    <s v="Dr Craig Jones, Dr Jean-Yves Cherruault"/>
    <s v="Sustain Ltd"/>
    <s v="Industry Based Report"/>
    <s v="Jones, A. C. and Cherruault, J.-Y., Comparative LCA of Pork Production for Midland Pig Producers. Sustain; 2011, 32."/>
    <s v="Yes"/>
    <s v="No"/>
    <s v="Yes"/>
    <s v="Yes"/>
    <s v="No"/>
    <s v="No"/>
    <s v="No"/>
    <s v="No"/>
    <s v="No"/>
    <s v="No"/>
    <s v="No"/>
    <s v="No"/>
    <m/>
    <s v="cradle to slaughterhouse gate"/>
    <s v="No"/>
    <s v="No"/>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m/>
    <m/>
    <m/>
    <m/>
    <m/>
    <m/>
    <m/>
    <m/>
    <m/>
    <m/>
    <m/>
    <m/>
    <m/>
    <n v="6.4471879286694103"/>
    <m/>
    <s v="IPCC 2007"/>
  </r>
  <r>
    <x v="1"/>
    <x v="23"/>
    <s v="Fresh or Not Specified"/>
    <s v="eco-designed farm"/>
    <s v="Yes"/>
    <s v="UK"/>
    <n v="2011"/>
    <s v="Dr Craig Jones, Dr Jean-Yves Cherruault"/>
    <s v="Sustain Ltd"/>
    <s v="Industry Based Report"/>
    <s v="Jones, A. C. and Cherruault, J.-Y., Comparative LCA of Pork Production for Midland Pig Producers. Sustain; 2011, 32."/>
    <s v="Yes"/>
    <s v="No"/>
    <s v="Yes"/>
    <s v="Yes"/>
    <s v="No"/>
    <s v="No"/>
    <s v="No"/>
    <s v="No"/>
    <s v="No"/>
    <s v="No"/>
    <s v="No"/>
    <s v="No"/>
    <m/>
    <s v="cradle to slaughterhouse gate"/>
    <s v="No"/>
    <s v="No"/>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m/>
    <m/>
    <m/>
    <m/>
    <m/>
    <m/>
    <m/>
    <m/>
    <m/>
    <m/>
    <m/>
    <m/>
    <m/>
    <n v="3.0178326474622774"/>
    <m/>
    <s v="IPCC 2008"/>
  </r>
  <r>
    <x v="1"/>
    <x v="24"/>
    <s v="Fresh or Not Specified"/>
    <m/>
    <s v="No"/>
    <s v="US"/>
    <n v="2008"/>
    <s v="N. Pelletier"/>
    <s v="School for Resource and Environmental Studies, Dalhousie University, Kenneth C. Rowe Management Building, 6100 University Avenue, Suite 5010, Halifax,Nova Scotia, Canada, B3H 3J5"/>
    <s v="Peer Reviewed Journal"/>
    <s v="Pelletier, N., Environmental performance in the US broiler poultry sector: Life cycle energy use and greenhouse gas, ozone depleting, acidifying and eutrophying emissions. Agricultural Systems 2008, 98 (2), 67-73."/>
    <s v="Yes"/>
    <s v="No"/>
    <s v="No"/>
    <s v="No"/>
    <s v="No"/>
    <s v="No"/>
    <s v="No"/>
    <s v="No"/>
    <s v="No"/>
    <s v="No"/>
    <s v="No"/>
    <s v="No"/>
    <m/>
    <s v="cradle to farm gate"/>
    <s v="No"/>
    <s v="Yes"/>
    <s v="1 tonne live weight broiler poultry"/>
    <s v="/1000/.56  (paper estimates 56% of live weight is edible)"/>
    <n v="26.712499999999995"/>
    <s v=""/>
    <n v="2.4910714285714284"/>
    <s v=""/>
    <m/>
    <m/>
    <m/>
    <m/>
    <m/>
    <m/>
    <m/>
    <m/>
    <m/>
    <n v="26.712499999999995"/>
    <m/>
    <s v="CED v 1.03"/>
    <m/>
    <m/>
    <m/>
    <m/>
    <m/>
    <m/>
    <m/>
    <m/>
    <m/>
    <m/>
    <n v="2.4910714285714284"/>
    <m/>
    <m/>
    <s v="CML 2 Baseline 2000"/>
  </r>
  <r>
    <x v="1"/>
    <x v="24"/>
    <s v="Fresh or Not Specified"/>
    <s v="national average, 2006"/>
    <s v="No"/>
    <s v="Canada"/>
    <n v="2009"/>
    <s v="X. P. C. Vergé ,* J. A. Dyer ,†1 R. L. Desjardins ,*2 and D. Worth *"/>
    <s v="* Agriculture and Agri-Food Canada, K. W. Neatby Building, 960 Carling Avenue,Ottawa, Ontario, Canada, K1A 0C6; and † 122A Hexam Street,Cambridge, Ontario, Canada, N3H 3Z9"/>
    <s v="Peer Reviewed Journal"/>
    <s v="Vergé, X. P. C., Dyer, J. A., Desjardins, R. L. and Worth, D., Long-term trends in greenhouse gas emissions from the Canadian poultry industry. Journal of Applied Poultry Research 2009, 18 (2), 210-222."/>
    <s v="Yes"/>
    <s v="No"/>
    <s v="No"/>
    <s v="No"/>
    <s v="No"/>
    <s v="No"/>
    <s v="No"/>
    <s v="No"/>
    <s v="No"/>
    <s v="No"/>
    <s v="No"/>
    <s v="No"/>
    <m/>
    <s v="cradle to farm gate"/>
    <s v="No"/>
    <s v="No"/>
    <s v="kg live weight"/>
    <s v="/0.56 (borrowing estimate of edible fraction of live from Pelletier, 2008)"/>
    <s v=""/>
    <s v=""/>
    <n v="1.7857142857142856"/>
    <s v=""/>
    <m/>
    <m/>
    <m/>
    <m/>
    <m/>
    <m/>
    <m/>
    <m/>
    <m/>
    <m/>
    <m/>
    <m/>
    <m/>
    <m/>
    <m/>
    <m/>
    <m/>
    <m/>
    <m/>
    <m/>
    <m/>
    <m/>
    <n v="1.7857142857142856"/>
    <m/>
    <m/>
    <m/>
  </r>
  <r>
    <x v="1"/>
    <x v="31"/>
    <s v="Fresh or Not Specified"/>
    <s v="national average, 2006"/>
    <s v="No"/>
    <s v="Canada"/>
    <n v="2009"/>
    <s v="X. P. C. Vergé ,* J. A. Dyer ,†1 R. L. Desjardins ,*2 and D. Worth *"/>
    <s v="* Agriculture and Agri-Food Canada, K. W. Neatby Building, 960 Carling Avenue,Ottawa, Ontario, Canada, K1A 0C6; and † 122A Hexam Street,Cambridge, Ontario, Canada, N3H 3Z9"/>
    <s v="Peer Reviewed Journal"/>
    <s v="Vergé, X. P. C., Dyer, J. A., Desjardins, R. L. and Worth, D., Long-term trends in greenhouse gas emissions from the Canadian poultry industry. Journal of Applied Poultry Research 2009, 18 (2), 210-222."/>
    <s v="Yes"/>
    <s v="No"/>
    <s v="No"/>
    <s v="No"/>
    <s v="No"/>
    <s v="No"/>
    <s v="No"/>
    <s v="No"/>
    <s v="No"/>
    <s v="No"/>
    <s v="No"/>
    <s v="No"/>
    <m/>
    <s v="cradle to farm gate"/>
    <s v="No"/>
    <s v="No"/>
    <s v="kg live weight"/>
    <s v="/0.56 (borrowing estimate of edible fraction of live from Pelletier, 2008)"/>
    <s v=""/>
    <s v=""/>
    <n v="2.5714285714285712"/>
    <s v=""/>
    <m/>
    <m/>
    <m/>
    <m/>
    <m/>
    <m/>
    <m/>
    <m/>
    <m/>
    <m/>
    <m/>
    <m/>
    <m/>
    <m/>
    <m/>
    <m/>
    <m/>
    <m/>
    <m/>
    <m/>
    <m/>
    <m/>
    <n v="2.5714285714285712"/>
    <m/>
    <m/>
    <m/>
  </r>
  <r>
    <x v="1"/>
    <x v="24"/>
    <s v="Fresh or Not Specified"/>
    <s v="standard indoor"/>
    <s v="Yes"/>
    <s v="UK"/>
    <n v="2012"/>
    <s v="I. Leinonen ,*1 A. G. Williams ,† J. Wiseman ,‡ J. Guy ,* and I. Kyriazakis *"/>
    <s v="* School of Agriculture, Food, and Rural Development, Newcastle University, Newcastle upon Tyne, NE1 7RU United Kingdom; † School of Applied Sciences, Cranfield University, Bedford,MK43 0AL United Kingdom; and ‡ School of Biosciences, University of Nottingham,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 kg edible carcass weight"/>
    <s v="/1000"/>
    <n v="25.37"/>
    <s v=""/>
    <n v="4.41"/>
    <s v=""/>
    <m/>
    <m/>
    <m/>
    <m/>
    <m/>
    <m/>
    <m/>
    <m/>
    <m/>
    <n v="25.37"/>
    <m/>
    <m/>
    <m/>
    <m/>
    <m/>
    <m/>
    <m/>
    <m/>
    <m/>
    <m/>
    <m/>
    <m/>
    <n v="4.41"/>
    <m/>
    <s v="SD=.44"/>
    <s v="IPCC 2006"/>
  </r>
  <r>
    <x v="1"/>
    <x v="24"/>
    <s v="Fresh or Not Specified"/>
    <s v="free range"/>
    <s v="Yes"/>
    <s v="UK"/>
    <n v="2012"/>
    <s v="I. Leinonen ,*1 A. G. Williams ,† J. Wiseman ,‡ J. Guy ,* and I. Kyriazakis *"/>
    <s v="* School of Agriculture, Food, and Rural Development, Newcastle University, Newcastle upon Tyne, NE1 7RU United Kingdom; † School of Applied Sciences, Cranfield University, Bedford,MK43 0AL United Kingdom; and ‡ School of Biosciences, University of Nottingham,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 kg edible carcass weight"/>
    <s v="/1000"/>
    <n v="25.65"/>
    <s v=""/>
    <n v="5.13"/>
    <s v=""/>
    <m/>
    <m/>
    <m/>
    <m/>
    <m/>
    <m/>
    <m/>
    <m/>
    <m/>
    <n v="25.65"/>
    <m/>
    <m/>
    <m/>
    <m/>
    <m/>
    <m/>
    <m/>
    <m/>
    <m/>
    <m/>
    <m/>
    <m/>
    <n v="5.13"/>
    <m/>
    <s v="SD=.52"/>
    <s v="IPCC 2007"/>
  </r>
  <r>
    <x v="1"/>
    <x v="24"/>
    <s v="Fresh or Not Specified"/>
    <s v="organic"/>
    <s v="Yes"/>
    <s v="UK"/>
    <n v="2012"/>
    <s v="I. Leinonen ,*1 A. G. Williams ,† J. Wiseman ,‡ J. Guy ,* and I. Kyriazakis *"/>
    <s v="* School of Agriculture, Food, and Rural Development, Newcastle University, Newcastle upon Tyne, NE1 7RU United Kingdom; † School of Applied Sciences, Cranfield University, Bedford,MK43 0AL United Kingdom; and ‡ School of Biosciences, University of Nottingham,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 kg edible carcass weight"/>
    <s v="/1000"/>
    <n v="40.340000000000003"/>
    <s v=""/>
    <n v="5.66"/>
    <s v=""/>
    <m/>
    <m/>
    <m/>
    <m/>
    <m/>
    <m/>
    <m/>
    <m/>
    <m/>
    <n v="40.340000000000003"/>
    <m/>
    <m/>
    <m/>
    <m/>
    <m/>
    <m/>
    <m/>
    <m/>
    <m/>
    <m/>
    <m/>
    <m/>
    <n v="5.66"/>
    <m/>
    <s v="SD=.62"/>
    <s v="IPCC 2008"/>
  </r>
  <r>
    <x v="12"/>
    <x v="101"/>
    <s v="Frozen"/>
    <s v="weighted ave of Atlantic, Indian &amp; Pacific ocean captures"/>
    <s v="No"/>
    <s v="Spain"/>
    <n v="2005"/>
    <s v="A. Hospido; P. Tyedmers"/>
    <s v="a Chemical Engineering Department, Institute of Technology, University of Santiago de Compostela,15782Santia go de Compostela, Spain b School for Resource and Environmental Studies (SRES), Faculty of Management, Dalhousie University, Halifax, NS, Canada "/>
    <s v="Peer Reviewed Journal"/>
    <s v="Hospido, A. and Tyedmers, P., Life cycle environmental impacts of Spanish tuna fisheries. Fisheries Research 2005, 76 (2), 174-186."/>
    <s v="Yes"/>
    <s v="No"/>
    <s v="Yes"/>
    <s v="No"/>
    <s v="No"/>
    <s v="No"/>
    <s v="No"/>
    <s v="No"/>
    <s v="No"/>
    <s v="No"/>
    <s v="No"/>
    <s v="No"/>
    <m/>
    <s v="delivered to Galician port"/>
    <s v="No"/>
    <s v="No"/>
    <s v="1 tonne frozen unprocessed tuna"/>
    <s v="/1000/.58 from http://www.fao.org/docrep/003/t0219e/T0219E01.htm#ch1"/>
    <s v=""/>
    <s v=""/>
    <s v=""/>
    <s v=""/>
    <m/>
    <m/>
    <m/>
    <m/>
    <m/>
    <m/>
    <m/>
    <m/>
    <m/>
    <m/>
    <m/>
    <m/>
    <m/>
    <m/>
    <m/>
    <m/>
    <m/>
    <m/>
    <m/>
    <m/>
    <m/>
    <m/>
    <m/>
    <n v="3.1034482758620694"/>
    <m/>
    <m/>
  </r>
  <r>
    <x v="12"/>
    <x v="102"/>
    <s v="Fresh or Not Specified"/>
    <s v="Farmed trout, flow through system farm"/>
    <s v="Yes"/>
    <s v="france"/>
    <n v="2009"/>
    <s v="Emmanuelle Roque d’Orbcastel a, Jean-Paul Blancheton a,*, Joe¨ l Aubin b"/>
    <s v="a IFREMER, Station d’Aquaculture Expe´rimentale, Laboratoire de Recherche Piscicole de Me´diterrane´e, Chemin de Maguelone, 34250 Palavas-les-Flots, France bUMR INRA/Agrocampus 1069 SAS Sol Agro et hydrosyste`me Spatialisation, Equipe FIELDS, 65 rue de Saint Brieuc, CS 84 215, F-35 042 Rennes Cedex, France"/>
    <s v="Peer Reviewed Journal"/>
    <s v="D’orbcastel, E. R., Blancheton, J.-P. and Aubin, J., Towards environmentally sustainable aquaculture: Comparison between two trout farming systems using Life Cycle Assessment. Aquacultural Engineering 2009, 40 (3), 113-119."/>
    <s v="Yes"/>
    <s v="No"/>
    <s v="No"/>
    <s v="No"/>
    <s v="No"/>
    <s v="No"/>
    <s v="No"/>
    <s v="No"/>
    <s v="No"/>
    <s v="No"/>
    <s v="No"/>
    <s v="No"/>
    <m/>
    <s v="assumed at farm gate"/>
    <s v="No"/>
    <s v="No"/>
    <s v="1 ton fish"/>
    <s v="/1000/.65 assuming 65% fillet yield, ave of high and low FY from http://onlinelibrary.wiley.com/doi/10.1111/j.1745-4573.2010.00214.x/abstract"/>
    <n v="53.644615384615385"/>
    <s v=""/>
    <n v="3.1"/>
    <s v=""/>
    <m/>
    <m/>
    <m/>
    <m/>
    <m/>
    <m/>
    <m/>
    <m/>
    <m/>
    <n v="53.644615384615385"/>
    <m/>
    <m/>
    <m/>
    <m/>
    <m/>
    <m/>
    <m/>
    <m/>
    <m/>
    <m/>
    <m/>
    <m/>
    <n v="3.1"/>
    <m/>
    <m/>
    <m/>
  </r>
  <r>
    <x v="12"/>
    <x v="102"/>
    <s v="Fresh or Not Specified"/>
    <s v="Farmed Trout, recirculation system farm"/>
    <s v="Yes"/>
    <s v="France"/>
    <n v="2009"/>
    <s v="Emmanuelle Roque d’Orbcastel a, Jean-Paul Blancheton a,*, Joe¨ l Aubin b"/>
    <s v="a IFREMER, Station d’Aquaculture Expe´rimentale, Laboratoire de Recherche Piscicole de Me´diterrane´e, Chemin de Maguelone, 34250 Palavas-les-Flots, France bUMR INRA/Agrocampus 1069 SAS Sol Agro et hydrosyste`me Spatialisation, Equipe FIELDS, 65 rue de Saint Brieuc, CS 84 215, F-35 042 Rennes Cedex, France"/>
    <s v="Peer Reviewed Journal"/>
    <s v="D’orbcastel, E. R., Blancheton, J.-P. and Aubin, J., Towards environmentally sustainable aquaculture: Comparison between two trout farming systems using Life Cycle Assessment. Aquacultural Engineering 2009, 40 (3), 113-119."/>
    <s v="Yes"/>
    <s v="No"/>
    <s v="No"/>
    <s v="No"/>
    <s v="No"/>
    <s v="No"/>
    <s v="No"/>
    <s v="No"/>
    <s v="No"/>
    <s v="No"/>
    <s v="No"/>
    <s v="No"/>
    <m/>
    <s v="assumed at farm gate"/>
    <s v="No"/>
    <s v="No"/>
    <s v="1 ton fish"/>
    <s v="/1000/.65 assuming 65% fillet yield, ave of high and low FY from http://onlinelibrary.wiley.com/doi/10.1111/j.1745-4573.2010.00214.x/abstract"/>
    <n v="97.233846153846144"/>
    <s v=""/>
    <n v="3.1430769230769231"/>
    <s v=""/>
    <m/>
    <m/>
    <m/>
    <m/>
    <m/>
    <m/>
    <m/>
    <m/>
    <m/>
    <n v="97.233846153846144"/>
    <m/>
    <m/>
    <m/>
    <m/>
    <m/>
    <m/>
    <m/>
    <m/>
    <m/>
    <m/>
    <m/>
    <m/>
    <n v="3.1430769230769231"/>
    <m/>
    <m/>
    <m/>
  </r>
  <r>
    <x v="12"/>
    <x v="103"/>
    <s v="Fresh or Not Specified"/>
    <s v="fresh mussels"/>
    <s v="No"/>
    <s v="Spain"/>
    <n v="2010"/>
    <s v="Diego Iribarren*, Maria Teresa Moreira, Gumersindo Feijoo"/>
    <s v="Department of Chemical Engineering, School of Engineering, University of Santiago de Compostela, Ru´a Lope Go´mez de Marzoa s/n, 15782 Santiago de Compostela, Spain"/>
    <s v="Peer Reviewed Journal"/>
    <s v="Iribarren, D., Moreira, M. T. and Feijoo, G., Revisiting the Life Cycle Assessment of mussels from a sectorial perspective. Journal of Cleaner Production 2010, 18 (2), 101-111."/>
    <s v="Yes"/>
    <s v="No"/>
    <s v="Yes"/>
    <s v="Yes"/>
    <s v="Yes"/>
    <s v="Yes"/>
    <s v="No"/>
    <s v="No"/>
    <s v="No"/>
    <s v="No"/>
    <s v="No"/>
    <s v="No"/>
    <m/>
    <m/>
    <s v="No"/>
    <s v="Yes"/>
    <s v="1 kg dry edible mussel flesh"/>
    <m/>
    <s v=""/>
    <s v=""/>
    <n v="2.5019999999999998"/>
    <n v="13.622"/>
    <m/>
    <m/>
    <m/>
    <m/>
    <m/>
    <m/>
    <m/>
    <m/>
    <m/>
    <m/>
    <m/>
    <m/>
    <m/>
    <n v="2.5019999999999998"/>
    <n v="11.120000000000001"/>
    <m/>
    <m/>
    <m/>
    <m/>
    <n v="0.27800000000000002"/>
    <m/>
    <m/>
    <n v="2.5019999999999998"/>
    <n v="13.9"/>
    <m/>
    <s v="CML 2001"/>
  </r>
  <r>
    <x v="12"/>
    <x v="103"/>
    <s v="Canned"/>
    <s v="canned mussels"/>
    <s v="No"/>
    <s v="Spain"/>
    <n v="2010"/>
    <s v="Diego Iribarren*, Maria Teresa Moreira, Gumersindo Feijoo"/>
    <s v="Department of Chemical Engineering, School of Engineering, University of Santiago de Compostela, Ru´a Lope Go´mez de Marzoa s/n, 15782 Santiago de Compostela, Spain"/>
    <s v="Peer Reviewed Journal"/>
    <s v="Iribarren, D., Moreira, M. T. and Feijoo, G., Revisiting the Life Cycle Assessment of mussels from a sectorial perspective. Journal of Cleaner Production 2010, 18 (2), 101-111."/>
    <s v="Yes"/>
    <s v="No"/>
    <s v="Yes"/>
    <s v="Yes"/>
    <s v="Yes"/>
    <s v="Yes"/>
    <s v="No"/>
    <s v="No"/>
    <s v="No"/>
    <s v="No"/>
    <s v="No"/>
    <s v="No"/>
    <m/>
    <m/>
    <s v="No"/>
    <s v="Yes"/>
    <s v="1 kg dry edible mussel flesh"/>
    <m/>
    <s v=""/>
    <s v=""/>
    <n v="6.0023999999999997"/>
    <n v="9.84"/>
    <m/>
    <m/>
    <m/>
    <m/>
    <m/>
    <m/>
    <m/>
    <m/>
    <m/>
    <m/>
    <m/>
    <m/>
    <m/>
    <n v="6.0023999999999997"/>
    <n v="3.8376000000000001"/>
    <m/>
    <m/>
    <m/>
    <m/>
    <m/>
    <m/>
    <m/>
    <n v="6.0023999999999997"/>
    <n v="9.84"/>
    <m/>
    <s v="CML 2001"/>
  </r>
  <r>
    <x v="12"/>
    <x v="103"/>
    <s v="Frozen"/>
    <s v="frozen boiled mussels"/>
    <s v="No"/>
    <s v="Spain"/>
    <n v="2010"/>
    <s v="Diego Iribarren*, Maria Teresa Moreira, Gumersindo Feijoo"/>
    <s v="Department of Chemical Engineering, School of Engineering, University of Santiago de Compostela, Ru´a Lope Go´mez de Marzoa s/n, 15782 Santiago de Compostela, Spain"/>
    <s v="Peer Reviewed Journal"/>
    <s v="Iribarren, D., Moreira, M. T. and Feijoo, G., Revisiting the Life Cycle Assessment of mussels from a sectorial perspective. Journal of Cleaner Production 2010, 18 (2), 101-111."/>
    <s v="Yes"/>
    <s v="No"/>
    <s v="Yes"/>
    <s v="Yes"/>
    <s v="Yes"/>
    <s v="Yes"/>
    <s v="No"/>
    <s v="No"/>
    <s v="No"/>
    <s v="No"/>
    <s v="No"/>
    <s v="No"/>
    <m/>
    <m/>
    <s v="No"/>
    <s v="Yes"/>
    <s v="1 kg dry edible mussel flesh"/>
    <m/>
    <s v=""/>
    <s v=""/>
    <n v="5.8010999999999999"/>
    <n v="9.51"/>
    <m/>
    <m/>
    <m/>
    <m/>
    <m/>
    <m/>
    <m/>
    <m/>
    <m/>
    <m/>
    <m/>
    <m/>
    <m/>
    <n v="5.8010999999999999"/>
    <n v="3.7088999999999999"/>
    <m/>
    <m/>
    <m/>
    <m/>
    <m/>
    <m/>
    <m/>
    <n v="5.8010999999999999"/>
    <n v="9.51"/>
    <m/>
    <s v="CML 2001"/>
  </r>
  <r>
    <x v="12"/>
    <x v="104"/>
    <s v="Fresh or Not Specified"/>
    <s v="Horse Mackerel, captured by purse seiners"/>
    <s v="Yes"/>
    <s v="Spain"/>
    <n v="2010"/>
    <s v="Ian Vázquez-Rowe∗, Ma Teresa Moreira, Gumersindo Feijoo"/>
    <s v="Department of Chemical Engineering, School of Engineering, University of Santiago de Compostela, 15782 Santiago de Compostela, Spain"/>
    <s v="Peer Reviewed Journal"/>
    <s v="Vázquez-Rowe, I., Moreira, M. T. and Feijoo, G., Life cycle assessment of horse mackerel fisheries in Galicia (NW Spain): Comparative analysis of two major fishing methods. Fisheries Research 2010, 106 (3), 517-527."/>
    <s v="Yes"/>
    <s v="No"/>
    <s v="No"/>
    <s v="No"/>
    <s v="No"/>
    <s v="No"/>
    <s v="No"/>
    <s v="No"/>
    <s v="No"/>
    <s v="No"/>
    <s v="No"/>
    <s v="No"/>
    <m/>
    <s v="delivered to port; using mass allocation"/>
    <s v="No"/>
    <s v="Yes"/>
    <s v="1 ton of landed round Atlantic horse mackerel"/>
    <s v="/1000/.52  from http://www.fao.org/docrep/003/t0219e/T0219E01.htm#ch1"/>
    <s v=""/>
    <s v=""/>
    <s v=""/>
    <s v=""/>
    <m/>
    <m/>
    <m/>
    <m/>
    <m/>
    <m/>
    <m/>
    <m/>
    <m/>
    <m/>
    <m/>
    <m/>
    <m/>
    <m/>
    <m/>
    <m/>
    <m/>
    <m/>
    <m/>
    <m/>
    <m/>
    <m/>
    <m/>
    <n v="1.5307692307692309"/>
    <m/>
    <s v="CML 2000"/>
  </r>
  <r>
    <x v="12"/>
    <x v="104"/>
    <s v="Fresh or Not Specified"/>
    <s v="Horse Mackerel, captured by bottom trawlers"/>
    <s v="Yes"/>
    <s v="Spain"/>
    <n v="2010"/>
    <s v="Ian Vázquez-Rowe∗, Ma Teresa Moreira, Gumersindo Feijoo"/>
    <s v="Department of Chemical Engineering, School of Engineering, University of Santiago de Compostela, 15782 Santiago de Compostela, Spain"/>
    <s v="Peer Reviewed Journal"/>
    <s v="Vázquez-Rowe, I., Moreira, M. T. and Feijoo, G., Life cycle assessment of horse mackerel fisheries in Galicia (NW Spain): Comparative analysis of two major fishing methods. Fisheries Research 2010, 106 (3), 517-527."/>
    <s v="Yes"/>
    <s v="No"/>
    <s v="No"/>
    <s v="No"/>
    <s v="No"/>
    <s v="No"/>
    <s v="No"/>
    <s v="No"/>
    <s v="No"/>
    <s v="No"/>
    <s v="No"/>
    <s v="No"/>
    <m/>
    <s v="delivered to port; using mass allocation"/>
    <s v="No"/>
    <s v="Yes"/>
    <s v="1 ton of landed round Atlantic horse mackerel"/>
    <s v="/1000/.52  from http://www.fao.org/docrep/003/t0219e/T0219E01.htm#ch1"/>
    <s v=""/>
    <s v=""/>
    <s v=""/>
    <s v=""/>
    <m/>
    <m/>
    <m/>
    <m/>
    <m/>
    <m/>
    <m/>
    <m/>
    <m/>
    <m/>
    <m/>
    <m/>
    <m/>
    <m/>
    <m/>
    <m/>
    <m/>
    <m/>
    <m/>
    <m/>
    <m/>
    <m/>
    <m/>
    <n v="4.3807692307692303"/>
    <m/>
    <s v="CML 2000"/>
  </r>
  <r>
    <x v="12"/>
    <x v="104"/>
    <s v="Fresh or Not Specified"/>
    <s v="Hake Fillets, captured by offshore long lining fleet"/>
    <s v="Yes"/>
    <s v="Spain (Galicia)"/>
    <n v="2011"/>
    <s v="Ian Vázquez-Rowe∗, Ma Teresa Moreira, Gumersindo Feijoo"/>
    <s v="Department of Chemical Engineering, School of Engineering, University of Santiago de Compostela, 15782 Santiago de Compostela, Spain"/>
    <s v="Peer Reviewed Journal"/>
    <s v="Vázquez-Rowe, I., Moreira, M. T. and Feijoo, G., Life Cycle Assessment of fresh hake fillets captured by the Galician fleet in the Northern Stock. Fisheries Research 2011, 110 (1), 128-135."/>
    <s v="Yes"/>
    <s v="No"/>
    <s v="Yes"/>
    <s v="Yes"/>
    <s v="Yes"/>
    <s v="Yes"/>
    <s v="Yes"/>
    <s v="Yes"/>
    <s v="Yes"/>
    <s v="Yes"/>
    <s v="No"/>
    <s v="No"/>
    <m/>
    <s v="cradle to grave"/>
    <s v="No"/>
    <s v="Yes"/>
    <s v="500 g of raw gutted fresh hake fillet"/>
    <s v="*2"/>
    <s v=""/>
    <s v=""/>
    <s v=""/>
    <s v=""/>
    <m/>
    <m/>
    <m/>
    <m/>
    <m/>
    <m/>
    <m/>
    <m/>
    <m/>
    <m/>
    <m/>
    <m/>
    <m/>
    <m/>
    <m/>
    <m/>
    <m/>
    <m/>
    <m/>
    <m/>
    <m/>
    <m/>
    <m/>
    <n v="7.66"/>
    <m/>
    <s v="CML 2000"/>
  </r>
  <r>
    <x v="12"/>
    <x v="104"/>
    <s v="Fresh or Not Specified"/>
    <s v="Hake Fillets, captured by offshore trawling fleet"/>
    <s v="Yes"/>
    <s v="Spain (Galicia)"/>
    <n v="2011"/>
    <s v="Ian Vázquez-Rowe∗, Ma Teresa Moreira, Gumersindo Feijoo"/>
    <s v="Department of Chemical Engineering, School of Engineering, University of Santiago de Compostela, 15782 Santiago de Compostela, Spain"/>
    <s v="Peer Reviewed Journal"/>
    <s v="Vázquez-Rowe, I., Moreira, M. T. and Feijoo, G., Life Cycle Assessment of fresh hake fillets captured by the Galician fleet in the Northern Stock. Fisheries Research 2011, 110 (1), 128-135."/>
    <s v="Yes"/>
    <s v="No"/>
    <s v="Yes"/>
    <s v="Yes"/>
    <s v="Yes"/>
    <s v="Yes"/>
    <s v="Yes"/>
    <s v="Yes"/>
    <s v="Yes"/>
    <s v="Yes"/>
    <s v="No"/>
    <s v="No"/>
    <m/>
    <s v="cradle to grave"/>
    <s v="No"/>
    <s v="Yes"/>
    <s v="500 g of raw gutted fresh hake fillet"/>
    <s v="*2"/>
    <s v=""/>
    <s v=""/>
    <s v=""/>
    <s v=""/>
    <m/>
    <m/>
    <m/>
    <m/>
    <m/>
    <m/>
    <m/>
    <m/>
    <m/>
    <m/>
    <m/>
    <m/>
    <m/>
    <m/>
    <m/>
    <m/>
    <m/>
    <m/>
    <m/>
    <m/>
    <m/>
    <m/>
    <m/>
    <n v="11.48"/>
    <m/>
    <s v="CML 2000"/>
  </r>
  <r>
    <x v="4"/>
    <x v="53"/>
    <s v="Fresh or Not Specified"/>
    <s v="Biodynamic Method"/>
    <s v="Yes"/>
    <s v="Spain (NW, Ribeiro)"/>
    <n v="2013"/>
    <s v="Pedro Villanueva-Rey (1); Ian Vázquez-Rowe (2); Ma Teresa Moreira (1); Gumersindo Feijoo (1)"/>
    <s v="(1) Department of Chemical Engineering, Institute of Technology, University of Santiago de Compostela. 15782 – Santiago de Compostela, Spain.  (2) Public Research Centre Henri Tudor (CRPHT) / Resource Centre for Environmental Technologies (CRTE) - 66, rue de Luxembourg - P.B. 144, L-4002, Esch-sur-Alzette, Luxembourg. "/>
    <s v="Peer Reviewed Journal"/>
    <s v="Vázquez-Rowe, I., Villanueva-Rey, P., Mallo, J., De La Cerda, J. J., Moreira, M. T. and Feijoo, G., Carbon footprint of a multi-ingredient seafood product from a business-to-business perspective. Journal of Cleaner Production 2013, 44, 200-210."/>
    <s v="Yes"/>
    <s v="No"/>
    <s v="No"/>
    <s v="No"/>
    <s v="No"/>
    <s v="No"/>
    <s v="No"/>
    <s v="No"/>
    <s v="No"/>
    <s v="No"/>
    <s v="No"/>
    <s v="No"/>
    <m/>
    <s v="Only agricultural stage researched"/>
    <s v="No"/>
    <s v="No"/>
    <s v="1.1 kg of collected grape"/>
    <s v="reported value x (10/11)"/>
    <s v=""/>
    <s v=""/>
    <s v=""/>
    <s v=""/>
    <m/>
    <m/>
    <m/>
    <m/>
    <m/>
    <m/>
    <m/>
    <m/>
    <m/>
    <m/>
    <m/>
    <m/>
    <m/>
    <m/>
    <m/>
    <m/>
    <m/>
    <m/>
    <m/>
    <m/>
    <m/>
    <m/>
    <m/>
    <n v="7.6490909090909096E-2"/>
    <m/>
    <s v="IPCC 2006b."/>
  </r>
  <r>
    <x v="4"/>
    <x v="53"/>
    <s v="Fresh or Not Specified"/>
    <s v="Intermediate Biodynamic-Conventional Method"/>
    <s v="Yes"/>
    <s v="Spain (NW, Ribeiro)"/>
    <n v="2013"/>
    <s v="Pedro Villanueva-Rey (1); Ian Vázquez-Rowe (2); Ma Teresa Moreira (1); Gumersindo Feijoo (1)"/>
    <s v="(1) Department of Chemical Engineering, Institute of Technology, University of Santiago de Compostela. 15782 – Santiago de Compostela, Spain.  (2) Public Research Centre Henri Tudor (CRPHT) / Resource Centre for Environmental Technologies (CRTE) - 66, rue de Luxembourg - P.B. 144, L-4002, Esch-sur-Alzette, Luxembourg. "/>
    <s v="Peer Reviewed Journal"/>
    <s v="Vázquez-Rowe, I., Villanueva-Rey, P., Mallo, J., De La Cerda, J. J., Moreira, M. T. and Feijoo, G., Carbon footprint of a multi-ingredient seafood product from a business-to-business perspective. Journal of Cleaner Production 2013, 44, 200-210."/>
    <s v="Yes"/>
    <s v="No"/>
    <s v="No"/>
    <s v="No"/>
    <s v="No"/>
    <s v="No"/>
    <s v="No"/>
    <s v="No"/>
    <s v="No"/>
    <s v="No"/>
    <s v="No"/>
    <s v="No"/>
    <m/>
    <s v="Only agricultural stage researched"/>
    <s v="No"/>
    <s v="No"/>
    <s v="1.1 kg of collected grape"/>
    <s v="reported value x (10/11)"/>
    <s v=""/>
    <s v=""/>
    <s v=""/>
    <s v=""/>
    <m/>
    <m/>
    <m/>
    <m/>
    <m/>
    <m/>
    <m/>
    <m/>
    <m/>
    <m/>
    <m/>
    <m/>
    <m/>
    <m/>
    <m/>
    <m/>
    <m/>
    <m/>
    <m/>
    <m/>
    <m/>
    <m/>
    <m/>
    <n v="0.10678181818181817"/>
    <m/>
    <s v="IPCC 2006b."/>
  </r>
  <r>
    <x v="4"/>
    <x v="53"/>
    <s v="Fresh or Not Specified"/>
    <s v="Conventional Method"/>
    <s v="Yes"/>
    <s v="Spain (NW, Ribeiro)"/>
    <n v="2013"/>
    <s v="Pedro Villanueva-Rey (1); Ian Vázquez-Rowe (2); Ma Teresa Moreira (1); Gumersindo Feijoo (1)"/>
    <s v="(1) Department of Chemical Engineering, Institute of Technology, University of Santiago de Compostela. 15782 – Santiago de Compostela, Spain.  (2) Public Research Centre Henri Tudor (CRPHT) / Resource Centre for Environmental Technologies (CRTE) - 66, rue de Luxembourg - P.B. 144, L-4002, Esch-sur-Alzette, Luxembourg. "/>
    <s v="Peer Reviewed Journal"/>
    <s v="Vázquez-Rowe, I., Villanueva-Rey, P., Mallo, J., De La Cerda, J. J., Moreira, M. T. and Feijoo, G., Carbon footprint of a multi-ingredient seafood product from a business-to-business perspective. Journal of Cleaner Production 2013, 44, 200-210."/>
    <s v="Yes"/>
    <s v="No"/>
    <s v="No"/>
    <s v="No"/>
    <s v="No"/>
    <s v="No"/>
    <s v="No"/>
    <s v="No"/>
    <s v="No"/>
    <s v="No"/>
    <s v="No"/>
    <s v="No"/>
    <m/>
    <s v="Only agricultural stage researched"/>
    <s v="No"/>
    <s v="No"/>
    <s v="1.1 kg of collected grape"/>
    <s v="reported value x (10/11)"/>
    <s v=""/>
    <s v=""/>
    <s v=""/>
    <s v=""/>
    <m/>
    <m/>
    <m/>
    <m/>
    <m/>
    <m/>
    <m/>
    <m/>
    <m/>
    <m/>
    <m/>
    <m/>
    <m/>
    <m/>
    <m/>
    <m/>
    <m/>
    <m/>
    <m/>
    <m/>
    <m/>
    <m/>
    <m/>
    <n v="0.29942272727272728"/>
    <m/>
    <s v="IPCC 2006b."/>
  </r>
  <r>
    <x v="7"/>
    <x v="105"/>
    <s v="Fresh or Not Specified"/>
    <s v="Spray Dried Soluble Coffe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extracting impact per kg of instant coffee powder; 2 g powder per cup coffee"/>
    <n v="115"/>
    <n v="175"/>
    <n v="7.75"/>
    <n v="11.35"/>
    <n v="115"/>
    <n v="10"/>
    <n v="50"/>
    <n v="45"/>
    <n v="15"/>
    <m/>
    <n v="349.99999999999994"/>
    <n v="-2.5"/>
    <n v="45"/>
    <n v="115"/>
    <n v="627.5"/>
    <m/>
    <m/>
    <n v="7.75"/>
    <n v="0.05"/>
    <n v="3.55"/>
    <n v="3.85"/>
    <n v="0.8"/>
    <m/>
    <n v="17.5"/>
    <n v="-1.1000000000000001"/>
    <n v="2.5999999999999996"/>
    <n v="7.75"/>
    <n v="35"/>
    <m/>
    <s v="IPCC 2006"/>
  </r>
  <r>
    <x v="7"/>
    <x v="106"/>
    <s v="Fresh or Not Specified"/>
    <s v="Drip Filter Coffee (no wast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extracting impact per kg roasted bean. 13.5g roasted bean/cup. "/>
    <n v="44.444444444444443"/>
    <n v="55.55555555555555"/>
    <n v="2.8740740740740738"/>
    <n v="3.2888888888888888"/>
    <n v="44.444444444444443"/>
    <n v="4.4444444444444446"/>
    <n v="6.6666666666666661"/>
    <n v="4.4444444444444446"/>
    <n v="5.9259259259259265"/>
    <m/>
    <n v="96.296296296296305"/>
    <n v="-5.185185185185186"/>
    <n v="71.111111111111114"/>
    <n v="44.444444444444443"/>
    <n v="228.14814814814815"/>
    <m/>
    <m/>
    <n v="2.8740740740740738"/>
    <n v="0.1851851851851852"/>
    <n v="0.22962962962962963"/>
    <n v="0.1851851851851852"/>
    <n v="0.2"/>
    <m/>
    <n v="4.7407407407407405"/>
    <n v="-0.25925925925925924"/>
    <n v="0.44444444444444448"/>
    <n v="2.8740740740740738"/>
    <n v="8.6"/>
    <m/>
    <s v="IPCC 2006"/>
  </r>
  <r>
    <x v="7"/>
    <x v="106"/>
    <s v="Fresh or Not Specified"/>
    <s v="Capsule Espresso Coffe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extracting impact per kg roasted bean. 6.5g roasted bean/cup. Capturing impacts only through roasting and grinding"/>
    <n v="73.846153846153854"/>
    <n v="84.615384615384627"/>
    <n v="4.2615384615384615"/>
    <n v="4.8769230769230765"/>
    <n v="73.846153846153854"/>
    <n v="4.6153846153846159"/>
    <n v="6.1538461538461542"/>
    <n v="76.92307692307692"/>
    <n v="12.307692307692308"/>
    <m/>
    <n v="107.69230769230769"/>
    <n v="-7.6923076923076934"/>
    <n v="23.07692307692308"/>
    <n v="73.846153846153854"/>
    <n v="296.92307692307696"/>
    <m/>
    <m/>
    <n v="4.2615384615384615"/>
    <n v="0.27692307692307694"/>
    <n v="0.33846153846153848"/>
    <n v="3.2307692307692313"/>
    <n v="0.6461538461538463"/>
    <m/>
    <n v="5.6923076923076925"/>
    <n v="0.9538461538461539"/>
    <n v="1.276923076923077"/>
    <n v="4.2615384615384615"/>
    <n v="16.676923076923075"/>
    <m/>
    <s v="IPCC 2006"/>
  </r>
  <r>
    <x v="7"/>
    <x v="106"/>
    <s v="Fresh or Not Specified"/>
    <s v="Espresso"/>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Yes"/>
    <s v="No"/>
    <s v="Yes"/>
    <s v="Yes"/>
    <s v="Yes"/>
    <s v="Yes"/>
    <s v="No"/>
    <s v="Yes"/>
    <s v="No"/>
    <s v="Yes"/>
    <s v="No"/>
    <s v="No"/>
    <m/>
    <s v="Production, packaging, transport (roastery to house), cooking/brewing"/>
    <s v="No"/>
    <s v="No"/>
    <s v="1 cup of coffee"/>
    <s v="extracting impact per kg roasted bean.  7g coffee/cup."/>
    <s v=""/>
    <n v="53.571428571428569"/>
    <s v=""/>
    <n v="10.671428571428571"/>
    <m/>
    <m/>
    <n v="53.571428571428569"/>
    <n v="3.7571428571428571"/>
    <m/>
    <m/>
    <n v="34.142857142857139"/>
    <m/>
    <m/>
    <m/>
    <n v="91.471428571428561"/>
    <m/>
    <m/>
    <m/>
    <m/>
    <n v="10.671428571428571"/>
    <n v="0.17571428571428571"/>
    <m/>
    <m/>
    <n v="1.7000000000000002"/>
    <m/>
    <m/>
    <m/>
    <n v="12.547142857142855"/>
    <m/>
    <m/>
  </r>
  <r>
    <x v="7"/>
    <x v="107"/>
    <s v="Fresh or Not Specified"/>
    <s v="Black Coffee"/>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Yes"/>
    <s v="No"/>
    <s v="Yes"/>
    <s v="Yes"/>
    <s v="Yes"/>
    <s v="Yes"/>
    <s v="No"/>
    <s v="Yes"/>
    <s v="No"/>
    <s v="Yes"/>
    <s v="No"/>
    <s v="No"/>
    <m/>
    <s v="Production, packaging, transport (roastery to house), cooking/brewing"/>
    <s v="No"/>
    <s v="No"/>
    <s v="1 cup of coffee"/>
    <s v="reported value / density (1g/ml) --&gt; (RV x 1000g)/(236.588ml/cup x 1 g/ml)"/>
    <s v=""/>
    <s v=""/>
    <s v=""/>
    <s v=""/>
    <m/>
    <m/>
    <m/>
    <m/>
    <m/>
    <m/>
    <m/>
    <m/>
    <m/>
    <m/>
    <n v="6.0019950293336946"/>
    <m/>
    <m/>
    <m/>
    <m/>
    <m/>
    <m/>
    <m/>
    <m/>
    <m/>
    <m/>
    <m/>
    <m/>
    <n v="0.52834463286388156"/>
    <m/>
    <m/>
  </r>
  <r>
    <x v="7"/>
    <x v="105"/>
    <s v="Fresh or Not Specified"/>
    <s v="Black Instant Coffee"/>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Yes"/>
    <s v="No"/>
    <s v="Yes"/>
    <s v="Yes"/>
    <s v="Yes"/>
    <s v="Yes"/>
    <s v="No"/>
    <s v="Yes"/>
    <s v="No"/>
    <s v="Yes"/>
    <s v="No"/>
    <s v="No"/>
    <m/>
    <s v="Production, packaging, transport (roastery to house), cooking/brewing"/>
    <s v="No"/>
    <s v="No"/>
    <s v="1 cup of coffee"/>
    <s v="extracting impact per kg instant coffee.  2 g powder/cup"/>
    <s v=""/>
    <n v="187.5"/>
    <s v=""/>
    <n v="27.05"/>
    <m/>
    <m/>
    <n v="187.5"/>
    <n v="63"/>
    <m/>
    <m/>
    <n v="167"/>
    <m/>
    <m/>
    <m/>
    <n v="417.5"/>
    <m/>
    <m/>
    <m/>
    <m/>
    <n v="27.05"/>
    <n v="3.5"/>
    <m/>
    <m/>
    <n v="8.9"/>
    <m/>
    <m/>
    <m/>
    <n v="39.450000000000003"/>
    <m/>
    <m/>
  </r>
  <r>
    <x v="7"/>
    <x v="108"/>
    <s v="Fresh or Not Specified"/>
    <s v="Kenyan Tea, Large Scale Production"/>
    <s v="No"/>
    <s v="Kenya"/>
    <n v="2015"/>
    <s v="Adisa Azapagic (1);  John Bore (2); Beatrice Cheserek (2); Samson Kamunya (2); Aziz Elbehri (3)"/>
    <s v="(1) School of Chemical Engineering and Analytical Science, The Mill, Sackville Street, The University of Manchester, Manchester M13 9PL, UK; (2) Tea Research Foundation of Kenya, Off Kericho-Nakuru Road, P.O Box 820, 20200 Kericho, Kenya; (3) Food and Agricultural Organization of the United Nations, Viale delle Terme di Caracalla, 00153 Rome, Italy"/>
    <s v="Peer Reviewed Journal"/>
    <s v="Azapagic, A., Bore, J., Cheserek, B., Kamunya, S. and Elbehri, A., The global warming potential of production and consumption of Kenyan tea. Journal of Cleaner Production 2016, 112, 4031-4040."/>
    <s v="Yes"/>
    <s v="Yes"/>
    <s v="Yes"/>
    <s v="Yes"/>
    <s v="Yes"/>
    <s v="Yes"/>
    <s v="Yes"/>
    <s v="No"/>
    <s v="No"/>
    <s v="Yes"/>
    <s v="No"/>
    <s v="No"/>
    <m/>
    <s v="Cradle to Grave"/>
    <s v="No"/>
    <s v="Yes"/>
    <s v="1 kg of dry tea"/>
    <s v="N/A"/>
    <s v=""/>
    <s v=""/>
    <n v="1.07"/>
    <n v="1.1300000000000001"/>
    <m/>
    <m/>
    <m/>
    <m/>
    <m/>
    <m/>
    <m/>
    <m/>
    <m/>
    <m/>
    <m/>
    <m/>
    <m/>
    <n v="1.07"/>
    <m/>
    <n v="0.06"/>
    <m/>
    <n v="0.49"/>
    <m/>
    <n v="10.46"/>
    <m/>
    <m/>
    <n v="1.07"/>
    <n v="12.08"/>
    <m/>
    <m/>
  </r>
  <r>
    <x v="7"/>
    <x v="108"/>
    <s v="Fresh or Not Specified"/>
    <s v="Kenyan Tea, Small Scale Production"/>
    <s v="No"/>
    <s v="Kenya"/>
    <n v="2015"/>
    <s v="Adisa Azapagic (1);  John Bore (2); Beatrice Cheserek (2); Samson Kamunya (2); Aziz Elbehri (3)"/>
    <s v="(1) School of Chemical Engineering and Analytical Science, The Mill, Sackville Street, The University of Manchester, Manchester M13 9PL, UK; (2) Tea Research Foundation of Kenya, Off Kericho-Nakuru Road, P.O Box 820, 20200 Kericho, Kenya; (3) Food and Agricultural Organization of the United Nations, Viale delle Terme di Caracalla, 00153 Rome, Italy"/>
    <s v="Peer Reviewed Journal"/>
    <s v="Azapagic, A., Bore, J., Cheserek, B., Kamunya, S. and Elbehri, A., The global warming potential of production and consumption of Kenyan tea. Journal of Cleaner Production 2016, 112, 4031-4040."/>
    <s v="Yes"/>
    <s v="Yes"/>
    <s v="Yes"/>
    <s v="Yes"/>
    <s v="Yes"/>
    <s v="Yes"/>
    <s v="Yes"/>
    <s v="No"/>
    <s v="No"/>
    <s v="Yes"/>
    <s v="No"/>
    <s v="No"/>
    <m/>
    <s v="Cradle to Grave"/>
    <s v="No"/>
    <s v="Yes"/>
    <s v="1 kg of dry tea"/>
    <s v="N/A"/>
    <s v=""/>
    <s v=""/>
    <n v="1.42"/>
    <n v="1.48"/>
    <m/>
    <m/>
    <m/>
    <m/>
    <m/>
    <m/>
    <m/>
    <m/>
    <m/>
    <m/>
    <m/>
    <m/>
    <m/>
    <n v="1.42"/>
    <m/>
    <n v="0.06"/>
    <m/>
    <n v="0.51"/>
    <m/>
    <n v="10.46"/>
    <m/>
    <m/>
    <n v="1.42"/>
    <n v="12.45"/>
    <m/>
    <m/>
  </r>
  <r>
    <x v="7"/>
    <x v="108"/>
    <s v="Fresh or Not Specified"/>
    <s v="Darjeeling Tea, organic production"/>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Yes"/>
    <s v="Yes"/>
    <s v="Yes"/>
    <s v="No"/>
    <s v="Yes"/>
    <s v="No"/>
    <s v="No"/>
    <m/>
    <s v="Cradle to Grave"/>
    <s v="No"/>
    <s v="No"/>
    <s v="250ml of tea ready for consumption (reference flow = 1.75g dry tea leaves)"/>
    <s v="extracting impact per kg dry tea leaves. 1.75g tea/cup.  Cultivation &amp; processing only"/>
    <n v="51.428571428571423"/>
    <n v="51.999999999999993"/>
    <n v="2.9142857142857146"/>
    <n v="6.6857142857142859"/>
    <n v="51.428571428571423"/>
    <n v="0.5714285714285714"/>
    <m/>
    <n v="1.7142857142857142"/>
    <n v="0"/>
    <m/>
    <n v="377.14285714285717"/>
    <m/>
    <m/>
    <n v="51.428571428571423"/>
    <n v="430.85714285714289"/>
    <m/>
    <m/>
    <n v="2.9142857142857146"/>
    <m/>
    <n v="3.7714285714285714"/>
    <n v="2.2857142857142856"/>
    <n v="5.1428571428571423"/>
    <n v="0.62857142857142856"/>
    <n v="1.8857142857142857"/>
    <m/>
    <m/>
    <n v="2.9142857142857146"/>
    <n v="16.628571428571426"/>
    <m/>
    <m/>
  </r>
  <r>
    <x v="7"/>
    <x v="109"/>
    <s v="Fresh or Not Specified"/>
    <s v="Darjeeling Tea, organic teabag"/>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Yes"/>
    <s v="Yes"/>
    <s v="Yes"/>
    <s v="No"/>
    <s v="Yes"/>
    <s v="No"/>
    <s v="No"/>
    <m/>
    <s v="Cradle to Grave"/>
    <s v="No"/>
    <s v="No"/>
    <s v="250ml of tea ready for consumption (reference flow = 1.75g dry tea leaves)"/>
    <s v="reported value / density (250.44g/250ml) --&gt; (RV x 1000g/kg)/(250.44g/250ml)"/>
    <s v=""/>
    <s v=""/>
    <s v=""/>
    <s v=""/>
    <m/>
    <m/>
    <m/>
    <m/>
    <m/>
    <m/>
    <m/>
    <m/>
    <m/>
    <m/>
    <n v="3.4259702922855775"/>
    <m/>
    <m/>
    <m/>
    <m/>
    <m/>
    <m/>
    <m/>
    <m/>
    <m/>
    <m/>
    <m/>
    <m/>
    <n v="0.20603737422137039"/>
    <m/>
    <m/>
  </r>
  <r>
    <x v="7"/>
    <x v="108"/>
    <s v="Fresh or Not Specified"/>
    <s v="Darjeeling Tea, conventional production"/>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Yes"/>
    <s v="Yes"/>
    <s v="Yes"/>
    <s v="No"/>
    <s v="Yes"/>
    <s v="No"/>
    <s v="No"/>
    <m/>
    <s v="Cradle to Grave"/>
    <s v="No"/>
    <s v="No"/>
    <s v="250ml of tea ready for consumption (reference flow = 1.75g dry tea leaves)"/>
    <s v="extracting impact per kg dry tea leaves. 1.75g tea/cup.  Cultivation &amp; processing only"/>
    <n v="57.142857142857146"/>
    <n v="57.714285714285715"/>
    <n v="1.7142857142857142"/>
    <n v="5.4857142857142858"/>
    <n v="57.142857142857146"/>
    <n v="0.5714285714285714"/>
    <m/>
    <n v="1.7142857142857142"/>
    <n v="5.7142857142857144"/>
    <m/>
    <n v="377.14285714285717"/>
    <m/>
    <m/>
    <n v="57.142857142857146"/>
    <n v="442.28571428571433"/>
    <m/>
    <m/>
    <n v="1.7142857142857142"/>
    <m/>
    <n v="3.7714285714285714"/>
    <n v="2.2857142857142856"/>
    <n v="5.1428571428571423"/>
    <n v="0.62857142857142856"/>
    <n v="1.8857142857142857"/>
    <m/>
    <m/>
    <n v="1.7142857142857142"/>
    <n v="15.428571428571429"/>
    <m/>
    <m/>
  </r>
  <r>
    <x v="7"/>
    <x v="109"/>
    <s v="Fresh or Not Specified"/>
    <s v="Darjeeling Tea, conventional tea bag"/>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Yes"/>
    <s v="Yes"/>
    <s v="Yes"/>
    <s v="No"/>
    <s v="Yes"/>
    <s v="No"/>
    <s v="No"/>
    <m/>
    <s v="Cradle to Grave"/>
    <s v="No"/>
    <s v="No"/>
    <s v="250ml of tea ready for consumption (reference flow = 1.75g dry tea leaves)"/>
    <s v="reported value / density (250.44g/250ml) --&gt; (RV x 1000g/kg)/(250.44g/250ml)"/>
    <s v=""/>
    <s v=""/>
    <s v=""/>
    <s v=""/>
    <m/>
    <m/>
    <m/>
    <m/>
    <m/>
    <m/>
    <m/>
    <m/>
    <m/>
    <m/>
    <n v="3.4539210988659961"/>
    <m/>
    <m/>
    <m/>
    <m/>
    <m/>
    <m/>
    <m/>
    <m/>
    <m/>
    <m/>
    <m/>
    <m/>
    <n v="0.1964542405366555"/>
    <m/>
    <m/>
  </r>
  <r>
    <x v="7"/>
    <x v="109"/>
    <s v="Fresh or Not Specified"/>
    <s v="Darjeeling Tea, organic loose w/o distribution"/>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No"/>
    <s v="No"/>
    <s v="No"/>
    <s v="No"/>
    <s v="Yes"/>
    <s v="No"/>
    <s v="No"/>
    <m/>
    <s v="Cradle to Grave"/>
    <s v="No"/>
    <s v="No"/>
    <s v="250ml of tea ready for consumption (reference flow = 1.75g dry tea leaves)"/>
    <s v="reported value / density (250.44g/250ml) --&gt; (RV x 1000g/kg)/(250.44g/250ml)"/>
    <s v=""/>
    <s v=""/>
    <s v=""/>
    <s v=""/>
    <m/>
    <m/>
    <m/>
    <m/>
    <m/>
    <m/>
    <m/>
    <m/>
    <m/>
    <m/>
    <n v="3.0346590001597189"/>
    <m/>
    <m/>
    <m/>
    <m/>
    <m/>
    <m/>
    <m/>
    <m/>
    <m/>
    <m/>
    <m/>
    <m/>
    <n v="0.18367672895703563"/>
    <m/>
    <m/>
  </r>
  <r>
    <x v="7"/>
    <x v="110"/>
    <s v="Fresh or Not Specified"/>
    <s v="Carbonated Beverages, Glass Packaging"/>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n v="1.4733205374280227"/>
    <n v="2.5492322456813814"/>
    <n v="3.8387715930902108E-2"/>
    <n v="9.2130518234165071E-2"/>
    <n v="1.4733205374280227"/>
    <m/>
    <n v="1.0759117082533587"/>
    <n v="6.6784069097888663"/>
    <n v="0.13570057581573894"/>
    <m/>
    <m/>
    <n v="0.32955854126679462"/>
    <m/>
    <n v="1.4733205374280227"/>
    <n v="9.6928982725527817"/>
    <m/>
    <m/>
    <n v="3.8387715930902108E-2"/>
    <m/>
    <n v="5.3742802303262956E-2"/>
    <n v="0.39731285988483683"/>
    <n v="7.677543186180422E-3"/>
    <m/>
    <m/>
    <n v="3.5508637236084453E-2"/>
    <m/>
    <n v="3.8387715930902108E-2"/>
    <n v="0.53262955854126681"/>
    <m/>
    <s v="CML 2001"/>
  </r>
  <r>
    <x v="7"/>
    <x v="110"/>
    <s v="Fresh or Not Specified"/>
    <s v="Carbonated Beverages, Aluminum Packaging"/>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n v="1.4700575815738961"/>
    <n v="4.2380038387715917"/>
    <n v="3.8387715930902108E-2"/>
    <n v="4.9904030710172742E-2"/>
    <n v="1.4700575815738961"/>
    <m/>
    <n v="0.20748560460652588"/>
    <n v="2.5604606525911699"/>
    <n v="9.270633397312858E-2"/>
    <m/>
    <m/>
    <n v="8.3877159309021093E-2"/>
    <m/>
    <n v="1.4700575815738961"/>
    <n v="4.4145873320537419"/>
    <m/>
    <m/>
    <n v="3.8387715930902108E-2"/>
    <m/>
    <n v="1.1516314779270634E-2"/>
    <n v="0.23800383877159309"/>
    <n v="4.7984644913627635E-3"/>
    <m/>
    <m/>
    <n v="6.7178502879078695E-3"/>
    <m/>
    <n v="3.8387715930902108E-2"/>
    <n v="0.29942418426103651"/>
    <m/>
    <s v="CML 2001"/>
  </r>
  <r>
    <x v="7"/>
    <x v="110"/>
    <s v="Fresh or Not Specified"/>
    <s v="Carbonated Beverages, PET 0.5 L Packaging"/>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n v="2.0596928982725524"/>
    <n v="2.7231381957773508"/>
    <n v="3.8387715930902108E-2"/>
    <n v="7.4856046065259113E-2"/>
    <n v="2.0596928982725524"/>
    <m/>
    <n v="0.66344529750479841"/>
    <n v="4.0633397312859882"/>
    <n v="7.9165067178502871E-2"/>
    <m/>
    <m/>
    <n v="0.14011516314779271"/>
    <m/>
    <n v="2.0596928982725524"/>
    <n v="7.0057581573896348"/>
    <m/>
    <m/>
    <n v="3.8387715930902108E-2"/>
    <m/>
    <n v="3.6468330134357005E-2"/>
    <n v="0.16698656429942416"/>
    <n v="5.7581573896353169E-3"/>
    <m/>
    <m/>
    <n v="3.358925143953935E-2"/>
    <m/>
    <n v="3.8387715930902108E-2"/>
    <n v="0.28119001919385794"/>
    <m/>
    <s v="CML 2001"/>
  </r>
  <r>
    <x v="7"/>
    <x v="110"/>
    <s v="Fresh or Not Specified"/>
    <s v="Carbonated Beverages, PET 2 L Packaging"/>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n v="1.1568138195777349"/>
    <n v="1.5294337811900189"/>
    <n v="3.8387715930902108E-2"/>
    <n v="5.4702495201535507E-2"/>
    <n v="1.1568138195777349"/>
    <m/>
    <n v="0.37261996161228406"/>
    <n v="2.2821497120921301"/>
    <n v="4.4462571976967361E-2"/>
    <m/>
    <m/>
    <n v="7.869481765834932E-2"/>
    <m/>
    <n v="1.1568138195777349"/>
    <n v="3.9347408829174659"/>
    <m/>
    <m/>
    <n v="3.8387715930902108E-2"/>
    <m/>
    <n v="1.6314779270633399E-2"/>
    <n v="7.1017274472168906E-2"/>
    <n v="4.7984644913627635E-3"/>
    <m/>
    <m/>
    <n v="1.3435700575815739E-2"/>
    <m/>
    <n v="3.8387715930902108E-2"/>
    <n v="0.14395393474088292"/>
    <m/>
    <s v="CML 2001"/>
  </r>
  <r>
    <x v="12"/>
    <x v="103"/>
    <s v="Frozen"/>
    <s v="Common Octopus, delivered to import ports; average of 3 reported"/>
    <s v="No"/>
    <s v="Mauritania (Spanish fleet)"/>
    <n v="2012"/>
    <s v="Ian Va´zquez-Rowe n, Marı´a TeresaMoreira,GumersindoFeijoo"/>
    <s v="Department ofChemicalEngineering,SchoolofEngineering,UniversityofSantiagodeCompostela.15782–SantiagodeCompostela,Spain"/>
    <s v="Peer Reviewed Journal"/>
    <s v="Vázquez-Rowe, I., Moreira, M. T. and Feijoo, G., Environmental assessment of frozen common octopus (Octopus vulgaris) captured by Spanish fishing vessels in the Mauritanian EEZ. Marine Policy 2012, 36, 180-188."/>
    <s v="Yes"/>
    <s v="No"/>
    <s v="Yes"/>
    <s v="No"/>
    <s v="Yes"/>
    <s v="No"/>
    <s v="No"/>
    <s v="No"/>
    <s v="No"/>
    <s v="No"/>
    <s v="No"/>
    <s v="No"/>
    <m/>
    <s v="delivered to port"/>
    <s v="No"/>
    <s v="No"/>
    <s v="24 kg frozen octopus"/>
    <s v="/24/.79  79% meats from http://www.fao.org/docrep/003/t0219e/T0219E01.htm#ch1"/>
    <s v=""/>
    <s v=""/>
    <s v=""/>
    <s v=""/>
    <m/>
    <m/>
    <m/>
    <m/>
    <m/>
    <m/>
    <m/>
    <m/>
    <m/>
    <m/>
    <m/>
    <m/>
    <m/>
    <m/>
    <m/>
    <m/>
    <m/>
    <m/>
    <m/>
    <m/>
    <m/>
    <m/>
    <m/>
    <n v="9.9096343178621655"/>
    <m/>
    <s v="CML 2001"/>
  </r>
  <r>
    <x v="12"/>
    <x v="111"/>
    <s v="Fresh or Not Specified"/>
    <s v="fresh Tasmanian Southern Rock lobster airfreighted; recording basecase here"/>
    <s v="Yes"/>
    <s v="Tasmania"/>
    <n v="2014"/>
    <s v="Anna Farmery a,*, Caleb Gardner a,1, Bridget S. Green a,2, Sarah Jennings b,3"/>
    <s v="a Institute for Marine and Antarctic Studies, University of Tasmania, Hobart, Tasmania 7001, Australia; b School of Economics and Finance, University of Tasmania, Hobart, Tasmania 7001, Australia"/>
    <s v="Peer Reviewed Journal"/>
    <s v="Farmery, A. K., Gardner, C., Green, B. S. and Jennings, S., Managing fisheries for environmental performance: the effects of marine resource decision-making on the footprint of seafood. Journal of Cleaner Production 2014, 64, 368-376."/>
    <s v="Yes"/>
    <s v="No"/>
    <s v="Yes"/>
    <s v="No"/>
    <s v="Yes"/>
    <s v="No"/>
    <s v="No"/>
    <s v="No"/>
    <s v="No"/>
    <s v="No"/>
    <s v="No"/>
    <s v="No"/>
    <m/>
    <s v="delivered to Beijing, China"/>
    <s v="No"/>
    <s v="Yes"/>
    <s v="1 kg of live lobster at the point of arrival in the main export market of Beijing, China"/>
    <s v="/.31 ~31% meat yield, from DOI:10.1021/jf900237g"/>
    <n v="609.67741935483866"/>
    <s v=""/>
    <n v="40.645161290322577"/>
    <s v=""/>
    <n v="609.67741935483866"/>
    <m/>
    <m/>
    <n v="100"/>
    <n v="854.83870967741939"/>
    <m/>
    <m/>
    <m/>
    <m/>
    <n v="609.67741935483866"/>
    <n v="1564.516129032258"/>
    <s v="CML Baseline 2000"/>
    <m/>
    <n v="40.645161290322577"/>
    <m/>
    <m/>
    <n v="2.967741935483871"/>
    <n v="56.451612903225808"/>
    <m/>
    <m/>
    <m/>
    <m/>
    <n v="40.645161290322577"/>
    <n v="100"/>
    <m/>
    <s v="CML Baseline 2000"/>
  </r>
  <r>
    <x v="12"/>
    <x v="102"/>
    <s v="Fresh (Raw)"/>
    <s v="Salmon, farmed, gutted, head on, trucked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3.6"/>
    <m/>
    <s v="IPCC, 2007"/>
  </r>
  <r>
    <x v="12"/>
    <x v="102"/>
    <s v="Fresh (Raw)"/>
    <s v="Salmon, farmed, gutted, head on, trucked to Oslo"/>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3.29"/>
    <m/>
    <s v="IPCC, 2007"/>
  </r>
  <r>
    <x v="12"/>
    <x v="102"/>
    <s v="Fresh (Raw)"/>
    <s v="Salmon, farmed, gutted, head on, trucked to Moscow"/>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4.16"/>
    <m/>
    <s v="IPCC, 2007"/>
  </r>
  <r>
    <x v="12"/>
    <x v="102"/>
    <s v="Fresh (Raw)"/>
    <s v="Salmon, farmed, gutted, head on, air to Tokyo"/>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13.9"/>
    <m/>
    <s v="IPCC, 2007"/>
  </r>
  <r>
    <x v="12"/>
    <x v="102"/>
    <s v="Frozen"/>
    <s v="Salmon, farmed, container freight to Shanghai"/>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4.08"/>
    <m/>
    <s v="IPCC, 2007"/>
  </r>
  <r>
    <x v="12"/>
    <x v="102"/>
    <s v="Fresh or Not Specified"/>
    <s v="Salmon, farmed, fillet,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2.52"/>
    <m/>
    <s v="IPCC, 2007"/>
  </r>
  <r>
    <x v="12"/>
    <x v="102"/>
    <s v="Frozen"/>
    <s v="Salmon, farmed, fillet,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2.4700000000000002"/>
    <m/>
    <s v="IPCC, 2007"/>
  </r>
  <r>
    <x v="12"/>
    <x v="103"/>
    <s v="Fresh (Live)"/>
    <s v="Mussels, farmed,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16900000000000001"/>
    <s v=""/>
    <m/>
    <m/>
    <m/>
    <m/>
    <m/>
    <m/>
    <m/>
    <m/>
    <m/>
    <m/>
    <m/>
    <m/>
    <m/>
    <m/>
    <m/>
    <m/>
    <m/>
    <m/>
    <m/>
    <m/>
    <m/>
    <m/>
    <n v="0.16900000000000001"/>
    <n v="2.5499999999999998"/>
    <m/>
    <s v="IPCC, 2007"/>
  </r>
  <r>
    <x v="12"/>
    <x v="104"/>
    <s v="Fresh or Not Specified"/>
    <s v="Atlantic Cod, wild caught, gutted, head on,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3.63"/>
    <m/>
    <s v="IPCC, 2007"/>
  </r>
  <r>
    <x v="12"/>
    <x v="104"/>
    <s v="Fresh or Not Specified"/>
    <s v="Atlantic Cod, wild caught, fillet, truck to Oslo"/>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36"/>
    <m/>
    <s v="IPCC, 2007"/>
  </r>
  <r>
    <x v="12"/>
    <x v="104"/>
    <s v="Fresh or Not Specified"/>
    <s v="Atlantic Cod, wild, fillet,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5099999999999998"/>
    <m/>
    <s v="IPCC, 2007"/>
  </r>
  <r>
    <x v="12"/>
    <x v="104"/>
    <s v="Frozen"/>
    <s v="Atlantic Cod, wild, fillet,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5099999999999998"/>
    <m/>
    <s v="IPCC, 2007"/>
  </r>
  <r>
    <x v="12"/>
    <x v="104"/>
    <s v="Frozen"/>
    <s v="Atlantic Cod, wild, fillet, truck/container to Paris via processing in China"/>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3.78"/>
    <m/>
    <s v="IPCC, 2007"/>
  </r>
  <r>
    <x v="12"/>
    <x v="104"/>
    <s v="Saltfish"/>
    <s v="Atlantic Cod, wild, truck to Lisbo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21"/>
    <m/>
    <s v="IPCC, 2007"/>
  </r>
  <r>
    <x v="12"/>
    <x v="104"/>
    <s v="Saltfish"/>
    <s v="Atlantic Cod, wild, truck to Lisbo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2799999999999998"/>
    <m/>
    <s v="IPCC, 2007"/>
  </r>
  <r>
    <x v="12"/>
    <x v="104"/>
    <s v="Saithe, frozen"/>
    <s v="wild, fillet, Truck to Berli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3"/>
    <s v=""/>
    <m/>
    <m/>
    <m/>
    <m/>
    <m/>
    <m/>
    <m/>
    <m/>
    <m/>
    <m/>
    <m/>
    <m/>
    <m/>
    <m/>
    <m/>
    <m/>
    <m/>
    <m/>
    <m/>
    <m/>
    <m/>
    <m/>
    <n v="1.3"/>
    <n v="2.57"/>
    <m/>
    <s v="IPCC, 2007"/>
  </r>
  <r>
    <x v="12"/>
    <x v="104"/>
    <s v="Fresh or Not Specified"/>
    <s v="Haddock, wild, gutted, head on, Truck/RoRo vessel to Londo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35"/>
    <s v=""/>
    <m/>
    <m/>
    <m/>
    <m/>
    <m/>
    <m/>
    <m/>
    <m/>
    <m/>
    <m/>
    <m/>
    <m/>
    <m/>
    <m/>
    <m/>
    <m/>
    <m/>
    <m/>
    <m/>
    <m/>
    <m/>
    <m/>
    <n v="1.35"/>
    <n v="3.71"/>
    <m/>
    <s v="IPCC, 2007"/>
  </r>
  <r>
    <x v="12"/>
    <x v="104"/>
    <s v="Frozen"/>
    <s v="Haddock, wild, gutted, head on, Truck/bulk freight to Londo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3.84"/>
    <m/>
    <s v="IPCC, 2007"/>
  </r>
  <r>
    <x v="12"/>
    <x v="104"/>
    <s v="herring, frozen"/>
    <s v="wild, round, bulk freight/train to Moscow"/>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0.97"/>
    <m/>
    <s v="IPCC, 2007"/>
  </r>
  <r>
    <x v="12"/>
    <x v="104"/>
    <s v="herring, frozen"/>
    <s v="wild, deskinned fillet, truck to Moscow"/>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1.39"/>
    <m/>
    <s v="IPCC, 2007"/>
  </r>
  <r>
    <x v="12"/>
    <x v="104"/>
    <s v="Frozen"/>
    <s v="Mackerel, wild, round, container freighter to Tokyo"/>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1.93"/>
    <m/>
    <s v="IPCC, 2007"/>
  </r>
  <r>
    <x v="12"/>
    <x v="104"/>
    <s v="Frozen"/>
    <s v="Mackerel, wild, round, bulk freight/train to Moscow"/>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1"/>
    <m/>
    <s v="IPCC, 2007"/>
  </r>
  <r>
    <x v="12"/>
    <x v="111"/>
    <s v="Fresh (Live)"/>
    <s v="American Lobster, caught in Maine, delivered live to Boston, MA, stored live for 72 hrs"/>
    <s v="No"/>
    <s v="Maine, US"/>
    <n v="2015"/>
    <s v="John Driscoll ∗, Catherine Boyd, Peter Tyedmers"/>
    <s v="School for Resource and Environmental Studies, Dalhousie University, 6100 University Ave, Suite 5010, Halifax, Nova Scotia B3H 4R2, Canada"/>
    <s v="Peer Reviewed Journal"/>
    <s v="Driscoll, J., Boyd, C. and Tyedmers, P., Life cycle assessment of the Maine and southwest Nova Scotia lobster industries. Fisheries Research 2015, 172, 385-400."/>
    <s v="Yes"/>
    <s v="No"/>
    <s v="Yes"/>
    <s v="No"/>
    <s v="No"/>
    <s v="No"/>
    <s v="No"/>
    <s v="No"/>
    <s v="No"/>
    <s v="No"/>
    <s v="No"/>
    <s v="No"/>
    <m/>
    <s v="The boundaries of the analyses encompassed those processes required for the provision and/or use of the vessel, gear, bait, fuel, and post-capture storage and transport of live lobster. The models of post-capture transport reflected common distribution networks for lobster caught in the Maine and LFA 34 fisheries (e.g., regional distribution for Maine lobster, and distribution todistant U.S. markets for LFA 34 lobster)"/>
    <s v="No"/>
    <s v="Yes"/>
    <s v="one metric ton of live lobster, caught in calendar year 2006, delivered to a live storage facility in Boston, Massachusetts, and stored for 72 h."/>
    <s v="/1000/.31  ~31% meat yield, from DOI:10.1021/jf900237g"/>
    <n v="244.11612903225807"/>
    <s v=""/>
    <n v="15.848387096774195"/>
    <s v=""/>
    <n v="244.11612903225807"/>
    <m/>
    <m/>
    <m/>
    <n v="16.896799999999999"/>
    <m/>
    <m/>
    <m/>
    <m/>
    <n v="244.11612903225807"/>
    <n v="261.01290322580644"/>
    <s v="CED v 1.03"/>
    <m/>
    <n v="15.848387096774195"/>
    <m/>
    <m/>
    <m/>
    <n v="0.95483499999999999"/>
    <m/>
    <m/>
    <m/>
    <m/>
    <n v="15.848387096774195"/>
    <n v="16.803225806451611"/>
    <m/>
    <s v="CML 2001"/>
  </r>
  <r>
    <x v="12"/>
    <x v="111"/>
    <s v="Fresh (Live)"/>
    <s v="American Lobster, caught in Lobster Fishing Area 34, delivered to Las Vegas, NV"/>
    <s v="No"/>
    <s v="Nova Scotia, Canada"/>
    <n v="2015"/>
    <s v="John Driscoll ∗, Catherine Boyd, Peter Tyedmers"/>
    <s v="School for Resource and Environmental Studies, Dalhousie University, 6100 University Ave, Suite 5010, Halifax, Nova Scotia B3H 4R2, Canada"/>
    <s v="Peer Reviewed Journal"/>
    <s v="Driscoll, J., Boyd, C. and Tyedmers, P., Life cycle assessment of the Maine and southwest Nova Scotia lobster industries. Fisheries Research 2015, 172, 385-400."/>
    <s v="Yes"/>
    <s v="No"/>
    <s v="Yes"/>
    <s v="No"/>
    <s v="No"/>
    <s v="No"/>
    <s v="No"/>
    <s v="No"/>
    <s v="No"/>
    <s v="No"/>
    <s v="No"/>
    <s v="No"/>
    <m/>
    <s v="The boundaries of the analyses encompassed those processes required for the provision and/or use of the vessel, gear, bait, fuel, and post-capture storage and transport of live lobster. The models of post-capture transport reflected common distribution networks for lobster caught in the Maine and LFA 34 fisheries (e.g., regional distribution for Maine lobster, and distribution todistant U.S. markets for LFA 34 lobster)"/>
    <s v="No"/>
    <s v="Yes"/>
    <s v="one metric ton of live lobster caught in the 2005–2006 fishing season and delivered to Las Vegas,Nevada"/>
    <s v="/1000/.31  ~31% meat yield, from DOI:10.1021/jf900237g"/>
    <n v="191.96774193548387"/>
    <n v="219.17096193548389"/>
    <n v="13.445161290322581"/>
    <s v=""/>
    <n v="191.96774193548387"/>
    <n v="27.203220000000002"/>
    <m/>
    <m/>
    <n v="224.858"/>
    <m/>
    <m/>
    <m/>
    <m/>
    <n v="191.96774193548387"/>
    <n v="444.03225806451616"/>
    <s v="CED v 1.03"/>
    <m/>
    <n v="13.445161290322581"/>
    <m/>
    <m/>
    <m/>
    <n v="16.22258064516129"/>
    <m/>
    <m/>
    <m/>
    <m/>
    <n v="13.445161290322581"/>
    <n v="29.667741935483868"/>
    <m/>
    <s v="CML 2001"/>
  </r>
  <r>
    <x v="12"/>
    <x v="104"/>
    <s v="herring, canned "/>
    <s v="herring, no oil"/>
    <s v="No"/>
    <s v="Denmark"/>
    <n v="2011"/>
    <s v="Benedikt Buschspies; Sunnie J. Tolle; Niels Jungbluth"/>
    <s v="ESU services consulting, Switzerland"/>
    <s v="Industry Based Report"/>
    <s v="Buchspies, B., Tölle, S. and Jungbluthy, N., Life Cycle Assessment of High-Sea Fish and Salmon Aquaculture. Switzerland: ESU-services Ltd.; 2011."/>
    <s v="Yes"/>
    <s v="No"/>
    <s v="Yes"/>
    <s v="Yes"/>
    <s v="Yes"/>
    <s v="Yes"/>
    <s v="Yes"/>
    <s v="No"/>
    <s v="No"/>
    <s v="No"/>
    <s v="No"/>
    <s v="No"/>
    <m/>
    <s v="landed in Denmark, processed &amp; packaged, trucked to Switzerland"/>
    <s v="No"/>
    <s v="Yes"/>
    <s v="1 kg fish fillet sold in Swiss supermarket"/>
    <m/>
    <s v=""/>
    <s v=""/>
    <n v="0.55000000000000004"/>
    <n v="1.2"/>
    <m/>
    <m/>
    <m/>
    <m/>
    <m/>
    <m/>
    <m/>
    <m/>
    <m/>
    <m/>
    <m/>
    <m/>
    <m/>
    <n v="0.55000000000000004"/>
    <n v="0.2"/>
    <n v="0.45"/>
    <n v="2.3199999999999998"/>
    <n v="0.22"/>
    <m/>
    <m/>
    <m/>
    <m/>
    <n v="0.55000000000000004"/>
    <n v="3.7"/>
    <m/>
    <s v="IPCC 2007"/>
  </r>
  <r>
    <x v="12"/>
    <x v="104"/>
    <s v="canned "/>
    <s v="mackerel, no oil"/>
    <s v="No"/>
    <s v="Denmark"/>
    <n v="2011"/>
    <s v="Benedikt Buschspies; Sunnie J. Tolle; Niels Jungbluth"/>
    <s v="ESU services consulting, Switzerland"/>
    <s v="Industry Based Report"/>
    <s v="Buchspies, B., Tölle, S. and Jungbluthy, N., Life Cycle Assessment of High-Sea Fish and Salmon Aquaculture. Switzerland: ESU-services Ltd.; 2011."/>
    <s v="Yes"/>
    <s v="No"/>
    <s v="Yes"/>
    <s v="Yes"/>
    <s v="Yes"/>
    <s v="Yes"/>
    <s v="Yes"/>
    <s v="No"/>
    <s v="No"/>
    <s v="No"/>
    <s v="No"/>
    <s v="No"/>
    <m/>
    <s v="landed in Denmark, processed &amp; packaged, trucked to Switzerland"/>
    <s v="No"/>
    <s v="Yes"/>
    <s v="2 kg fish fillet sold in Swiss supermarket"/>
    <m/>
    <s v=""/>
    <s v=""/>
    <n v="0.45"/>
    <n v="1.1200000000000001"/>
    <m/>
    <m/>
    <m/>
    <m/>
    <m/>
    <m/>
    <m/>
    <m/>
    <m/>
    <m/>
    <m/>
    <m/>
    <m/>
    <n v="0.45"/>
    <n v="0.22"/>
    <n v="0.45"/>
    <n v="2.4"/>
    <n v="0.22"/>
    <m/>
    <m/>
    <m/>
    <m/>
    <n v="0.45"/>
    <n v="3.7"/>
    <m/>
    <s v="IPCC 2007"/>
  </r>
  <r>
    <x v="12"/>
    <x v="104"/>
    <s v="Frozen"/>
    <s v="Atlantic Cod"/>
    <s v="No"/>
    <s v="Denmark"/>
    <n v="2011"/>
    <s v="Benedikt Buschspies; Sunnie J. Tolle; Niels Jungbluth"/>
    <s v="ESU services consulting, Switzerland"/>
    <s v="Industry Based Report"/>
    <s v="Buchspies, B., Tölle, S. and Jungbluthy, N., Life Cycle Assessment of High-Sea Fish and Salmon Aquaculture. Switzerland: ESU-services Ltd.; 2011."/>
    <s v="Yes"/>
    <s v="No"/>
    <s v="Yes"/>
    <s v="Yes"/>
    <s v="Yes"/>
    <s v="Yes"/>
    <s v="Yes"/>
    <s v="No"/>
    <s v="No"/>
    <s v="No"/>
    <s v="No"/>
    <s v="No"/>
    <m/>
    <s v="landed in Denmark, processed &amp; packaged, trucked to Switzerland"/>
    <s v="No"/>
    <s v="Yes"/>
    <s v="3 kg fish fillet sold in Swiss supermarket"/>
    <m/>
    <s v=""/>
    <s v=""/>
    <n v="3.73"/>
    <n v="4.4000000000000004"/>
    <m/>
    <m/>
    <m/>
    <m/>
    <m/>
    <m/>
    <m/>
    <m/>
    <m/>
    <m/>
    <m/>
    <m/>
    <m/>
    <n v="3.73"/>
    <n v="0.22"/>
    <n v="0.45"/>
    <n v="0.12"/>
    <n v="0.68"/>
    <m/>
    <m/>
    <m/>
    <m/>
    <n v="3.73"/>
    <n v="5.3"/>
    <m/>
    <s v="IPCC 2007"/>
  </r>
  <r>
    <x v="12"/>
    <x v="102"/>
    <s v="Cured or Pickled"/>
    <s v="Salmon, filleted, brined &amp; smoked"/>
    <s v="No"/>
    <s v="Norway"/>
    <n v="2011"/>
    <s v="Benedikt Buschspies; Sunnie J. Tolle; Niels Jungbluth"/>
    <s v="ESU services consulting, Switzerland"/>
    <s v="Industry Based Report"/>
    <s v="Buchspies, B., Tölle, S. and Jungbluthy, N., Life Cycle Assessment of High-Sea Fish and Salmon Aquaculture. Switzerland: ESU-services Ltd.; 2011."/>
    <s v="Yes"/>
    <s v="No"/>
    <s v="Yes"/>
    <s v="Yes"/>
    <s v="Yes"/>
    <s v="Yes"/>
    <s v="Yes"/>
    <s v="No"/>
    <s v="No"/>
    <s v="No"/>
    <s v="No"/>
    <s v="No"/>
    <m/>
    <s v="farmed in Norway, processed &amp; packaged, transported by truck to Switzerland"/>
    <s v="No"/>
    <s v="Yes"/>
    <s v="4 kg fish fillet sold in Swiss supermarket"/>
    <m/>
    <s v=""/>
    <s v=""/>
    <n v="4.5"/>
    <n v="5.0600000000000005"/>
    <m/>
    <m/>
    <m/>
    <m/>
    <m/>
    <m/>
    <m/>
    <m/>
    <m/>
    <m/>
    <m/>
    <m/>
    <m/>
    <n v="4.5"/>
    <n v="0.48"/>
    <n v="0.08"/>
    <n v="0.45"/>
    <n v="1.0900000000000001"/>
    <m/>
    <m/>
    <m/>
    <m/>
    <n v="4.5"/>
    <n v="6.6"/>
    <m/>
    <s v="IPCC 2007"/>
  </r>
  <r>
    <x v="12"/>
    <x v="102"/>
    <s v="Fresh (Raw)"/>
    <s v="Farmed Trout, flow-through system"/>
    <s v="Yes"/>
    <s v="France"/>
    <n v="2009"/>
    <s v="J. Aubin a,*, E. Papatryphon b, H.M.G. van der Werf a, S. Chatzifotis c"/>
    <s v="a INRA, Agrocampus Rennes, UMR1069, Sol Agronomie Spatialisation, 65 rue de Saint Brieuc, CS 84215, F-35042 Rennes Cedex, France b Scientific Cooperation Unit, European Food Safety Authority (EFSA), Largo Natale Palli 5/A, l-431 Parma, Italy c Institute of Aquaculture, Hellenic Centre for Marine Research, PO Box 2214, G-71003 Heraklion, Greece "/>
    <s v="Peer Reviewed Journal"/>
    <s v="Aubin, J., Papatryphon, E., Van Der Werf, H. and Chatzifotis, S., Assessment of the environmental impact of carnivorous finfish production systems using life cycle assessment. Journal of Cleaner Production 2009, 17 (3), 354-361."/>
    <s v="Yes"/>
    <s v="No"/>
    <s v="No"/>
    <s v="No"/>
    <s v="No"/>
    <s v="No"/>
    <s v="No"/>
    <s v="No"/>
    <s v="No"/>
    <s v="No"/>
    <s v="No"/>
    <s v="Yes"/>
    <m/>
    <s v="to farm gate"/>
    <s v="No"/>
    <s v="Yes"/>
    <s v="1 tonne live fish"/>
    <s v="/1000/.65 assuming 65% fillet yield, ave of high and low FY from http://onlinelibrary.wiley.com/doi/10.1111/j.1745-4573.2010.00214.x/abstract"/>
    <n v="120.35230769230769"/>
    <s v=""/>
    <n v="4.2353846153846151"/>
    <s v=""/>
    <n v="120.35230769230769"/>
    <m/>
    <m/>
    <m/>
    <m/>
    <m/>
    <m/>
    <m/>
    <n v="7.4215384615384608"/>
    <n v="120.35230769230769"/>
    <m/>
    <m/>
    <s v="Only Ag Prod and Capital Goods Reported, not Full LC"/>
    <n v="4.2353846153846151"/>
    <m/>
    <m/>
    <m/>
    <m/>
    <m/>
    <m/>
    <m/>
    <n v="0.37538461538461537"/>
    <n v="4.2353846153846151"/>
    <m/>
    <m/>
    <m/>
  </r>
  <r>
    <x v="12"/>
    <x v="104"/>
    <s v="Fresh (Raw)"/>
    <s v="Farmed Sea Bass, marine-based cages"/>
    <s v="Yes"/>
    <s v="Greece"/>
    <n v="2009"/>
    <s v="J. Aubin a,*, E. Papatryphon b, H.M.G. van der Werf a, S. Chatzifotis c"/>
    <s v="a INRA, Agrocampus Rennes, UMR1069, Sol Agronomie Spatialisation, 65 rue de Saint Brieuc, CS 84215, F-35042 Rennes Cedex, France b Scientific Cooperation Unit, European Food Safety Authority (EFSA), Largo Natale Palli 5/A, l-431 Parma, Italy c Institute of Aquaculture, Hellenic Centre for Marine Research, PO Box 2214, G-71003 Heraklion, Greece "/>
    <s v="Peer Reviewed Journal"/>
    <s v="Aubin, J., Papatryphon, E., Van Der Werf, H. and Chatzifotis, S., Assessment of the environmental impact of carnivorous finfish production systems using life cycle assessment. Journal of Cleaner Production 2009, 17 (3), 354-361."/>
    <s v="Yes"/>
    <s v="No"/>
    <s v="No"/>
    <s v="No"/>
    <s v="No"/>
    <s v="No"/>
    <s v="No"/>
    <s v="No"/>
    <s v="No"/>
    <s v="No"/>
    <s v="No"/>
    <s v="Yes"/>
    <m/>
    <s v="to farm gate"/>
    <s v="No"/>
    <s v="Yes"/>
    <s v="1 tonne live fish"/>
    <s v="/1000/.44 68% round to headed&amp;gutted, 65% headed&amp;gutted to skinless fillet, from http://www.chefs-resources.com/seafood/seafood-yields/"/>
    <n v="124.21818181818182"/>
    <s v=""/>
    <n v="8.1840909090909086"/>
    <s v=""/>
    <n v="124.21818181818182"/>
    <m/>
    <m/>
    <m/>
    <m/>
    <m/>
    <m/>
    <m/>
    <n v="12.520454545454546"/>
    <n v="124.21818181818182"/>
    <m/>
    <m/>
    <s v="Only Ag Prod and Capital Goods Reported, not Full LC"/>
    <n v="8.1840909090909086"/>
    <m/>
    <m/>
    <m/>
    <m/>
    <m/>
    <m/>
    <m/>
    <n v="0.7"/>
    <n v="8.1840909090909086"/>
    <m/>
    <m/>
    <m/>
  </r>
  <r>
    <x v="12"/>
    <x v="104"/>
    <s v="Fresh (Raw)"/>
    <s v="Farmed Turbot, land-based re-circulating system"/>
    <s v="Yes"/>
    <s v="France"/>
    <n v="2009"/>
    <s v="J. Aubin a,*, E. Papatryphon b, H.M.G. van der Werf a, S. Chatzifotis c"/>
    <s v="a INRA, Agrocampus Rennes, UMR1069, Sol Agronomie Spatialisation, 65 rue de Saint Brieuc, CS 84215, F-35042 Rennes Cedex, France b Scientific Cooperation Unit, European Food Safety Authority (EFSA), Largo Natale Palli 5/A, l-431 Parma, Italy c Institute of Aquaculture, Hellenic Centre for Marine Research, PO Box 2214, G-71003 Heraklion, Greece "/>
    <s v="Peer Reviewed Journal"/>
    <s v="Aubin, J., Papatryphon, E., Van Der Werf, H. and Chatzifotis, S., Assessment of the environmental impact of carnivorous finfish production systems using life cycle assessment. Journal of Cleaner Production 2009, 17 (3), 354-361."/>
    <s v="Yes"/>
    <s v="No"/>
    <s v="No"/>
    <s v="No"/>
    <s v="No"/>
    <s v="No"/>
    <s v="No"/>
    <s v="No"/>
    <s v="No"/>
    <s v="No"/>
    <s v="No"/>
    <s v="Yes"/>
    <m/>
    <s v="to farm gate"/>
    <s v="No"/>
    <s v="Yes"/>
    <s v="1 tonne live fish"/>
    <s v="/1000/.48  from http://www.brownetrading.com/species-spotlight/farm-raised-turbot-from-spain/"/>
    <n v="606.2208333333333"/>
    <s v=""/>
    <n v="12.535416666666668"/>
    <s v=""/>
    <n v="606.2208333333333"/>
    <m/>
    <m/>
    <m/>
    <m/>
    <m/>
    <m/>
    <m/>
    <n v="15.041666666666666"/>
    <n v="606.2208333333333"/>
    <m/>
    <m/>
    <s v="Only Ag Prod and Capital Goods Reported, not Full LC"/>
    <n v="12.535416666666668"/>
    <m/>
    <m/>
    <m/>
    <m/>
    <m/>
    <m/>
    <m/>
    <n v="0.82291666666666674"/>
    <n v="12.535416666666668"/>
    <m/>
    <m/>
    <m/>
  </r>
  <r>
    <x v="12"/>
    <x v="102"/>
    <s v="Fresh (Raw)"/>
    <s v="Salmon, Farmed"/>
    <s v="Yes"/>
    <s v="Norway"/>
    <n v="2009"/>
    <s v="Pelletier, Nathan; Tyedmers, Peter; Sonesson, Ulf; Scholz, Astrid; Ziegler, Friederike; Flysjo, Anna; Kruse, Sarah; Cancino, Beatriz; Silverman, Howard"/>
    <s v="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
    <s v="Peer Reviewed Journal"/>
    <s v="Pelletier, N., Tyedmers, P., Sonesson, U., Scholz, A., Ziegler, F., Flysjö, A., Kruse, S., Cancino, B. and Silverman, H., Not all salmon are created equal: Life cycle assessment (LCA) of global salmon farming systems. Environmental Science and Technology 2009, 43 (23), 8730-8736."/>
    <s v="Yes"/>
    <s v="No"/>
    <s v="No"/>
    <s v="No"/>
    <s v="No"/>
    <s v="No"/>
    <s v="No"/>
    <s v="No"/>
    <s v="No"/>
    <s v="No"/>
    <s v="No"/>
    <s v="No"/>
    <m/>
    <s v="to farm gate"/>
    <s v="No"/>
    <s v="No"/>
    <s v="1 tonne live weight"/>
    <s v="/1000/.72  filet yield (72%) from Table 4.5 of http://brage.bibsys.no/xmlui/bitstream/handle/11250/186065/deependra%20acharya.pdf?sequence=1"/>
    <n v="36.388888888888886"/>
    <s v=""/>
    <n v="2.4861111111111112"/>
    <s v=""/>
    <m/>
    <m/>
    <m/>
    <m/>
    <m/>
    <m/>
    <m/>
    <m/>
    <m/>
    <n v="36.388888888888886"/>
    <m/>
    <m/>
    <m/>
    <m/>
    <m/>
    <m/>
    <m/>
    <m/>
    <m/>
    <m/>
    <m/>
    <m/>
    <n v="2.4861111111111112"/>
    <m/>
    <m/>
    <m/>
  </r>
  <r>
    <x v="12"/>
    <x v="102"/>
    <s v="Fresh (Raw)"/>
    <s v="Salmon, Farmed"/>
    <s v="Yes"/>
    <s v="UK"/>
    <n v="2009"/>
    <s v="Pelletier, Nathan; Tyedmers, Peter; Sonesson, Ulf; Scholz, Astrid; Ziegler, Friederike; Flysjo, Anna; Kruse, Sarah; Cancino, Beatriz; Silverman, Howard"/>
    <s v="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
    <s v="Peer Reviewed Journal"/>
    <s v="Pelletier, N., Tyedmers, P., Sonesson, U., Scholz, A., Ziegler, F., Flysjö, A., Kruse, S., Cancino, B. and Silverman, H., Not all salmon are created equal: Life cycle assessment (LCA) of global salmon farming systems. Environmental Science and Technology 2009, 43 (23), 8730-8736."/>
    <s v="Yes"/>
    <s v="No"/>
    <s v="No"/>
    <s v="No"/>
    <s v="No"/>
    <s v="No"/>
    <s v="No"/>
    <s v="No"/>
    <s v="No"/>
    <s v="No"/>
    <s v="No"/>
    <s v="No"/>
    <m/>
    <s v="to farm gate"/>
    <s v="No"/>
    <s v="No"/>
    <s v="1 tonne live weight"/>
    <s v="/1000/.72  filet yield (72%) from Table 4.5 of http://brage.bibsys.no/xmlui/bitstream/handle/11250/186065/deependra%20acharya.pdf?sequence=1"/>
    <n v="66.527777777777771"/>
    <s v=""/>
    <n v="4.541666666666667"/>
    <s v=""/>
    <m/>
    <m/>
    <m/>
    <m/>
    <m/>
    <m/>
    <m/>
    <m/>
    <m/>
    <n v="66.527777777777771"/>
    <m/>
    <m/>
    <m/>
    <m/>
    <m/>
    <m/>
    <m/>
    <m/>
    <m/>
    <m/>
    <m/>
    <m/>
    <n v="4.541666666666667"/>
    <m/>
    <m/>
    <m/>
  </r>
  <r>
    <x v="12"/>
    <x v="102"/>
    <s v="Fresh (Raw)"/>
    <s v="Salmon, Farmed"/>
    <s v="Yes"/>
    <s v="Chile"/>
    <n v="2009"/>
    <s v="Pelletier, Nathan; Tyedmers, Peter; Sonesson, Ulf; Scholz, Astrid; Ziegler, Friederike; Flysjo, Anna; Kruse, Sarah; Cancino, Beatriz; Silverman, Howard"/>
    <s v="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
    <s v="Peer Reviewed Journal"/>
    <s v="Pelletier, N., Tyedmers, P., Sonesson, U., Scholz, A., Ziegler, F., Flysjö, A., Kruse, S., Cancino, B. and Silverman, H., Not all salmon are created equal: Life cycle assessment (LCA) of global salmon farming systems. Environmental Science and Technology 2009, 43 (23), 8730-8736."/>
    <s v="Yes"/>
    <s v="No"/>
    <s v="No"/>
    <s v="No"/>
    <s v="No"/>
    <s v="No"/>
    <s v="No"/>
    <s v="No"/>
    <s v="No"/>
    <s v="No"/>
    <s v="No"/>
    <s v="No"/>
    <m/>
    <s v="to farm gate"/>
    <s v="No"/>
    <s v="No"/>
    <s v="1 tonne live weight"/>
    <s v="/1000/.72  filet yield (72%) from Table 4.5 of http://brage.bibsys.no/xmlui/bitstream/handle/11250/186065/deependra%20acharya.pdf?sequence=1"/>
    <n v="46.111111111111114"/>
    <s v=""/>
    <n v="3.1944444444444442"/>
    <s v=""/>
    <m/>
    <m/>
    <m/>
    <m/>
    <m/>
    <m/>
    <m/>
    <m/>
    <m/>
    <n v="46.111111111111114"/>
    <m/>
    <m/>
    <m/>
    <m/>
    <m/>
    <m/>
    <m/>
    <m/>
    <m/>
    <m/>
    <m/>
    <m/>
    <n v="3.1944444444444442"/>
    <m/>
    <m/>
    <m/>
  </r>
  <r>
    <x v="12"/>
    <x v="102"/>
    <s v="Fresh (Raw)"/>
    <s v="Salmon, Farmed"/>
    <s v="Yes"/>
    <s v="British Columbia, Canada"/>
    <n v="2009"/>
    <s v="Pelletier, Nathan; Tyedmers, Peter; Sonesson, Ulf; Scholz, Astrid; Ziegler, Friederike; Flysjo, Anna; Kruse, Sarah; Cancino, Beatriz; Silverman, Howard"/>
    <s v="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
    <s v="Peer Reviewed Journal"/>
    <s v="Pelletier, N., Tyedmers, P., Sonesson, U., Scholz, A., Ziegler, F., Flysjö, A., Kruse, S., Cancino, B. and Silverman, H., Not all salmon are created equal: Life cycle assessment (LCA) of global salmon farming systems. Environmental Science and Technology 2009, 43 (23), 8730-8736."/>
    <s v="Yes"/>
    <s v="No"/>
    <s v="No"/>
    <s v="No"/>
    <s v="No"/>
    <s v="No"/>
    <s v="No"/>
    <s v="No"/>
    <s v="No"/>
    <s v="No"/>
    <s v="No"/>
    <s v="No"/>
    <m/>
    <s v="to farm gate"/>
    <s v="No"/>
    <s v="No"/>
    <s v="1 tonne live weight"/>
    <s v="/1000/.72  filet yield (72%) from Table 4.5 of http://brage.bibsys.no/xmlui/bitstream/handle/11250/186065/deependra%20acharya.pdf?sequence=1"/>
    <n v="43.333333333333336"/>
    <s v=""/>
    <n v="3.291666666666667"/>
    <s v=""/>
    <m/>
    <m/>
    <m/>
    <m/>
    <m/>
    <m/>
    <m/>
    <m/>
    <m/>
    <n v="43.333333333333336"/>
    <m/>
    <m/>
    <m/>
    <m/>
    <m/>
    <m/>
    <m/>
    <m/>
    <m/>
    <m/>
    <m/>
    <m/>
    <n v="3.291666666666667"/>
    <m/>
    <m/>
    <m/>
  </r>
  <r>
    <x v="12"/>
    <x v="102"/>
    <s v="Fresh (Raw)"/>
    <s v="Salmon, Farmed, conventional marine net-pen system"/>
    <s v="Yes"/>
    <s v="British Columbia, Canada"/>
    <n v="2009"/>
    <s v="Nathan W. Ayer a,*, Peter H. Tyedmers b"/>
    <s v="a Jacques Whitford, 3 Spectacle Lake Drive, Dartmouth, Nova Scotia B3B 1W8, Canada b School for Resource and Environmental Studies, Dalhousie University, Kenneth C. Rowe Management Building, 6100 University Avenue, Suite 5010, Halifax, Nova Scotia B3H 3J5, Canada"/>
    <s v="Peer Reviewed Journal"/>
    <s v="Ayer, N. W. and Tyedmers, P. H., Assessing alternative aquaculture technologies: life cycle assessment of salmonid culture systems in Canada. Journal of Cleaner Production 2009, 17 (3), 362-373."/>
    <s v="Yes"/>
    <s v="No"/>
    <s v="No"/>
    <s v="No"/>
    <s v="No"/>
    <s v="No"/>
    <s v="No"/>
    <s v="No"/>
    <s v="No"/>
    <s v="No"/>
    <s v="No"/>
    <s v="No"/>
    <m/>
    <s v="to farm gate"/>
    <s v="No"/>
    <s v="Yes"/>
    <s v="1 tonne live weight fish"/>
    <s v="/1000/.72  fillet yield (72%) from Table 4.5 of http://brage.bibsys.no/xmlui/bitstream/handle/11250/186065/deependra%20acharya.pdf?sequence=1"/>
    <n v="37.361111111111107"/>
    <s v=""/>
    <n v="2.8791666666666669"/>
    <s v=""/>
    <m/>
    <m/>
    <m/>
    <m/>
    <m/>
    <m/>
    <m/>
    <m/>
    <m/>
    <n v="37.361111111111107"/>
    <m/>
    <m/>
    <m/>
    <m/>
    <m/>
    <m/>
    <m/>
    <m/>
    <m/>
    <m/>
    <m/>
    <m/>
    <n v="2.8791666666666669"/>
    <m/>
    <m/>
    <m/>
  </r>
  <r>
    <x v="12"/>
    <x v="102"/>
    <s v="Fresh (Raw)"/>
    <s v="Salmon, Farmed, marine floating bag system"/>
    <s v="Yes"/>
    <s v="British Columbia, Canada"/>
    <n v="2009"/>
    <s v="Nathan W. Ayer a,*, Peter H. Tyedmers b"/>
    <s v="a Jacques Whitford, 3 Spectacle Lake Drive, Dartmouth, Nova Scotia B3B 1W8, Canada b School for Resource and Environmental Studies, Dalhousie University, Kenneth C. Rowe Management Building, 6100 University Avenue, Suite 5010, Halifax, Nova Scotia B3H 3J5, Canada"/>
    <s v="Peer Reviewed Journal"/>
    <s v="Ayer, N. W. and Tyedmers, P. H., Assessing alternative aquaculture technologies: life cycle assessment of salmonid culture systems in Canada. Journal of Cleaner Production 2009, 17 (3), 362-373."/>
    <s v="Yes"/>
    <s v="No"/>
    <s v="No"/>
    <s v="No"/>
    <s v="No"/>
    <s v="No"/>
    <s v="No"/>
    <s v="No"/>
    <s v="No"/>
    <s v="No"/>
    <s v="No"/>
    <s v="No"/>
    <m/>
    <s v="to farm gate"/>
    <s v="No"/>
    <s v="Yes"/>
    <s v="1 tonne live weight fish"/>
    <s v="/1000/.72  fillet yield (72%) from Table 4.5 of http://brage.bibsys.no/xmlui/bitstream/handle/11250/186065/deependra%20acharya.pdf?sequence=1"/>
    <n v="45.55555555555555"/>
    <s v=""/>
    <n v="2.6388888888888888"/>
    <s v=""/>
    <m/>
    <m/>
    <m/>
    <m/>
    <m/>
    <m/>
    <m/>
    <m/>
    <m/>
    <n v="45.55555555555555"/>
    <m/>
    <m/>
    <m/>
    <m/>
    <m/>
    <m/>
    <m/>
    <m/>
    <m/>
    <m/>
    <m/>
    <m/>
    <n v="2.6388888888888888"/>
    <m/>
    <m/>
    <m/>
  </r>
  <r>
    <x v="12"/>
    <x v="102"/>
    <s v="Fresh (Raw)"/>
    <s v="Salmon, Farmed, land-based saltwater flow-through system"/>
    <s v="Yes"/>
    <s v="British Columbia, Canada"/>
    <n v="2009"/>
    <s v="Nathan W. Ayer a,*, Peter H. Tyedmers b"/>
    <s v="a Jacques Whitford, 3 Spectacle Lake Drive, Dartmouth, Nova Scotia B3B 1W8, Canada b School for Resource and Environmental Studies, Dalhousie University, Kenneth C. Rowe Management Building, 6100 University Avenue, Suite 5010, Halifax, Nova Scotia B3H 3J5, Canada"/>
    <s v="Peer Reviewed Journal"/>
    <s v="Ayer, N. W. and Tyedmers, P. H., Assessing alternative aquaculture technologies: life cycle assessment of salmonid culture systems in Canada. Journal of Cleaner Production 2009, 17 (3), 362-373."/>
    <s v="Yes"/>
    <s v="No"/>
    <s v="No"/>
    <s v="No"/>
    <s v="No"/>
    <s v="No"/>
    <s v="No"/>
    <s v="No"/>
    <s v="No"/>
    <s v="No"/>
    <s v="No"/>
    <s v="No"/>
    <m/>
    <s v="to farm gate"/>
    <s v="No"/>
    <s v="Yes"/>
    <s v="1 tonne live weight fish"/>
    <s v="/1000/.72  fillet yield (72%) from Table 4.5 of http://brage.bibsys.no/xmlui/bitstream/handle/11250/186065/deependra%20acharya.pdf?sequence=1"/>
    <n v="135.97222222222223"/>
    <s v=""/>
    <n v="3.8472222222222223"/>
    <s v=""/>
    <m/>
    <m/>
    <m/>
    <m/>
    <m/>
    <m/>
    <m/>
    <m/>
    <m/>
    <n v="135.97222222222223"/>
    <m/>
    <m/>
    <m/>
    <m/>
    <m/>
    <m/>
    <m/>
    <m/>
    <m/>
    <m/>
    <m/>
    <m/>
    <n v="3.8472222222222223"/>
    <m/>
    <m/>
    <m/>
  </r>
  <r>
    <x v="12"/>
    <x v="102"/>
    <s v="Fresh (Raw)"/>
    <s v="Farm Raised Arctic Char, land-based freshwater recirculating system"/>
    <s v="Yes"/>
    <s v="Nova Scotia, Canada"/>
    <n v="2009"/>
    <s v="Nathan W. Ayer a,*, Peter H. Tyedmers b"/>
    <s v="a Jacques Whitford, 3 Spectacle Lake Drive, Dartmouth, Nova Scotia B3B 1W8, Canada b School for Resource and Environmental Studies, Dalhousie University, Kenneth C. Rowe Management Building, 6100 University Avenue, Suite 5010, Halifax, Nova Scotia B3H 3J5, Canada"/>
    <s v="Peer Reviewed Journal"/>
    <s v="Ayer, N. W. and Tyedmers, P. H., Assessing alternative aquaculture technologies: life cycle assessment of salmonid culture systems in Canada. Journal of Cleaner Production 2009, 17 (3), 362-373."/>
    <s v="Yes"/>
    <s v="No"/>
    <s v="No"/>
    <s v="No"/>
    <s v="No"/>
    <s v="No"/>
    <s v="No"/>
    <s v="No"/>
    <s v="No"/>
    <s v="No"/>
    <s v="No"/>
    <s v="No"/>
    <m/>
    <s v="to farm gate"/>
    <s v="No"/>
    <s v="Yes"/>
    <s v="1 tonne live weight fish"/>
    <s v="/1000/.72  fillet yield (72%) from Table 4.5 of http://brage.bibsys.no/xmlui/bitstream/handle/11250/186065/deependra%20acharya.pdf?sequence=1"/>
    <n v="490.27777777777777"/>
    <s v=""/>
    <n v="39.166666666666664"/>
    <s v=""/>
    <m/>
    <m/>
    <m/>
    <m/>
    <m/>
    <m/>
    <m/>
    <m/>
    <m/>
    <n v="490.27777777777777"/>
    <m/>
    <m/>
    <m/>
    <m/>
    <m/>
    <m/>
    <m/>
    <m/>
    <m/>
    <m/>
    <m/>
    <m/>
    <n v="39.166666666666664"/>
    <m/>
    <m/>
    <m/>
  </r>
  <r>
    <x v="12"/>
    <x v="112"/>
    <s v="Frozen"/>
    <s v="Tilapia, lake-cultured in Indonesia, delivered to Rotterdam"/>
    <m/>
    <s v="Indonesia"/>
    <n v="2010"/>
    <s v="Nathan Pelletier and Peter Tyedmers"/>
    <s v="School for Resource and Environmental Studies Suite 5010, 6100 University Ave. Dalhousie University Nova Scotia, Canada B3H 3J5"/>
    <s v="Peer Reviewed Journal"/>
    <s v="Pelletier, N. and Tyedmers, P., Life cycle assessment of frozen tilapia fillets from indonesian lake-based and pond-based intensive aquaculture systems. Journal of Industrial Ecology 2010, 14 (3), 467-481."/>
    <s v="Yes"/>
    <s v="No"/>
    <s v="Yes"/>
    <s v="Yes"/>
    <s v="Yes"/>
    <s v="Yes"/>
    <s v="No"/>
    <s v="No"/>
    <s v="No"/>
    <s v="No"/>
    <s v="No"/>
    <s v="No"/>
    <m/>
    <s v="cradle to market port"/>
    <s v="No"/>
    <s v="Yes"/>
    <s v="1 tonne of frozen, packaged, lake-cultured Indonesian tilapia fillets to container ports in Chicago"/>
    <s v="/1000"/>
    <n v="22.35"/>
    <n v="26.700000000000003"/>
    <n v="1.5708"/>
    <n v="1.9788000000000001"/>
    <n v="22.35"/>
    <m/>
    <n v="4.3499999999999996"/>
    <n v="0"/>
    <n v="3.5329999999999999"/>
    <m/>
    <m/>
    <m/>
    <m/>
    <n v="22.35"/>
    <n v="30.3"/>
    <m/>
    <m/>
    <n v="1.5708"/>
    <m/>
    <n v="0.40800000000000003"/>
    <n v="6.1199999999999997E-2"/>
    <n v="0.25190000000000001"/>
    <m/>
    <m/>
    <m/>
    <m/>
    <n v="1.5708"/>
    <n v="2.29"/>
    <m/>
    <m/>
  </r>
  <r>
    <x v="12"/>
    <x v="112"/>
    <s v="Frozen"/>
    <s v="Tilapia, lake-cultured in Indonesia, delivered to Chicago"/>
    <m/>
    <s v="Indonesia"/>
    <n v="2010"/>
    <s v="Nathan Pelletier and Peter Tyedmers"/>
    <s v="School for Resource and Environmental Studies Suite 5010, 6100 University Ave. Dalhousie University Nova Scotia, Canada B3H 3J5"/>
    <s v="Peer Reviewed Journal"/>
    <s v="Pelletier, N. and Tyedmers, P., Life cycle assessment of frozen tilapia fillets from indonesian lake-based and pond-based intensive aquaculture systems. Journal of Industrial Ecology 2010, 14 (3), 467-481."/>
    <s v="Yes"/>
    <s v="No"/>
    <s v="Yes"/>
    <s v="Yes"/>
    <s v="Yes"/>
    <s v="Yes"/>
    <s v="No"/>
    <s v="No"/>
    <s v="No"/>
    <s v="No"/>
    <s v="No"/>
    <s v="No"/>
    <m/>
    <s v="cradle to market port"/>
    <s v="No"/>
    <s v="Yes"/>
    <s v="1 tonne of frozen, packaged, lake-cultured Indonesian tilapia fillets to container ports in Rotterdam"/>
    <s v="/1000"/>
    <n v="22.35"/>
    <n v="23.878999999999998"/>
    <n v="1.5708"/>
    <n v="1.9788000000000001"/>
    <n v="22.15"/>
    <m/>
    <n v="1.7290000000000001"/>
    <n v="2.1210000000000004"/>
    <n v="3.2230000000000003"/>
    <m/>
    <m/>
    <m/>
    <m/>
    <n v="22.35"/>
    <n v="29.3"/>
    <m/>
    <m/>
    <n v="1.5708"/>
    <m/>
    <n v="0.40800000000000003"/>
    <n v="6.1199999999999997E-2"/>
    <n v="0.17982000000000004"/>
    <m/>
    <m/>
    <m/>
    <m/>
    <n v="1.5708"/>
    <n v="2.2200000000000002"/>
    <m/>
    <m/>
  </r>
  <r>
    <x v="10"/>
    <x v="56"/>
    <s v="Fresh or Not Specified"/>
    <s v="Svenska Lantchips Potato Chips (&quot;Crisps&quot;)"/>
    <s v="No"/>
    <s v="Denmark"/>
    <n v="2011"/>
    <s v="Katarina Nilsson; Veronica Sund; Britta Florén"/>
    <s v="TemaNord, Nordic Council of Ministers, Copenhagen 2011"/>
    <s v="Government Report"/>
    <s v="Nilsson, K., Sund, V. and Florén, B., The environmental impact of the consumption of sweets, crisps and soft drinks. TemaNord 2011:509."/>
    <s v="Yes"/>
    <s v="No"/>
    <s v="Yes"/>
    <s v="Yes"/>
    <s v="Yes"/>
    <s v="Yes"/>
    <s v="No"/>
    <s v="No"/>
    <s v="No"/>
    <s v="No"/>
    <s v="No"/>
    <s v="No"/>
    <m/>
    <s v="Cradle to Retailer"/>
    <s v="No"/>
    <s v="No"/>
    <s v="200g package of crisps at retailer"/>
    <s v="Reported Value x 5"/>
    <n v="5.5"/>
    <n v="19.75"/>
    <n v="1"/>
    <n v="1.9849999999999999"/>
    <n v="5.5"/>
    <n v="2.25"/>
    <n v="11.999999999999998"/>
    <n v="2.9999999999999996"/>
    <m/>
    <m/>
    <m/>
    <m/>
    <m/>
    <n v="5.5"/>
    <n v="22.75"/>
    <m/>
    <s v="only including non-renewable energy use"/>
    <n v="1"/>
    <n v="0.13499999999999998"/>
    <n v="0.85"/>
    <n v="0.17"/>
    <m/>
    <m/>
    <m/>
    <m/>
    <m/>
    <n v="1"/>
    <n v="2.1549999999999998"/>
    <m/>
    <m/>
  </r>
  <r>
    <x v="10"/>
    <x v="113"/>
    <s v="Fresh or Not Specified"/>
    <s v="Foam Sweet Candy, Ahlgren’s Cars Candy"/>
    <s v="No"/>
    <s v="Denmark"/>
    <n v="2011"/>
    <s v="Katarina Nilsson; Veronica Sund; Britta Florén"/>
    <s v="TemaNord, Nordic Council of Ministers, Copenhagen 2011"/>
    <s v="Government Report"/>
    <s v="Nilsson, K., Sund, V. and Florén, B., The environmental impact of the consumption of sweets, crisps and soft drinks. TemaNord 2011:509."/>
    <s v="Yes"/>
    <s v="No"/>
    <s v="Yes"/>
    <s v="Yes"/>
    <s v="Yes"/>
    <s v="Yes"/>
    <s v="No"/>
    <s v="No"/>
    <s v="No"/>
    <s v="No"/>
    <s v="No"/>
    <s v="No"/>
    <m/>
    <s v="Cradle to Retailer"/>
    <s v="No"/>
    <s v="No"/>
    <s v="125g of packaged sweets at retailer"/>
    <s v="Reported Value x 8"/>
    <s v=""/>
    <s v=""/>
    <s v=""/>
    <s v=""/>
    <m/>
    <m/>
    <m/>
    <m/>
    <m/>
    <m/>
    <m/>
    <m/>
    <m/>
    <m/>
    <n v="58.4"/>
    <m/>
    <m/>
    <m/>
    <m/>
    <m/>
    <m/>
    <m/>
    <m/>
    <m/>
    <m/>
    <m/>
    <m/>
    <n v="3.84"/>
    <m/>
    <m/>
  </r>
  <r>
    <x v="10"/>
    <x v="113"/>
    <s v="Fresh or Not Specified"/>
    <s v="Foam Sweet Candy, Stora Zoo jelly sweet candy"/>
    <s v="No"/>
    <s v="Denmark"/>
    <n v="2011"/>
    <s v="Katarina Nilsson; Veronica Sund; Britta Florén"/>
    <s v="TemaNord, Nordic Council of Ministers, Copenhagen 2011"/>
    <s v="Government Report"/>
    <s v="Nilsson, K., Sund, V. and Florén, B., The environmental impact of the consumption of sweets, crisps and soft drinks. TemaNord 2011:509."/>
    <s v="Yes"/>
    <s v="No"/>
    <s v="Yes"/>
    <s v="Yes"/>
    <s v="Yes"/>
    <s v="Yes"/>
    <s v="No"/>
    <s v="No"/>
    <s v="No"/>
    <s v="No"/>
    <s v="No"/>
    <s v="No"/>
    <m/>
    <s v="Cradle to Factory Gate"/>
    <s v="No"/>
    <s v="No"/>
    <s v="2kg of jelly sweets ready for transport to retailer"/>
    <s v="Reported Value / 2"/>
    <s v=""/>
    <s v=""/>
    <s v=""/>
    <s v=""/>
    <m/>
    <m/>
    <m/>
    <m/>
    <m/>
    <m/>
    <m/>
    <m/>
    <m/>
    <m/>
    <n v="34"/>
    <m/>
    <m/>
    <m/>
    <m/>
    <m/>
    <m/>
    <m/>
    <m/>
    <m/>
    <m/>
    <m/>
    <m/>
    <n v="2.4"/>
    <m/>
    <m/>
  </r>
  <r>
    <x v="7"/>
    <x v="110"/>
    <s v="Fresh or Not Specified"/>
    <s v="Nygårda cola soft drink"/>
    <s v="No"/>
    <s v="Denmark"/>
    <n v="2011"/>
    <s v="Katarina Nilsson; Veronica Sund; Britta Florén"/>
    <s v="TemaNord, Nordic Council of Ministers, Copenhagen 2011"/>
    <s v="Government Report"/>
    <s v="Nilsson, K., Sund, V. and Florén, B., The environmental impact of the consumption of sweets, crisps and soft drinks. TemaNord 2011:509."/>
    <s v="Yes"/>
    <s v="No"/>
    <s v="Yes"/>
    <s v="Yes"/>
    <s v="Yes"/>
    <s v="Yes"/>
    <s v="No"/>
    <s v="No"/>
    <s v="No"/>
    <s v="No"/>
    <s v="No"/>
    <s v="No"/>
    <m/>
    <s v="Cradle to Retailer"/>
    <s v="No"/>
    <s v="No"/>
    <s v="33cl bottle of cola transported to local retailer"/>
    <s v="Convert to mL, divide by density ((RV x 1000g/kg) / (1.042g/mL x 10ml/cl))"/>
    <s v=""/>
    <s v=""/>
    <s v=""/>
    <s v=""/>
    <m/>
    <m/>
    <m/>
    <m/>
    <m/>
    <m/>
    <m/>
    <m/>
    <m/>
    <m/>
    <n v="1.7158145756994125"/>
    <m/>
    <m/>
    <m/>
    <m/>
    <m/>
    <m/>
    <m/>
    <m/>
    <m/>
    <m/>
    <m/>
    <m/>
    <n v="0.11632641191182458"/>
    <m/>
    <m/>
  </r>
  <r>
    <x v="10"/>
    <x v="114"/>
    <s v="Fresh or Not Specified"/>
    <s v="Cocoa Beans, Cocoa Monoculture"/>
    <s v="Yes"/>
    <s v="Indonesia"/>
    <n v="2015"/>
    <s v="Budi Utomo (1)(2); Shabbir H. Gheewala (1)(2); Adi A. Prawoto (3); Sebastien Bonnet  (1)(2); Athikom Bangviwat (1)(2)"/>
    <s v="(1) The Joint Graduate School of Energy and Environment, King Mongkut's University of Technology Thonburi, Bangkok, Thailand  (2) Centre for Energy Technology and Environment, Ministry of Education, Bangkok, Thailand  (3) Indonesian Coffee and Cocoa Research Institute (ICCRI), Indonesia"/>
    <s v="Peer Reviewed Journal"/>
    <s v="Utomo, B., Prawoto, A. A., Bonnet, S., Bangviwat, A. and Gheewala, S. H., Environmental performance of cocoa production from monoculture system and agroforestry system in indonesia. Journal of Cleaner Production 2016, 134, 583-591."/>
    <s v="Yes"/>
    <s v="No"/>
    <s v="Yes"/>
    <s v="Yes"/>
    <s v="No"/>
    <s v="No"/>
    <s v="No"/>
    <s v="No"/>
    <s v="No"/>
    <s v="No"/>
    <s v="No"/>
    <s v="No"/>
    <m/>
    <s v="Cradle to Farm Gate"/>
    <s v="No"/>
    <s v="No"/>
    <s v="1 metric ton of cocoa pod"/>
    <s v="Reported Value / 1000"/>
    <s v=""/>
    <s v=""/>
    <n v="7.0599999999999996E-2"/>
    <s v=""/>
    <m/>
    <m/>
    <m/>
    <m/>
    <m/>
    <m/>
    <m/>
    <m/>
    <m/>
    <m/>
    <m/>
    <m/>
    <m/>
    <m/>
    <m/>
    <m/>
    <m/>
    <m/>
    <m/>
    <m/>
    <m/>
    <m/>
    <n v="7.0599999999999996E-2"/>
    <m/>
    <m/>
    <m/>
  </r>
  <r>
    <x v="10"/>
    <x v="114"/>
    <s v="Fresh or Not Specified"/>
    <s v="Cocoa Beans, Cocoa-Rubber Agroforestry"/>
    <s v="Yes"/>
    <s v="Indonesia"/>
    <n v="2015"/>
    <s v="Budi Utomo (1)(2); Shabbir H. Gheewala (1)(2); Adi A. Prawoto (3); Sebastien Bonnet  (1)(2); Athikom Bangviwat (1)(2)"/>
    <s v="(1) The Joint Graduate School of Energy and Environment, King Mongkut's University of Technology Thonburi, Bangkok, Thailand  (2) Centre for Energy Technology and Environment, Ministry of Education, Bangkok, Thailand  (3) Indonesian Coffee and Cocoa Research Institute (ICCRI), Indonesia"/>
    <s v="Peer Reviewed Journal"/>
    <s v="Utomo, B., Prawoto, A. A., Bonnet, S., Bangviwat, A. and Gheewala, S. H., Environmental performance of cocoa production from monoculture system and agroforestry system in indonesia. Journal of Cleaner Production 2016, 134, 583-591."/>
    <s v="Yes"/>
    <s v="No"/>
    <s v="Yes"/>
    <s v="Yes"/>
    <s v="No"/>
    <s v="No"/>
    <s v="No"/>
    <s v="No"/>
    <s v="No"/>
    <s v="No"/>
    <s v="No"/>
    <s v="No"/>
    <m/>
    <s v="Cradle to Farm Gate"/>
    <s v="No"/>
    <s v="No"/>
    <s v="1 metric ton of cocoa pod"/>
    <s v="Reported Value / 1000"/>
    <s v=""/>
    <s v=""/>
    <n v="7.6499999999999999E-2"/>
    <s v=""/>
    <m/>
    <m/>
    <m/>
    <m/>
    <m/>
    <m/>
    <m/>
    <m/>
    <m/>
    <m/>
    <m/>
    <m/>
    <m/>
    <m/>
    <m/>
    <m/>
    <m/>
    <m/>
    <m/>
    <m/>
    <m/>
    <m/>
    <n v="7.6499999999999999E-2"/>
    <m/>
    <m/>
    <m/>
  </r>
  <r>
    <x v="10"/>
    <x v="114"/>
    <s v="Fresh or Not Specified"/>
    <s v="Cocoa Beans, Cocoa-Coconut Agroforestry"/>
    <s v="Yes"/>
    <s v="Indonesia"/>
    <n v="2015"/>
    <s v="Budi Utomo (1)(2); Shabbir H. Gheewala (1)(2); Adi A. Prawoto (3); Sebastien Bonnet  (1)(2); Athikom Bangviwat (1)(2)"/>
    <s v="(1) The Joint Graduate School of Energy and Environment, King Mongkut's University of Technology Thonburi, Bangkok, Thailand  (2) Centre for Energy Technology and Environment, Ministry of Education, Bangkok, Thailand  (3) Indonesian Coffee and Cocoa Research Institute (ICCRI), Indonesia"/>
    <s v="Peer Reviewed Journal"/>
    <s v="Utomo, B., Prawoto, A. A., Bonnet, S., Bangviwat, A. and Gheewala, S. H., Environmental performance of cocoa production from monoculture system and agroforestry system in indonesia. Journal of Cleaner Production 2016, 134, 583-591."/>
    <s v="Yes"/>
    <s v="No"/>
    <s v="Yes"/>
    <s v="Yes"/>
    <s v="No"/>
    <s v="No"/>
    <s v="No"/>
    <s v="No"/>
    <s v="No"/>
    <s v="No"/>
    <s v="No"/>
    <s v="No"/>
    <m/>
    <s v="Cradle to Farm Gate"/>
    <s v="No"/>
    <s v="No"/>
    <s v="1 metric ton of cocoa pod"/>
    <s v="Reported Value / 1000"/>
    <s v=""/>
    <s v=""/>
    <n v="3.6700000000000003E-2"/>
    <s v=""/>
    <m/>
    <m/>
    <m/>
    <m/>
    <m/>
    <m/>
    <m/>
    <m/>
    <m/>
    <m/>
    <m/>
    <m/>
    <m/>
    <m/>
    <m/>
    <m/>
    <m/>
    <m/>
    <m/>
    <m/>
    <m/>
    <m/>
    <n v="3.6700000000000003E-2"/>
    <m/>
    <m/>
    <m/>
  </r>
  <r>
    <x v="12"/>
    <x v="104"/>
    <s v="Frozen"/>
    <s v="Atlantic Cod, fillet, delivered to Grimsby, UK"/>
    <s v="No"/>
    <s v="Iceland"/>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8.15"/>
    <n v="9.83"/>
    <n v="0.56799999999999995"/>
    <s v=""/>
    <n v="8.25"/>
    <m/>
    <n v="1.58"/>
    <n v="1.1599999999999999"/>
    <n v="1.94"/>
    <m/>
    <m/>
    <m/>
    <m/>
    <n v="8.15"/>
    <n v="13"/>
    <s v="Ecoinvent CED"/>
    <m/>
    <n v="0.56799999999999995"/>
    <m/>
    <m/>
    <n v="2.7E-2"/>
    <n v="0.11"/>
    <m/>
    <m/>
    <m/>
    <m/>
    <n v="0.56799999999999995"/>
    <n v="0.7"/>
    <m/>
    <s v="IPCC 2007"/>
  </r>
  <r>
    <x v="12"/>
    <x v="104"/>
    <s v="Fresh or Not Specified"/>
    <s v="Atlantic Cod, fillet, delivered by air to Grimsby, UK"/>
    <s v="No"/>
    <s v="Iceland"/>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8.15"/>
    <n v="9.5"/>
    <n v="0.56799999999999995"/>
    <s v=""/>
    <n v="8.0500000000000007"/>
    <m/>
    <n v="1.45"/>
    <n v="1.05"/>
    <n v="31.51"/>
    <m/>
    <m/>
    <m/>
    <m/>
    <n v="8.15"/>
    <n v="42"/>
    <s v="Ecoinvent CED"/>
    <m/>
    <n v="0.56799999999999995"/>
    <m/>
    <m/>
    <n v="2.7E-2"/>
    <n v="1.992"/>
    <m/>
    <m/>
    <m/>
    <m/>
    <n v="0.56799999999999995"/>
    <n v="2.6"/>
    <m/>
    <s v="IPCC 2007"/>
  </r>
  <r>
    <x v="12"/>
    <x v="104"/>
    <s v="Frozen"/>
    <s v="Alaskan Pollock, fillet, trawler/mothership system, processing in china"/>
    <s v="Yes"/>
    <s v="Alaska, US"/>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7.64"/>
    <n v="11.27"/>
    <n v="0.5"/>
    <n v="0.76800000000000002"/>
    <n v="7.84"/>
    <n v="1.35"/>
    <n v="2.08"/>
    <n v="1.1000000000000001"/>
    <n v="4.0999999999999996"/>
    <m/>
    <m/>
    <m/>
    <m/>
    <n v="7.64"/>
    <n v="16.5"/>
    <s v="Ecoinvent CED"/>
    <m/>
    <n v="0.5"/>
    <n v="8.7999999999999995E-2"/>
    <n v="0.18"/>
    <n v="2.7E-2"/>
    <n v="0.27200000000000002"/>
    <m/>
    <m/>
    <m/>
    <m/>
    <n v="0.5"/>
    <n v="1.1000000000000001"/>
    <m/>
    <s v="IPCC 2007"/>
  </r>
  <r>
    <x v="12"/>
    <x v="104"/>
    <s v="Frozen"/>
    <s v="Alaskan Pollock, fillet, catcher/processor system"/>
    <s v="Yes"/>
    <s v="Alaska, US"/>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5.46"/>
    <s v=""/>
    <n v="0.31"/>
    <s v=""/>
    <n v="5.16"/>
    <m/>
    <m/>
    <n v="0.8"/>
    <n v="3.7"/>
    <m/>
    <m/>
    <m/>
    <m/>
    <n v="5.46"/>
    <n v="9.6"/>
    <s v="Ecoinvent CED"/>
    <m/>
    <n v="0.31"/>
    <m/>
    <m/>
    <n v="2.7E-2"/>
    <n v="0.252"/>
    <m/>
    <m/>
    <m/>
    <m/>
    <n v="0.31"/>
    <n v="0.59"/>
    <m/>
    <s v="IPCC 2007"/>
  </r>
  <r>
    <x v="12"/>
    <x v="104"/>
    <s v="Frozen"/>
    <s v="Alaskan Salmon, fillet, processed in Alaska"/>
    <s v="Yes"/>
    <s v="Alaska, US"/>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2.5299999999999998"/>
    <n v="4.2799999999999994"/>
    <n v="0.182"/>
    <n v="0.28259999999999996"/>
    <n v="2.5299999999999998"/>
    <m/>
    <n v="1.75"/>
    <n v="1.1000000000000001"/>
    <n v="2.86"/>
    <m/>
    <m/>
    <m/>
    <m/>
    <n v="2.5299999999999998"/>
    <n v="8.1999999999999993"/>
    <s v="Ecoinvent CED"/>
    <m/>
    <n v="0.182"/>
    <m/>
    <n v="0.10059999999999999"/>
    <n v="2.7E-2"/>
    <n v="0.17499999999999999"/>
    <m/>
    <m/>
    <m/>
    <m/>
    <n v="0.182"/>
    <n v="0.48"/>
    <m/>
    <s v="IPCC 2007"/>
  </r>
  <r>
    <x v="12"/>
    <x v="104"/>
    <s v="Frozen"/>
    <s v="Alaskan Salmon, fillet, processed in China"/>
    <s v="Yes"/>
    <s v="Alaska, US"/>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2.5299999999999998"/>
    <n v="4.66"/>
    <n v="0.182"/>
    <n v="0.374"/>
    <n v="2.5299999999999998"/>
    <m/>
    <n v="2.13"/>
    <n v="1.1000000000000001"/>
    <n v="5.18"/>
    <m/>
    <m/>
    <m/>
    <m/>
    <n v="2.5299999999999998"/>
    <n v="11"/>
    <s v="Ecoinvent CED"/>
    <m/>
    <n v="0.182"/>
    <m/>
    <n v="0.192"/>
    <n v="2.7E-2"/>
    <n v="0.318"/>
    <m/>
    <m/>
    <m/>
    <m/>
    <n v="0.182"/>
    <n v="0.72"/>
    <m/>
    <s v="IPCC 2007"/>
  </r>
  <r>
    <x v="12"/>
    <x v="111"/>
    <s v="Fresh (Raw)"/>
    <s v="Farmed shrimp, intensive farming"/>
    <s v="Yes"/>
    <s v="China (Hainan Province)"/>
    <n v="2011"/>
    <s v="Ling Cao,*,† James S. Diana,† Gregory A. Keoleian,† and Qiuming Lai‡"/>
    <s v="†School of Natural Resources and Environment, University of Michigan, Ann Arbor, Michigan 48109, United States ‡Ocean College, Hainan University, Haikou, China"/>
    <s v="Peer Reviewed Journal"/>
    <s v="Cao, L., Diana, J. S., Keoleian, G. A. and Lai, Q., Life cycle assessment of Chinese shrimp farming systems targeted for export and domestic sales. Environmental science &amp; technology 2011, 45 (15), 6531-8."/>
    <s v="Yes"/>
    <s v="No"/>
    <s v="No"/>
    <s v="No"/>
    <s v="No"/>
    <s v="No"/>
    <s v="No"/>
    <s v="No"/>
    <s v="No"/>
    <s v="No"/>
    <s v="No"/>
    <s v="No"/>
    <m/>
    <s v="cardle to farm gate (note that paper considers impact to export destination, but specific values are not reported)"/>
    <s v="No"/>
    <s v="Yes"/>
    <s v="1 metric ton live weight shrimp"/>
    <s v="/1000/.57 from http://www.fao.org/docrep/003/t0219e/T0219E01.htm#ch1"/>
    <n v="107.89473684210527"/>
    <s v=""/>
    <n v="9.2631578947368425"/>
    <s v=""/>
    <m/>
    <m/>
    <m/>
    <m/>
    <m/>
    <m/>
    <m/>
    <m/>
    <m/>
    <n v="107.89473684210527"/>
    <m/>
    <s v="Ecoinvent CED"/>
    <m/>
    <m/>
    <m/>
    <m/>
    <m/>
    <m/>
    <m/>
    <m/>
    <m/>
    <m/>
    <n v="9.2631578947368425"/>
    <m/>
    <m/>
    <m/>
  </r>
  <r>
    <x v="12"/>
    <x v="111"/>
    <s v="Fresh (Raw)"/>
    <s v="Farmed shrimp, semi-intensive farming"/>
    <s v="Yes"/>
    <s v="China (Hainan Province)"/>
    <n v="2011"/>
    <s v="Ling Cao,*,† James S. Diana,† Gregory A. Keoleian,† and Qiuming Lai‡"/>
    <s v="†School of Natural Resources and Environment, University of Michigan, Ann Arbor, Michigan 48109, United States ‡Ocean College, Hainan University, Haikou, China"/>
    <s v="Peer Reviewed Journal"/>
    <s v="Cao, L., Diana, J. S., Keoleian, G. A. and Lai, Q., Life cycle assessment of Chinese shrimp farming systems targeted for export and domestic sales. Environmental science &amp; technology 2011, 45 (15), 6531-8."/>
    <s v="Yes"/>
    <s v="No"/>
    <s v="No"/>
    <s v="No"/>
    <s v="No"/>
    <s v="No"/>
    <s v="No"/>
    <s v="No"/>
    <s v="No"/>
    <s v="No"/>
    <s v="No"/>
    <s v="No"/>
    <m/>
    <s v="cardle to farm gate (note that paper considers impact to export destination, but specific values are not reported)"/>
    <s v="No"/>
    <s v="Yes"/>
    <s v="1 metric ton live weight shrimp"/>
    <s v="/1000/.57 from http://www.fao.org/docrep/003/t0219e/T0219E01.htm#ch1"/>
    <n v="60.000000000000007"/>
    <s v=""/>
    <n v="4.8245614035087723"/>
    <s v=""/>
    <m/>
    <m/>
    <m/>
    <m/>
    <m/>
    <m/>
    <m/>
    <m/>
    <m/>
    <n v="60.000000000000007"/>
    <m/>
    <s v="Ecoinvent CED"/>
    <m/>
    <m/>
    <m/>
    <m/>
    <m/>
    <m/>
    <m/>
    <m/>
    <m/>
    <m/>
    <n v="4.8245614035087723"/>
    <m/>
    <m/>
    <m/>
  </r>
  <r>
    <x v="12"/>
    <x v="104"/>
    <s v="Frozen"/>
    <s v="Atlantic Cod, Wetpack - autoline fisheries, delivered to Sweden"/>
    <s v="No"/>
    <s v="Norway"/>
    <n v="2011"/>
    <s v="Erik Svanes &amp; Mie Vold &amp; Ole Jørgen Hanssen"/>
    <s v="Ostfold Research, Gamle Bedding vei 2b, 1671 Kraakeroey, Norway"/>
    <s v="Peer Reviewed Journal"/>
    <s v="Svanes, E., Vold, M. and Hanssen, O. J., Environmental assessment of cod (Gadus morhua) from autoline fisheries. The International Journal of Life Cycle Assessment 2011, 16 (7), 611-624."/>
    <s v="Yes"/>
    <s v="No"/>
    <s v="Yes"/>
    <s v="Yes"/>
    <s v="Yes"/>
    <s v="Yes"/>
    <s v="No"/>
    <s v="No"/>
    <s v="No"/>
    <s v="No"/>
    <s v="No"/>
    <s v="No"/>
    <m/>
    <s v="mass allocation, cradle to retailer in Sweden"/>
    <s v="No"/>
    <s v="Yes"/>
    <s v="1 kg wetpack cod"/>
    <m/>
    <n v="20.100000000000001"/>
    <n v="22.540000000000003"/>
    <n v="1.43"/>
    <n v="1.49"/>
    <n v="20.100000000000001"/>
    <m/>
    <n v="2.44"/>
    <n v="2.4"/>
    <n v="7"/>
    <n v="7"/>
    <m/>
    <m/>
    <m/>
    <n v="20.100000000000001"/>
    <n v="39"/>
    <s v="Ecoinvent CED"/>
    <m/>
    <n v="1.43"/>
    <m/>
    <n v="0.06"/>
    <n v="0.12"/>
    <n v="0.53"/>
    <m/>
    <m/>
    <m/>
    <m/>
    <n v="1.43"/>
    <n v="2.2000000000000002"/>
    <m/>
    <s v="CML 2 baseline 2000"/>
  </r>
  <r>
    <x v="12"/>
    <x v="104"/>
    <s v="Frozen"/>
    <s v="Atlantic Cod, Fishburgers - autoline fisheries, delivered to Sweden"/>
    <s v="No"/>
    <s v="Norway"/>
    <n v="2011"/>
    <s v="Erik Svanes &amp; Mie Vold &amp; Ole Jørgen Hanssen"/>
    <s v="Ostfold Research, Gamle Bedding vei 2b, 1671 Kraakeroey, Norway"/>
    <s v="Peer Reviewed Journal"/>
    <s v="Svanes, E., Vold, M. and Hanssen, O. J., Environmental assessment of cod (Gadus morhua) from autoline fisheries. The International Journal of Life Cycle Assessment 2011, 16 (7), 611-624."/>
    <s v="Yes"/>
    <s v="No"/>
    <s v="Yes"/>
    <s v="Yes"/>
    <s v="Yes"/>
    <s v="Yes"/>
    <s v="No"/>
    <s v="No"/>
    <s v="No"/>
    <s v="No"/>
    <s v="No"/>
    <s v="No"/>
    <m/>
    <s v="mass allocation, cradle to institutional user in Sweden"/>
    <s v="No"/>
    <s v="Yes"/>
    <s v="1 kg cod fishburger"/>
    <m/>
    <s v=""/>
    <s v=""/>
    <n v="0.98699999999999999"/>
    <n v="1.347"/>
    <m/>
    <m/>
    <m/>
    <m/>
    <m/>
    <m/>
    <m/>
    <m/>
    <m/>
    <m/>
    <n v="27"/>
    <s v="Ecoinvent CED"/>
    <m/>
    <n v="0.98699999999999999"/>
    <m/>
    <n v="0.36"/>
    <n v="0.12"/>
    <n v="0.38"/>
    <m/>
    <m/>
    <m/>
    <m/>
    <n v="0.98699999999999999"/>
    <n v="1.8"/>
    <m/>
    <s v="CML 2 baseline 2000"/>
  </r>
  <r>
    <x v="12"/>
    <x v="104"/>
    <s v="Fresh or Not Specified"/>
    <s v="Atlantic Cod, Loin - autoline fisheries, delivered to UK"/>
    <s v="No"/>
    <s v="Norway"/>
    <n v="2011"/>
    <s v="Erik Svanes &amp; Mie Vold &amp; Ole Jørgen Hanssen"/>
    <s v="Ostfold Research, Gamle Bedding vei 2b, 1671 Kraakeroey, Norway"/>
    <s v="Peer Reviewed Journal"/>
    <s v="Svanes, E., Vold, M. and Hanssen, O. J., Environmental assessment of cod (Gadus morhua) from autoline fisheries. The International Journal of Life Cycle Assessment 2011, 16 (7), 611-624."/>
    <s v="Yes"/>
    <s v="No"/>
    <s v="Yes"/>
    <s v="Yes"/>
    <s v="Yes"/>
    <s v="Yes"/>
    <s v="No"/>
    <s v="No"/>
    <s v="No"/>
    <s v="No"/>
    <s v="No"/>
    <s v="No"/>
    <m/>
    <s v="mass allocation, cradle to distribution center in UK"/>
    <s v="No"/>
    <s v="Yes"/>
    <s v="1 kg processed cod loin"/>
    <m/>
    <s v=""/>
    <s v=""/>
    <n v="1.43"/>
    <n v="4.03"/>
    <m/>
    <m/>
    <m/>
    <m/>
    <m/>
    <m/>
    <m/>
    <m/>
    <m/>
    <m/>
    <n v="68"/>
    <s v="Ecoinvent CED"/>
    <m/>
    <n v="1.43"/>
    <n v="1.56"/>
    <n v="1.04"/>
    <n v="0.19"/>
    <n v="0.08"/>
    <m/>
    <m/>
    <m/>
    <m/>
    <n v="1.43"/>
    <n v="4.4000000000000004"/>
    <m/>
    <s v="CML 2 baseline 2000"/>
  </r>
  <r>
    <x v="12"/>
    <x v="104"/>
    <s v="Fresh (Raw)"/>
    <s v="Farmed Sea Bass, traditional rearing raceways "/>
    <s v="Yes"/>
    <s v="Tunisia"/>
    <n v="2012"/>
    <s v="M.A. Jerbi a,∗, J. Aubinb, K. Garnaouic, L. Achoura, A. Kacema"/>
    <s v="a 03 UR 09-01 “Génome, Diagnostic Immunitaire et Valorisation”, Institut Supérieur de Biotechnologie de Monastir, Université de Monastir, Tunisia  b UMR INRA/Agrocampus Ouest 1069 Sol Agro et hydrosystème Spatialisation, 65 rue de Saint Brieuc, CS 84 215, F-35 042 Rennes Cedex, France c L’Aquaculture Tunisienne Chott Mariem, Tunisia"/>
    <s v="Peer Reviewed Journal"/>
    <s v="Jerbi, M., Aubin, J., Garnaoui, K., Achour, L. and Kacem, A., Life cycle assessment (LCA) of two rearing techniques of sea bass (Dicentrarchus labrax). Aquacultural Engineering 2012, 46, 1-9."/>
    <s v="Yes"/>
    <s v="No"/>
    <s v="No"/>
    <s v="No"/>
    <s v="No"/>
    <s v="No"/>
    <s v="No"/>
    <s v="No"/>
    <s v="No"/>
    <s v="No"/>
    <s v="No"/>
    <s v="No"/>
    <m/>
    <m/>
    <s v="No"/>
    <s v="Yes"/>
    <s v="1 tonne live fish weight"/>
    <s v="/1000/.44 68% round to headed&amp;gutted, 65% headed&amp;gutted to skinless fillet, from http://www.chefs-resources.com/seafood/seafood-yields/"/>
    <n v="397.72727272727275"/>
    <s v=""/>
    <n v="25.197727272727271"/>
    <s v=""/>
    <m/>
    <m/>
    <m/>
    <m/>
    <m/>
    <m/>
    <m/>
    <m/>
    <m/>
    <n v="397.72727272727275"/>
    <m/>
    <m/>
    <m/>
    <m/>
    <m/>
    <m/>
    <m/>
    <m/>
    <m/>
    <m/>
    <m/>
    <m/>
    <n v="25.197727272727271"/>
    <m/>
    <m/>
    <s v="CML 2 baseline 2000"/>
  </r>
  <r>
    <x v="12"/>
    <x v="104"/>
    <s v="Fresh (Raw)"/>
    <s v="Farmed Sea Bass, cascade rearing raceways"/>
    <s v="Yes"/>
    <s v="Tunisia"/>
    <n v="2012"/>
    <s v="M.A. Jerbi a,∗, J. Aubinb, K. Garnaouic, L. Achoura, A. Kacema"/>
    <s v="a 03 UR 09-01 “Génome, Diagnostic Immunitaire et Valorisation”, Institut Supérieur de Biotechnologie de Monastir, Université de Monastir, Tunisia  b UMR INRA/Agrocampus Ouest 1069 Sol Agro et hydrosystème Spatialisation, 65 rue de Saint Brieuc, CS 84 215, F-35 042 Rennes Cedex, France c L’Aquaculture Tunisienne Chott Mariem, Tunisia"/>
    <s v="Peer Reviewed Journal"/>
    <s v="Jerbi, M., Aubin, J., Garnaoui, K., Achour, L. and Kacem, A., Life cycle assessment (LCA) of two rearing techniques of sea bass (Dicentrarchus labrax). Aquacultural Engineering 2012, 46, 1-9."/>
    <s v="Yes"/>
    <s v="No"/>
    <s v="No"/>
    <s v="No"/>
    <s v="No"/>
    <s v="No"/>
    <s v="No"/>
    <s v="No"/>
    <s v="No"/>
    <s v="No"/>
    <s v="No"/>
    <s v="No"/>
    <m/>
    <m/>
    <s v="No"/>
    <s v="Yes"/>
    <s v="1 tonne live fish weight"/>
    <s v="/1000/.44 68% round to headed&amp;gutted, 65% headed&amp;gutted to skinless fillet, from http://www.chefs-resources.com/seafood/seafood-yields/"/>
    <n v="636.36363636363637"/>
    <s v=""/>
    <n v="39.656818181818188"/>
    <s v=""/>
    <m/>
    <m/>
    <m/>
    <m/>
    <m/>
    <m/>
    <m/>
    <m/>
    <m/>
    <n v="636.36363636363637"/>
    <m/>
    <m/>
    <m/>
    <m/>
    <m/>
    <m/>
    <m/>
    <m/>
    <m/>
    <m/>
    <m/>
    <m/>
    <n v="39.656818181818188"/>
    <m/>
    <m/>
    <s v="CML 2 baseline 2000"/>
  </r>
  <r>
    <x v="11"/>
    <x v="115"/>
    <s v="Fresh or Not Specified"/>
    <s v="Small farms &lt;0.5 ha"/>
    <s v="No"/>
    <s v="Iran"/>
    <n v="2014"/>
    <s v="Amin Nikkhah (a); Surur Khorramdel (b); Mehdi Khojastehpour (a); Bagher Emadi (a); Alireza Taheri-Rad (a)"/>
    <s v="(a) Department of Biosystems Engineering, Ferdowsi University of Mashhad, Mashhad, Iran; (b) Department of Agronomy, Faculty of Agriculture, Ferdowsi University of Mashhad, Mashhad, Iran"/>
    <s v="Peer Reviewed Journal"/>
    <s v="Nikkhah, A., Khojastehpour, M., Emadi, B., Taheri-Rad, A. and Khorramdel, S., Environmental impacts of peanut production system using life cycle assessment methodology. Journal of Cleaner Production 2015, 92, 84-90."/>
    <s v="Yes"/>
    <s v="No"/>
    <s v="No"/>
    <s v="No"/>
    <s v="No"/>
    <s v="No"/>
    <s v="No"/>
    <s v="No"/>
    <s v="No"/>
    <s v="No"/>
    <s v="No"/>
    <s v="No"/>
    <m/>
    <s v="Only production is considered."/>
    <s v="No"/>
    <s v="No"/>
    <s v="1 tonne peanut (including husk)"/>
    <s v="/1000"/>
    <s v=""/>
    <s v=""/>
    <n v="0.32700000000000001"/>
    <s v=""/>
    <m/>
    <m/>
    <m/>
    <m/>
    <m/>
    <m/>
    <m/>
    <m/>
    <m/>
    <m/>
    <m/>
    <m/>
    <m/>
    <m/>
    <m/>
    <m/>
    <m/>
    <m/>
    <m/>
    <m/>
    <m/>
    <m/>
    <n v="0.32700000000000001"/>
    <m/>
    <m/>
    <m/>
  </r>
  <r>
    <x v="11"/>
    <x v="115"/>
    <s v="Fresh or Not Specified"/>
    <s v="Medium farms 0.5-1 ha"/>
    <s v="No"/>
    <s v="Iran"/>
    <n v="2014"/>
    <s v="Amin Nikkhah (a); Surur Khorramdel (b); Mehdi Khojastehpour (a); Bagher Emadi (a); Alireza Taheri-Rad (a)"/>
    <s v="(a) Department of Biosystems Engineering, Ferdowsi University of Mashhad, Mashhad, Iran; (b) Department of Agronomy, Faculty of Agriculture, Ferdowsi University of Mashhad, Mashhad, Iran"/>
    <s v="Peer Reviewed Journal"/>
    <s v="Nikkhah, A., Khojastehpour, M., Emadi, B., Taheri-Rad, A. and Khorramdel, S., Environmental impacts of peanut production system using life cycle assessment methodology. Journal of Cleaner Production 2015, 92, 84-90."/>
    <s v="Yes"/>
    <s v="No"/>
    <s v="No"/>
    <s v="No"/>
    <s v="No"/>
    <s v="No"/>
    <s v="No"/>
    <s v="No"/>
    <s v="No"/>
    <s v="No"/>
    <s v="No"/>
    <s v="No"/>
    <m/>
    <s v="Only production is considered."/>
    <s v="No"/>
    <s v="No"/>
    <s v="1 tonne peanut (including husk)"/>
    <s v="/1000"/>
    <s v=""/>
    <s v=""/>
    <n v="0.30099999999999999"/>
    <s v=""/>
    <m/>
    <m/>
    <m/>
    <m/>
    <m/>
    <m/>
    <m/>
    <m/>
    <m/>
    <m/>
    <m/>
    <m/>
    <m/>
    <m/>
    <m/>
    <m/>
    <m/>
    <m/>
    <m/>
    <m/>
    <m/>
    <m/>
    <n v="0.30099999999999999"/>
    <m/>
    <m/>
    <m/>
  </r>
  <r>
    <x v="11"/>
    <x v="115"/>
    <s v="Fresh or Not Specified"/>
    <s v="Large farms &gt;1 ha"/>
    <s v="No"/>
    <s v="Iran"/>
    <n v="2014"/>
    <s v="Amin Nikkhah (a); Surur Khorramdel (b); Mehdi Khojastehpour (a); Bagher Emadi (a); Alireza Taheri-Rad (a)"/>
    <s v="(a) Department of Biosystems Engineering, Ferdowsi University of Mashhad, Mashhad, Iran; (b) Department of Agronomy, Faculty of Agriculture, Ferdowsi University of Mashhad, Mashhad, Iran"/>
    <s v="Peer Reviewed Journal"/>
    <s v="Nikkhah, A., Khojastehpour, M., Emadi, B., Taheri-Rad, A. and Khorramdel, S., Environmental impacts of peanut production system using life cycle assessment methodology. Journal of Cleaner Production 2015, 92, 84-90."/>
    <s v="Yes"/>
    <s v="No"/>
    <s v="No"/>
    <s v="No"/>
    <s v="No"/>
    <s v="No"/>
    <s v="No"/>
    <s v="No"/>
    <s v="No"/>
    <s v="No"/>
    <s v="No"/>
    <s v="No"/>
    <m/>
    <s v="Only production is considered."/>
    <s v="No"/>
    <s v="No"/>
    <s v="1 tonne peanut (including husk)"/>
    <s v="/1000"/>
    <s v=""/>
    <s v=""/>
    <n v="0.30199999999999999"/>
    <s v=""/>
    <m/>
    <m/>
    <m/>
    <m/>
    <m/>
    <m/>
    <m/>
    <m/>
    <m/>
    <m/>
    <m/>
    <m/>
    <m/>
    <m/>
    <m/>
    <m/>
    <m/>
    <m/>
    <m/>
    <m/>
    <m/>
    <m/>
    <n v="0.30199999999999999"/>
    <m/>
    <m/>
    <m/>
  </r>
  <r>
    <x v="11"/>
    <x v="116"/>
    <s v="Fresh or Not Specified"/>
    <s v="High input production"/>
    <s v="Yes"/>
    <s v="Brazil"/>
    <n v="2015"/>
    <s v="Maria Clea Brito de Figueiredo (a); Marlos Alves Bezerra (a); Thomas Nemecek (d); Jose Potting (b); Viviane da Silva Barros (c); Luiz Augusto Lopes Serrano (a)_x000a_; Rubens Sonsol Gondim (a)"/>
    <s v="(a) Embrapa Tropical Agroindustry, Ceara, Brazil; (b) KTH Royal Institute of Technology, Stockholm, Sweden; (c) Semi-arid Federal University, Rio Grande do Norte, Brazil; (d) Agroscope, Institute for Sustainability Sciences, Zurich, Switzerland;"/>
    <s v="Peer Reviewed Journal"/>
    <s v="Brito De Figueirêdo, M. C., Potting, J., Lopes Serrano, L. A., Bezerra, M. A., Da Silva Barros, V., Gondim, R. S. and Nemecek, T., Environmental assessment of tropical perennial crops: the case of the Brazilian cashew. Journal of Cleaner Production 2015, 1-10."/>
    <s v="Yes"/>
    <s v="No"/>
    <s v="No"/>
    <s v="No"/>
    <s v="No"/>
    <s v="No"/>
    <s v="No"/>
    <s v="No"/>
    <s v="No"/>
    <s v="No"/>
    <s v="No"/>
    <s v="No"/>
    <m/>
    <s v="Cradle to farm exit gate"/>
    <s v="No"/>
    <s v="No"/>
    <s v="1 kg of product"/>
    <m/>
    <s v=""/>
    <s v=""/>
    <n v="4.1900000000000004"/>
    <s v=""/>
    <m/>
    <m/>
    <m/>
    <m/>
    <m/>
    <m/>
    <m/>
    <m/>
    <m/>
    <m/>
    <m/>
    <m/>
    <m/>
    <m/>
    <m/>
    <m/>
    <m/>
    <m/>
    <m/>
    <m/>
    <m/>
    <m/>
    <n v="4.1900000000000004"/>
    <m/>
    <m/>
    <s v="Recipe midpoint approach"/>
  </r>
  <r>
    <x v="11"/>
    <x v="116"/>
    <s v="Fresh or Not Specified"/>
    <s v="low input Multi Cropping"/>
    <s v="Yes"/>
    <s v="Brazil"/>
    <n v="2015"/>
    <s v="Maria Clea Brito de Figueiredo (a); Marlos Alves Bezerra (a); Thomas Nemecek (d); Jose Potting (b); Viviane da Silva Barros (c); Luiz Augusto Lopes Serrano (a)_x000a_; Rubens Sonsol Gondim (a)"/>
    <s v="(a) Embrapa Tropical Agroindustry, Ceara, Brazil; (b) KTH Royal Institute of Technology, Stockholm, Sweden; (c) Semi-arid Federal University, Rio Grande do Norte, Brazil; (d) Agroscope, Institute for Sustainability Sciences, Zurich, Switzerland;"/>
    <s v="Peer Reviewed Journal"/>
    <s v="Brito De Figueirêdo, M. C., Potting, J., Lopes Serrano, L. A., Bezerra, M. A., Da Silva Barros, V., Gondim, R. S. and Nemecek, T., Environmental assessment of tropical perennial crops: the case of the Brazilian cashew. Journal of Cleaner Production 2015, 1-10."/>
    <s v="Yes"/>
    <s v="No"/>
    <s v="No"/>
    <s v="No"/>
    <s v="No"/>
    <s v="No"/>
    <s v="No"/>
    <s v="No"/>
    <s v="No"/>
    <s v="No"/>
    <s v="No"/>
    <s v="No"/>
    <m/>
    <s v="Cradle to farm exit gate"/>
    <s v="No"/>
    <s v="No"/>
    <s v="1 kg of product"/>
    <m/>
    <s v=""/>
    <s v=""/>
    <n v="8.94"/>
    <s v=""/>
    <m/>
    <m/>
    <m/>
    <m/>
    <m/>
    <m/>
    <m/>
    <m/>
    <m/>
    <m/>
    <m/>
    <m/>
    <m/>
    <m/>
    <m/>
    <m/>
    <m/>
    <m/>
    <m/>
    <m/>
    <m/>
    <m/>
    <n v="8.94"/>
    <m/>
    <m/>
    <s v="Recipe midpoint approach"/>
  </r>
  <r>
    <x v="4"/>
    <x v="117"/>
    <s v="Fresh or Not Specified"/>
    <s v="Cashew Apples, High input production"/>
    <s v="Yes"/>
    <s v="Brazil"/>
    <n v="2015"/>
    <s v="Maria Clea Brito de Figueiredo (a); Marlos Alves Bezerra (a); Thomas Nemecek (d); Jose Potting (b); Viviane da Silva Barros (c); Luiz Augusto Lopes Serrano (a)_x000a_; Rubens Sonsol Gondim (a)"/>
    <s v="(a) Embrapa Tropical Agroindustry, Ceara, Brazil; (b) KTH Royal Institute of Technology, Stockholm, Sweden; (c) Semi-arid Federal University, Rio Grande do Norte, Brazil; (d) Agroscope, Institute for Sustainability Sciences, Zurich, Switzerland;"/>
    <s v="Peer Reviewed Journal"/>
    <s v="Brito De Figueirêdo, M. C., Potting, J., Lopes Serrano, L. A., Bezerra, M. A., Da Silva Barros, V., Gondim, R. S. and Nemecek, T., Environmental assessment of tropical perennial crops: the case of the Brazilian cashew. Journal of Cleaner Production 2015, 1-10."/>
    <s v="Yes"/>
    <s v="No"/>
    <s v="No"/>
    <s v="No"/>
    <s v="No"/>
    <s v="No"/>
    <s v="No"/>
    <s v="No"/>
    <s v="No"/>
    <s v="No"/>
    <s v="No"/>
    <s v="No"/>
    <m/>
    <s v="Cradle to farm exit gate"/>
    <s v="No"/>
    <s v="No"/>
    <s v="1 kg of product"/>
    <m/>
    <s v=""/>
    <s v=""/>
    <n v="2.09"/>
    <s v=""/>
    <m/>
    <m/>
    <m/>
    <m/>
    <m/>
    <m/>
    <m/>
    <m/>
    <m/>
    <m/>
    <m/>
    <m/>
    <m/>
    <m/>
    <m/>
    <m/>
    <m/>
    <m/>
    <m/>
    <m/>
    <m/>
    <m/>
    <n v="2.09"/>
    <m/>
    <m/>
    <s v="Recipe midpoint approach"/>
  </r>
  <r>
    <x v="4"/>
    <x v="117"/>
    <s v="Fresh or Not Specified"/>
    <s v="Cashew Apples, low input Multi Cropping"/>
    <s v="Yes"/>
    <s v="Brazil"/>
    <n v="2015"/>
    <s v="Maria Clea Brito de Figueiredo (a); Marlos Alves Bezerra (a); Thomas Nemecek (d); Jose Potting (b); Viviane da Silva Barros (c); Luiz Augusto Lopes Serrano (a)_x000a_; Rubens Sonsol Gondim (a)"/>
    <s v="(a) Embrapa Tropical Agroindustry, Ceara, Brazil; (b) KTH Royal Institute of Technology, Stockholm, Sweden; (c) Semi-arid Federal University, Rio Grande do Norte, Brazil; (d) Agroscope, Institute for Sustainability Sciences, Zurich, Switzerland;"/>
    <s v="Peer Reviewed Journal"/>
    <s v="Brito De Figueirêdo, M. C., Potting, J., Lopes Serrano, L. A., Bezerra, M. A., Da Silva Barros, V., Gondim, R. S. and Nemecek, T., Environmental assessment of tropical perennial crops: the case of the Brazilian cashew. Journal of Cleaner Production 2015, 1-10."/>
    <s v="Yes"/>
    <s v="No"/>
    <s v="No"/>
    <s v="No"/>
    <s v="No"/>
    <s v="No"/>
    <s v="No"/>
    <s v="No"/>
    <s v="No"/>
    <s v="No"/>
    <s v="No"/>
    <s v="No"/>
    <m/>
    <s v="Cradle to farm exit gate"/>
    <s v="No"/>
    <s v="No"/>
    <s v="1 kg of product"/>
    <m/>
    <s v=""/>
    <s v=""/>
    <n v="4.47"/>
    <s v=""/>
    <m/>
    <m/>
    <m/>
    <m/>
    <m/>
    <m/>
    <m/>
    <m/>
    <m/>
    <m/>
    <m/>
    <m/>
    <m/>
    <m/>
    <m/>
    <m/>
    <m/>
    <m/>
    <m/>
    <m/>
    <m/>
    <m/>
    <n v="4.47"/>
    <m/>
    <m/>
    <s v="Recipe midpoint approach"/>
  </r>
  <r>
    <x v="11"/>
    <x v="82"/>
    <s v="Fresh or Not Specified"/>
    <s v="Almonds"/>
    <s v="No"/>
    <s v="USA (california)"/>
    <n v="2015"/>
    <s v="Alissa Kendall (a); Elias Marvinney (a); Sonja Brodt (a); and Weiyuan Zhu (a);"/>
    <s v="(a) Department of Civil and Environmental Engineering, University of California–Davis, One Shields Avenue, Davis, CA 95618;"/>
    <s v="Peer Reviewed Journal"/>
    <s v="Kendall, A., Marvinney, E., Brodt, S. B. and Zhu, W., Life Cycle-based Assessment of Energy Use and Greenhouse Gas Emissions in Almond Production, Part I: Analytical Framework and Baseline Results. Journal of Industrial Ecology 2015, 19 (6), 1008-1018."/>
    <s v="Yes"/>
    <s v="No"/>
    <s v="Yes"/>
    <s v="Yes"/>
    <s v="No"/>
    <s v="No"/>
    <s v="No"/>
    <s v="No"/>
    <s v="No"/>
    <s v="No"/>
    <s v="No"/>
    <s v="No"/>
    <s v="Use of co-products for animal feed/biomass fuel/mulching"/>
    <s v="Economic allocation values. Hulling and Shelling included in farm procesing"/>
    <s v="No"/>
    <s v="Yes"/>
    <s v="1 kg almond kernel"/>
    <m/>
    <n v="24"/>
    <n v="29"/>
    <n v="0.79625000000000001"/>
    <n v="0.91"/>
    <n v="24.442857142857143"/>
    <m/>
    <n v="4.5571428571428569"/>
    <m/>
    <m/>
    <m/>
    <m/>
    <m/>
    <m/>
    <n v="24"/>
    <n v="29"/>
    <m/>
    <m/>
    <n v="0.79625000000000001"/>
    <m/>
    <n v="0.11375000000000002"/>
    <m/>
    <m/>
    <m/>
    <m/>
    <m/>
    <m/>
    <n v="0.79625000000000001"/>
    <n v="0.91"/>
    <m/>
    <s v="IPCC 2013"/>
  </r>
  <r>
    <x v="10"/>
    <x v="114"/>
    <s v="Fresh or Not Specified"/>
    <s v="Milk Chocolate Packed in Aluminium Foil Based Packaging"/>
    <s v="No"/>
    <s v="Switzerland"/>
    <n v="2009"/>
    <s v="Sybille Büsser; Niels Jungbluth"/>
    <s v="ESU-services Ltd., Uster, Switzerland"/>
    <s v="Other (specify)"/>
    <s v="Büsser, S., Jungbluth, N. and Jungbluth, N., LCA of Chocolate Packed in Aluminium Foil Based Packaging: ESU Services, 2009."/>
    <s v="Yes"/>
    <s v="No"/>
    <s v="Yes"/>
    <s v="Yes"/>
    <s v="Yes"/>
    <s v="Yes"/>
    <s v="Yes"/>
    <s v="Yes"/>
    <s v="No"/>
    <s v="No"/>
    <s v="No"/>
    <s v="No"/>
    <m/>
    <s v="Cradle to Grave"/>
    <s v="No"/>
    <s v="No"/>
    <s v="1 kg chocolate wrapped in 100g bars and aluminium foil based packaging"/>
    <s v="N/A"/>
    <s v=""/>
    <s v=""/>
    <s v=""/>
    <s v=""/>
    <m/>
    <m/>
    <m/>
    <m/>
    <m/>
    <m/>
    <m/>
    <m/>
    <m/>
    <m/>
    <m/>
    <m/>
    <m/>
    <m/>
    <m/>
    <m/>
    <m/>
    <m/>
    <m/>
    <m/>
    <m/>
    <m/>
    <m/>
    <n v="3.6"/>
    <m/>
    <m/>
  </r>
  <r>
    <x v="10"/>
    <x v="114"/>
    <s v="Fresh or Not Specified"/>
    <s v="Dark Chocolate Packed in Aluminium Foil Based Packaging"/>
    <s v="No"/>
    <s v="Switzerland"/>
    <n v="2009"/>
    <s v="Sybille Büsser; Niels Jungbluth"/>
    <s v="ESU-services Ltd., Uster, Switzerland"/>
    <s v="Other (specify)"/>
    <s v="Büsser, S., Jungbluth, N. and Jungbluth, N., LCA of Chocolate Packed in Aluminium Foil Based Packaging: ESU Services, 2009."/>
    <s v="Yes"/>
    <s v="No"/>
    <s v="Yes"/>
    <s v="Yes"/>
    <s v="Yes"/>
    <s v="Yes"/>
    <s v="Yes"/>
    <s v="Yes"/>
    <s v="No"/>
    <s v="No"/>
    <s v="No"/>
    <s v="No"/>
    <m/>
    <s v="Cradle to Grave"/>
    <s v="No"/>
    <s v="No"/>
    <s v="1 kg chocolate wrapped in 100g bars and aluminium foil based packaging"/>
    <s v="N/A"/>
    <s v=""/>
    <s v=""/>
    <s v=""/>
    <s v=""/>
    <m/>
    <m/>
    <m/>
    <m/>
    <m/>
    <m/>
    <m/>
    <m/>
    <m/>
    <m/>
    <m/>
    <m/>
    <m/>
    <m/>
    <m/>
    <m/>
    <m/>
    <m/>
    <m/>
    <m/>
    <m/>
    <m/>
    <m/>
    <n v="2.1"/>
    <m/>
    <m/>
  </r>
  <r>
    <x v="10"/>
    <x v="114"/>
    <s v="Fresh or Not Specified"/>
    <s v="White Chocolate Packed in Aluminium Foil Based Packaging"/>
    <s v="No"/>
    <s v="Switzerland"/>
    <n v="2009"/>
    <s v="Sybille Büsser; Niels Jungbluth"/>
    <s v="ESU-services Ltd., Uster, Switzerland"/>
    <s v="Other (specify)"/>
    <s v="Büsser, S., Jungbluth, N. and Jungbluth, N., LCA of Chocolate Packed in Aluminium Foil Based Packaging: ESU Services, 2009."/>
    <s v="Yes"/>
    <s v="No"/>
    <s v="Yes"/>
    <s v="Yes"/>
    <s v="Yes"/>
    <s v="Yes"/>
    <s v="Yes"/>
    <s v="Yes"/>
    <s v="No"/>
    <s v="No"/>
    <s v="No"/>
    <s v="No"/>
    <m/>
    <s v="Cradle to Grave"/>
    <s v="No"/>
    <s v="No"/>
    <s v="1 kg chocolate wrapped in 100g bars and aluminium foil based packaging"/>
    <s v="N/A"/>
    <s v=""/>
    <s v=""/>
    <s v=""/>
    <s v=""/>
    <m/>
    <m/>
    <m/>
    <m/>
    <m/>
    <m/>
    <m/>
    <m/>
    <m/>
    <m/>
    <m/>
    <m/>
    <m/>
    <m/>
    <m/>
    <m/>
    <m/>
    <m/>
    <m/>
    <m/>
    <m/>
    <m/>
    <m/>
    <n v="4.0999999999999996"/>
    <m/>
    <m/>
  </r>
  <r>
    <x v="10"/>
    <x v="114"/>
    <s v="Fresh or Not Specified"/>
    <s v="Chocolate with Saltunas Packed in Aluminium Foil Based Packaging"/>
    <s v="No"/>
    <s v="Switzerland"/>
    <n v="2009"/>
    <s v="Sybille Büsser; Niels Jungbluth"/>
    <s v="ESU-services Ltd., Uster, Switzerland"/>
    <s v="Other (specify)"/>
    <s v="Büsser, S., Jungbluth, N. and Jungbluth, N., LCA of Chocolate Packed in Aluminium Foil Based Packaging: ESU Services, 2009."/>
    <s v="Yes"/>
    <s v="No"/>
    <s v="Yes"/>
    <s v="Yes"/>
    <s v="Yes"/>
    <s v="Yes"/>
    <s v="Yes"/>
    <s v="Yes"/>
    <s v="No"/>
    <s v="No"/>
    <s v="No"/>
    <s v="No"/>
    <m/>
    <s v="Cradle to Grave"/>
    <s v="No"/>
    <s v="No"/>
    <s v="1 kg chocolate wrapped in 100g bars and aluminium foil based packaging"/>
    <s v="N/A"/>
    <s v=""/>
    <s v=""/>
    <s v=""/>
    <s v=""/>
    <m/>
    <m/>
    <m/>
    <m/>
    <m/>
    <m/>
    <m/>
    <m/>
    <m/>
    <m/>
    <m/>
    <m/>
    <m/>
    <m/>
    <m/>
    <m/>
    <m/>
    <m/>
    <m/>
    <m/>
    <m/>
    <m/>
    <m/>
    <n v="2.5"/>
    <m/>
    <m/>
  </r>
  <r>
    <x v="10"/>
    <x v="118"/>
    <s v="Fresh or Not Specified"/>
    <s v="Corn Chips"/>
    <s v="No"/>
    <s v="Australia"/>
    <n v="2006"/>
    <s v="Tim Grant (1) (2); Tom Beer (2)"/>
    <s v="(1) RMIT Centre for Design; (2) CSIRO Marine and Atmospheric Research"/>
    <s v="Conference Proceedings"/>
    <s v="Grant, T. and Beer, T., Life Cycle Assessment of Greenhouse Gas Emissions from Irrigated Maize. 5th Australian Confernce on Life Cycle Assessment 2006, 22-24."/>
    <s v="Yes"/>
    <s v="No"/>
    <s v="Yes"/>
    <s v="Yes"/>
    <s v="Yes"/>
    <s v="Yes"/>
    <s v="No"/>
    <s v="No"/>
    <s v="No"/>
    <s v="No"/>
    <s v="No"/>
    <s v="No"/>
    <m/>
    <s v="Cradle to Grave"/>
    <s v="No"/>
    <s v="No"/>
    <s v="400g packet of corn chips"/>
    <s v="Reported Value x 2.5"/>
    <s v=""/>
    <s v=""/>
    <s v=""/>
    <s v=""/>
    <m/>
    <m/>
    <m/>
    <m/>
    <m/>
    <m/>
    <m/>
    <m/>
    <m/>
    <m/>
    <m/>
    <m/>
    <m/>
    <m/>
    <m/>
    <m/>
    <m/>
    <m/>
    <m/>
    <m/>
    <m/>
    <m/>
    <m/>
    <n v="1.325"/>
    <m/>
    <m/>
  </r>
  <r>
    <x v="10"/>
    <x v="119"/>
    <s v="Fresh or Not Specified"/>
    <s v="Traditional Cacao"/>
    <s v="No"/>
    <s v="Ecuador"/>
    <n v="2015"/>
    <s v="David Pérez Neira"/>
    <s v="(1) Department of Economics and Statistics, Universidad de León, León (Spain); (2) Prometeo Researcher, Secretaria de Educación Superior, Ciencia Tecnología e Innovación de la República del Ecuador, Universidad Estatal de Milagro, Milagro (Ecuador)."/>
    <s v="Peer Reviewed Journal"/>
    <s v="Neira, D. P., Energy Sustainability of Ecuadorian Cacao export and its Contribution to climate change - A Case Study through Product Life Cycle Assessment. Journal of Cleaner Production 2016, 112, 2560-2568."/>
    <s v="Yes"/>
    <s v="No"/>
    <s v="Yes"/>
    <s v="Yes"/>
    <s v="Yes"/>
    <s v="Yes"/>
    <s v="No"/>
    <s v="No"/>
    <s v="No"/>
    <s v="No"/>
    <s v="No"/>
    <s v="No"/>
    <m/>
    <s v="Cradle to Retail"/>
    <s v="No"/>
    <s v="No"/>
    <s v="1kg chocolate"/>
    <s v="N/A"/>
    <n v="22.9"/>
    <s v=""/>
    <s v=""/>
    <s v=""/>
    <m/>
    <m/>
    <m/>
    <m/>
    <m/>
    <m/>
    <m/>
    <m/>
    <m/>
    <n v="22.9"/>
    <n v="36.700000000000003"/>
    <m/>
    <m/>
    <m/>
    <m/>
    <m/>
    <m/>
    <m/>
    <m/>
    <m/>
    <m/>
    <m/>
    <m/>
    <n v="2.4900000000000002"/>
    <m/>
    <s v="IPCC 2006"/>
  </r>
  <r>
    <x v="10"/>
    <x v="119"/>
    <s v="Fresh or Not Specified"/>
    <s v="Technified Cacao"/>
    <s v="No"/>
    <s v="Ecuador"/>
    <n v="2015"/>
    <s v="David Pérez Neira"/>
    <s v="(1) Department of Economics and Statistics, Universidad de León, León (Spain); (2) Prometeo Researcher, Secretaria de Educación Superior, Ciencia Tecnología e Innovación de la República del Ecuador, Universidad Estatal de Milagro, Milagro (Ecuador)."/>
    <s v="Peer Reviewed Journal"/>
    <s v="Neira, D. P., Energy Sustainability of Ecuadorian Cacao export and its Contribution to climate change - A Case Study through Product Life Cycle Assessment. Journal of Cleaner Production 2016, 112, 2560-2568."/>
    <s v="Yes"/>
    <s v="No"/>
    <s v="Yes"/>
    <s v="Yes"/>
    <s v="Yes"/>
    <s v="Yes"/>
    <s v="No"/>
    <s v="No"/>
    <s v="No"/>
    <s v="No"/>
    <s v="No"/>
    <s v="No"/>
    <m/>
    <s v="Cradle to Retail"/>
    <s v="No"/>
    <s v="No"/>
    <s v="1kg chocolate"/>
    <s v="N/A"/>
    <s v=""/>
    <s v=""/>
    <s v=""/>
    <s v=""/>
    <m/>
    <m/>
    <m/>
    <m/>
    <m/>
    <m/>
    <m/>
    <m/>
    <m/>
    <m/>
    <n v="40.700000000000003"/>
    <m/>
    <m/>
    <m/>
    <m/>
    <m/>
    <m/>
    <m/>
    <m/>
    <m/>
    <m/>
    <m/>
    <m/>
    <n v="2.82"/>
    <m/>
    <s v="IPCC 2006"/>
  </r>
  <r>
    <x v="5"/>
    <x v="120"/>
    <s v="Fresh or Not Specified"/>
    <s v="Breakfast Cereal (minus consumption)"/>
    <m/>
    <s v="UK"/>
    <n v="2015"/>
    <s v="(1) Harish Kumar Jeswania; (2) Richard Burkinshawb; (1) Adisa Azapagica"/>
    <s v="(1) School of Chemical Engineering and Analytical Science, The Mill, Sackville Street, The University of Manchester, Manchester M13 9PL, United Kingdom; (2) Kellogg Management Services (Europe) Limited, The Kellogg Building, Talbot Road, Manchester, M16 0PU, United Kingdom"/>
    <s v="Peer Reviewed Journal"/>
    <s v="Jeswani, H. K., Burkinshaw, R. and Azapagic, A., Environmental sustainability issues in the food – energy – water nexus : Breakfast cereals and snacks. Sustainable Production and Consumption 2015, 2 (August), 17-28."/>
    <s v="Yes"/>
    <s v="Yes"/>
    <s v="Yes"/>
    <s v="Yes"/>
    <s v="Yes"/>
    <s v="Yes"/>
    <s v="No"/>
    <s v="No"/>
    <s v="No"/>
    <s v="No"/>
    <s v="No"/>
    <s v="No"/>
    <m/>
    <s v="Cradle to Retail"/>
    <s v="Yes"/>
    <s v="No"/>
    <s v="1kg cereal"/>
    <s v="N/A"/>
    <s v=""/>
    <s v=""/>
    <s v=""/>
    <s v=""/>
    <m/>
    <m/>
    <m/>
    <m/>
    <m/>
    <m/>
    <m/>
    <m/>
    <m/>
    <m/>
    <n v="32.39"/>
    <s v="CML 2001, Updated April 2013"/>
    <m/>
    <m/>
    <m/>
    <m/>
    <m/>
    <m/>
    <m/>
    <m/>
    <m/>
    <m/>
    <m/>
    <n v="2.64"/>
    <m/>
    <s v="CML 2001, Updated April 2013"/>
  </r>
  <r>
    <x v="5"/>
    <x v="120"/>
    <s v="Fresh or Not Specified"/>
    <s v="Breakfast Cereal (includes consumption with milk)"/>
    <m/>
    <s v="UK"/>
    <n v="2015"/>
    <s v="(1) Harish Kumar Jeswania; (2) Richard Burkinshawb; (1) Adisa Azapagica"/>
    <s v="(1) School of Chemical Engineering and Analytical Science, The Mill, Sackville Street, The University of Manchester, Manchester M13 9PL, United Kingdom; (2) Kellogg Management Services (Europe) Limited, The Kellogg Building, Talbot Road, Manchester, M16 0PU, United Kingdom"/>
    <s v="Peer Reviewed Journal"/>
    <s v="Jeswani, H. K., Burkinshaw, R. and Azapagic, A., Environmental sustainability issues in the food – energy – water nexus : Breakfast cereals and snacks. Sustainable Production and Consumption 2015, 2 (August), 17-28."/>
    <s v="Yes"/>
    <s v="Yes"/>
    <s v="Yes"/>
    <s v="Yes"/>
    <s v="Yes"/>
    <s v="Yes"/>
    <s v="Yes"/>
    <s v="Yes"/>
    <s v="No"/>
    <s v="No"/>
    <s v="Yes"/>
    <s v="No"/>
    <m/>
    <s v="Cradle to Grave"/>
    <s v="Yes"/>
    <s v="No"/>
    <s v="1kg cereal"/>
    <s v="N/A"/>
    <s v=""/>
    <s v=""/>
    <s v=""/>
    <s v=""/>
    <m/>
    <m/>
    <m/>
    <m/>
    <m/>
    <m/>
    <m/>
    <m/>
    <m/>
    <m/>
    <n v="77.489999999999995"/>
    <s v="CML 2001, Updated April 2013"/>
    <m/>
    <m/>
    <m/>
    <m/>
    <m/>
    <m/>
    <m/>
    <m/>
    <m/>
    <m/>
    <m/>
    <n v="8.84"/>
    <m/>
    <s v="CML 2001, Updated April 2013"/>
  </r>
  <r>
    <x v="6"/>
    <x v="38"/>
    <s v="Fresh or Not Specified"/>
    <s v="Tofu"/>
    <s v="No"/>
    <s v="Indonesia"/>
    <n v="2014"/>
    <s v="Sidharta Sahirman Ardiansyah"/>
    <s v="Universitas Jenderal Soedirman, Purwokerto, Indonesia"/>
    <s v="Conference Proceedings"/>
    <s v="Ardiansyah, S. S., Assessment of Tofu Carbon Footprint in Banyumas, Indonesia - Towards 'Greener' Tofu. Proceeding of International Conference On Research, Implementation And Education Of Mathematics And Sciences 2014, Yogyakarta State University, 18-20 May 2014 S-97 - S-103."/>
    <s v="Yes"/>
    <s v="No"/>
    <s v="Yes"/>
    <s v="Yes"/>
    <s v="No"/>
    <s v="No"/>
    <s v="No"/>
    <s v="No"/>
    <s v="No"/>
    <s v="No"/>
    <s v="No"/>
    <s v="No"/>
    <m/>
    <s v="Cradle to Processing Gate"/>
    <s v="No"/>
    <s v="No"/>
    <s v="1kg tofu"/>
    <s v="N/A"/>
    <s v=""/>
    <s v=""/>
    <s v=""/>
    <s v=""/>
    <m/>
    <m/>
    <m/>
    <m/>
    <m/>
    <m/>
    <m/>
    <m/>
    <m/>
    <m/>
    <n v="11.44"/>
    <m/>
    <m/>
    <m/>
    <m/>
    <m/>
    <m/>
    <m/>
    <m/>
    <m/>
    <m/>
    <m/>
    <m/>
    <n v="1.6995199999999999"/>
    <m/>
    <s v="IPCC 2006"/>
  </r>
  <r>
    <x v="6"/>
    <x v="121"/>
    <s v="Fresh or Not Specified"/>
    <s v="Soy Burger"/>
    <s v="No"/>
    <s v="Netherlands"/>
    <n v="2011"/>
    <s v="A. Ertug Ercina (1); Maite M. Aldayab (2); Arjen Y. Hoekstraa (1)"/>
    <s v="(1) Twente Water Centre, University of Twente, P.O. Box 217, 7500 AE Enschede, The Netherlands; (2) United Nations Environment Programme, Division of Technology, Industry and Economics, Sustainable Consumption and Production Branch, 15, rue de Milan F-75441, Paris, France"/>
    <s v="Peer Reviewed Journal"/>
    <s v="Ercin, A. E., Aldaya, M. M. and Hoekstra, A. Y., The water footprint of soy milk and soy burger and equivalent animal products. Ecological Indicators 2012, 18, 392-402."/>
    <s v="Yes"/>
    <s v="No"/>
    <s v="Yes"/>
    <s v="Yes"/>
    <s v="Yes"/>
    <s v="No"/>
    <s v="No"/>
    <s v="No"/>
    <s v="No"/>
    <s v="No"/>
    <s v="No"/>
    <s v="No"/>
    <m/>
    <s v="Cradle to Processing Gate"/>
    <s v="No"/>
    <s v="No"/>
    <s v="150g soy burger"/>
    <s v="Reported Value x (20/3)"/>
    <s v=""/>
    <s v=""/>
    <s v=""/>
    <s v=""/>
    <m/>
    <m/>
    <m/>
    <m/>
    <m/>
    <m/>
    <m/>
    <m/>
    <m/>
    <m/>
    <m/>
    <m/>
    <m/>
    <m/>
    <m/>
    <m/>
    <m/>
    <m/>
    <m/>
    <m/>
    <m/>
    <m/>
    <m/>
    <m/>
    <m/>
    <m/>
  </r>
  <r>
    <x v="7"/>
    <x v="40"/>
    <s v="Fresh or Not Specified"/>
    <s v="Soy Milk"/>
    <s v="No"/>
    <s v="Netherlands"/>
    <n v="2011"/>
    <s v="A. Ertug Ercina (1); Maite M. Aldayab (2); Arjen Y. Hoekstraa (1)"/>
    <s v="(1) Twente Water Centre, University of Twente, P.O. Box 217, 7500 AE Enschede, The Netherlands; (2) United Nations Environment Programme, Division of Technology, Industry and Economics, Sustainable Consumption and Production Branch, 15, rue de Milan F-75441, Paris, France"/>
    <s v="Peer Reviewed Journal"/>
    <s v="Ercin, A. E., Aldaya, M. M. and Hoekstra, A. Y., The water footprint of soy milk and soy burger and equivalent animal products. Ecological Indicators 2012, 18, 392-402."/>
    <s v="Yes"/>
    <s v="No"/>
    <s v="Yes"/>
    <s v="Yes"/>
    <s v="Yes"/>
    <s v="No"/>
    <s v="No"/>
    <s v="No"/>
    <s v="No"/>
    <s v="No"/>
    <s v="No"/>
    <s v="No"/>
    <m/>
    <s v="Cradle to Processing Gate"/>
    <s v="No"/>
    <s v="No"/>
    <s v="1 liter soy milk"/>
    <s v="Reported value / density of soy milk (1.08 kg/L)"/>
    <s v=""/>
    <s v=""/>
    <s v=""/>
    <s v=""/>
    <m/>
    <m/>
    <m/>
    <m/>
    <m/>
    <m/>
    <m/>
    <m/>
    <m/>
    <m/>
    <m/>
    <m/>
    <m/>
    <m/>
    <m/>
    <m/>
    <m/>
    <m/>
    <m/>
    <m/>
    <m/>
    <m/>
    <m/>
    <m/>
    <m/>
    <m/>
  </r>
  <r>
    <x v="5"/>
    <x v="67"/>
    <s v="Fresh or Not Specified"/>
    <s v="Crop Rotation, Wheat after Wheat"/>
    <s v="Yes"/>
    <s v="New South Whales (N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20499999999999999"/>
    <s v=""/>
    <m/>
    <m/>
    <m/>
    <m/>
    <m/>
    <m/>
    <m/>
    <m/>
    <m/>
    <m/>
    <m/>
    <m/>
    <m/>
    <m/>
    <m/>
    <m/>
    <m/>
    <m/>
    <m/>
    <m/>
    <m/>
    <m/>
    <n v="0.20499999999999999"/>
    <m/>
    <m/>
    <s v="IPCC 2007"/>
  </r>
  <r>
    <x v="5"/>
    <x v="67"/>
    <s v="Fresh or Not Specified"/>
    <s v="Crop Rotation, Wheat after Canola"/>
    <s v="Yes"/>
    <s v="New South Whales (N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17899999999999999"/>
    <s v=""/>
    <m/>
    <m/>
    <m/>
    <m/>
    <m/>
    <m/>
    <m/>
    <m/>
    <m/>
    <m/>
    <m/>
    <m/>
    <m/>
    <m/>
    <m/>
    <m/>
    <m/>
    <m/>
    <m/>
    <m/>
    <m/>
    <m/>
    <n v="0.17899999999999999"/>
    <m/>
    <m/>
    <s v="IPCC 2007"/>
  </r>
  <r>
    <x v="5"/>
    <x v="67"/>
    <s v="Fresh or Not Specified"/>
    <s v="Crop Rotation, Wheat after Chickpea"/>
    <s v="Yes"/>
    <s v="New South Whales (N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154"/>
    <s v=""/>
    <m/>
    <m/>
    <m/>
    <m/>
    <m/>
    <m/>
    <m/>
    <m/>
    <m/>
    <m/>
    <m/>
    <m/>
    <m/>
    <m/>
    <m/>
    <m/>
    <m/>
    <m/>
    <m/>
    <m/>
    <m/>
    <m/>
    <n v="0.154"/>
    <m/>
    <m/>
    <s v="IPCC 2007"/>
  </r>
  <r>
    <x v="5"/>
    <x v="67"/>
    <s v="Fresh or Not Specified"/>
    <s v="Crop Rotation, Wheat after Wheat"/>
    <s v="Yes"/>
    <s v="New South Whales (S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2404"/>
    <s v=""/>
    <m/>
    <m/>
    <m/>
    <m/>
    <m/>
    <m/>
    <m/>
    <m/>
    <m/>
    <m/>
    <m/>
    <m/>
    <m/>
    <m/>
    <m/>
    <m/>
    <m/>
    <m/>
    <m/>
    <m/>
    <m/>
    <m/>
    <n v="0.2404"/>
    <m/>
    <m/>
    <s v="IPCC 2007"/>
  </r>
  <r>
    <x v="5"/>
    <x v="67"/>
    <s v="Fresh or Not Specified"/>
    <s v="Crop Rotation, Wheat after Canola"/>
    <s v="Yes"/>
    <s v="New South Whales (S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214"/>
    <s v=""/>
    <m/>
    <m/>
    <m/>
    <m/>
    <m/>
    <m/>
    <m/>
    <m/>
    <m/>
    <m/>
    <m/>
    <m/>
    <m/>
    <m/>
    <m/>
    <m/>
    <m/>
    <m/>
    <m/>
    <m/>
    <m/>
    <m/>
    <n v="0.214"/>
    <m/>
    <m/>
    <s v="IPCC 2007"/>
  </r>
  <r>
    <x v="5"/>
    <x v="67"/>
    <s v="Fresh or Not Specified"/>
    <s v="Crop Rotation, Wheat after Field Peas"/>
    <s v="Yes"/>
    <s v="New South Whales (S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17799999999999999"/>
    <s v=""/>
    <m/>
    <m/>
    <m/>
    <m/>
    <m/>
    <m/>
    <m/>
    <m/>
    <m/>
    <m/>
    <m/>
    <m/>
    <m/>
    <m/>
    <m/>
    <m/>
    <m/>
    <m/>
    <m/>
    <m/>
    <m/>
    <m/>
    <n v="0.17799999999999999"/>
    <m/>
    <m/>
    <s v="IPCC 2007"/>
  </r>
  <r>
    <x v="5"/>
    <x v="122"/>
    <s v="Fresh or Not Specified"/>
    <s v="Rice - Using measured field emissions and GWP_100"/>
    <s v="No"/>
    <s v="California"/>
    <n v="2014"/>
    <s v="Sonja Brodt (1); Alissa Kendall (2); Yaser Mohammadi (1)(3) Aslihan Arslan (1); Juhong Yuan (2); In-Sung Lee (2); Bruce Linquist (3)"/>
    <s v="(1) Agricultural Sustainability Institute, University of California, 1 Shields Ave., Davis, CA 95616, USA; (2) Department of Civil and Environmental Engineering, University of California, 1 Shields Ave., Davis, CA 95616, USA ;(3) Department of Plant Sciences, University of California, 1 Shields Ave., Davis, CA 95616, USA"/>
    <s v="Peer Reviewed Journal"/>
    <s v="Brodt, S. B., Kendall, A., Mohammadi, Y., Arslan, A., Yuan, J., Lee, I.-S. and Linquist, B., Life cycle greenhouse gas emissions in California rice production. Field Crops Research 2014, 169, 89-98."/>
    <s v="Yes"/>
    <s v="No"/>
    <s v="Yes"/>
    <s v="Yes"/>
    <s v="No"/>
    <s v="No"/>
    <s v="No"/>
    <s v="No"/>
    <s v="No"/>
    <s v="No"/>
    <s v="No"/>
    <s v="No"/>
    <m/>
    <s v="Cradle to Processing"/>
    <s v="No"/>
    <s v="Yes"/>
    <s v="1 kg rice"/>
    <s v="N/A"/>
    <s v=""/>
    <n v="0.13930000000000001"/>
    <n v="1.4993100000000001"/>
    <s v=""/>
    <m/>
    <n v="5.7700000000000001E-2"/>
    <n v="8.1600000000000006E-2"/>
    <m/>
    <m/>
    <m/>
    <m/>
    <m/>
    <m/>
    <m/>
    <m/>
    <m/>
    <s v="No Data except tranport and processing"/>
    <n v="1.4993100000000001"/>
    <m/>
    <m/>
    <m/>
    <m/>
    <m/>
    <m/>
    <m/>
    <m/>
    <n v="1.4993100000000001"/>
    <n v="1.55"/>
    <m/>
    <s v="IPCC 2006"/>
  </r>
  <r>
    <x v="8"/>
    <x v="123"/>
    <m/>
    <m/>
    <s v="No"/>
    <s v="US"/>
    <n v="2002"/>
    <s v="Seungdo Kim and Bruce E. Dale"/>
    <s v="Department of Chemical Engineering &amp; Materials Science, Room 2527, Engineering Building, Michigan State University, East Lansing, MI"/>
    <s v="Peer Reviewed Journal"/>
    <s v="Kim, S. and Dale, B. E., Allocation procedure in ethanol production system from corn grain i. system expansion. The International Journal of Life Cycle Assessment 2002, 7 (4), 237-243."/>
    <s v="Yes"/>
    <s v="No"/>
    <s v="No"/>
    <s v="Yes"/>
    <s v="No"/>
    <s v="No"/>
    <s v="No"/>
    <s v="No"/>
    <s v="No"/>
    <s v="No"/>
    <s v="No"/>
    <s v="No"/>
    <m/>
    <s v="derived from system expansion approach to assigning net energy to corn ethanol"/>
    <s v="No"/>
    <s v="No"/>
    <s v="kg corn oil"/>
    <m/>
    <s v=""/>
    <s v=""/>
    <s v=""/>
    <s v=""/>
    <m/>
    <m/>
    <m/>
    <m/>
    <m/>
    <m/>
    <m/>
    <m/>
    <m/>
    <m/>
    <n v="12.5"/>
    <s v="MJ (net energy)"/>
    <m/>
    <m/>
    <m/>
    <m/>
    <m/>
    <m/>
    <m/>
    <m/>
    <m/>
    <m/>
    <m/>
    <m/>
    <m/>
    <m/>
  </r>
  <r>
    <x v="5"/>
    <x v="124"/>
    <m/>
    <m/>
    <s v="No"/>
    <s v="US"/>
    <n v="2002"/>
    <s v="Seungdo Kim and Bruce E. Dale"/>
    <s v="Department of Chemical Engineering &amp; Materials Science, Room 2527, Engineering Building, Michigan State University, East Lansing, MI"/>
    <s v="Peer Reviewed Journal"/>
    <s v="Kim, S. and Dale, B. E., Allocation procedure in ethanol production system from corn grain i. system expansion. The International Journal of Life Cycle Assessment 2002, 7 (4), 237-243."/>
    <s v="Yes"/>
    <s v="No"/>
    <s v="No"/>
    <s v="Yes"/>
    <s v="No"/>
    <s v="No"/>
    <s v="No"/>
    <s v="No"/>
    <s v="No"/>
    <s v="No"/>
    <s v="No"/>
    <s v="No"/>
    <m/>
    <s v="derived from system expansion approach to assigning net energy to corn ethanol"/>
    <s v="No"/>
    <s v="No"/>
    <s v="kg corn gluten meal"/>
    <m/>
    <s v=""/>
    <s v=""/>
    <s v=""/>
    <s v=""/>
    <m/>
    <m/>
    <m/>
    <m/>
    <m/>
    <m/>
    <m/>
    <m/>
    <m/>
    <m/>
    <n v="4.2"/>
    <s v="MJ (net energy)"/>
    <m/>
    <m/>
    <m/>
    <m/>
    <m/>
    <m/>
    <m/>
    <m/>
    <m/>
    <m/>
    <m/>
    <m/>
    <m/>
    <m/>
  </r>
  <r>
    <x v="8"/>
    <x v="47"/>
    <s v="Fresh or Not Specified"/>
    <s v="average across US ; accounts for regional variation"/>
    <s v="No"/>
    <s v="US"/>
    <n v="2009"/>
    <s v="Seungdo Kim &amp; Bruce E. Dale"/>
    <s v="Department of Chemical Engineering &amp; Materials Science, Room 2527, Engineering Building, Michigan State University, East Lansing, MI"/>
    <s v="Peer Reviewed Journal"/>
    <s v="Kim, S. and Dale, B. E., Regional variations in greenhouse gas emissions of biobased products in the United States—corn-based ethanol and soybean oil. The International Journal of Life Cycle Assessment 2009, 14 (6), 540-546."/>
    <s v="Yes"/>
    <s v="Yes"/>
    <s v="No"/>
    <s v="Yes"/>
    <s v="No"/>
    <s v="No"/>
    <s v="No"/>
    <s v="No"/>
    <s v="No"/>
    <s v="No"/>
    <s v="No"/>
    <s v="No"/>
    <m/>
    <s v="direct land use change included in the form of changes in soil organic carbon"/>
    <s v="No"/>
    <s v="No"/>
    <s v="kg soybean oil"/>
    <m/>
    <s v=""/>
    <s v=""/>
    <s v=""/>
    <s v=""/>
    <m/>
    <m/>
    <m/>
    <m/>
    <m/>
    <m/>
    <m/>
    <m/>
    <m/>
    <m/>
    <m/>
    <m/>
    <m/>
    <m/>
    <m/>
    <m/>
    <m/>
    <m/>
    <m/>
    <m/>
    <m/>
    <m/>
    <m/>
    <n v="1.2"/>
    <s v="+/-0.5"/>
    <m/>
  </r>
  <r>
    <x v="12"/>
    <x v="104"/>
    <s v="Canned"/>
    <s v="Canned Sardines, purse seine fishery, includes olive oil &amp; salt"/>
    <s v="No"/>
    <s v="Portugal"/>
    <n v="2015"/>
    <s v="Cheila Almeida, Sofia Vaz, and Friederike Ziegler"/>
    <s v="SIK–The Swedish Institute for Food and Biotechnology, Sustainable Food Production, P.O. Box 5401, SE-402 29 G¨oteborg, Sweden"/>
    <s v="Peer Reviewed Journal"/>
    <s v="Almeida, C., Vaz, S. and Ziegler, F., Environmental Life Cycle Assessment of a Canned Sardine Product from Portugal. Journal of Industrial Ecology 2015, 19 (4), 607-617."/>
    <s v="Yes"/>
    <s v="No"/>
    <s v="Yes"/>
    <s v="Yes"/>
    <s v="Yes"/>
    <s v="Yes"/>
    <s v="Yes"/>
    <s v="No"/>
    <s v="No"/>
    <s v="No"/>
    <s v="No"/>
    <s v="No"/>
    <m/>
    <s v="transported to grocery in Lisbon, Portugal"/>
    <s v="Yes"/>
    <s v="Yes"/>
    <s v="1 kg edible"/>
    <m/>
    <n v="8.76"/>
    <s v=""/>
    <n v="1.4169"/>
    <n v="2.0179999999999998"/>
    <n v="8.76"/>
    <m/>
    <m/>
    <n v="41.84"/>
    <n v="0.34"/>
    <m/>
    <m/>
    <m/>
    <m/>
    <n v="8.76"/>
    <n v="51"/>
    <m/>
    <m/>
    <n v="1.4169"/>
    <m/>
    <n v="0.60109999999999997"/>
    <n v="5.5175000000000001"/>
    <n v="2.4E-2"/>
    <m/>
    <m/>
    <m/>
    <m/>
    <n v="1.4169"/>
    <n v="7.6"/>
    <m/>
    <s v="100 y, CML-IA baseline"/>
  </r>
  <r>
    <x v="12"/>
    <x v="104"/>
    <s v="Fresh or Not Specified"/>
    <s v="Fresh Sardines, purse seine fishery"/>
    <s v="No"/>
    <s v="Portugal"/>
    <n v="2015"/>
    <s v="Cheila Almeida, Sofia Vaz, and Friederike Ziegler"/>
    <s v="SIK–The Swedish Institute for Food and Biotechnology, Sustainable Food Production, P.O. Box 5401, SE-402 29 G¨oteborg, Sweden"/>
    <s v="Peer Reviewed Journal"/>
    <s v="Almeida, C., Vaz, S. and Ziegler, F., Environmental Life Cycle Assessment of a Canned Sardine Product from Portugal. Journal of Industrial Ecology 2015, 19 (4), 607-617."/>
    <s v="Yes"/>
    <s v="No"/>
    <s v="Yes"/>
    <s v="Yes"/>
    <s v="Yes"/>
    <s v="Yes"/>
    <s v="Yes"/>
    <s v="No"/>
    <s v="No"/>
    <s v="No"/>
    <s v="No"/>
    <s v="No"/>
    <m/>
    <s v="transported to grocery in Lisbon, Portugal"/>
    <s v="Yes"/>
    <s v="No"/>
    <s v="1 kg edible"/>
    <m/>
    <s v=""/>
    <s v=""/>
    <s v=""/>
    <s v=""/>
    <m/>
    <m/>
    <m/>
    <m/>
    <m/>
    <m/>
    <m/>
    <m/>
    <m/>
    <m/>
    <n v="13"/>
    <m/>
    <m/>
    <m/>
    <m/>
    <m/>
    <m/>
    <m/>
    <m/>
    <m/>
    <m/>
    <m/>
    <m/>
    <n v="0.8"/>
    <m/>
    <s v="100 y, CML-IA baseline"/>
  </r>
  <r>
    <x v="12"/>
    <x v="104"/>
    <s v="Frozen"/>
    <s v="Frozen Sardines, purse seine fishery"/>
    <s v="No"/>
    <s v="Portugal"/>
    <n v="2015"/>
    <s v="Cheila Almeida, Sofia Vaz, and Friederike Ziegler"/>
    <s v="SIK–The Swedish Institute for Food and Biotechnology, Sustainable Food Production, P.O. Box 5401, SE-402 29 G¨oteborg, Sweden"/>
    <s v="Peer Reviewed Journal"/>
    <s v="Almeida, C., Vaz, S. and Ziegler, F., Environmental Life Cycle Assessment of a Canned Sardine Product from Portugal. Journal of Industrial Ecology 2015, 19 (4), 607-617."/>
    <s v="Yes"/>
    <s v="No"/>
    <s v="Yes"/>
    <s v="Yes"/>
    <s v="Yes"/>
    <s v="Yes"/>
    <s v="Yes"/>
    <s v="No"/>
    <s v="No"/>
    <s v="No"/>
    <s v="No"/>
    <s v="No"/>
    <m/>
    <s v="transported to grocery in Lisbon, Portugal"/>
    <s v="Yes"/>
    <s v="No"/>
    <s v="1 kg edible"/>
    <m/>
    <s v=""/>
    <s v=""/>
    <s v=""/>
    <s v=""/>
    <m/>
    <m/>
    <m/>
    <m/>
    <m/>
    <m/>
    <m/>
    <m/>
    <m/>
    <m/>
    <n v="17"/>
    <m/>
    <m/>
    <m/>
    <m/>
    <m/>
    <m/>
    <m/>
    <m/>
    <m/>
    <m/>
    <m/>
    <m/>
    <n v="0.99"/>
    <m/>
    <s v="100 y, CML-IA baseline"/>
  </r>
  <r>
    <x v="12"/>
    <x v="102"/>
    <s v="Fresh (Live)"/>
    <s v="Atlantic Salmon, copper alloy mesh net pens"/>
    <s v="Yes"/>
    <s v="Chile"/>
    <n v="2015"/>
    <s v="Nathan Ayer a,*, Shelly Martin b, Robert L. Dwyer c, Langley Gace c, Lise Laurin a"/>
    <s v="a EarthShift Global LLC, 31 Leach Rd. Kittery, ME 03904 USA b EarthShift, 830 Taft Road Huntington, VT 05462 USA c International Copper Association, USA"/>
    <s v="Peer Reviewed Journal"/>
    <s v="Ayer, N. W., Martin, S., Dwyer, R. L., Gace, L. and Laurin, L., Environmental performance of copper-alloy Net-pens: Life cycle assessment of Atlantic salmon grow-out in copper-alloy and nylon net-pens. Aquaculture 2016, 453, 93-103."/>
    <s v="Yes"/>
    <s v="No"/>
    <s v="No"/>
    <s v="No"/>
    <s v="No"/>
    <s v="No"/>
    <s v="No"/>
    <s v="No"/>
    <s v="No"/>
    <s v="No"/>
    <s v="No"/>
    <s v="No"/>
    <m/>
    <m/>
    <s v="No"/>
    <s v="Yes"/>
    <s v="1 metric ton mature live weight fish"/>
    <s v="/1000/.72  filet yield (72%) from Table 4.5 of http://brage.bibsys.no/xmlui/bitstream/handle/11250/186065/deependra%20acharya.pdf?sequence=1"/>
    <n v="43.888888888888893"/>
    <s v=""/>
    <n v="3.0694444444444446"/>
    <s v=""/>
    <m/>
    <m/>
    <m/>
    <m/>
    <m/>
    <m/>
    <m/>
    <m/>
    <m/>
    <n v="43.888888888888893"/>
    <m/>
    <m/>
    <m/>
    <m/>
    <m/>
    <m/>
    <m/>
    <m/>
    <m/>
    <m/>
    <m/>
    <m/>
    <n v="3.0694444444444446"/>
    <m/>
    <m/>
    <s v="100y, ReCiPe"/>
  </r>
  <r>
    <x v="12"/>
    <x v="102"/>
    <s v="Fresh (Live)"/>
    <s v="Atlantic Salmon, nylon net pens"/>
    <s v="Yes"/>
    <s v="Chile"/>
    <n v="2015"/>
    <s v="Nathan Ayer a,*, Shelly Martin b, Robert L. Dwyer c, Langley Gace c, Lise Laurin a"/>
    <s v="a EarthShift Global LLC, 31 Leach Rd. Kittery, ME 03904 USA b EarthShift, 830 Taft Road Huntington, VT 05462 USA c International Copper Association, USA"/>
    <s v="Peer Reviewed Journal"/>
    <s v="Ayer, N. W., Martin, S., Dwyer, R. L., Gace, L. and Laurin, L., Environmental performance of copper-alloy Net-pens: Life cycle assessment of Atlantic salmon grow-out in copper-alloy and nylon net-pens. Aquaculture 2016, 453, 93-103."/>
    <s v="Yes"/>
    <s v="No"/>
    <s v="No"/>
    <s v="No"/>
    <s v="No"/>
    <s v="No"/>
    <s v="No"/>
    <s v="No"/>
    <s v="No"/>
    <s v="No"/>
    <s v="No"/>
    <s v="No"/>
    <m/>
    <m/>
    <s v="No"/>
    <s v="Yes"/>
    <s v="1 metric ton mature live weight fish"/>
    <s v="/1000/.72  filet yield (72%) from Table 4.5 of http://brage.bibsys.no/xmlui/bitstream/handle/11250/186065/deependra%20acharya.pdf?sequence=1"/>
    <n v="53.472222222222221"/>
    <s v=""/>
    <n v="3.6944444444444446"/>
    <s v=""/>
    <m/>
    <m/>
    <m/>
    <m/>
    <m/>
    <m/>
    <m/>
    <m/>
    <m/>
    <n v="53.472222222222221"/>
    <m/>
    <m/>
    <m/>
    <m/>
    <m/>
    <m/>
    <m/>
    <m/>
    <m/>
    <m/>
    <m/>
    <m/>
    <n v="3.6944444444444446"/>
    <m/>
    <m/>
    <s v="100y, ReCiPe"/>
  </r>
  <r>
    <x v="12"/>
    <x v="111"/>
    <s v="Frozen"/>
    <s v="Tropical Rock Lobster, frozen tail shipped from N. Australia to US"/>
    <s v="No"/>
    <s v="Australia"/>
    <n v="2016"/>
    <s v="Ingrid E. van Putten, Anna K. Farmery, Bridget S. Green, Alistair J. Hobday, Lilly Lim-Camacho, Ana Norman-L´opez, and Robert W. Parker"/>
    <s v="Commonwealth Scientific and Industrial Research Organization, Oceans and Atmosphere, in Hobart, Tasmania, Australia."/>
    <s v="Peer Reviewed Journal"/>
    <s v="Van Putten, I. E., Farmery, A. K., Green, B. S., Hobday, A. J., Lim-Camacho, L., Norman-López, A. and Parker, R. W., The Environmental Impact of Two Australian Rock Lobster Fishery Supply Chains under a Changing Climate. Journal of Industrial Ecology 2016, 20(6), 1384-1398."/>
    <s v="Yes"/>
    <s v="No"/>
    <s v="Yes"/>
    <s v="Yes"/>
    <s v="Yes"/>
    <s v="Yes"/>
    <s v="No"/>
    <s v="No"/>
    <s v="No"/>
    <s v="No"/>
    <s v="No"/>
    <s v="No"/>
    <m/>
    <s v="cradle to import market port in US"/>
    <s v="No"/>
    <s v="Yes"/>
    <s v="1 kg frozen lobster tail"/>
    <m/>
    <n v="244.72"/>
    <n v="246.05"/>
    <n v="18.308"/>
    <n v="18.407499999999999"/>
    <n v="244.72"/>
    <m/>
    <n v="1.33"/>
    <n v="1.33"/>
    <n v="18.62"/>
    <m/>
    <m/>
    <m/>
    <m/>
    <n v="244.72"/>
    <n v="266"/>
    <m/>
    <m/>
    <n v="18.308"/>
    <m/>
    <n v="9.9499999999999991E-2"/>
    <n v="9.9499999999999991E-2"/>
    <n v="1.393"/>
    <m/>
    <m/>
    <m/>
    <m/>
    <n v="18.308"/>
    <n v="19.899999999999999"/>
    <m/>
    <s v="100y, CML"/>
  </r>
  <r>
    <x v="12"/>
    <x v="102"/>
    <s v="Fresh (Live)"/>
    <s v="Farmed Rainbow Trout, flow-through production system"/>
    <s v="Yes"/>
    <s v="Iran"/>
    <n v="2015"/>
    <s v="Majid Dekamin a, *, Hadi Veisi b, Edwin Safari c, Houman Liaghati b, Korus Khoshbakht b, Mohammad G. Dekamin d"/>
    <s v="a Faculty of Agriculture Sciences, University of Mohaghegh Ardabili, Ardabil, Iran b Environmental Sciences Research Institute (ESRI), Shahid Beheshti University, Tehran, Iran c Department of Environmental Engineering, University of Tehran, Tehran, Iran d Department of Chemistry, Iran University of Science &amp; Technology, Tehran 16846-13114, Iran"/>
    <s v="Peer Reviewed Journal"/>
    <s v="Dekamin, M., Veisi, H., Safari, E., Liaghati, H., Khoshbakht, K. and Dekamin, M. G., Life cycle assessment for rainbow trout (Oncorhynchus mykiss) production systems: a case study for Iran. Journal of Cleaner Production 2015, 91, 43-55."/>
    <s v="Yes"/>
    <s v="No"/>
    <s v="No"/>
    <s v="No"/>
    <s v="No"/>
    <s v="No"/>
    <s v="No"/>
    <s v="No"/>
    <s v="No"/>
    <s v="No"/>
    <s v="No"/>
    <s v="No"/>
    <m/>
    <s v="cradle to farm gate"/>
    <s v="No"/>
    <s v="No"/>
    <s v="1 tonne live rainbow trout"/>
    <s v="/1000/.65 assuming 65% fillet yield, ave of high and low FY from http://onlinelibrary.wiley.com/doi/10.1111/j.1745-4573.2010.00214.x/abstract"/>
    <s v=""/>
    <s v=""/>
    <n v="1.7846153846153845"/>
    <s v=""/>
    <m/>
    <m/>
    <m/>
    <m/>
    <m/>
    <m/>
    <m/>
    <m/>
    <m/>
    <m/>
    <m/>
    <m/>
    <m/>
    <m/>
    <m/>
    <m/>
    <m/>
    <m/>
    <m/>
    <m/>
    <m/>
    <m/>
    <n v="1.7846153846153845"/>
    <m/>
    <m/>
    <s v="100y, CML 2 Baseline 2000"/>
  </r>
  <r>
    <x v="12"/>
    <x v="102"/>
    <s v="Fresh (Live)"/>
    <s v="Farmed Rainbow Trout, semi-closed recirc. system"/>
    <s v="Yes"/>
    <s v="Iran"/>
    <n v="2015"/>
    <s v="Majid Dekamin a, *, Hadi Veisi b, Edwin Safari c, Houman Liaghati b, Korus Khoshbakht b, Mohammad G. Dekamin d"/>
    <s v="a Faculty of Agriculture Sciences, University of Mohaghegh Ardabili, Ardabil, Iran b Environmental Sciences Research Institute (ESRI), Shahid Beheshti University, Tehran, Iran c Department of Environmental Engineering, University of Tehran, Tehran, Iran d Department of Chemistry, Iran University of Science &amp; Technology, Tehran 16846-13114, Iran"/>
    <s v="Peer Reviewed Journal"/>
    <s v="Dekamin, M., Veisi, H., Safari, E., Liaghati, H., Khoshbakht, K. and Dekamin, M. G., Life cycle assessment for rainbow trout (Oncorhynchus mykiss) production systems: a case study for Iran. Journal of Cleaner Production 2015, 91, 43-55."/>
    <s v="Yes"/>
    <s v="No"/>
    <s v="No"/>
    <s v="No"/>
    <s v="No"/>
    <s v="No"/>
    <s v="No"/>
    <s v="No"/>
    <s v="No"/>
    <s v="No"/>
    <s v="No"/>
    <s v="No"/>
    <m/>
    <s v="cradle to farm gate"/>
    <s v="No"/>
    <s v="No"/>
    <s v="1 tonne live rainbow trout"/>
    <s v="/1000/.65 assuming 65% fillet yield, ave of high and low FY from http://onlinelibrary.wiley.com/doi/10.1111/j.1745-4573.2010.00214.x/abstract"/>
    <s v=""/>
    <s v=""/>
    <n v="9.8153846153846143"/>
    <s v=""/>
    <m/>
    <m/>
    <m/>
    <m/>
    <m/>
    <m/>
    <m/>
    <m/>
    <m/>
    <m/>
    <m/>
    <m/>
    <m/>
    <m/>
    <m/>
    <m/>
    <m/>
    <m/>
    <m/>
    <m/>
    <m/>
    <m/>
    <n v="9.8153846153846143"/>
    <m/>
    <m/>
    <s v="100y, CML 2 Baseline 2000"/>
  </r>
  <r>
    <x v="12"/>
    <x v="102"/>
    <s v="Fresh (Live)"/>
    <s v="Farmed Rainbow Trout, recirculating system"/>
    <s v="Yes"/>
    <s v="Iran"/>
    <n v="2015"/>
    <s v="Majid Dekamin a, *, Hadi Veisi b, Edwin Safari c, Houman Liaghati b, Korus Khoshbakht b, Mohammad G. Dekamin d"/>
    <s v="a Faculty of Agriculture Sciences, University of Mohaghegh Ardabili, Ardabil, Iran b Environmental Sciences Research Institute (ESRI), Shahid Beheshti University, Tehran, Iran c Department of Environmental Engineering, University of Tehran, Tehran, Iran d Department of Chemistry, Iran University of Science &amp; Technology, Tehran 16846-13114, Iran"/>
    <s v="Peer Reviewed Journal"/>
    <s v="Dekamin, M., Veisi, H., Safari, E., Liaghati, H., Khoshbakht, K. and Dekamin, M. G., Life cycle assessment for rainbow trout (Oncorhynchus mykiss) production systems: a case study for Iran. Journal of Cleaner Production 2015, 91, 43-55."/>
    <s v="Yes"/>
    <s v="No"/>
    <s v="No"/>
    <s v="No"/>
    <s v="No"/>
    <s v="No"/>
    <s v="No"/>
    <s v="No"/>
    <s v="No"/>
    <s v="No"/>
    <s v="No"/>
    <s v="No"/>
    <m/>
    <s v="cradle to farm gate"/>
    <s v="No"/>
    <s v="No"/>
    <s v="1 tonne live rainbow trout"/>
    <s v="/1000/.65 assuming 65% fillet yield, ave of high and low FY from http://onlinelibrary.wiley.com/doi/10.1111/j.1745-4573.2010.00214.x/abstract"/>
    <s v=""/>
    <s v=""/>
    <n v="9.3846153846153832"/>
    <s v=""/>
    <m/>
    <m/>
    <m/>
    <m/>
    <m/>
    <m/>
    <m/>
    <m/>
    <m/>
    <m/>
    <m/>
    <m/>
    <m/>
    <m/>
    <m/>
    <m/>
    <m/>
    <m/>
    <m/>
    <m/>
    <m/>
    <m/>
    <n v="9.3846153846153832"/>
    <m/>
    <m/>
    <s v="100y, CML 2 Baseline 2000"/>
  </r>
  <r>
    <x v="5"/>
    <x v="67"/>
    <s v="Dried"/>
    <s v="average US wheat production"/>
    <s v="No"/>
    <s v="US"/>
    <n v="2006"/>
    <s v="Gerhard Piringer and Laura J. Steinberg"/>
    <s v="Department of Civil and Environmental Engineering Tulane University New Orleans, LA 70118"/>
    <s v="Peer Reviewed Journal"/>
    <s v="Piringer, G. and Steinberg, L. J., Reevaluation of energy use in wheat production in the United States. Journal of Industrial Ecology 2006, 10 (1-2), 149-167."/>
    <s v="Yes"/>
    <s v="No"/>
    <s v="No"/>
    <s v="No"/>
    <s v="No"/>
    <s v="No"/>
    <s v="No"/>
    <s v="No"/>
    <s v="No"/>
    <s v="No"/>
    <s v="No"/>
    <s v="No"/>
    <m/>
    <s v="cradle to farm gate"/>
    <s v="No"/>
    <s v="No"/>
    <s v="1 kg wheat grain"/>
    <m/>
    <n v="3.8849999999999998"/>
    <s v=""/>
    <s v=""/>
    <s v=""/>
    <m/>
    <m/>
    <m/>
    <m/>
    <m/>
    <m/>
    <m/>
    <m/>
    <m/>
    <n v="3.8849999999999998"/>
    <m/>
    <m/>
    <m/>
    <m/>
    <m/>
    <m/>
    <m/>
    <m/>
    <m/>
    <m/>
    <m/>
    <m/>
    <m/>
    <m/>
    <m/>
    <m/>
  </r>
  <r>
    <x v="5"/>
    <x v="125"/>
    <s v="Dried"/>
    <s v="conventional"/>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5.2"/>
    <s v=""/>
    <n v="0.69599999999999995"/>
    <s v=""/>
    <m/>
    <m/>
    <m/>
    <m/>
    <m/>
    <m/>
    <m/>
    <m/>
    <m/>
    <n v="5.2"/>
    <m/>
    <s v="CED v. 1.03"/>
    <m/>
    <m/>
    <m/>
    <m/>
    <m/>
    <m/>
    <m/>
    <m/>
    <m/>
    <m/>
    <n v="0.69599999999999995"/>
    <m/>
    <m/>
    <s v="100y CML 2 Baseline 2000"/>
  </r>
  <r>
    <x v="5"/>
    <x v="125"/>
    <s v="Dried"/>
    <s v="organic"/>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2.2000000000000002"/>
    <s v=""/>
    <n v="0.54100000000000004"/>
    <s v=""/>
    <m/>
    <m/>
    <m/>
    <m/>
    <m/>
    <m/>
    <m/>
    <m/>
    <m/>
    <n v="2.2000000000000002"/>
    <m/>
    <s v="CED v. 1.03"/>
    <m/>
    <m/>
    <m/>
    <m/>
    <m/>
    <m/>
    <m/>
    <m/>
    <m/>
    <m/>
    <n v="0.54100000000000004"/>
    <m/>
    <m/>
    <s v="100y CML 2 Baseline 2000"/>
  </r>
  <r>
    <x v="5"/>
    <x v="126"/>
    <s v="Dried"/>
    <s v="Zea Maize, conventional"/>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2.4"/>
    <s v=""/>
    <n v="0.33"/>
    <s v=""/>
    <m/>
    <m/>
    <m/>
    <m/>
    <m/>
    <m/>
    <m/>
    <m/>
    <m/>
    <n v="2.4"/>
    <m/>
    <s v="CED v. 1.03"/>
    <m/>
    <m/>
    <m/>
    <m/>
    <m/>
    <m/>
    <m/>
    <m/>
    <m/>
    <m/>
    <n v="0.33"/>
    <m/>
    <m/>
    <s v="100y CML 2 Baseline 2000"/>
  </r>
  <r>
    <x v="5"/>
    <x v="126"/>
    <s v="Dried"/>
    <s v="Zea Maize, organic"/>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1.3"/>
    <s v=""/>
    <n v="0.25600000000000001"/>
    <s v=""/>
    <m/>
    <m/>
    <m/>
    <m/>
    <m/>
    <m/>
    <m/>
    <m/>
    <m/>
    <n v="1.3"/>
    <m/>
    <s v="CED v. 1.03"/>
    <m/>
    <m/>
    <m/>
    <m/>
    <m/>
    <m/>
    <m/>
    <m/>
    <m/>
    <m/>
    <n v="0.25600000000000001"/>
    <m/>
    <m/>
    <s v="100y CML 2 Baseline 2000"/>
  </r>
  <r>
    <x v="11"/>
    <x v="127"/>
    <s v="Dried"/>
    <s v="conventional"/>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2.2999999999999998"/>
    <s v=""/>
    <n v="0.24759999999999999"/>
    <s v=""/>
    <m/>
    <m/>
    <m/>
    <m/>
    <m/>
    <m/>
    <m/>
    <m/>
    <m/>
    <n v="2.2999999999999998"/>
    <m/>
    <s v="CED v. 1.03"/>
    <m/>
    <m/>
    <m/>
    <m/>
    <m/>
    <m/>
    <m/>
    <m/>
    <m/>
    <m/>
    <n v="0.24759999999999999"/>
    <m/>
    <m/>
    <s v="100y CML 2 Baseline 2000"/>
  </r>
  <r>
    <x v="11"/>
    <x v="127"/>
    <s v="Dried"/>
    <s v="organic"/>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1.5"/>
    <s v=""/>
    <n v="0.19"/>
    <s v=""/>
    <m/>
    <m/>
    <m/>
    <m/>
    <m/>
    <m/>
    <m/>
    <m/>
    <m/>
    <n v="1.5"/>
    <m/>
    <s v="CED v. 1.03"/>
    <m/>
    <m/>
    <m/>
    <m/>
    <m/>
    <m/>
    <m/>
    <m/>
    <m/>
    <m/>
    <n v="0.19"/>
    <m/>
    <m/>
    <s v="100y CML 2 Baseline 2000"/>
  </r>
  <r>
    <x v="5"/>
    <x v="67"/>
    <s v="Dried"/>
    <s v="conventional"/>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2.7"/>
    <s v=""/>
    <n v="0.38200000000000001"/>
    <s v=""/>
    <m/>
    <m/>
    <m/>
    <m/>
    <m/>
    <m/>
    <m/>
    <m/>
    <m/>
    <n v="2.7"/>
    <m/>
    <s v="CED v. 1.03"/>
    <m/>
    <m/>
    <m/>
    <m/>
    <m/>
    <m/>
    <m/>
    <m/>
    <m/>
    <m/>
    <n v="0.38200000000000001"/>
    <m/>
    <m/>
    <s v="100y CML 2 Baseline 2000"/>
  </r>
  <r>
    <x v="5"/>
    <x v="67"/>
    <s v="Dried"/>
    <s v="organic"/>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0.8"/>
    <s v=""/>
    <n v="0.29099999999999998"/>
    <s v=""/>
    <m/>
    <m/>
    <m/>
    <m/>
    <m/>
    <m/>
    <m/>
    <m/>
    <m/>
    <n v="0.8"/>
    <m/>
    <s v="CED v. 1.03"/>
    <m/>
    <m/>
    <m/>
    <m/>
    <m/>
    <m/>
    <m/>
    <m/>
    <m/>
    <m/>
    <n v="0.29099999999999998"/>
    <m/>
    <m/>
    <s v="100y CML 2 Baseline 2000"/>
  </r>
  <r>
    <x v="5"/>
    <x v="128"/>
    <m/>
    <s v="conventional"/>
    <s v="Yes"/>
    <s v="US"/>
    <n v="2009"/>
    <s v="Kyle Meisterling a,*, Constantine Samaras a,b, Vanessa Schweizer a"/>
    <s v="a Department of Engineering and Public Policy, Carnegie Mellon University, 5000 Forbes Avenue, Pittsburgh, PA b Department of Civil and Environmental Engineering, Carnegie Mellon University, 5000 Forbes Avenue, Pittsburgh, PA 15213, USA15213, USA"/>
    <s v="Peer Reviewed Journal"/>
    <s v="Meisterling, K., Samaras, C. and Schweizer, V., Decisions to reduce greenhouse gases from agriculture and product transport: LCA case study of organic and conventional wheat. Journal of Cleaner Production 2009, 17 (2), 222-230."/>
    <s v="Yes"/>
    <s v="No"/>
    <s v="Yes"/>
    <s v="Yes"/>
    <s v="No"/>
    <s v="Yes"/>
    <s v="No"/>
    <s v="No"/>
    <s v="No"/>
    <s v="No"/>
    <s v="No"/>
    <s v="No"/>
    <m/>
    <m/>
    <s v="No"/>
    <s v="No"/>
    <s v="0.67 kg whole-wheat flour"/>
    <s v="/.67"/>
    <s v=""/>
    <s v=""/>
    <n v="0.28358208955223879"/>
    <s v=""/>
    <m/>
    <m/>
    <m/>
    <m/>
    <m/>
    <m/>
    <m/>
    <m/>
    <m/>
    <m/>
    <n v="4.9253731343283577E-3"/>
    <m/>
    <m/>
    <m/>
    <m/>
    <m/>
    <m/>
    <m/>
    <m/>
    <m/>
    <m/>
    <m/>
    <n v="0.28358208955223879"/>
    <n v="0.4925373134328358"/>
    <m/>
    <s v="100y, IPCC 2001"/>
  </r>
  <r>
    <x v="5"/>
    <x v="128"/>
    <m/>
    <s v="organic"/>
    <s v="Yes"/>
    <s v="US"/>
    <n v="2009"/>
    <s v="Kyle Meisterling a,*, Constantine Samaras a,b, Vanessa Schweizer a"/>
    <s v="a Department of Engineering and Public Policy, Carnegie Mellon University, 5000 Forbes Avenue, Pittsburgh, PA b Department of Civil and Environmental Engineering, Carnegie Mellon University, 5000 Forbes Avenue, Pittsburgh, PA 15213, USA15213, USA"/>
    <s v="Peer Reviewed Journal"/>
    <s v="Meisterling, K., Samaras, C. and Schweizer, V., Decisions to reduce greenhouse gases from agriculture and product transport: LCA case study of organic and conventional wheat. Journal of Cleaner Production 2009, 17 (2), 222-230."/>
    <s v="Yes"/>
    <s v="No"/>
    <s v="Yes"/>
    <s v="Yes"/>
    <s v="No"/>
    <s v="Yes"/>
    <s v="No"/>
    <s v="No"/>
    <s v="No"/>
    <s v="No"/>
    <s v="No"/>
    <s v="No"/>
    <m/>
    <m/>
    <s v="No"/>
    <s v="No"/>
    <s v="0.67 kg whole-wheat flour"/>
    <s v="/.67"/>
    <s v=""/>
    <s v=""/>
    <n v="0.23880597014925373"/>
    <s v=""/>
    <m/>
    <m/>
    <m/>
    <m/>
    <m/>
    <m/>
    <m/>
    <m/>
    <m/>
    <m/>
    <n v="4.0298507462686569E-3"/>
    <m/>
    <m/>
    <m/>
    <m/>
    <m/>
    <m/>
    <m/>
    <m/>
    <m/>
    <m/>
    <m/>
    <n v="0.23880597014925373"/>
    <n v="0.44776119402985071"/>
    <m/>
    <s v="100y, IPCC 2001"/>
  </r>
  <r>
    <x v="5"/>
    <x v="129"/>
    <s v="Cooked"/>
    <s v="10% milled"/>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59.8% moisture"/>
    <s v=""/>
    <s v=""/>
    <n v="0.23066722408026757"/>
    <n v="0.3213026755852843"/>
    <m/>
    <m/>
    <m/>
    <m/>
    <m/>
    <m/>
    <m/>
    <m/>
    <m/>
    <m/>
    <m/>
    <m/>
    <m/>
    <n v="0.23066722408026757"/>
    <n v="9.0635451505016729E-2"/>
    <m/>
    <n v="6.344481605351171E-3"/>
    <m/>
    <n v="2.49247491638796E-2"/>
    <n v="0.11329431438127091"/>
    <m/>
    <m/>
    <n v="0.23066722408026757"/>
    <n v="0.45317725752508364"/>
    <m/>
    <m/>
  </r>
  <r>
    <x v="5"/>
    <x v="129"/>
    <s v="Cooked"/>
    <s v="2% milled"/>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63.1% moisture"/>
    <s v=""/>
    <s v=""/>
    <n v="0.17907765451664026"/>
    <n v="0.2494421553090333"/>
    <m/>
    <m/>
    <m/>
    <m/>
    <m/>
    <m/>
    <m/>
    <m/>
    <m/>
    <m/>
    <m/>
    <m/>
    <m/>
    <n v="0.17907765451664026"/>
    <n v="7.0364500792393023E-2"/>
    <m/>
    <n v="4.9255150554675118E-3"/>
    <m/>
    <n v="1.9350237717908083E-2"/>
    <n v="8.7955625990491282E-2"/>
    <m/>
    <m/>
    <n v="0.17907765451664026"/>
    <n v="0.35182250396196513"/>
    <m/>
    <m/>
  </r>
  <r>
    <x v="5"/>
    <x v="129"/>
    <s v="Cooked"/>
    <s v="5% milled"/>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64.1% moisture"/>
    <s v=""/>
    <s v=""/>
    <n v="0.1889890795631825"/>
    <n v="0.26324804992199685"/>
    <m/>
    <m/>
    <m/>
    <m/>
    <m/>
    <m/>
    <m/>
    <m/>
    <m/>
    <m/>
    <m/>
    <m/>
    <m/>
    <n v="0.1889890795631825"/>
    <n v="7.4258970358814347E-2"/>
    <m/>
    <n v="5.1981279251170041E-3"/>
    <m/>
    <n v="2.0421216848673946E-2"/>
    <n v="9.2823712948517934E-2"/>
    <m/>
    <m/>
    <n v="0.1889890795631825"/>
    <n v="0.37129485179407173"/>
    <m/>
    <m/>
  </r>
  <r>
    <x v="5"/>
    <x v="122"/>
    <s v="Cooked"/>
    <s v="brown rice"/>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65% moisture"/>
    <s v=""/>
    <s v=""/>
    <n v="0.15426615384615386"/>
    <n v="0.21488153846153848"/>
    <m/>
    <m/>
    <m/>
    <m/>
    <m/>
    <m/>
    <m/>
    <m/>
    <m/>
    <m/>
    <m/>
    <m/>
    <m/>
    <n v="0.15426615384615386"/>
    <n v="6.061538461538462E-2"/>
    <m/>
    <n v="4.2430769230769232E-3"/>
    <m/>
    <n v="1.666923076923077E-2"/>
    <n v="7.5769230769230769E-2"/>
    <m/>
    <m/>
    <n v="0.15426615384615386"/>
    <n v="0.30307692307692308"/>
    <m/>
    <m/>
  </r>
  <r>
    <x v="5"/>
    <x v="129"/>
    <s v="Cooked"/>
    <s v="parboiled rice"/>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70.8% moisture"/>
    <s v=""/>
    <s v=""/>
    <n v="0.20129943502824862"/>
    <n v="0.28039548022598876"/>
    <m/>
    <m/>
    <m/>
    <m/>
    <m/>
    <m/>
    <m/>
    <m/>
    <m/>
    <m/>
    <m/>
    <m/>
    <m/>
    <n v="0.20129943502824862"/>
    <n v="7.9096045197740134E-2"/>
    <m/>
    <n v="5.5367231638418094E-3"/>
    <m/>
    <n v="2.1751412429378534E-2"/>
    <n v="9.887005649717516E-2"/>
    <m/>
    <m/>
    <n v="0.20129943502824862"/>
    <n v="0.39548022598870064"/>
    <m/>
    <m/>
  </r>
  <r>
    <x v="5"/>
    <x v="122"/>
    <s v="Cooked"/>
    <s v="germinated brown rice"/>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63.1% moisture"/>
    <s v=""/>
    <s v=""/>
    <n v="0.19763074484944534"/>
    <n v="0.2752852614896989"/>
    <m/>
    <m/>
    <m/>
    <m/>
    <m/>
    <m/>
    <m/>
    <m/>
    <m/>
    <m/>
    <m/>
    <m/>
    <m/>
    <n v="0.19763074484944534"/>
    <n v="7.7654516640253579E-2"/>
    <m/>
    <n v="5.4358161648177502E-3"/>
    <m/>
    <n v="2.135499207606973E-2"/>
    <n v="9.706814580031696E-2"/>
    <m/>
    <m/>
    <n v="0.19763074484944534"/>
    <n v="0.38827258320126784"/>
    <m/>
    <m/>
  </r>
  <r>
    <x v="0"/>
    <x v="0"/>
    <s v="Fresh or Not Specified"/>
    <s v="Fluid Milk and its coproducts"/>
    <s v="yes - allocation method includes 100% emissions from dairy"/>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
    <s v=""/>
    <m/>
    <m/>
    <m/>
    <m/>
    <m/>
    <m/>
    <m/>
    <m/>
    <m/>
    <m/>
    <m/>
    <m/>
    <m/>
    <m/>
    <m/>
    <m/>
    <m/>
    <m/>
    <m/>
    <m/>
    <m/>
    <m/>
    <n v="1"/>
    <m/>
    <m/>
    <s v="IPCC 2007"/>
  </r>
  <r>
    <x v="0"/>
    <x v="0"/>
    <s v="Fresh or Not Specified"/>
    <s v="Fluid Milk and its coproducts"/>
    <s v="yes - allocation method includes 100% emissions from dairy"/>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1599999999999999"/>
    <s v=""/>
    <m/>
    <m/>
    <m/>
    <m/>
    <m/>
    <m/>
    <m/>
    <m/>
    <m/>
    <m/>
    <m/>
    <m/>
    <m/>
    <m/>
    <m/>
    <m/>
    <m/>
    <m/>
    <m/>
    <m/>
    <m/>
    <m/>
    <n v="1.1599999999999999"/>
    <m/>
    <m/>
    <s v="IPCC 2007"/>
  </r>
  <r>
    <x v="0"/>
    <x v="0"/>
    <s v="Fresh or Not Specified"/>
    <s v="Fluid Milk and its coproducts"/>
    <s v="yes - allocation models uses system expansion replacing beef only"/>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63"/>
    <s v=""/>
    <m/>
    <m/>
    <m/>
    <m/>
    <m/>
    <m/>
    <m/>
    <m/>
    <m/>
    <m/>
    <m/>
    <m/>
    <m/>
    <m/>
    <m/>
    <m/>
    <m/>
    <m/>
    <m/>
    <m/>
    <m/>
    <m/>
    <n v="0.63"/>
    <m/>
    <m/>
    <s v="IPCC 2007"/>
  </r>
  <r>
    <x v="0"/>
    <x v="0"/>
    <s v="Fresh or Not Specified"/>
    <s v="Fluid Milk and its coproducts"/>
    <s v="yes - allocation models uses system expansion replacing beef only"/>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73"/>
    <s v=""/>
    <m/>
    <m/>
    <m/>
    <m/>
    <m/>
    <m/>
    <m/>
    <m/>
    <m/>
    <m/>
    <m/>
    <m/>
    <m/>
    <m/>
    <m/>
    <m/>
    <m/>
    <m/>
    <m/>
    <m/>
    <m/>
    <m/>
    <n v="0.73"/>
    <m/>
    <m/>
    <s v="IPCC 2007"/>
  </r>
  <r>
    <x v="0"/>
    <x v="0"/>
    <s v="Fresh or Not Specified"/>
    <s v="Fluid Milk and its coproducts"/>
    <s v="yes - allocation models uses system expansion replacing mix of meat"/>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76"/>
    <s v=""/>
    <m/>
    <m/>
    <m/>
    <m/>
    <m/>
    <m/>
    <m/>
    <m/>
    <m/>
    <m/>
    <m/>
    <m/>
    <m/>
    <m/>
    <m/>
    <m/>
    <m/>
    <m/>
    <m/>
    <m/>
    <m/>
    <m/>
    <n v="0.76"/>
    <m/>
    <m/>
    <s v="IPCC 2007"/>
  </r>
  <r>
    <x v="0"/>
    <x v="0"/>
    <s v="Fresh or Not Specified"/>
    <s v="Fluid Milk and its coproducts"/>
    <s v="yes - allocation models uses system expansion replacing mix of meat"/>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85"/>
    <s v=""/>
    <m/>
    <m/>
    <m/>
    <m/>
    <m/>
    <m/>
    <m/>
    <m/>
    <m/>
    <m/>
    <m/>
    <m/>
    <m/>
    <m/>
    <m/>
    <m/>
    <m/>
    <m/>
    <m/>
    <m/>
    <m/>
    <m/>
    <n v="0.85"/>
    <m/>
    <m/>
    <s v="IPCC 2007"/>
  </r>
  <r>
    <x v="0"/>
    <x v="0"/>
    <s v="Fresh or Not Specified"/>
    <s v="Fluid Milk and its coproducts"/>
    <s v="yes - allocation model using physical causality allocation"/>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86"/>
    <s v=""/>
    <m/>
    <m/>
    <m/>
    <m/>
    <m/>
    <m/>
    <m/>
    <m/>
    <m/>
    <m/>
    <m/>
    <m/>
    <m/>
    <m/>
    <m/>
    <m/>
    <m/>
    <m/>
    <m/>
    <m/>
    <m/>
    <m/>
    <n v="0.86"/>
    <m/>
    <m/>
    <s v="IPCC 2007"/>
  </r>
  <r>
    <x v="0"/>
    <x v="0"/>
    <s v="Fresh or Not Specified"/>
    <s v="Fluid Milk and its coproducts"/>
    <s v="yes - allocation model using physical causality allocation"/>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99"/>
    <s v=""/>
    <m/>
    <m/>
    <m/>
    <m/>
    <m/>
    <m/>
    <m/>
    <m/>
    <m/>
    <m/>
    <m/>
    <m/>
    <m/>
    <m/>
    <m/>
    <m/>
    <m/>
    <m/>
    <m/>
    <m/>
    <m/>
    <m/>
    <n v="0.99"/>
    <m/>
    <m/>
    <s v="IPCC 2007"/>
  </r>
  <r>
    <x v="0"/>
    <x v="0"/>
    <s v="Fresh or Not Specified"/>
    <s v="Fluid Milk and its coproducts"/>
    <s v="yes - allocation model using economic allocation"/>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94"/>
    <s v=""/>
    <m/>
    <m/>
    <m/>
    <m/>
    <m/>
    <m/>
    <m/>
    <m/>
    <m/>
    <m/>
    <m/>
    <m/>
    <m/>
    <m/>
    <m/>
    <m/>
    <m/>
    <m/>
    <m/>
    <m/>
    <m/>
    <m/>
    <n v="0.94"/>
    <m/>
    <m/>
    <s v="IPCC 2007"/>
  </r>
  <r>
    <x v="0"/>
    <x v="0"/>
    <s v="Fresh or Not Specified"/>
    <s v="Fluid Milk and its coproducts"/>
    <s v="yes - allocation model using economic allocation"/>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02"/>
    <s v=""/>
    <m/>
    <m/>
    <m/>
    <m/>
    <m/>
    <m/>
    <m/>
    <m/>
    <m/>
    <m/>
    <m/>
    <m/>
    <m/>
    <m/>
    <m/>
    <m/>
    <m/>
    <m/>
    <m/>
    <m/>
    <m/>
    <m/>
    <n v="1.02"/>
    <m/>
    <m/>
    <s v="IPCC 2007"/>
  </r>
  <r>
    <x v="0"/>
    <x v="0"/>
    <s v="Fresh or Not Specified"/>
    <s v="Fluid Milk and its coproducts"/>
    <s v="yes - allocation model using protein allocation"/>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94"/>
    <s v=""/>
    <m/>
    <m/>
    <m/>
    <m/>
    <m/>
    <m/>
    <m/>
    <m/>
    <m/>
    <m/>
    <m/>
    <m/>
    <m/>
    <m/>
    <m/>
    <m/>
    <m/>
    <m/>
    <m/>
    <m/>
    <m/>
    <m/>
    <n v="0.94"/>
    <m/>
    <m/>
    <s v="IPCC 2007"/>
  </r>
  <r>
    <x v="0"/>
    <x v="0"/>
    <s v="Fresh or Not Specified"/>
    <s v="Fluid Milk and its coproducts"/>
    <s v="yes - allocation model using protein allocation"/>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08"/>
    <s v=""/>
    <m/>
    <m/>
    <m/>
    <m/>
    <m/>
    <m/>
    <m/>
    <m/>
    <m/>
    <m/>
    <m/>
    <m/>
    <m/>
    <m/>
    <m/>
    <m/>
    <m/>
    <m/>
    <m/>
    <m/>
    <m/>
    <m/>
    <n v="1.08"/>
    <m/>
    <m/>
    <s v="IPCC 2007"/>
  </r>
  <r>
    <x v="0"/>
    <x v="0"/>
    <s v="Fresh or Not Specified"/>
    <s v="Fluid Milk and its coproducts"/>
    <s v="yes - allocation model using mass allocation"/>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98"/>
    <s v=""/>
    <m/>
    <m/>
    <m/>
    <m/>
    <m/>
    <m/>
    <m/>
    <m/>
    <m/>
    <m/>
    <m/>
    <m/>
    <m/>
    <m/>
    <m/>
    <m/>
    <m/>
    <m/>
    <m/>
    <m/>
    <m/>
    <m/>
    <n v="0.98"/>
    <m/>
    <m/>
    <s v="IPCC 2007"/>
  </r>
  <r>
    <x v="0"/>
    <x v="0"/>
    <s v="Fresh or Not Specified"/>
    <s v="Fluid Milk and its coproducts"/>
    <s v="yes - allocation model using mass allocation"/>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1399999999999999"/>
    <s v=""/>
    <m/>
    <m/>
    <m/>
    <m/>
    <m/>
    <m/>
    <m/>
    <m/>
    <m/>
    <m/>
    <m/>
    <m/>
    <m/>
    <m/>
    <m/>
    <m/>
    <m/>
    <m/>
    <m/>
    <m/>
    <m/>
    <m/>
    <n v="1.1399999999999999"/>
    <m/>
    <m/>
    <s v="IPCC 2007"/>
  </r>
  <r>
    <x v="5"/>
    <x v="67"/>
    <s v="Fresh or Not Specified"/>
    <s v="conventional"/>
    <s v="Yes"/>
    <s v="Belgium"/>
    <n v="2015"/>
    <s v="Florence Van Stappen a*, Astrid Loriers b*, Michaël Mathot b, Viviane Planchon b, Didier Stilmant b, Frédéric Debode c"/>
    <s v="aAgricultural Machines and Facilities Unit, Walloon Agricultural Research Centre (CRA-W), 146 chaussée de Namur, 5030 Gembloux, Belgium  b Farming Systems, Territory and Information Technologies Unit, CRA-W, 100 rue du Serpont, 6800 Libramont, Belgium c Authentication and traceability of agricultural products Unit, CRA-W, 24 chaussée de Namur, 5030 Gembloux, Belgium"/>
    <s v="Peer Reviewed Journal"/>
    <s v="Van Stappen, F., Loriers, A., Mathot, M., Planchon, V., Stilmant, D. and Debode, F., Organic Versus Conventional Farming: The Case of wheat Production in Wallonia (Belgium). Agriculture and Agricultural Science Procedia 2015, 7, 272-279."/>
    <s v="Yes"/>
    <s v="No"/>
    <s v="No"/>
    <s v="No"/>
    <s v="No"/>
    <s v="No"/>
    <s v="No"/>
    <s v="No"/>
    <s v="No"/>
    <s v="No"/>
    <s v="No"/>
    <s v="Yes"/>
    <m/>
    <s v="cradle to farm gate"/>
    <s v="No"/>
    <s v="Yes"/>
    <s v="1 kg fresh matter (15% moisture)"/>
    <m/>
    <n v="2"/>
    <s v=""/>
    <n v="0.34899999999999998"/>
    <s v=""/>
    <m/>
    <m/>
    <m/>
    <m/>
    <m/>
    <m/>
    <m/>
    <m/>
    <n v="0.52"/>
    <n v="2"/>
    <m/>
    <s v="ecoinvent"/>
    <s v="Only Ag Prod and Capital Goods Reported, not Full LC"/>
    <n v="0.34899999999999998"/>
    <m/>
    <m/>
    <m/>
    <m/>
    <m/>
    <m/>
    <m/>
    <n v="3.1409999999999993E-2"/>
    <n v="0.34899999999999998"/>
    <m/>
    <m/>
    <s v="IPCC, 2013"/>
  </r>
  <r>
    <x v="5"/>
    <x v="67"/>
    <s v="Fresh or Not Specified"/>
    <s v="organic"/>
    <s v="Yes"/>
    <s v="Belgium"/>
    <n v="2015"/>
    <s v="Florence Van Stappen a*, Astrid Loriers b*, Michaël Mathot b, Viviane Planchon b, Didier Stilmant b, Frédéric Debode c"/>
    <s v="aAgricultural Machines and Facilities Unit, Walloon Agricultural Research Centre (CRA-W), 146 chaussée de Namur, 5030 Gembloux, Belgium  b Farming Systems, Territory and Information Technologies Unit, CRA-W, 100 rue du Serpont, 6800 Libramont, Belgium c Authentication and traceability of agricultural products Unit, CRA-W, 24 chaussée de Namur, 5030 Gembloux, Belgium"/>
    <s v="Peer Reviewed Journal"/>
    <s v="Van Stappen, F., Loriers, A., Mathot, M., Planchon, V., Stilmant, D. and Debode, F., Organic Versus Conventional Farming: The Case of wheat Production in Wallonia (Belgium). Agriculture and Agricultural Science Procedia 2015, 7, 272-279."/>
    <s v="Yes"/>
    <s v="No"/>
    <s v="No"/>
    <s v="No"/>
    <s v="No"/>
    <s v="No"/>
    <s v="No"/>
    <s v="No"/>
    <s v="No"/>
    <s v="No"/>
    <s v="No"/>
    <s v="Yes"/>
    <m/>
    <s v="cradle to farm gate"/>
    <s v="No"/>
    <s v="Yes"/>
    <s v="1 kg fresh matter (15% moisture)"/>
    <m/>
    <n v="1"/>
    <s v=""/>
    <n v="0.307"/>
    <s v=""/>
    <m/>
    <m/>
    <m/>
    <m/>
    <m/>
    <m/>
    <m/>
    <m/>
    <n v="0.75"/>
    <n v="1"/>
    <m/>
    <s v="ecoinvent"/>
    <s v="Only Ag Prod and Capital Goods Reported, not Full LC"/>
    <n v="0.307"/>
    <m/>
    <m/>
    <m/>
    <m/>
    <m/>
    <m/>
    <m/>
    <n v="7.9820000000000002E-2"/>
    <n v="0.307"/>
    <m/>
    <m/>
    <s v="IPCC, 2013"/>
  </r>
  <r>
    <x v="5"/>
    <x v="129"/>
    <s v="Dried"/>
    <s v="white milled, delivered to local supermarket"/>
    <s v="Yes"/>
    <s v="Italy, Vercelli district"/>
    <n v="2009"/>
    <s v="Gian Andrea Blengini*, Mirko Busto"/>
    <s v="DITAG – Land, Environment and Geo-Engineering Department, Politecnico di Torino, Corso Duca degli Abruzzi 24, 10129 Turin, Italy"/>
    <s v="Peer Reviewed Journal"/>
    <s v="Blengini, G. A. and Busto, M., The life cycle of rice: LCA of alternative agri-food chain management systems in Vercelli (Italy). Journal of environmental management 2009, 90 (3), 1512-22."/>
    <s v="Yes"/>
    <s v="No"/>
    <s v="Yes"/>
    <s v="Yes"/>
    <s v="Yes"/>
    <s v="Yes"/>
    <s v="No"/>
    <s v="No"/>
    <s v="No"/>
    <s v="No"/>
    <s v="No"/>
    <s v="Yes"/>
    <m/>
    <s v="cradle to supermarket"/>
    <s v="No"/>
    <s v="Yes"/>
    <s v="1kg delivered to Italian supermarket"/>
    <m/>
    <n v="6.6530400000000007"/>
    <n v="7.9077800000000007"/>
    <n v="2.32944"/>
    <n v="2.4177599999999999"/>
    <n v="6.6530400000000007"/>
    <m/>
    <n v="1.25474"/>
    <n v="3.2827500000000001"/>
    <n v="2.6116099999999998"/>
    <m/>
    <m/>
    <m/>
    <n v="0.80245"/>
    <n v="6.6530400000000007"/>
    <n v="14.59"/>
    <s v="non-renewable energy"/>
    <m/>
    <n v="2.32944"/>
    <m/>
    <n v="8.8319999999999996E-2"/>
    <n v="0.12972"/>
    <n v="0.16835999999999998"/>
    <m/>
    <m/>
    <m/>
    <n v="4.4159999999999998E-2"/>
    <n v="2.32944"/>
    <n v="2.76"/>
    <m/>
    <s v="100y, IPCC 2001"/>
  </r>
  <r>
    <x v="11"/>
    <x v="130"/>
    <s v="Processed"/>
    <s v="Peanut butter"/>
    <s v="No"/>
    <s v="USA  "/>
    <n v="2012"/>
    <s v="James McCarty (a, b); Heather Sandefur (a, b); Marty Matlock (a, b); Greg Thoma (c); Dae Soo Kim(c)"/>
    <s v="(a) Department of Agricultural and Biological Engineering, University of Arkansas, Fayetteville, AR_x000a_; (b) Center for Agricultural and Rural Sustainability, University of Arkansas, Fayetteville, AR_x000a_;_x000a_ (c) Ralph E. Martin Department of Chemical Engineering, University of Arkansas, Fayetteville, AR;"/>
    <s v="Industry Based Report"/>
    <s v="Mccarty, J., Sandefur, H., Matlock, M., Thoma, G. and Kim, D. S., National Scan-level Life Cycle Assessment for Production of US Peanut Butter. 2012, ."/>
    <s v="Yes"/>
    <s v="Yes"/>
    <s v="Yes"/>
    <s v="Yes"/>
    <s v="Yes"/>
    <s v="Yes"/>
    <s v="Yes"/>
    <s v="Yes"/>
    <s v="Yes"/>
    <s v="No"/>
    <s v="Yes"/>
    <s v="No"/>
    <s v="Waste disposal (packaging to landfill, etc)"/>
    <s v="Cradle to grave, including waste disposal to landfill etc."/>
    <s v="Yes"/>
    <s v="Yes"/>
    <s v="1 kg peanut butter"/>
    <m/>
    <s v=""/>
    <s v=""/>
    <n v="0.51100000000000001"/>
    <n v="1.597"/>
    <m/>
    <m/>
    <m/>
    <m/>
    <m/>
    <m/>
    <m/>
    <m/>
    <m/>
    <m/>
    <n v="26.107200000000002"/>
    <m/>
    <m/>
    <n v="0.51100000000000001"/>
    <n v="1.0859999999999999"/>
    <m/>
    <m/>
    <m/>
    <n v="0.20399999999999999"/>
    <n v="0.76200000000000001"/>
    <m/>
    <m/>
    <n v="0.51100000000000001"/>
    <n v="2.64"/>
    <s v="1.24 to 6.71, std.dev = 1.61"/>
    <s v="IPCC 2007 GWP"/>
  </r>
  <r>
    <x v="0"/>
    <x v="0"/>
    <s v="Fresh or Not Specified"/>
    <s v="Conventional Milk"/>
    <s v="Yes - Conv and Org"/>
    <s v="Netherlands"/>
    <n v="2008"/>
    <s v="M.A. Thomassen (1); K.J. van Calker (2); M.C.J. Smits (3); G.L. Iepema (4); I.J.M. de Boer  (1)"/>
    <s v="(1) Animal Production Systems Group, Wageningen University and Research Centre, P.O. Box 338, 6700 AH Wageningen, The Netherlands;(2) Agricultural Economic Research Institute, Wageningen University and Research Centre, The Netherlands;(3) Animal Sciences Group, Wageningen, University and Research Centre, The Netherlands;(4) Louis Bolk Institute, The Netherlands"/>
    <s v="Peer Reviewed Journal"/>
    <s v="Thomassen, M. A., Van Calker, K. J., Smits, M. C. J., Iepema, G. L. and De Boer, I. J. M., Life cycle assessment of conventional and organic milk production in the Netherlands. Agricultural Systems 2008, 96 (1-3), 95-107."/>
    <s v="Yes"/>
    <s v="Yes"/>
    <s v="No"/>
    <s v="No"/>
    <s v="No"/>
    <s v="No"/>
    <s v="No"/>
    <s v="No"/>
    <s v="No"/>
    <s v="No"/>
    <s v="No"/>
    <s v="No"/>
    <m/>
    <s v="Cradle to Farm Gate"/>
    <s v="No"/>
    <s v="No"/>
    <s v="1 kg of Fat and Protein Corrected Milk leaving the Farm Gate"/>
    <s v="n/a"/>
    <n v="5"/>
    <s v=""/>
    <n v="1.4"/>
    <s v=""/>
    <m/>
    <m/>
    <m/>
    <m/>
    <m/>
    <m/>
    <m/>
    <m/>
    <m/>
    <n v="5"/>
    <m/>
    <m/>
    <m/>
    <m/>
    <m/>
    <m/>
    <m/>
    <m/>
    <m/>
    <m/>
    <m/>
    <m/>
    <n v="1.4"/>
    <m/>
    <s v="0.1, std. dev."/>
    <s v="IPCC 2006"/>
  </r>
  <r>
    <x v="0"/>
    <x v="0"/>
    <s v="Fresh or Not Specified"/>
    <s v="Organic Milk"/>
    <s v="Yes - Conv and Org"/>
    <s v="Netherlands"/>
    <n v="2008"/>
    <s v="M.A. Thomassen (1); K.J. van Calker (2); M.C.J. Smits (3); G.L. Iepema (4); I.J.M. de Boer  (1)"/>
    <s v="(1) Animal Production Systems Group, Wageningen University and Research Centre, P.O. Box 338, 6700 AH Wageningen, The Netherlands;(2) Agricultural Economic Research Institute, Wageningen University and Research Centre, The Netherlands;(3) Animal Sciences Group, Wageningen, University and Research Centre, The Netherlands;(4) Louis Bolk Institute, The Netherlands"/>
    <s v="Peer Reviewed Journal"/>
    <s v="Thomassen, M. A., Van Calker, K. J., Smits, M. C. J., Iepema, G. L. and De Boer, I. J. M., Life cycle assessment of conventional and organic milk production in the Netherlands. Agricultural Systems 2008, 96 (1-3), 95-107."/>
    <s v="Yes"/>
    <s v="Yes"/>
    <s v="No"/>
    <s v="No"/>
    <s v="No"/>
    <s v="No"/>
    <s v="No"/>
    <s v="No"/>
    <s v="No"/>
    <s v="No"/>
    <s v="No"/>
    <s v="No"/>
    <m/>
    <s v="Cradle to Farm Gate"/>
    <s v="No"/>
    <s v="No"/>
    <s v="1 kg of Fat and Protein Corrected Milk leaving the Farm Gate"/>
    <s v="n/a"/>
    <n v="3.1"/>
    <s v=""/>
    <n v="1.5"/>
    <s v=""/>
    <m/>
    <m/>
    <m/>
    <m/>
    <m/>
    <m/>
    <m/>
    <m/>
    <m/>
    <n v="3.1"/>
    <m/>
    <m/>
    <m/>
    <m/>
    <m/>
    <m/>
    <m/>
    <m/>
    <m/>
    <m/>
    <m/>
    <m/>
    <n v="1.5"/>
    <m/>
    <s v="0.3, std. dev."/>
    <s v="IPCC 2006"/>
  </r>
  <r>
    <x v="9"/>
    <x v="131"/>
    <s v="Fresh or Not Specified"/>
    <s v="raw canesugar; reporting  &quot;state average&quot; values here"/>
    <s v="Yes"/>
    <s v="Australia"/>
    <n v="2007"/>
    <s v="M.A. RENOUF1,3, M.K. WEGENER2,3"/>
    <s v="1 School of Geography, Planning and Architecture, 2 School of Natural and Rural Systems Management, The University of Queensland, St. Lucia, Qld  3Cooperative Research Centre for Sugar Industry Innovation through Biotechnology"/>
    <s v="Conference Proceedings"/>
    <s v="Renouf, M. A. and Wegener, M., Environmental life cycle assessment (LCA) of sugarcane production and processing in Australia. 385-400."/>
    <s v="Yes"/>
    <s v="No"/>
    <s v="Yes"/>
    <s v="Yes"/>
    <s v="No"/>
    <s v="No"/>
    <s v="No"/>
    <s v="No"/>
    <s v="No"/>
    <s v="No"/>
    <s v="No"/>
    <s v="Yes"/>
    <m/>
    <s v="through to raw sugar"/>
    <s v="No"/>
    <s v="Yes"/>
    <s v="1 tonne raw sugar"/>
    <s v="/1000"/>
    <n v="3.5960999999999999"/>
    <n v="3.5160999999999998"/>
    <n v="0.68779999999999997"/>
    <n v="0.73280000000000001"/>
    <n v="3.4260999999999999"/>
    <m/>
    <n v="0.09"/>
    <m/>
    <m/>
    <m/>
    <m/>
    <m/>
    <n v="9.5000000000000001E-2"/>
    <n v="3.5960999999999999"/>
    <n v="3.5375000000000001"/>
    <m/>
    <m/>
    <n v="0.68779999999999997"/>
    <m/>
    <n v="4.4999999999999998E-2"/>
    <m/>
    <m/>
    <m/>
    <m/>
    <m/>
    <n v="1.7999999999999999E-2"/>
    <n v="0.68779999999999997"/>
    <n v="0.75079999999999991"/>
    <m/>
    <m/>
  </r>
  <r>
    <x v="9"/>
    <x v="52"/>
    <s v="Fresh or Not Specified"/>
    <s v="national average"/>
    <s v="No"/>
    <s v="Argentina"/>
    <n v="2016"/>
    <s v="María Mujica, Gabriel Blanco, Estela Santalla"/>
    <s v="Facultad de Ingeniería. INTELYMEC. Universidad Nacional del Centro de la Provincia_x000a_de Buenos Aires UNCPBA"/>
    <s v="Peer Reviewed Journal"/>
    <s v="Mujica, M., Blanco, G. and Santalla, E., Carbon Footprint of Honey Produced in Argentina. Journal of Cleaner Production 2016, ."/>
    <s v="Yes"/>
    <s v="No"/>
    <s v="Yes"/>
    <s v="Yes"/>
    <s v="No"/>
    <s v="Yes"/>
    <s v="No"/>
    <s v="No"/>
    <s v="No"/>
    <s v="No"/>
    <s v="No"/>
    <s v="No"/>
    <m/>
    <s v="delivered to Buenos Aires seaport"/>
    <s v="No"/>
    <s v="Yes"/>
    <s v="kg honey"/>
    <m/>
    <s v=""/>
    <s v=""/>
    <n v="0.21"/>
    <n v="2.44"/>
    <m/>
    <m/>
    <m/>
    <m/>
    <m/>
    <m/>
    <m/>
    <m/>
    <m/>
    <m/>
    <m/>
    <m/>
    <m/>
    <n v="0.21"/>
    <m/>
    <n v="2.23"/>
    <m/>
    <n v="0.08"/>
    <m/>
    <m/>
    <m/>
    <m/>
    <n v="0.21"/>
    <n v="2.5"/>
    <s v="+/-0.17"/>
    <s v="100 y, IPCC 2007"/>
  </r>
  <r>
    <x v="10"/>
    <x v="132"/>
    <s v="Fresh or Not Specified"/>
    <m/>
    <s v="No"/>
    <s v="Ghana"/>
    <n v="2008"/>
    <s v="Augustine Ntiamoah a, George Afrane b"/>
    <s v="a Chemical Engineering Department, Kwame Nkrumah University of Science &amp; Technology, Kumasi, Ghana b Koforidua Polytechnic, Koforidua, Ghana"/>
    <s v="Peer Reviewed Journal"/>
    <s v="Ntiamoah, A. and Afrane, G., Environmental impacts of cocoa production and processing in Ghana: life cycle assessment approach. Journal of Cleaner Production 2008, 16 (16), 1735-1740."/>
    <s v="Yes"/>
    <s v="No"/>
    <s v="Yes"/>
    <s v="Yes"/>
    <s v="No"/>
    <s v="No"/>
    <s v="No"/>
    <s v="No"/>
    <s v="No"/>
    <s v="No"/>
    <s v="No"/>
    <s v="No"/>
    <m/>
    <s v="processing of 1 kg cocoa bean"/>
    <s v="No"/>
    <s v="No"/>
    <s v="1 kg cocoa beans processed"/>
    <s v="/0.31948  ; reported inventory gives wt of products from processing of 1 kg cocoa beans; assuming mass allocation"/>
    <s v=""/>
    <s v=""/>
    <s v=""/>
    <s v=""/>
    <m/>
    <m/>
    <m/>
    <m/>
    <m/>
    <m/>
    <m/>
    <m/>
    <m/>
    <m/>
    <m/>
    <m/>
    <m/>
    <m/>
    <m/>
    <m/>
    <m/>
    <m/>
    <m/>
    <m/>
    <m/>
    <m/>
    <m/>
    <n v="1.0105796919994992"/>
    <m/>
    <s v="100y, CML 2001"/>
  </r>
  <r>
    <x v="10"/>
    <x v="133"/>
    <s v="Fresh or Not Specified"/>
    <m/>
    <s v="No"/>
    <s v="Ghana"/>
    <n v="2008"/>
    <s v="Augustine Ntiamoah a, George Afrane b"/>
    <s v="a Chemical Engineering Department, Kwame Nkrumah University of Science &amp; Technology, Kumasi, Ghana b Koforidua Polytechnic, Koforidua, Ghana"/>
    <s v="Peer Reviewed Journal"/>
    <s v="Ntiamoah, A. and Afrane, G., Environmental impacts of cocoa production and processing in Ghana: life cycle assessment approach. Journal of Cleaner Production 2008, 16 (16), 1735-1740."/>
    <s v="Yes"/>
    <s v="No"/>
    <s v="Yes"/>
    <s v="Yes"/>
    <s v="No"/>
    <s v="No"/>
    <s v="No"/>
    <s v="No"/>
    <s v="No"/>
    <s v="No"/>
    <s v="No"/>
    <s v="No"/>
    <m/>
    <s v="processing of 1 kg cocoa bean"/>
    <s v="No"/>
    <s v="No"/>
    <s v="1 kg cocoa beans processed"/>
    <s v="/0.23125  ; reported inventory gives wt of products from processing of 1 kg cocoa beans; assuming mass allocation"/>
    <s v=""/>
    <s v=""/>
    <s v=""/>
    <s v=""/>
    <m/>
    <m/>
    <m/>
    <m/>
    <m/>
    <m/>
    <m/>
    <m/>
    <m/>
    <m/>
    <m/>
    <m/>
    <m/>
    <m/>
    <m/>
    <m/>
    <m/>
    <m/>
    <m/>
    <m/>
    <m/>
    <m/>
    <m/>
    <n v="1.3961513513513513"/>
    <m/>
    <s v="100y, CML 2001"/>
  </r>
  <r>
    <x v="10"/>
    <x v="134"/>
    <s v="Fresh or Not Specified"/>
    <m/>
    <s v="No"/>
    <s v="Ghana"/>
    <n v="2008"/>
    <s v="Augustine Ntiamoah a, George Afrane b"/>
    <s v="a Chemical Engineering Department, Kwame Nkrumah University of Science &amp; Technology, Kumasi, Ghana b Koforidua Polytechnic, Koforidua, Ghana"/>
    <s v="Peer Reviewed Journal"/>
    <s v="Ntiamoah, A. and Afrane, G., Environmental impacts of cocoa production and processing in Ghana: life cycle assessment approach. Journal of Cleaner Production 2008, 16 (16), 1735-1740."/>
    <s v="Yes"/>
    <s v="No"/>
    <s v="Yes"/>
    <s v="Yes"/>
    <s v="No"/>
    <s v="No"/>
    <s v="No"/>
    <s v="No"/>
    <s v="No"/>
    <s v="No"/>
    <s v="No"/>
    <s v="No"/>
    <m/>
    <s v="processing of 1 kg cocoa bean"/>
    <s v="No"/>
    <s v="No"/>
    <s v="1 kg cocoa beans processed"/>
    <s v="/0.26875  ; reported inventory gives wt of products from processing of 1 kg cocoa beans; assuming mass allocation"/>
    <s v=""/>
    <s v=""/>
    <s v=""/>
    <s v=""/>
    <m/>
    <m/>
    <m/>
    <m/>
    <m/>
    <m/>
    <m/>
    <m/>
    <m/>
    <m/>
    <m/>
    <m/>
    <m/>
    <m/>
    <m/>
    <m/>
    <m/>
    <m/>
    <m/>
    <m/>
    <m/>
    <m/>
    <m/>
    <n v="1.2013395348837208"/>
    <m/>
    <s v="100y, CML 2001"/>
  </r>
  <r>
    <x v="10"/>
    <x v="135"/>
    <s v="Fresh or Not Specified"/>
    <m/>
    <s v="No"/>
    <s v="Ghana"/>
    <n v="2008"/>
    <s v="Augustine Ntiamoah a, George Afrane b"/>
    <s v="a Chemical Engineering Department, Kwame Nkrumah University of Science &amp; Technology, Kumasi, Ghana b Koforidua Polytechnic, Koforidua, Ghana"/>
    <s v="Peer Reviewed Journal"/>
    <s v="Ntiamoah, A. and Afrane, G., Environmental impacts of cocoa production and processing in Ghana: life cycle assessment approach. Journal of Cleaner Production 2008, 16 (16), 1735-1740."/>
    <s v="Yes"/>
    <s v="No"/>
    <s v="Yes"/>
    <s v="Yes"/>
    <s v="No"/>
    <s v="No"/>
    <s v="No"/>
    <s v="No"/>
    <s v="No"/>
    <s v="No"/>
    <s v="No"/>
    <s v="No"/>
    <m/>
    <s v="processing of 1 kg cocoa bean"/>
    <s v="No"/>
    <s v="No"/>
    <s v="1 kg cocoa beans processed"/>
    <s v="/0.075  ; reported inventory gives wt of products from processing of 1 kg cocoa beans; assuming mass allocation"/>
    <s v=""/>
    <s v=""/>
    <s v=""/>
    <s v=""/>
    <m/>
    <m/>
    <m/>
    <m/>
    <m/>
    <m/>
    <m/>
    <m/>
    <m/>
    <m/>
    <m/>
    <m/>
    <m/>
    <m/>
    <m/>
    <m/>
    <m/>
    <m/>
    <m/>
    <m/>
    <m/>
    <m/>
    <m/>
    <n v="4.3048000000000002"/>
    <m/>
    <s v="100y, CML 2001"/>
  </r>
  <r>
    <x v="4"/>
    <x v="85"/>
    <s v="Fresh or Not Specified"/>
    <s v="Organic Pear grown in hilly land (Liaoning)"/>
    <s v="Yes"/>
    <s v="China "/>
    <n v="2010"/>
    <s v="Yuexian Liu (a,b); Vibeke Langer (a); Henning Høgh-Jensen (c); Henrik Egelyng (d)"/>
    <s v="(a) Department of Agriculture and Ecology, Faculty of Life Sciences, University of Copenhagen, Højbakkegaard Alle 9, DK-2630 Taastrup, Denmark_x000a_; (b) Information Institute, Beijing Academy of Agriculture and Forestry, Beijing 100094, P.R. China; (c) Department of Policy Analysis, National Environmental Research Institute, Aarhus University, Frederiksborgvej 399, DK-4000 Roskilde, Denmark_x000a_; (d) Danish Institute for International Studies, Strandgade 56, DK-1401 Copenhagen, Denmark"/>
    <s v="Peer Reviewed Journal"/>
    <s v="Liu, Y., Langer, V., Høgh-Jensen, H. and Egelyng, H., Life Cycle Assessment of fossil energy use and greenhouse gas emissions in Chinese pear production. Journal of Cleaner Production 2010, 18 (14), 1423-1430."/>
    <s v="Yes"/>
    <s v="No"/>
    <s v="Yes"/>
    <s v="Yes"/>
    <s v="Yes"/>
    <s v="Yes"/>
    <s v="No"/>
    <s v="No"/>
    <s v="No"/>
    <s v="No"/>
    <s v="No"/>
    <s v="No"/>
    <m/>
    <s v="Farm to retail point; average of one beijing farm and one liaoning farm taken for hilly land representation"/>
    <s v="No"/>
    <s v="Yes"/>
    <s v="1 tonne of pears"/>
    <s v="/1000"/>
    <n v="1.1120000000000001"/>
    <n v="1.5680000000000001"/>
    <n v="0.06"/>
    <n v="8.2599999999999993E-2"/>
    <n v="1.1120000000000001"/>
    <m/>
    <n v="0.45600000000000002"/>
    <m/>
    <n v="1.25"/>
    <m/>
    <m/>
    <m/>
    <m/>
    <n v="1.1120000000000001"/>
    <n v="2.82"/>
    <m/>
    <m/>
    <n v="5.5599999999999997E-2"/>
    <m/>
    <n v="2.7E-2"/>
    <m/>
    <n v="6.7999999999999996E-3"/>
    <m/>
    <m/>
    <m/>
    <m/>
    <n v="0.06"/>
    <n v="0.09"/>
    <m/>
    <s v="IPCC 2007"/>
  </r>
  <r>
    <x v="4"/>
    <x v="85"/>
    <s v="Fresh or Not Specified"/>
    <s v="Conventional grown pears - hilly land (Liaoning)"/>
    <s v="Yes"/>
    <s v="China "/>
    <n v="2010"/>
    <s v="Yuexian Liu (a,b); Vibeke Langer (a); Henning Høgh-Jensen (c); Henrik Egelyng (d)"/>
    <s v="(a) Department of Agriculture and Ecology, Faculty of Life Sciences, University of Copenhagen, Højbakkegaard Alle 9, DK-2630 Taastrup, Denmark_x000a_; (b) Information Institute, Beijing Academy of Agriculture and Forestry, Beijing 100094, P.R. China; (c) Department of Policy Analysis, National Environmental Research Institute, Aarhus University, Frederiksborgvej 399, DK-4000 Roskilde, Denmark_x000a_; (d) Danish Institute for International Studies, Strandgade 56, DK-1401 Copenhagen, Denmark"/>
    <s v="Peer Reviewed Journal"/>
    <s v="Liu, Y., Langer, V., Høgh-Jensen, H. and Egelyng, H., Life Cycle Assessment of fossil energy use and greenhouse gas emissions in Chinese pear production. Journal of Cleaner Production 2010, 18 (14), 1423-1430."/>
    <s v="Yes"/>
    <s v="No"/>
    <s v="Yes"/>
    <s v="Yes"/>
    <s v="Yes"/>
    <s v="Yes"/>
    <s v="No"/>
    <s v="No"/>
    <s v="No"/>
    <s v="No"/>
    <s v="No"/>
    <s v="No"/>
    <m/>
    <s v="Farm to retail point"/>
    <s v="No"/>
    <s v="Yes"/>
    <s v="1 tonne of pears"/>
    <s v="/1000"/>
    <n v="1.32"/>
    <n v="1.5225"/>
    <n v="0.28899999999999998"/>
    <n v="0.30099999999999999"/>
    <n v="1.32"/>
    <m/>
    <n v="0.20250000000000001"/>
    <m/>
    <n v="1.25"/>
    <m/>
    <m/>
    <m/>
    <m/>
    <n v="1.32"/>
    <n v="2.7725"/>
    <m/>
    <m/>
    <n v="0.28899999999999998"/>
    <m/>
    <n v="1.2E-2"/>
    <m/>
    <n v="6.7999999999999996E-3"/>
    <m/>
    <m/>
    <m/>
    <m/>
    <n v="0.28899999999999998"/>
    <n v="0.30779999999999996"/>
    <m/>
    <s v="IPCC 2007"/>
  </r>
  <r>
    <x v="4"/>
    <x v="85"/>
    <s v="Fresh or Not Specified"/>
    <s v="Organic Pear grown in lowlands (Beijing)"/>
    <s v="Yes"/>
    <s v="China "/>
    <n v="2010"/>
    <s v="Yuexian Liu (a,b); Vibeke Langer (a); Henning Høgh-Jensen (c); Henrik Egelyng (d)"/>
    <s v="(a) Department of Agriculture and Ecology, Faculty of Life Sciences, University of Copenhagen, Højbakkegaard Alle 9, DK-2630 Taastrup, Denmark_x000a_; (b) Information Institute, Beijing Academy of Agriculture and Forestry, Beijing 100094, P.R. China; (c) Department of Policy Analysis, National Environmental Research Institute, Aarhus University, Frederiksborgvej 399, DK-4000 Roskilde, Denmark_x000a_; (d) Danish Institute for International Studies, Strandgade 56, DK-1401 Copenhagen, Denmark"/>
    <s v="Peer Reviewed Journal"/>
    <s v="Liu, Y., Langer, V., Høgh-Jensen, H. and Egelyng, H., Life Cycle Assessment of fossil energy use and greenhouse gas emissions in Chinese pear production. Journal of Cleaner Production 2010, 18 (14), 1423-1430."/>
    <s v="Yes"/>
    <s v="No"/>
    <s v="Yes"/>
    <s v="Yes"/>
    <s v="Yes"/>
    <s v="Yes"/>
    <s v="No"/>
    <s v="No"/>
    <s v="No"/>
    <s v="No"/>
    <s v="No"/>
    <s v="No"/>
    <m/>
    <s v="Farm to retail point"/>
    <s v="No"/>
    <s v="Yes"/>
    <s v="1 tonne of pears"/>
    <s v="/1000"/>
    <n v="2.5470000000000002"/>
    <n v="5.2657000000000007"/>
    <n v="0.2069"/>
    <n v="0.37090000000000001"/>
    <n v="2.5470000000000002"/>
    <m/>
    <n v="2.7187000000000001"/>
    <m/>
    <n v="0.42499999999999999"/>
    <m/>
    <m/>
    <m/>
    <m/>
    <n v="2.5470000000000002"/>
    <n v="5.6906999999999996"/>
    <m/>
    <m/>
    <n v="0.2069"/>
    <m/>
    <n v="0.16400000000000001"/>
    <m/>
    <n v="2.5000000000000001E-3"/>
    <m/>
    <m/>
    <m/>
    <m/>
    <n v="0.2069"/>
    <n v="0.37340000000000001"/>
    <m/>
    <s v="IPCC 2007"/>
  </r>
  <r>
    <x v="4"/>
    <x v="85"/>
    <s v="Fresh or Not Specified"/>
    <s v="Conventional grown pears - lowlands (Beijing)"/>
    <s v="Yes"/>
    <s v="China "/>
    <n v="2010"/>
    <s v="Yuexian Liu (a,b); Vibeke Langer (a); Henning Høgh-Jensen (c); Henrik Egelyng (d)"/>
    <s v="(a) Department of Agriculture and Ecology, Faculty of Life Sciences, University of Copenhagen, Højbakkegaard Alle 9, DK-2630 Taastrup, Denmark_x000a_; (b) Information Institute, Beijing Academy of Agriculture and Forestry, Beijing 100094, P.R. China; (c) Department of Policy Analysis, National Environmental Research Institute, Aarhus University, Frederiksborgvej 399, DK-4000 Roskilde, Denmark_x000a_; (d) Danish Institute for International Studies, Strandgade 56, DK-1401 Copenhagen, Denmark"/>
    <s v="Peer Reviewed Journal"/>
    <s v="Liu, Y., Langer, V., Høgh-Jensen, H. and Egelyng, H., Life Cycle Assessment of fossil energy use and greenhouse gas emissions in Chinese pear production. Journal of Cleaner Production 2010, 18 (14), 1423-1430."/>
    <s v="Yes"/>
    <s v="No"/>
    <s v="Yes"/>
    <s v="Yes"/>
    <s v="Yes"/>
    <s v="Yes"/>
    <s v="No"/>
    <s v="No"/>
    <s v="No"/>
    <s v="No"/>
    <s v="No"/>
    <s v="No"/>
    <m/>
    <s v="Farm to retail point"/>
    <s v="No"/>
    <s v="Yes"/>
    <s v="1 tonne of pears"/>
    <s v="/1000"/>
    <n v="2.109"/>
    <n v="3.9276999999999997"/>
    <n v="0.379"/>
    <n v="0.48899999999999999"/>
    <n v="2.109"/>
    <m/>
    <n v="1.8187"/>
    <m/>
    <n v="0.57499999999999996"/>
    <m/>
    <m/>
    <m/>
    <m/>
    <n v="2.109"/>
    <n v="4.5026999999999999"/>
    <m/>
    <m/>
    <n v="0.379"/>
    <m/>
    <n v="0.11"/>
    <m/>
    <n v="3.3E-3"/>
    <m/>
    <m/>
    <m/>
    <m/>
    <n v="0.379"/>
    <n v="0.49230000000000002"/>
    <m/>
    <s v="IPCC 2007"/>
  </r>
  <r>
    <x v="4"/>
    <x v="66"/>
    <s v="Fresh or Not Specified"/>
    <s v="Central Portugal, mixed orchard"/>
    <s v="Yes"/>
    <s v="Portugal"/>
    <n v="2013"/>
    <s v="Filipa Figueiredo (a); António Peres (b); Érica G. Castanheira (a); Filipe Maia (e); Manuel Feliciano (b); António Ramos (c,d); João Carneiro (c,d); Fausto Freire (a); M. Ângelo Rodrigues (b); Vlad C. Coroama (a);"/>
    <s v="(a) ADAI-LAETA (Center for Industrial Ecology) Department of Mechanical Engineering. University of Coimbra Rua Luís Reis Santos, 3030-788 Coimbra, Portugal; (b) Mountain Research Centre (CIMO), ESA- Polytechnic Institute of Bragança Campus de Sta Apolónia, Apartado 1172, 5301-854 Bragança, Portugal; (c) Escola Superior Agrária de Castelo BrancoQta. Sra de Mércules, Apartado 119, 6001-909 Castelo Branco, Portugal; (d) CERNAS – Centro de Estudos de Recursos Naturais, Ambiente e Sociedade Campus de Sta Apolónia, Apartado 1172, 5301-854 Bragança, Portugal; (e) School of Agriculture, Polytechnic Institute of Bragança"/>
    <s v="Conference Proceedings"/>
    <s v="Figueiredo, F., Feliciano, M., Maia, F., Coroama, V. C. and Freire, F., Carbon Footprint of Apple and Pear : Orchards, Storage and Distribution. Energy for Sustainability 2013 Sustainable Cities: Designing for People and the Planet 2013, 1-5."/>
    <s v="Yes"/>
    <s v="No"/>
    <s v="Yes"/>
    <s v="Yes"/>
    <s v="No"/>
    <s v="Yes"/>
    <s v="No"/>
    <s v="No"/>
    <s v="No"/>
    <s v="No"/>
    <s v="No"/>
    <s v="No"/>
    <s v="Cold storage included"/>
    <s v="Farm to retail"/>
    <s v="No"/>
    <s v="No"/>
    <s v="1 kg fruit"/>
    <m/>
    <s v=""/>
    <s v=""/>
    <n v="0.10333329999999999"/>
    <s v=""/>
    <m/>
    <m/>
    <m/>
    <m/>
    <m/>
    <m/>
    <m/>
    <m/>
    <m/>
    <m/>
    <m/>
    <m/>
    <m/>
    <m/>
    <m/>
    <m/>
    <m/>
    <m/>
    <m/>
    <m/>
    <m/>
    <m/>
    <n v="0.10333329999999999"/>
    <n v="0.19708329999999999"/>
    <m/>
    <s v="IPCC 2006"/>
  </r>
  <r>
    <x v="4"/>
    <x v="85"/>
    <s v="Fresh or Not Specified"/>
    <s v="Central Portugal, mixed orchard"/>
    <s v="Yes"/>
    <s v="Portugal"/>
    <n v="2013"/>
    <s v="Filipa Figueiredo (a); António Peres (b); Érica G. Castanheira (a); Filipe Maia (e); Manuel Feliciano (b); António Ramos (c,d); João Carneiro (c,d); Fausto Freire (a); M. Ângelo Rodrigues (b); Vlad C. Coroama (a);"/>
    <s v="(a) ADAI-LAETA (Center for Industrial Ecology) Department of Mechanical Engineering. University of Coimbra Rua Luís Reis Santos, 3030-788 Coimbra, Portugal; (b) Mountain Research Centre (CIMO), ESA- Polytechnic Institute of Bragança Campus de Sta Apolónia, Apartado 1172, 5301-854 Bragança, Portugal; (c) Escola Superior Agrária de Castelo BrancoQta. Sra de Mércules, Apartado 119, 6001-909 Castelo Branco, Portugal; (d) CERNAS – Centro de Estudos de Recursos Naturais, Ambiente e Sociedade Campus de Sta Apolónia, Apartado 1172, 5301-854 Bragança, Portugal; (e) School of Agriculture, Polytechnic Institute of Bragança"/>
    <s v="Conference Proceedings"/>
    <s v="Figueiredo, F., Feliciano, M., Maia, F., Coroama, V. C. and Freire, F., Carbon Footprint of Apple and Pear : Orchards, Storage and Distribution. Energy for Sustainability 2013 Sustainable Cities: Designing for People and the Planet 2013, 1-5."/>
    <s v="Yes"/>
    <s v="No"/>
    <s v="Yes"/>
    <s v="Yes"/>
    <s v="No"/>
    <s v="Yes"/>
    <s v="No"/>
    <s v="No"/>
    <s v="No"/>
    <s v="No"/>
    <s v="No"/>
    <s v="No"/>
    <s v="Cold storage included"/>
    <s v="Farm to retail"/>
    <s v="No"/>
    <s v="No"/>
    <s v="1 kg fruit"/>
    <m/>
    <s v=""/>
    <s v=""/>
    <n v="7.809524000000001E-2"/>
    <s v=""/>
    <m/>
    <m/>
    <m/>
    <m/>
    <m/>
    <m/>
    <m/>
    <m/>
    <m/>
    <m/>
    <m/>
    <m/>
    <m/>
    <m/>
    <m/>
    <m/>
    <m/>
    <m/>
    <m/>
    <m/>
    <m/>
    <m/>
    <n v="7.809524000000001E-2"/>
    <n v="0.17184524000000001"/>
    <m/>
    <s v="IPCC 2006"/>
  </r>
  <r>
    <x v="4"/>
    <x v="66"/>
    <s v="Fresh or Not Specified"/>
    <s v="North Portugal, dedicated orchard"/>
    <s v="Yes"/>
    <s v="Portugal"/>
    <n v="2013"/>
    <s v="Filipa Figueiredo (a); António Peres (b); Érica G. Castanheira (a); Filipe Maia (e); Manuel Feliciano (b); António Ramos (c,d); João Carneiro (c,d); Fausto Freire (a); M. Ângelo Rodrigues (b); Vlad C. Coroama (a);"/>
    <s v="(a) ADAI-LAETA (Center for Industrial Ecology) Department of Mechanical Engineering. University of Coimbra Rua Luís Reis Santos, 3030-788 Coimbra, Portugal; (b) Mountain Research Centre (CIMO), ESA- Polytechnic Institute of Bragança Campus de Sta Apolónia, Apartado 1172, 5301-854 Bragança, Portugal; (c) Escola Superior Agrária de Castelo BrancoQta. Sra de Mércules, Apartado 119, 6001-909 Castelo Branco, Portugal; (d) CERNAS – Centro de Estudos de Recursos Naturais, Ambiente e Sociedade Campus de Sta Apolónia, Apartado 1172, 5301-854 Bragança, Portugal; (e) School of Agriculture, Polytechnic Institute of Bragança"/>
    <s v="Conference Proceedings"/>
    <s v="Figueiredo, F., Feliciano, M., Maia, F., Coroama, V. C. and Freire, F., Carbon Footprint of Apple and Pear : Orchards, Storage and Distribution. Energy for Sustainability 2013 Sustainable Cities: Designing for People and the Planet 2013, 1-5."/>
    <s v="Yes"/>
    <s v="No"/>
    <s v="Yes"/>
    <s v="Yes"/>
    <s v="Yes"/>
    <s v="Yes"/>
    <s v="No"/>
    <s v="No"/>
    <s v="No"/>
    <s v="No"/>
    <s v="No"/>
    <s v="No"/>
    <s v="Cold storage included"/>
    <s v="Farm to retail"/>
    <s v="No"/>
    <s v="No"/>
    <s v="1 kg fruit"/>
    <m/>
    <s v=""/>
    <s v=""/>
    <n v="0.1257143"/>
    <s v=""/>
    <m/>
    <m/>
    <m/>
    <m/>
    <m/>
    <m/>
    <m/>
    <m/>
    <m/>
    <m/>
    <m/>
    <m/>
    <m/>
    <m/>
    <m/>
    <m/>
    <m/>
    <m/>
    <m/>
    <m/>
    <m/>
    <m/>
    <n v="0.1257143"/>
    <n v="0.26169330000000002"/>
    <m/>
    <s v="IPCC 2006"/>
  </r>
  <r>
    <x v="7"/>
    <x v="108"/>
    <s v="Fresh or Not Specified"/>
    <s v="Malawian tea"/>
    <s v="No"/>
    <s v="Malawi"/>
    <n v="2015"/>
    <s v="J.L. Taulo; A.B. Sebitosi"/>
    <s v="Department of Mechanical &amp; Mechatronic Engineering, Stellenbosch University, P/Bag X1, Matieland 7602, South Africa"/>
    <s v="Peer Reviewed Journal"/>
    <s v="Taulo, J. L. and Sebitosi, A. B., Material and energy fl ow analysis of the Malawian tea industry. Renewable and Sustainable Energy Reviews 2016, 56, 1337-1350."/>
    <s v="No"/>
    <s v="No"/>
    <s v="No"/>
    <s v="Yes"/>
    <s v="No"/>
    <s v="No"/>
    <s v="No"/>
    <s v="No"/>
    <s v="No"/>
    <s v="No"/>
    <s v="No"/>
    <s v="No"/>
    <m/>
    <s v="Processing Only (withering, rolling, oxidation, drying, sorting)"/>
    <s v="Yes"/>
    <s v="No"/>
    <s v="1 kg dried tea leaves"/>
    <s v="N/A"/>
    <s v=""/>
    <n v="50.580000000000005"/>
    <s v=""/>
    <n v="4.32"/>
    <m/>
    <m/>
    <n v="50.580000000000005"/>
    <m/>
    <m/>
    <m/>
    <m/>
    <m/>
    <m/>
    <m/>
    <n v="50.580000000000005"/>
    <s v="MJ/kg"/>
    <m/>
    <m/>
    <m/>
    <n v="4.32"/>
    <m/>
    <m/>
    <m/>
    <m/>
    <m/>
    <m/>
    <m/>
    <n v="4.32"/>
    <m/>
    <s v="CML 2000, 100 yr"/>
  </r>
  <r>
    <x v="3"/>
    <x v="19"/>
    <s v="Fresh or Not Specified"/>
    <s v="organic"/>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0.86899999999999999"/>
    <s v=""/>
    <n v="6.3E-2"/>
    <s v=""/>
    <m/>
    <m/>
    <m/>
    <m/>
    <m/>
    <m/>
    <m/>
    <m/>
    <m/>
    <n v="0.86899999999999999"/>
    <m/>
    <s v="CML baseline 2 2002"/>
    <m/>
    <m/>
    <m/>
    <m/>
    <m/>
    <m/>
    <m/>
    <m/>
    <m/>
    <m/>
    <n v="6.3E-2"/>
    <m/>
    <m/>
    <s v="IPCC 2007"/>
  </r>
  <r>
    <x v="4"/>
    <x v="66"/>
    <s v="Fresh or Not Specified"/>
    <s v="traditional intensive farming"/>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1.2"/>
    <s v=""/>
    <n v="9.7000000000000003E-2"/>
    <s v=""/>
    <m/>
    <m/>
    <m/>
    <m/>
    <m/>
    <m/>
    <m/>
    <m/>
    <m/>
    <n v="1.2"/>
    <m/>
    <s v="CML baseline 2 2002"/>
    <m/>
    <m/>
    <m/>
    <m/>
    <m/>
    <m/>
    <m/>
    <m/>
    <m/>
    <m/>
    <n v="9.7000000000000003E-2"/>
    <m/>
    <m/>
    <s v="IPCC 2007"/>
  </r>
  <r>
    <x v="4"/>
    <x v="85"/>
    <s v="Fresh or Not Specified"/>
    <s v="organic"/>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6.0720000000000001"/>
    <s v=""/>
    <n v="0.376"/>
    <s v=""/>
    <m/>
    <m/>
    <m/>
    <m/>
    <m/>
    <m/>
    <m/>
    <m/>
    <m/>
    <n v="6.0720000000000001"/>
    <m/>
    <s v="CML baseline 2 2002"/>
    <m/>
    <m/>
    <m/>
    <m/>
    <m/>
    <m/>
    <m/>
    <m/>
    <m/>
    <m/>
    <n v="0.376"/>
    <m/>
    <m/>
    <s v="IPCC 2007"/>
  </r>
  <r>
    <x v="5"/>
    <x v="67"/>
    <s v="Fresh or Not Specified"/>
    <s v="traditional intensive farming"/>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3.0979999999999999"/>
    <s v=""/>
    <n v="0.50900000000000001"/>
    <s v=""/>
    <m/>
    <m/>
    <m/>
    <m/>
    <m/>
    <m/>
    <m/>
    <m/>
    <m/>
    <n v="3.0979999999999999"/>
    <m/>
    <s v="CML baseline 2 2002"/>
    <m/>
    <m/>
    <m/>
    <m/>
    <m/>
    <m/>
    <m/>
    <m/>
    <m/>
    <m/>
    <n v="0.50900000000000001"/>
    <m/>
    <m/>
    <s v="IPCC 2007"/>
  </r>
  <r>
    <x v="3"/>
    <x v="57"/>
    <s v="Fresh or Not Specified"/>
    <s v="Chicory Lettuce, traditional intensive farming"/>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4.12"/>
    <s v=""/>
    <n v="0.32700000000000001"/>
    <s v=""/>
    <m/>
    <m/>
    <m/>
    <m/>
    <m/>
    <m/>
    <m/>
    <m/>
    <m/>
    <n v="4.12"/>
    <m/>
    <s v="CML baseline 2 2002"/>
    <m/>
    <m/>
    <m/>
    <m/>
    <m/>
    <m/>
    <m/>
    <m/>
    <m/>
    <m/>
    <n v="0.32700000000000001"/>
    <m/>
    <m/>
    <s v="IPCC 2007"/>
  </r>
  <r>
    <x v="1"/>
    <x v="3"/>
    <s v="Fresh or Not Specified"/>
    <s v="grass-based system"/>
    <s v="Yes"/>
    <s v="Belgium"/>
    <n v="2015"/>
    <s v="Fabienne Rabiera, *, Rocco Lioyb, Christian Paulc, Florence Van Stappena, Didier Stilmanta, Michaël Mathota"/>
    <s v="aWalloon Agricultural Research Centre, 146, Chaussée de Namur, 5030 Gembloux, BelgiumbConvis s.c. Zone artisanale et commerciale 4, 9004 Ettelbruck, Luxembourg , c SPIGVA, Rue du Carmel, 1 6900 Marloie, Belgium"/>
    <s v="Peer Reviewed Journal"/>
    <s v="Rabier, F., Lioy, R., Paul, C. and Stappen, F. V., Assessment of GHG emissions and their variability of meat production systems in Wallonia based on grass and maize. Agriculture and Agricultural Science Procedia 2015, 7, 223-228."/>
    <s v="Yes"/>
    <s v="No"/>
    <s v="No"/>
    <s v="No"/>
    <s v="No"/>
    <s v="No"/>
    <s v="No"/>
    <s v="No"/>
    <s v="No"/>
    <s v="No"/>
    <s v="No"/>
    <s v="No"/>
    <m/>
    <m/>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5.326174122241206"/>
    <s v=""/>
    <m/>
    <m/>
    <m/>
    <m/>
    <m/>
    <m/>
    <m/>
    <m/>
    <m/>
    <m/>
    <m/>
    <m/>
    <m/>
    <m/>
    <m/>
    <m/>
    <m/>
    <m/>
    <m/>
    <m/>
    <m/>
    <m/>
    <n v="45.326174122241206"/>
    <m/>
    <m/>
    <m/>
  </r>
  <r>
    <x v="1"/>
    <x v="3"/>
    <s v="Fresh or Not Specified"/>
    <s v="grass-corn based system"/>
    <s v="Yes"/>
    <s v="Belgium"/>
    <n v="2015"/>
    <s v="Fabienne Rabiera, *, Rocco Lioyb, Christian Paulc, Florence Van Stappena, Didier Stilmanta, Michaël Mathota"/>
    <s v="aWalloon Agricultural Research Centre, 146, Chaussée de Namur, 5030 Gembloux, BelgiumbConvis s.c. Zone artisanale et commerciale 4, 9004 Ettelbruck, Luxembourg , c SPIGVA, Rue du Carmel, 1 6900 Marloie, Belgium"/>
    <s v="Peer Reviewed Journal"/>
    <s v="Rabier, F., Lioy, R., Paul, C. and Stappen, F. V., Assessment of GHG emissions and their variability of meat production systems in Wallonia based on grass and maize. Agriculture and Agricultural Science Procedia 2015, 7, 223-228."/>
    <s v="Yes"/>
    <s v="No"/>
    <s v="No"/>
    <s v="No"/>
    <s v="No"/>
    <s v="No"/>
    <s v="No"/>
    <s v="No"/>
    <s v="No"/>
    <s v="No"/>
    <s v="No"/>
    <s v="No"/>
    <m/>
    <m/>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7.816623249836873"/>
    <s v=""/>
    <m/>
    <m/>
    <m/>
    <m/>
    <m/>
    <m/>
    <m/>
    <m/>
    <m/>
    <m/>
    <m/>
    <m/>
    <m/>
    <m/>
    <m/>
    <m/>
    <m/>
    <m/>
    <m/>
    <m/>
    <m/>
    <m/>
    <n v="47.816623249836873"/>
    <m/>
    <m/>
    <m/>
  </r>
  <r>
    <x v="1"/>
    <x v="23"/>
    <s v="Fresh or Not Specified"/>
    <s v="study considers co-product diest; recording only control diet here."/>
    <s v="Yes"/>
    <s v="Canada (Ontario and Quebec)"/>
    <n v="2016"/>
    <s v="S. G. Mackenzie*1, I. Leinonen1, N. Ferguson2 and I. Kyriazakis1"/>
    <s v="School of Agriculture, Food and Rural Development, Newcastle University, Newcastle upon Tyne, NE1 7RU, UK  _x000a_2 Trouw Nutrition Canada, 150 Research Ln, Guelph, ON N1G 4T2, Canada"/>
    <s v="Peer Reviewed Journal"/>
    <s v="Mackenzie, S. G., Leinonen, I., Ferguson, N. and Kyriazakis, I., Can the environmental impact of pig systems be reduced by utilising co-products as feed? Journal of Cleaner Production 2016, 115, 172-181."/>
    <s v="Yes"/>
    <s v="No"/>
    <s v="No"/>
    <s v="No"/>
    <s v="No"/>
    <s v="No"/>
    <s v="No"/>
    <s v="No"/>
    <s v="No"/>
    <s v="No"/>
    <s v="No"/>
    <s v="No"/>
    <m/>
    <m/>
    <s v="No"/>
    <s v="No"/>
    <s v="1 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21.673525377229083"/>
    <s v=""/>
    <n v="3.0178326474622774"/>
    <s v=""/>
    <m/>
    <m/>
    <m/>
    <m/>
    <m/>
    <m/>
    <m/>
    <m/>
    <m/>
    <n v="21.673525377229083"/>
    <m/>
    <s v="Impact 2002+"/>
    <m/>
    <m/>
    <m/>
    <m/>
    <m/>
    <m/>
    <m/>
    <m/>
    <m/>
    <m/>
    <n v="3.0178326474622774"/>
    <m/>
    <m/>
    <s v="IPCC 2006"/>
  </r>
  <r>
    <x v="1"/>
    <x v="23"/>
    <s v="Fresh or Not Specified"/>
    <m/>
    <s v="No"/>
    <s v="Australia"/>
    <n v="2016"/>
    <s v="Thomas Winklera, Kerstin Schopfa, Ralf Aschemanna,*, Wilfried Winiwarterb"/>
    <s v="a) University of Graz, Institute of Systems Sciences, Innovation and Sustainability Research, Merangasse 18, 8010 Graz, Austria b) International Institute for Applied Systems Analysis, Schlossplatz 1, 2361 Laxenburg, Austria"/>
    <s v="Peer Reviewed Journal"/>
    <s v="Winkler, T., Schopf, K., Aschemann, R. and Winiwarter, W., From farm to fork – A life cycle assessment of fresh Austrian pork. Journal of Cleaner Production 2016, 116, 80-9."/>
    <s v="Yes"/>
    <s v="No"/>
    <s v="Yes"/>
    <s v="Yes"/>
    <s v="Yes"/>
    <s v="Yes"/>
    <s v="Yes"/>
    <s v="Yes"/>
    <s v="Yes"/>
    <s v="Yes"/>
    <s v="No"/>
    <s v="No"/>
    <m/>
    <s v="farm to fork"/>
    <s v="No"/>
    <s v="Yes"/>
    <s v="1 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6.0123456790123457"/>
    <n v="6.207133058984911"/>
    <m/>
    <m/>
    <m/>
    <m/>
    <m/>
    <m/>
    <m/>
    <m/>
    <m/>
    <m/>
    <m/>
    <m/>
    <m/>
    <n v="6.0123456790123457"/>
    <m/>
    <n v="0.19478737997256515"/>
    <m/>
    <n v="0.23045267489711938"/>
    <m/>
    <n v="6.8587105624142664E-2"/>
    <m/>
    <m/>
    <n v="6.0123456790123457"/>
    <n v="6.5171467764060367"/>
    <m/>
    <s v="IPCC 2013"/>
  </r>
  <r>
    <x v="4"/>
    <x v="66"/>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24"/>
    <s v=""/>
    <m/>
    <m/>
    <m/>
    <m/>
    <m/>
    <m/>
    <m/>
    <m/>
    <m/>
    <m/>
    <m/>
    <m/>
    <m/>
    <m/>
    <m/>
    <m/>
    <m/>
    <m/>
    <m/>
    <m/>
    <m/>
    <m/>
    <n v="0.24"/>
    <m/>
    <m/>
    <s v="IPCC 2006"/>
  </r>
  <r>
    <x v="4"/>
    <x v="20"/>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27"/>
    <s v=""/>
    <m/>
    <m/>
    <m/>
    <m/>
    <m/>
    <m/>
    <m/>
    <m/>
    <m/>
    <m/>
    <m/>
    <m/>
    <m/>
    <m/>
    <m/>
    <m/>
    <m/>
    <m/>
    <m/>
    <m/>
    <m/>
    <m/>
    <n v="0.27"/>
    <m/>
    <m/>
    <s v="IPCC 2006"/>
  </r>
  <r>
    <x v="4"/>
    <x v="136"/>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14000000000000001"/>
    <s v=""/>
    <m/>
    <m/>
    <m/>
    <m/>
    <m/>
    <m/>
    <m/>
    <m/>
    <m/>
    <m/>
    <m/>
    <m/>
    <m/>
    <m/>
    <m/>
    <m/>
    <m/>
    <m/>
    <m/>
    <m/>
    <m/>
    <m/>
    <n v="0.14000000000000001"/>
    <m/>
    <m/>
    <s v="IPCC 2006"/>
  </r>
  <r>
    <x v="4"/>
    <x v="137"/>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37"/>
    <s v=""/>
    <m/>
    <m/>
    <m/>
    <m/>
    <m/>
    <m/>
    <m/>
    <m/>
    <m/>
    <m/>
    <m/>
    <m/>
    <m/>
    <m/>
    <m/>
    <m/>
    <m/>
    <m/>
    <m/>
    <m/>
    <m/>
    <m/>
    <n v="0.37"/>
    <m/>
    <m/>
    <s v="IPCC 2006"/>
  </r>
  <r>
    <x v="4"/>
    <x v="85"/>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18"/>
    <s v=""/>
    <m/>
    <m/>
    <m/>
    <m/>
    <m/>
    <m/>
    <m/>
    <m/>
    <m/>
    <m/>
    <m/>
    <m/>
    <m/>
    <m/>
    <m/>
    <m/>
    <m/>
    <m/>
    <m/>
    <m/>
    <m/>
    <m/>
    <n v="0.18"/>
    <m/>
    <m/>
    <s v="IPCC 2006"/>
  </r>
  <r>
    <x v="5"/>
    <x v="126"/>
    <s v="Fresh or Not Specified"/>
    <s v="Hard Maize"/>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622"/>
    <s v=""/>
    <m/>
    <m/>
    <m/>
    <m/>
    <m/>
    <m/>
    <m/>
    <m/>
    <m/>
    <m/>
    <m/>
    <m/>
    <m/>
    <m/>
    <m/>
    <m/>
    <m/>
    <m/>
    <m/>
    <m/>
    <m/>
    <m/>
    <n v="0.622"/>
    <m/>
    <m/>
    <s v="ReCiPe"/>
  </r>
  <r>
    <x v="4"/>
    <x v="138"/>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55600000000000005"/>
    <s v=""/>
    <m/>
    <m/>
    <m/>
    <m/>
    <m/>
    <m/>
    <m/>
    <m/>
    <m/>
    <m/>
    <m/>
    <m/>
    <m/>
    <m/>
    <m/>
    <m/>
    <m/>
    <m/>
    <m/>
    <m/>
    <m/>
    <m/>
    <n v="0.55600000000000005"/>
    <m/>
    <m/>
    <s v="ReCiPe"/>
  </r>
  <r>
    <x v="3"/>
    <x v="44"/>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51800000000000002"/>
    <s v=""/>
    <m/>
    <m/>
    <m/>
    <m/>
    <m/>
    <m/>
    <m/>
    <m/>
    <m/>
    <m/>
    <m/>
    <m/>
    <m/>
    <m/>
    <m/>
    <m/>
    <m/>
    <m/>
    <m/>
    <m/>
    <m/>
    <m/>
    <n v="0.51800000000000002"/>
    <m/>
    <m/>
    <s v="ReCiPe"/>
  </r>
  <r>
    <x v="4"/>
    <x v="66"/>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38100000000000001"/>
    <s v=""/>
    <m/>
    <m/>
    <m/>
    <m/>
    <m/>
    <m/>
    <m/>
    <m/>
    <m/>
    <m/>
    <m/>
    <m/>
    <m/>
    <m/>
    <m/>
    <m/>
    <m/>
    <m/>
    <m/>
    <m/>
    <m/>
    <m/>
    <n v="0.38100000000000001"/>
    <m/>
    <m/>
    <s v="ReCiPe"/>
  </r>
  <r>
    <x v="4"/>
    <x v="137"/>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59099999999999997"/>
    <s v=""/>
    <m/>
    <m/>
    <m/>
    <m/>
    <m/>
    <m/>
    <m/>
    <m/>
    <m/>
    <m/>
    <m/>
    <m/>
    <m/>
    <m/>
    <m/>
    <m/>
    <m/>
    <m/>
    <m/>
    <m/>
    <m/>
    <m/>
    <n v="0.59099999999999997"/>
    <m/>
    <m/>
    <s v="ReCiPe"/>
  </r>
  <r>
    <x v="4"/>
    <x v="89"/>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5"/>
    <s v=""/>
    <m/>
    <m/>
    <m/>
    <m/>
    <m/>
    <m/>
    <m/>
    <m/>
    <m/>
    <m/>
    <m/>
    <m/>
    <m/>
    <m/>
    <m/>
    <m/>
    <m/>
    <m/>
    <m/>
    <m/>
    <m/>
    <m/>
    <n v="0.5"/>
    <m/>
    <m/>
    <s v="ReCiPe"/>
  </r>
  <r>
    <x v="4"/>
    <x v="81"/>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32400000000000001"/>
    <s v=""/>
    <m/>
    <m/>
    <m/>
    <m/>
    <m/>
    <m/>
    <m/>
    <m/>
    <m/>
    <m/>
    <m/>
    <m/>
    <m/>
    <m/>
    <m/>
    <m/>
    <m/>
    <m/>
    <m/>
    <m/>
    <m/>
    <m/>
    <n v="0.32400000000000001"/>
    <m/>
    <m/>
    <s v="ReCiPe"/>
  </r>
  <r>
    <x v="3"/>
    <x v="139"/>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90600000000000003"/>
    <s v=""/>
    <m/>
    <m/>
    <m/>
    <m/>
    <m/>
    <m/>
    <m/>
    <m/>
    <m/>
    <m/>
    <m/>
    <m/>
    <m/>
    <m/>
    <m/>
    <m/>
    <m/>
    <m/>
    <m/>
    <m/>
    <m/>
    <m/>
    <n v="0.90600000000000003"/>
    <m/>
    <m/>
    <s v="ReCiPe"/>
  </r>
  <r>
    <x v="5"/>
    <x v="140"/>
    <s v="Fresh or Not Specified"/>
    <s v="Oatmeal"/>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Yes"/>
    <s v="No"/>
    <s v="No"/>
    <m/>
    <s v="cradle to grave"/>
    <s v="no?"/>
    <s v="Yes"/>
    <s v="1 kg"/>
    <m/>
    <s v=""/>
    <s v=""/>
    <n v="0.65051999999999999"/>
    <s v=""/>
    <m/>
    <m/>
    <m/>
    <m/>
    <m/>
    <m/>
    <m/>
    <m/>
    <m/>
    <m/>
    <m/>
    <m/>
    <m/>
    <n v="0.65051999999999999"/>
    <m/>
    <m/>
    <n v="4.1700000000000001E-2"/>
    <n v="3.3360000000000001E-2"/>
    <n v="5.0039999999999994E-2"/>
    <n v="5.0039999999999994E-2"/>
    <m/>
    <m/>
    <n v="0.65051999999999999"/>
    <n v="0.83399999999999996"/>
    <m/>
    <s v="IPCC, 2001"/>
  </r>
  <r>
    <x v="7"/>
    <x v="141"/>
    <s v="Fresh or Not Specified"/>
    <s v="Medium Strength"/>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No"/>
    <s v="No"/>
    <s v="No"/>
    <m/>
    <s v="cradle to grave"/>
    <s v="no?"/>
    <s v="Yes"/>
    <s v="1 kg"/>
    <m/>
    <s v=""/>
    <s v=""/>
    <n v="0.10740000000000001"/>
    <s v=""/>
    <m/>
    <m/>
    <m/>
    <m/>
    <m/>
    <m/>
    <m/>
    <m/>
    <m/>
    <m/>
    <m/>
    <m/>
    <m/>
    <n v="0.10740000000000001"/>
    <m/>
    <m/>
    <m/>
    <m/>
    <n v="0.15036000000000002"/>
    <n v="0.27924000000000004"/>
    <m/>
    <m/>
    <n v="0.10740000000000001"/>
    <n v="0.53700000000000003"/>
    <m/>
    <s v="IPCC, 2001"/>
  </r>
  <r>
    <x v="3"/>
    <x v="142"/>
    <s v="Fresh or Not Specified"/>
    <m/>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No"/>
    <s v="No"/>
    <s v="No"/>
    <m/>
    <s v="cradle to grave"/>
    <s v="no?"/>
    <s v="Yes"/>
    <s v="1 kg"/>
    <m/>
    <s v=""/>
    <s v=""/>
    <n v="0.38279999999999997"/>
    <s v=""/>
    <m/>
    <m/>
    <m/>
    <m/>
    <m/>
    <m/>
    <m/>
    <m/>
    <m/>
    <m/>
    <m/>
    <m/>
    <m/>
    <n v="0.38279999999999997"/>
    <m/>
    <m/>
    <n v="5.9400000000000001E-2"/>
    <m/>
    <n v="0.1386"/>
    <n v="1.9800000000000002E-2"/>
    <n v="5.9400000000000001E-2"/>
    <m/>
    <n v="0.38279999999999997"/>
    <n v="0.66"/>
    <m/>
    <s v="IPCC, 2001"/>
  </r>
  <r>
    <x v="3"/>
    <x v="143"/>
    <s v="Fresh or Not Specified"/>
    <s v="greenhouse production"/>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No"/>
    <s v="No"/>
    <s v="No"/>
    <m/>
    <s v="cradle to grave"/>
    <s v="no?"/>
    <s v="Yes"/>
    <s v="1 kg"/>
    <m/>
    <s v=""/>
    <s v=""/>
    <n v="3.8605999999999998"/>
    <s v=""/>
    <m/>
    <m/>
    <m/>
    <m/>
    <m/>
    <m/>
    <m/>
    <m/>
    <m/>
    <m/>
    <m/>
    <m/>
    <m/>
    <n v="3.8605999999999998"/>
    <m/>
    <m/>
    <m/>
    <m/>
    <m/>
    <n v="0.11939999999999999"/>
    <m/>
    <m/>
    <n v="3.8605999999999998"/>
    <n v="3.98"/>
    <m/>
    <s v="IPCC, 2001"/>
  </r>
  <r>
    <x v="0"/>
    <x v="4"/>
    <s v="Fresh or Not Specified"/>
    <m/>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No"/>
    <s v="No"/>
    <s v="No"/>
    <m/>
    <s v="cradle to grave"/>
    <s v="no?"/>
    <s v="Yes"/>
    <s v="1 kg"/>
    <m/>
    <s v=""/>
    <s v=""/>
    <n v="11.802700000000002"/>
    <s v=""/>
    <m/>
    <m/>
    <m/>
    <m/>
    <m/>
    <m/>
    <m/>
    <m/>
    <m/>
    <m/>
    <m/>
    <m/>
    <m/>
    <n v="11.791700000000001"/>
    <m/>
    <m/>
    <m/>
    <n v="0.12870000000000001"/>
    <n v="1.0276000000000001"/>
    <n v="0.1217"/>
    <m/>
    <m/>
    <n v="11.802700000000002"/>
    <n v="12.97"/>
    <m/>
    <s v="IPCC, 2001"/>
  </r>
  <r>
    <x v="1"/>
    <x v="144"/>
    <s v="Fresh or Not Specified"/>
    <s v="Snails, semi-intensive rearing system in Southern Italy"/>
    <s v="No"/>
    <s v="Italy"/>
    <n v="2016"/>
    <s v="Annachiara Forte a,⁎, Amalia Zucaro a, Gionata De Vico a, Angelo Fierro a,b"/>
    <s v="a Dipartimento di Biologia, Università di Napoli Federico II, Italy_x000a_b Laboratorio di Urbanistica e di Pianificazione del Territorio (LUPT), Università di Napoli Federico II, Italy"/>
    <s v="Peer Reviewed Journal"/>
    <s v="Forte, A., Zucaro, A., Vico, G. D. and Fierro, A., Carbon footprint of heliciculture : A case study from an Italian experimental farm. AGSY 2016, 142, 99-111."/>
    <s v="Yes"/>
    <s v="No"/>
    <s v="No"/>
    <s v="Yes"/>
    <s v="Yes"/>
    <s v="No"/>
    <s v="No"/>
    <s v="No"/>
    <s v="No"/>
    <s v="No"/>
    <s v="No"/>
    <s v="No"/>
    <m/>
    <s v="cradle to farm gate"/>
    <s v="No"/>
    <s v="Yes"/>
    <s v="1 kg edible snail meat"/>
    <m/>
    <s v=""/>
    <s v=""/>
    <n v="0.7"/>
    <s v=""/>
    <m/>
    <m/>
    <m/>
    <m/>
    <m/>
    <m/>
    <m/>
    <m/>
    <m/>
    <m/>
    <m/>
    <m/>
    <m/>
    <n v="0.7"/>
    <m/>
    <m/>
    <n v="6.9999999999999993E-3"/>
    <m/>
    <m/>
    <m/>
    <m/>
    <m/>
    <n v="0.7"/>
    <m/>
    <m/>
    <s v="IPCC, 2013"/>
  </r>
  <r>
    <x v="10"/>
    <x v="145"/>
    <m/>
    <m/>
    <s v="No"/>
    <s v="Italy"/>
    <n v="2014"/>
    <s v="Fabio Gresta,1 Anna I. De Luca,1 Alfio Strano,1 Giacomo Falcone,1 Carmelo Santonoceto,1 Umberto Anastasi,2 Giovanni Gulisano1"/>
    <s v="1Department of Agriculture (AGRARIA), Mediterranean University of Reggio Calabria;2Department of Agricultural and Food Science (DISPA), University of Catania, Italy"/>
    <s v="Peer Reviewed Journal"/>
    <s v="Gresta, F., De Luca, A. I., Strano, A., Falcone, G., Santonoceto, C., Anastasi, U. and Gulisano, G., Economic and environmental sustainability analysis of guar (Cyamopsis tetragonoloba L.) farming process in a Mediterranean area: two case studies. Italian Journal of Agronomy 2014, 9 (1), 20-20."/>
    <s v="Yes"/>
    <s v="No"/>
    <s v="No"/>
    <s v="No"/>
    <s v="No"/>
    <s v="No"/>
    <s v="No"/>
    <s v="No"/>
    <s v="No"/>
    <s v="No"/>
    <s v="No"/>
    <s v="No"/>
    <m/>
    <s v="cradle to gate"/>
    <s v="No"/>
    <s v="No"/>
    <s v="ha"/>
    <s v="used reported yield to convert to 1 kg guar seed"/>
    <s v=""/>
    <s v=""/>
    <n v="1.4"/>
    <s v=""/>
    <m/>
    <m/>
    <m/>
    <m/>
    <m/>
    <m/>
    <m/>
    <m/>
    <m/>
    <m/>
    <m/>
    <m/>
    <m/>
    <m/>
    <m/>
    <m/>
    <m/>
    <m/>
    <m/>
    <m/>
    <m/>
    <m/>
    <n v="1.4"/>
    <m/>
    <m/>
    <s v="IPCC GWP 100a"/>
  </r>
  <r>
    <x v="4"/>
    <x v="89"/>
    <s v="Fresh or Not Specified"/>
    <s v="organic"/>
    <s v="No"/>
    <s v="Mexico"/>
    <n v="2014"/>
    <s v="Marta Astiera,∗, Yair Merlín-Uribeb, Laura Villamil-Echeverric, Alfredo Garciarreald,_x000a_Mayra E. Gavitob, Omar R. Maserab"/>
    <s v="a Centro de Investigaciones en Geografía Ambiental, Universidad Nacional Autónoma de México, Antigua Carretera a Pátzcuaro No. 8701, Col. Ex-Hacienda de San José de La Huerta C.P. 58190, Morelia, Michoacán, Mexico b Centro de Investigaciones en Ecosistemas, Universidad Nacional Autónoma de México, Antigua Carretera a Pátzcuaro No. 8701, Col. Ex-Hacienda de San José de La Huerta C.P. 58190, Morelia, Michoacán, Mexico c Programa de Biología, Facultad de Ciencias Básicas, Corporación Universitaria Santa Rosa de Cabal, UNISARC Kilómetro 4 Vía Santa Rosa de Cabal – Chinchiná (Caldas) Santa Rosa de Cabal, Risaralda, Colombia d Licienciatura en Ciencias Ambientales, Escuela Nacional de Estudios Superiores, Universidad Nacional Autónoma de México, Antigua Carretera a Pátzcuaro No. 8701, Col. Ex-Hacienda de San José de La Huerta C.P. 58190, Morelia, Michoacán, Mexico"/>
    <s v="Peer Reviewed Journal"/>
    <s v="Astier, M., Merlín-Uribe, Y., Villamil-Echeverri, L., Garciarreal, A., Gavito, M. E. and Masera, O. R., Energy balance and greenhouse gas emissions in organic and conventional avocado orchards in Mexico. Ecological Indicators 2014, 43 (0), 281-287."/>
    <s v="Yes"/>
    <s v="No"/>
    <s v="No"/>
    <s v="No"/>
    <s v="No"/>
    <s v="No"/>
    <s v="No"/>
    <s v="No"/>
    <s v="No"/>
    <s v="No"/>
    <s v="No"/>
    <s v="No"/>
    <m/>
    <s v="energy &amp; GHGE balances around farm production"/>
    <s v="No"/>
    <s v="No"/>
    <s v="reported per ha; converted to per kg with reported yield"/>
    <m/>
    <n v="5.61"/>
    <s v=""/>
    <n v="0.41399999999999998"/>
    <s v=""/>
    <m/>
    <m/>
    <m/>
    <m/>
    <m/>
    <m/>
    <m/>
    <m/>
    <m/>
    <n v="5.61"/>
    <m/>
    <m/>
    <m/>
    <m/>
    <m/>
    <m/>
    <m/>
    <m/>
    <m/>
    <m/>
    <m/>
    <m/>
    <n v="0.41399999999999998"/>
    <m/>
    <m/>
    <m/>
  </r>
  <r>
    <x v="4"/>
    <x v="89"/>
    <s v="Fresh or Not Specified"/>
    <s v="conventional"/>
    <s v="No"/>
    <s v="Mexico"/>
    <n v="2014"/>
    <s v="Marta Astiera,∗, Yair Merlín-Uribeb, Laura Villamil-Echeverric, Alfredo Garciarreald,_x000a_Mayra E. Gavitob, Omar R. Maserab"/>
    <s v="a Centro de Investigaciones en Geografía Ambiental, Universidad Nacional Autónoma de México, Antigua Carretera a Pátzcuaro No. 8701, Col. Ex-Hacienda de San José de La Huerta C.P. 58190, Morelia, Michoacán, Mexico b Centro de Investigaciones en Ecosistemas, Universidad Nacional Autónoma de México, Antigua Carretera a Pátzcuaro No. 8701, Col. Ex-Hacienda de San José de La Huerta C.P. 58190, Morelia, Michoacán, Mexico c Programa de Biología, Facultad de Ciencias Básicas, Corporación Universitaria Santa Rosa de Cabal, UNISARC Kilómetro 4 Vía Santa Rosa de Cabal – Chinchiná (Caldas) Santa Rosa de Cabal, Risaralda, Colombia d Licienciatura en Ciencias Ambientales, Escuela Nacional de Estudios Superiores, Universidad Nacional Autónoma de México, Antigua Carretera a Pátzcuaro No. 8701, Col. Ex-Hacienda de San José de La Huerta C.P. 58190, Morelia, Michoacán, Mexico"/>
    <s v="Peer Reviewed Journal"/>
    <s v="Astier, M., Merlín-Uribe, Y., Villamil-Echeverri, L., Garciarreal, A., Gavito, M. E. and Masera, O. R., Energy balance and greenhouse gas emissions in organic and conventional avocado orchards in Mexico. Ecological Indicators 2014, 43 (0), 281-287."/>
    <s v="Yes"/>
    <s v="No"/>
    <s v="No"/>
    <s v="No"/>
    <s v="No"/>
    <s v="No"/>
    <s v="No"/>
    <s v="No"/>
    <s v="No"/>
    <s v="No"/>
    <s v="No"/>
    <s v="No"/>
    <m/>
    <s v="energy &amp; GHGE balances around farm production"/>
    <s v="No"/>
    <s v="No"/>
    <s v="reported per ha; converted to per kg with reported yield"/>
    <m/>
    <n v="8"/>
    <s v=""/>
    <n v="0.53600000000000003"/>
    <s v=""/>
    <m/>
    <m/>
    <m/>
    <m/>
    <m/>
    <m/>
    <m/>
    <m/>
    <m/>
    <n v="8"/>
    <m/>
    <m/>
    <m/>
    <m/>
    <m/>
    <m/>
    <m/>
    <m/>
    <m/>
    <m/>
    <m/>
    <m/>
    <n v="0.53600000000000003"/>
    <m/>
    <m/>
    <m/>
  </r>
  <r>
    <x v="10"/>
    <x v="146"/>
    <s v="Dried"/>
    <s v="ave. of three farms"/>
    <s v="No"/>
    <s v="Thailand"/>
    <n v="2015"/>
    <s v="Phairat Usubharatana and Harnpon Phungrassami"/>
    <s v="Chemical Engineering Dept, Thammasat Univ, Pathumthani, Thailand"/>
    <s v="Peer Reviewed Journal"/>
    <s v="Usubharatana, P. and Phungrassami, H., ScienceDirect Carbon Footprint of Cassava Starch Production in North-Eastern Thailand. Procedia CIRP 2015, 00, 462-467."/>
    <s v="Yes"/>
    <s v="No"/>
    <s v="Yes"/>
    <s v="Yes"/>
    <s v="No"/>
    <s v="No"/>
    <s v="No"/>
    <s v="No"/>
    <s v="No"/>
    <s v="No"/>
    <s v="No"/>
    <s v="No"/>
    <m/>
    <s v="cradle to processor gate"/>
    <s v="No"/>
    <s v="Yes"/>
    <s v="1000 kg dry native starch"/>
    <s v="/1000"/>
    <s v=""/>
    <s v=""/>
    <n v="0.30199999999999999"/>
    <n v="0.59399999999999997"/>
    <m/>
    <m/>
    <m/>
    <m/>
    <m/>
    <m/>
    <m/>
    <m/>
    <m/>
    <m/>
    <m/>
    <m/>
    <m/>
    <n v="0.30199999999999999"/>
    <m/>
    <n v="0.29199999999999998"/>
    <m/>
    <m/>
    <m/>
    <m/>
    <m/>
    <m/>
    <n v="0.30199999999999999"/>
    <n v="0.59399999999999997"/>
    <m/>
    <m/>
  </r>
  <r>
    <x v="8"/>
    <x v="46"/>
    <s v="Fresh or Not Specified"/>
    <m/>
    <s v="No"/>
    <s v="Indonesia/Malaysia"/>
    <n v="2015"/>
    <s v="Jannick H. Schmidt"/>
    <s v="2.-0 LCA consultants, Skibbrogade 5, 1, 9000 Aalborg, Denmark"/>
    <s v="Peer Reviewed Journal"/>
    <s v="Schmidt, J. H., Life cycle assessment of five vegetable oils. Journal of Cleaner Production 2015, 87, 130-138."/>
    <s v="Yes"/>
    <s v="Yes"/>
    <s v="Yes"/>
    <s v="Yes"/>
    <s v="No"/>
    <s v="No"/>
    <s v="No"/>
    <s v="No"/>
    <s v="No"/>
    <s v="No"/>
    <s v="No"/>
    <s v="No"/>
    <m/>
    <s v="consequential LCA; results presented here exclude indirect land use changes and biogenic carbon uptake"/>
    <s v="No"/>
    <s v="Yes"/>
    <s v="tonne refined oil"/>
    <s v="/1000"/>
    <s v=""/>
    <s v=""/>
    <n v="3.2585000000000002"/>
    <n v="4.2419000000000002"/>
    <m/>
    <m/>
    <m/>
    <m/>
    <m/>
    <m/>
    <m/>
    <m/>
    <m/>
    <m/>
    <m/>
    <m/>
    <m/>
    <n v="3.2585000000000002"/>
    <m/>
    <n v="0.98340000000000005"/>
    <m/>
    <m/>
    <m/>
    <m/>
    <m/>
    <m/>
    <n v="3.2585000000000002"/>
    <n v="4.2418999999999993"/>
    <m/>
    <m/>
  </r>
  <r>
    <x v="8"/>
    <x v="147"/>
    <s v="Fresh or Not Specified"/>
    <m/>
    <s v="No"/>
    <s v="Europe"/>
    <n v="2015"/>
    <s v="Jannick H. Schmidt"/>
    <s v="2.-0 LCA consultants, Skibbrogade 5, 1, 9000 Aalborg, Denmark"/>
    <s v="Peer Reviewed Journal"/>
    <s v="Schmidt, J. H., Life cycle assessment of five vegetable oils. Journal of Cleaner Production 2015, 87, 130-138."/>
    <s v="Yes"/>
    <s v="Yes"/>
    <s v="Yes"/>
    <s v="Yes"/>
    <s v="No"/>
    <s v="No"/>
    <s v="No"/>
    <s v="No"/>
    <s v="No"/>
    <s v="No"/>
    <s v="No"/>
    <s v="No"/>
    <m/>
    <s v="consequential LCA; results presented here exclude indirect land use changes and biogenic carbon uptake"/>
    <s v="No"/>
    <s v="Yes"/>
    <s v="tonne refined oil"/>
    <s v="/1000"/>
    <s v=""/>
    <s v=""/>
    <n v="2.2469999999999999"/>
    <n v="2.63"/>
    <m/>
    <m/>
    <m/>
    <m/>
    <m/>
    <m/>
    <m/>
    <m/>
    <m/>
    <m/>
    <m/>
    <m/>
    <m/>
    <n v="2.2469999999999999"/>
    <m/>
    <n v="0.38300000000000001"/>
    <m/>
    <m/>
    <m/>
    <m/>
    <m/>
    <m/>
    <n v="2.2469999999999999"/>
    <n v="2.7280000000000002"/>
    <m/>
    <m/>
  </r>
  <r>
    <x v="8"/>
    <x v="49"/>
    <s v="Fresh or Not Specified"/>
    <m/>
    <s v="No"/>
    <s v="Ukraine"/>
    <n v="2015"/>
    <s v="Jannick H. Schmidt"/>
    <s v="2.-0 LCA consultants, Skibbrogade 5, 1, 9000 Aalborg, Denmark"/>
    <s v="Peer Reviewed Journal"/>
    <s v="Schmidt, J. H., Life cycle assessment of five vegetable oils. Journal of Cleaner Production 2015, 87, 130-138."/>
    <s v="Yes"/>
    <s v="Yes"/>
    <s v="Yes"/>
    <s v="Yes"/>
    <s v="No"/>
    <s v="No"/>
    <s v="No"/>
    <s v="No"/>
    <s v="No"/>
    <s v="No"/>
    <s v="No"/>
    <s v="No"/>
    <m/>
    <s v="consequential LCA; results presented here exclude indirect land use changes and biogenic carbon uptake"/>
    <s v="No"/>
    <s v="Yes"/>
    <s v="tonne refined oil"/>
    <s v="/1000"/>
    <s v=""/>
    <s v=""/>
    <n v="1.968"/>
    <n v="2.6459999999999999"/>
    <m/>
    <m/>
    <m/>
    <m/>
    <m/>
    <m/>
    <m/>
    <m/>
    <m/>
    <m/>
    <m/>
    <m/>
    <m/>
    <n v="1.968"/>
    <m/>
    <n v="0.67800000000000005"/>
    <m/>
    <m/>
    <m/>
    <m/>
    <m/>
    <m/>
    <n v="1.968"/>
    <n v="2.6360000000000001"/>
    <m/>
    <m/>
  </r>
  <r>
    <x v="8"/>
    <x v="50"/>
    <s v="Fresh or Not Specified"/>
    <m/>
    <s v="No"/>
    <s v="India"/>
    <n v="2015"/>
    <s v="Jannick H. Schmidt"/>
    <s v="2.-0 LCA consultants, Skibbrogade 5, 1, 9000 Aalborg, Denmark"/>
    <s v="Peer Reviewed Journal"/>
    <s v="Schmidt, J. H., Life cycle assessment of five vegetable oils. Journal of Cleaner Production 2015, 87, 130-138."/>
    <s v="Yes"/>
    <s v="Yes"/>
    <s v="Yes"/>
    <s v="Yes"/>
    <s v="No"/>
    <s v="No"/>
    <s v="No"/>
    <s v="No"/>
    <s v="No"/>
    <s v="No"/>
    <s v="No"/>
    <s v="No"/>
    <m/>
    <s v="consequential LCA; results presented here exclude indirect land use changes and biogenic carbon uptake"/>
    <s v="No"/>
    <s v="Yes"/>
    <s v="tonne refined oil"/>
    <s v="/1000"/>
    <s v=""/>
    <s v=""/>
    <n v="2.714"/>
    <n v="4.9488000000000003"/>
    <m/>
    <m/>
    <m/>
    <m/>
    <m/>
    <m/>
    <m/>
    <m/>
    <m/>
    <m/>
    <m/>
    <m/>
    <m/>
    <n v="2.714"/>
    <m/>
    <n v="2.2347999999999999"/>
    <m/>
    <m/>
    <m/>
    <m/>
    <m/>
    <m/>
    <n v="2.714"/>
    <n v="4.9487999999999994"/>
    <m/>
    <m/>
  </r>
  <r>
    <x v="8"/>
    <x v="51"/>
    <s v="Fresh or Not Specified"/>
    <m/>
    <s v="No"/>
    <s v="Turkey"/>
    <n v="2011"/>
    <s v="Mustafa Özilgena, Esra Sorgüvenb"/>
    <s v="a Department of Food Engineering, Faculty of Engineering, Yeditepe University, 34755 Kayisdagi Istanbul, Turkey b Department of Mechanical Engineering, Faculty of Engineering, Yeditepe University, Atas¸ ehir 34755, Kayisdagi Istanbul, Turkey"/>
    <s v="Peer Reviewed Journal"/>
    <s v="Özilgen, M. and Sorgüven, E., Energy and exergy utilization, and carbon dioxide emission in vegetable oil production. Energy 2011, 36 (10), 5954-5967."/>
    <s v="Yes"/>
    <s v="No"/>
    <s v="Yes"/>
    <s v="Yes"/>
    <s v="Yes"/>
    <s v="Yes"/>
    <s v="No"/>
    <s v="No"/>
    <s v="No"/>
    <s v="No"/>
    <s v="No"/>
    <s v="No"/>
    <m/>
    <s v="only accounts CO2 emissions, therfore not logging GHGE"/>
    <s v="No"/>
    <s v="Yes"/>
    <s v="ton packaged oil"/>
    <s v="/1000"/>
    <n v="8.5329999999999995"/>
    <n v="8.8000699999999998"/>
    <s v=""/>
    <s v=""/>
    <n v="8.5329999999999995"/>
    <m/>
    <n v="0.26706999999999997"/>
    <n v="1.0069999999999999"/>
    <n v="0.22209999999999999"/>
    <m/>
    <m/>
    <m/>
    <m/>
    <n v="8.5329999999999995"/>
    <n v="10.029"/>
    <m/>
    <m/>
    <m/>
    <m/>
    <m/>
    <m/>
    <m/>
    <m/>
    <m/>
    <m/>
    <m/>
    <m/>
    <m/>
    <m/>
    <m/>
  </r>
  <r>
    <x v="8"/>
    <x v="49"/>
    <s v="Fresh or Not Specified"/>
    <m/>
    <s v="No"/>
    <s v="Turkey"/>
    <n v="2011"/>
    <s v="Mustafa Özilgena, Esra Sorgüvenb"/>
    <s v="a Department of Food Engineering, Faculty of Engineering, Yeditepe University, 34755 Kayisdagi Istanbul, Turkey b Department of Mechanical Engineering, Faculty of Engineering, Yeditepe University, Atas¸ ehir 34755, Kayisdagi Istanbul, Turkey"/>
    <s v="Peer Reviewed Journal"/>
    <s v="Özilgen, M. and Sorgüven, E., Energy and exergy utilization, and carbon dioxide emission in vegetable oil production. Energy 2011, 36 (10), 5954-5967."/>
    <s v="Yes"/>
    <s v="No"/>
    <s v="Yes"/>
    <s v="Yes"/>
    <s v="Yes"/>
    <s v="Yes"/>
    <s v="No"/>
    <s v="No"/>
    <s v="No"/>
    <s v="No"/>
    <s v="No"/>
    <s v="No"/>
    <m/>
    <s v="only accounts CO2 emissions, therfore not logging GHGE"/>
    <s v="No"/>
    <s v="Yes"/>
    <s v="ton packaged oil"/>
    <s v="/1000"/>
    <n v="5.1790000000000003"/>
    <n v="5.7941000000000003"/>
    <s v=""/>
    <s v=""/>
    <n v="5.1790000000000003"/>
    <n v="8.09E-2"/>
    <n v="0.53420000000000001"/>
    <n v="1.4929000000000001"/>
    <n v="0.44419999999999998"/>
    <m/>
    <m/>
    <m/>
    <m/>
    <n v="5.1790000000000003"/>
    <n v="7.7949999999999999"/>
    <m/>
    <m/>
    <m/>
    <m/>
    <m/>
    <m/>
    <m/>
    <m/>
    <m/>
    <m/>
    <m/>
    <m/>
    <m/>
    <m/>
    <m/>
  </r>
  <r>
    <x v="8"/>
    <x v="47"/>
    <s v="Fresh or Not Specified"/>
    <m/>
    <s v="No"/>
    <s v="Turkey"/>
    <n v="2011"/>
    <s v="Mustafa Özilgena, Esra Sorgüvenb"/>
    <s v="a Department of Food Engineering, Faculty of Engineering, Yeditepe University, 34755 Kayisdagi Istanbul, Turkey b Department of Mechanical Engineering, Faculty of Engineering, Yeditepe University, Atas¸ ehir 34755, Kayisdagi Istanbul, Turkey"/>
    <s v="Peer Reviewed Journal"/>
    <s v="Özilgen, M. and Sorgüven, E., Energy and exergy utilization, and carbon dioxide emission in vegetable oil production. Energy 2011, 36 (10), 5954-5967."/>
    <s v="Yes"/>
    <s v="No"/>
    <s v="Yes"/>
    <s v="Yes"/>
    <s v="Yes"/>
    <s v="Yes"/>
    <s v="No"/>
    <s v="No"/>
    <s v="No"/>
    <s v="No"/>
    <s v="No"/>
    <s v="No"/>
    <m/>
    <s v="only accounts CO2 emissions, therfore not logging GHGE"/>
    <s v="No"/>
    <s v="Yes"/>
    <s v="ton packaged oil"/>
    <s v="/1000"/>
    <n v="6.0730000000000004"/>
    <n v="6.4828999999999999"/>
    <s v=""/>
    <s v=""/>
    <n v="6.0730000000000004"/>
    <n v="8.09E-2"/>
    <n v="0.32900000000000001"/>
    <n v="0.95889999999999997"/>
    <n v="0.1777"/>
    <m/>
    <m/>
    <m/>
    <m/>
    <n v="6.0730000000000004"/>
    <n v="7.6189999999999998"/>
    <m/>
    <m/>
    <m/>
    <m/>
    <m/>
    <m/>
    <m/>
    <m/>
    <m/>
    <m/>
    <m/>
    <m/>
    <m/>
    <m/>
    <m/>
  </r>
  <r>
    <x v="11"/>
    <x v="148"/>
    <s v="Fresh or Not Specified"/>
    <s v="Hazelnut in Bag"/>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52"/>
    <n v="0.64"/>
    <m/>
    <m/>
    <m/>
    <m/>
    <m/>
    <m/>
    <m/>
    <m/>
    <m/>
    <m/>
    <m/>
    <m/>
    <m/>
    <n v="0.52"/>
    <n v="0.03"/>
    <n v="0.09"/>
    <n v="0.36"/>
    <n v="0.2"/>
    <m/>
    <m/>
    <m/>
    <m/>
    <n v="0.52"/>
    <n v="1.2"/>
    <m/>
    <m/>
  </r>
  <r>
    <x v="11"/>
    <x v="115"/>
    <s v="Fresh or Not Specified"/>
    <s v="Peanut in Bag"/>
    <s v="No"/>
    <s v="Italy / Argentina"/>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62"/>
    <n v="0.82"/>
    <m/>
    <m/>
    <m/>
    <m/>
    <m/>
    <m/>
    <m/>
    <m/>
    <m/>
    <m/>
    <m/>
    <m/>
    <m/>
    <n v="0.62"/>
    <n v="0.09"/>
    <n v="0.11"/>
    <n v="0.33"/>
    <n v="0.2"/>
    <m/>
    <m/>
    <m/>
    <m/>
    <n v="0.62"/>
    <n v="1.36"/>
    <m/>
    <m/>
  </r>
  <r>
    <x v="11"/>
    <x v="149"/>
    <s v="Fresh or Not Specified"/>
    <s v="Hazelnut paste in US"/>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52"/>
    <n v="0.75"/>
    <m/>
    <m/>
    <m/>
    <m/>
    <m/>
    <m/>
    <m/>
    <m/>
    <m/>
    <m/>
    <m/>
    <m/>
    <m/>
    <n v="0.52"/>
    <n v="0.04"/>
    <n v="0.19"/>
    <n v="0.78"/>
    <n v="7.0000000000000007E-2"/>
    <m/>
    <m/>
    <m/>
    <m/>
    <n v="0.52"/>
    <n v="1.59"/>
    <m/>
    <m/>
  </r>
  <r>
    <x v="11"/>
    <x v="130"/>
    <s v="Fresh or Not Specified"/>
    <s v="Peanut paste in US"/>
    <s v="No"/>
    <s v="Italy / Argentina"/>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62"/>
    <n v="0.89999999999999991"/>
    <m/>
    <m/>
    <m/>
    <m/>
    <m/>
    <m/>
    <m/>
    <m/>
    <m/>
    <m/>
    <m/>
    <m/>
    <m/>
    <n v="0.62"/>
    <n v="0.09"/>
    <n v="0.19"/>
    <n v="0.78"/>
    <n v="7.0000000000000007E-2"/>
    <m/>
    <m/>
    <m/>
    <m/>
    <n v="0.62"/>
    <n v="1.75"/>
    <m/>
    <m/>
  </r>
  <r>
    <x v="11"/>
    <x v="149"/>
    <s v="Fresh or Not Specified"/>
    <s v="Hazelnut paste in EU Market"/>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52"/>
    <n v="0.75"/>
    <m/>
    <m/>
    <m/>
    <m/>
    <m/>
    <m/>
    <m/>
    <m/>
    <m/>
    <m/>
    <m/>
    <m/>
    <m/>
    <n v="0.52"/>
    <n v="0.04"/>
    <n v="0.19"/>
    <n v="0.83"/>
    <n v="0.2"/>
    <m/>
    <m/>
    <m/>
    <m/>
    <n v="0.52"/>
    <n v="1.78"/>
    <m/>
    <m/>
  </r>
  <r>
    <x v="11"/>
    <x v="130"/>
    <s v="Fresh or Not Specified"/>
    <s v="Peanut paste in EU Market"/>
    <s v="No"/>
    <s v="Italy / Argentina"/>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62"/>
    <n v="0.89999999999999991"/>
    <m/>
    <m/>
    <m/>
    <m/>
    <m/>
    <m/>
    <m/>
    <m/>
    <m/>
    <m/>
    <m/>
    <m/>
    <m/>
    <n v="0.62"/>
    <n v="0.09"/>
    <n v="0.19"/>
    <n v="0.82"/>
    <n v="0.2"/>
    <m/>
    <m/>
    <m/>
    <m/>
    <n v="0.62"/>
    <n v="1.93"/>
    <m/>
    <m/>
  </r>
  <r>
    <x v="11"/>
    <x v="150"/>
    <s v="Fresh or Not Specified"/>
    <s v="Pistachio in Bag"/>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74"/>
    <n v="1.84"/>
    <m/>
    <m/>
    <m/>
    <m/>
    <m/>
    <m/>
    <m/>
    <m/>
    <m/>
    <m/>
    <m/>
    <m/>
    <m/>
    <n v="1.74"/>
    <n v="0.04"/>
    <n v="0.06"/>
    <n v="0.3"/>
    <n v="0.2"/>
    <m/>
    <m/>
    <m/>
    <m/>
    <n v="1.74"/>
    <n v="2.33"/>
    <m/>
    <m/>
  </r>
  <r>
    <x v="11"/>
    <x v="82"/>
    <s v="Fresh or Not Specified"/>
    <s v="Almond in Bag"/>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95"/>
    <n v="2.08"/>
    <m/>
    <m/>
    <m/>
    <m/>
    <m/>
    <m/>
    <m/>
    <m/>
    <m/>
    <m/>
    <m/>
    <m/>
    <m/>
    <n v="1.95"/>
    <n v="0.03"/>
    <n v="0.1"/>
    <n v="0.34"/>
    <n v="0.2"/>
    <m/>
    <m/>
    <m/>
    <m/>
    <n v="1.95"/>
    <n v="2.61"/>
    <m/>
    <m/>
  </r>
  <r>
    <x v="11"/>
    <x v="151"/>
    <s v="Fresh or Not Specified"/>
    <s v="Hazelnut spread cream in jar US"/>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1300000000000001"/>
    <n v="1.77"/>
    <m/>
    <m/>
    <m/>
    <m/>
    <m/>
    <m/>
    <m/>
    <m/>
    <m/>
    <m/>
    <m/>
    <m/>
    <m/>
    <n v="1.1300000000000001"/>
    <n v="0.04"/>
    <n v="0.6"/>
    <n v="0.78"/>
    <n v="7.0000000000000007E-2"/>
    <m/>
    <m/>
    <m/>
    <m/>
    <n v="1.1300000000000001"/>
    <n v="2.61"/>
    <m/>
    <m/>
  </r>
  <r>
    <x v="11"/>
    <x v="151"/>
    <s v="Fresh or Not Specified"/>
    <s v="Hazelnut spread cream in jar EU"/>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1399999999999999"/>
    <n v="1.7799999999999998"/>
    <m/>
    <m/>
    <m/>
    <m/>
    <m/>
    <m/>
    <m/>
    <m/>
    <m/>
    <m/>
    <m/>
    <m/>
    <m/>
    <n v="1.1399999999999999"/>
    <n v="0.04"/>
    <n v="0.6"/>
    <n v="0.82"/>
    <n v="0.2"/>
    <m/>
    <m/>
    <m/>
    <m/>
    <n v="1.1399999999999999"/>
    <n v="2.81"/>
    <m/>
    <m/>
  </r>
  <r>
    <x v="11"/>
    <x v="82"/>
    <s v="Fresh or Not Specified"/>
    <s v="Almond paste, US Market"/>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93"/>
    <n v="2.06"/>
    <m/>
    <m/>
    <m/>
    <m/>
    <m/>
    <m/>
    <m/>
    <m/>
    <m/>
    <m/>
    <m/>
    <m/>
    <m/>
    <n v="1.93"/>
    <n v="0.04"/>
    <n v="0.09"/>
    <n v="0.78"/>
    <n v="7.0000000000000007E-2"/>
    <m/>
    <m/>
    <m/>
    <m/>
    <n v="1.93"/>
    <n v="2.89"/>
    <m/>
    <m/>
  </r>
  <r>
    <x v="11"/>
    <x v="82"/>
    <s v="Fresh or Not Specified"/>
    <s v="Almond paste, EU market"/>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93"/>
    <n v="2.06"/>
    <m/>
    <m/>
    <m/>
    <m/>
    <m/>
    <m/>
    <m/>
    <m/>
    <m/>
    <m/>
    <m/>
    <m/>
    <m/>
    <n v="1.93"/>
    <n v="0.04"/>
    <n v="0.09"/>
    <n v="0.83"/>
    <n v="0.2"/>
    <m/>
    <m/>
    <m/>
    <m/>
    <n v="1.93"/>
    <n v="3.07"/>
    <m/>
    <m/>
  </r>
  <r>
    <x v="11"/>
    <x v="152"/>
    <s v="Fresh or Not Specified"/>
    <s v="Chocolate covered hazelnut"/>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2.41"/>
    <n v="2.6100000000000003"/>
    <m/>
    <m/>
    <m/>
    <m/>
    <m/>
    <m/>
    <m/>
    <m/>
    <m/>
    <m/>
    <m/>
    <m/>
    <m/>
    <n v="2.41"/>
    <n v="0.04"/>
    <n v="0.16"/>
    <n v="0.61"/>
    <n v="0.2"/>
    <m/>
    <m/>
    <m/>
    <m/>
    <n v="2.41"/>
    <n v="3.43"/>
    <m/>
    <m/>
  </r>
  <r>
    <x v="11"/>
    <x v="82"/>
    <s v="Fresh or Not Specified"/>
    <s v="Chocolate covered almond"/>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4.16"/>
    <n v="4.3100000000000005"/>
    <m/>
    <m/>
    <m/>
    <m/>
    <m/>
    <m/>
    <m/>
    <m/>
    <m/>
    <m/>
    <m/>
    <m/>
    <m/>
    <n v="4.16"/>
    <n v="0.04"/>
    <n v="0.11"/>
    <n v="0.28999999999999998"/>
    <n v="0.2"/>
    <m/>
    <m/>
    <m/>
    <m/>
    <n v="4.16"/>
    <n v="4.8"/>
    <m/>
    <m/>
  </r>
  <r>
    <x v="11"/>
    <x v="116"/>
    <s v="Fresh or Not Specified"/>
    <s v="small scale mechanized roast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0.41424"/>
    <m/>
    <m/>
    <m/>
    <m/>
    <m/>
    <m/>
    <m/>
    <m/>
    <m/>
    <m/>
    <m/>
    <m/>
    <m/>
    <m/>
    <n v="8.702E-2"/>
    <n v="0.32722000000000001"/>
    <n v="2.1930000000000002E-2"/>
    <n v="0.21873999999999999"/>
    <m/>
    <m/>
    <m/>
    <m/>
    <m/>
    <n v="0.65490999999999999"/>
    <m/>
    <s v="IPCC 2006"/>
  </r>
  <r>
    <x v="11"/>
    <x v="116"/>
    <s v="Fresh or Not Specified"/>
    <s v="large scale mechanied roast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0.14235"/>
    <m/>
    <m/>
    <m/>
    <m/>
    <m/>
    <m/>
    <m/>
    <m/>
    <m/>
    <m/>
    <m/>
    <m/>
    <m/>
    <m/>
    <n v="8.702E-2"/>
    <n v="5.5329999999999997E-2"/>
    <n v="2.1930000000000002E-2"/>
    <n v="0.21873999999999999"/>
    <m/>
    <m/>
    <m/>
    <m/>
    <m/>
    <n v="0.38302000000000003"/>
    <m/>
    <s v="IPCC 2006"/>
  </r>
  <r>
    <x v="11"/>
    <x v="116"/>
    <s v="Fresh or Not Specified"/>
    <s v="large scale thermal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1.9833500000000002"/>
    <m/>
    <m/>
    <m/>
    <m/>
    <m/>
    <m/>
    <m/>
    <m/>
    <m/>
    <m/>
    <m/>
    <m/>
    <m/>
    <m/>
    <n v="8.702E-2"/>
    <n v="1.8963300000000001"/>
    <n v="2.1930000000000002E-2"/>
    <n v="0.21873999999999999"/>
    <m/>
    <m/>
    <m/>
    <m/>
    <m/>
    <n v="2.2240199999999999"/>
    <m/>
    <s v="IPCC 2006"/>
  </r>
  <r>
    <x v="11"/>
    <x v="116"/>
    <s v="Fresh or Not Specified"/>
    <s v="small scale thermal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3.2003399999999997"/>
    <m/>
    <m/>
    <m/>
    <m/>
    <m/>
    <m/>
    <m/>
    <m/>
    <m/>
    <m/>
    <m/>
    <m/>
    <m/>
    <m/>
    <n v="8.702E-2"/>
    <n v="3.1133199999999999"/>
    <n v="2.1930000000000002E-2"/>
    <n v="0.21873999999999999"/>
    <m/>
    <m/>
    <m/>
    <m/>
    <m/>
    <n v="3.4410099999999995"/>
    <m/>
    <s v="IPCC 2006"/>
  </r>
  <r>
    <x v="11"/>
    <x v="116"/>
    <s v="Fresh or Not Specified"/>
    <s v="large scale electric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1.1412"/>
    <m/>
    <m/>
    <m/>
    <m/>
    <m/>
    <m/>
    <m/>
    <m/>
    <m/>
    <m/>
    <m/>
    <m/>
    <m/>
    <m/>
    <n v="8.702E-2"/>
    <n v="1.0541799999999999"/>
    <n v="2.1930000000000002E-2"/>
    <n v="0.21873999999999999"/>
    <m/>
    <m/>
    <m/>
    <m/>
    <m/>
    <n v="1.3818699999999999"/>
    <m/>
    <s v="IPCC 2006"/>
  </r>
  <r>
    <x v="11"/>
    <x v="116"/>
    <s v="Fresh or Not Specified"/>
    <s v="small scale electric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2.2345999999999999"/>
    <m/>
    <m/>
    <m/>
    <m/>
    <m/>
    <m/>
    <m/>
    <m/>
    <m/>
    <m/>
    <m/>
    <m/>
    <m/>
    <m/>
    <n v="8.702E-2"/>
    <n v="2.14758"/>
    <n v="2.1930000000000002E-2"/>
    <n v="0.21873999999999999"/>
    <m/>
    <m/>
    <m/>
    <m/>
    <m/>
    <n v="2.4752699999999996"/>
    <m/>
    <s v="IPCC 2006"/>
  </r>
  <r>
    <x v="11"/>
    <x v="116"/>
    <s v="Fresh or Not Specified"/>
    <s v="small scale mechanized roast method factories, Ghana (Raw) to Vietnam (Packaging) to US (Retail)"/>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1.97007"/>
    <m/>
    <m/>
    <m/>
    <m/>
    <m/>
    <m/>
    <m/>
    <m/>
    <m/>
    <m/>
    <m/>
    <m/>
    <m/>
    <m/>
    <n v="1.6428499999999999"/>
    <n v="0.32722000000000001"/>
    <n v="2.0310000000000002E-2"/>
    <n v="0.36062"/>
    <m/>
    <m/>
    <m/>
    <m/>
    <m/>
    <n v="2.351"/>
    <m/>
    <s v="IPCC 2006"/>
  </r>
  <r>
    <x v="11"/>
    <x v="116"/>
    <s v="Fresh or Not Specified"/>
    <s v="large scale mechanied roast method factories, Ghana (Raw) to Vietnam (Packaging) to US (Retail)"/>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1.69818"/>
    <m/>
    <m/>
    <m/>
    <m/>
    <m/>
    <m/>
    <m/>
    <m/>
    <m/>
    <m/>
    <m/>
    <m/>
    <m/>
    <m/>
    <n v="1.6428499999999999"/>
    <n v="5.5329999999999997E-2"/>
    <n v="2.0310000000000002E-2"/>
    <n v="0.36062"/>
    <m/>
    <m/>
    <m/>
    <m/>
    <m/>
    <n v="2.07911"/>
    <m/>
    <s v="IPCC 2006"/>
  </r>
  <r>
    <x v="11"/>
    <x v="116"/>
    <s v="Fresh or Not Specified"/>
    <s v="large scale thermal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3.53918"/>
    <m/>
    <m/>
    <m/>
    <m/>
    <m/>
    <m/>
    <m/>
    <m/>
    <m/>
    <m/>
    <m/>
    <m/>
    <m/>
    <m/>
    <n v="1.6428499999999999"/>
    <n v="1.8963300000000001"/>
    <n v="2.0310000000000002E-2"/>
    <n v="0.36062"/>
    <m/>
    <m/>
    <m/>
    <m/>
    <m/>
    <n v="3.9201099999999998"/>
    <m/>
    <s v="IPCC 2006"/>
  </r>
  <r>
    <x v="11"/>
    <x v="116"/>
    <s v="Fresh or Not Specified"/>
    <s v="small scale thermal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4.75617"/>
    <m/>
    <m/>
    <m/>
    <m/>
    <m/>
    <m/>
    <m/>
    <m/>
    <m/>
    <m/>
    <m/>
    <m/>
    <m/>
    <m/>
    <n v="1.6428499999999999"/>
    <n v="3.1133199999999999"/>
    <n v="2.0310000000000002E-2"/>
    <n v="0.36062"/>
    <m/>
    <m/>
    <m/>
    <m/>
    <m/>
    <n v="5.1371000000000002"/>
    <m/>
    <s v="IPCC 2006"/>
  </r>
  <r>
    <x v="11"/>
    <x v="116"/>
    <s v="Fresh or Not Specified"/>
    <s v="large scale electric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2.6970299999999998"/>
    <m/>
    <m/>
    <m/>
    <m/>
    <m/>
    <m/>
    <m/>
    <m/>
    <m/>
    <m/>
    <m/>
    <m/>
    <m/>
    <m/>
    <n v="1.6428499999999999"/>
    <n v="1.0541799999999999"/>
    <n v="2.0310000000000002E-2"/>
    <n v="0.36062"/>
    <m/>
    <m/>
    <m/>
    <m/>
    <m/>
    <n v="3.0779599999999996"/>
    <m/>
    <s v="IPCC 2006"/>
  </r>
  <r>
    <x v="11"/>
    <x v="116"/>
    <s v="Fresh or Not Specified"/>
    <s v="small scale electric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3.7904299999999997"/>
    <m/>
    <m/>
    <m/>
    <m/>
    <m/>
    <m/>
    <m/>
    <m/>
    <m/>
    <m/>
    <m/>
    <m/>
    <m/>
    <m/>
    <n v="1.6428499999999999"/>
    <n v="2.14758"/>
    <n v="2.0310000000000002E-2"/>
    <n v="0.36062"/>
    <m/>
    <m/>
    <m/>
    <m/>
    <m/>
    <n v="4.17136"/>
    <m/>
    <s v="IPCC 2006"/>
  </r>
  <r>
    <x v="10"/>
    <x v="153"/>
    <s v="Fresh or Not Specified"/>
    <m/>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s v=""/>
    <s v=""/>
    <s v=""/>
    <s v=""/>
    <m/>
    <m/>
    <m/>
    <m/>
    <m/>
    <m/>
    <m/>
    <m/>
    <m/>
    <m/>
    <n v="1086"/>
    <m/>
    <m/>
    <m/>
    <m/>
    <m/>
    <m/>
    <m/>
    <m/>
    <m/>
    <m/>
    <m/>
    <m/>
    <n v="72.5"/>
    <m/>
    <m/>
  </r>
  <r>
    <x v="10"/>
    <x v="154"/>
    <s v="Fresh or Not Specified"/>
    <m/>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s v=""/>
    <s v=""/>
    <s v=""/>
    <s v=""/>
    <m/>
    <m/>
    <m/>
    <m/>
    <m/>
    <m/>
    <m/>
    <m/>
    <m/>
    <m/>
    <n v="675"/>
    <m/>
    <m/>
    <m/>
    <m/>
    <m/>
    <m/>
    <m/>
    <m/>
    <m/>
    <m/>
    <m/>
    <m/>
    <n v="43"/>
    <m/>
    <m/>
  </r>
  <r>
    <x v="7"/>
    <x v="65"/>
    <s v="Fresh or Not Specified"/>
    <s v="Natural Orange Juice"/>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n v="5.6"/>
    <n v="8.3999999999999986"/>
    <n v="0.47399999999999998"/>
    <n v="0.55120000000000002"/>
    <n v="5.6"/>
    <m/>
    <n v="2.8"/>
    <m/>
    <n v="5.6"/>
    <m/>
    <m/>
    <m/>
    <m/>
    <n v="5.6"/>
    <n v="14"/>
    <m/>
    <m/>
    <n v="0.47399999999999998"/>
    <m/>
    <n v="7.7200000000000005E-2"/>
    <m/>
    <n v="0.30790000000000001"/>
    <m/>
    <m/>
    <m/>
    <m/>
    <n v="0.47399999999999998"/>
    <n v="0.85909999999999997"/>
    <m/>
    <m/>
  </r>
  <r>
    <x v="7"/>
    <x v="155"/>
    <s v="Fresh or Not Specified"/>
    <s v="Natural Lemon Juice"/>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n v="4"/>
    <n v="6"/>
    <n v="0.26400000000000001"/>
    <n v="0.33160000000000001"/>
    <n v="4"/>
    <m/>
    <n v="2"/>
    <m/>
    <n v="4"/>
    <m/>
    <m/>
    <m/>
    <m/>
    <n v="4"/>
    <n v="9.8000000000000007"/>
    <m/>
    <m/>
    <n v="0.26400000000000001"/>
    <m/>
    <n v="6.7599999999999993E-2"/>
    <m/>
    <n v="0.28999999999999998"/>
    <m/>
    <m/>
    <m/>
    <m/>
    <n v="0.26400000000000001"/>
    <n v="0.62159999999999993"/>
    <m/>
    <m/>
  </r>
  <r>
    <x v="7"/>
    <x v="156"/>
    <s v="Frozen"/>
    <s v="Orange Juice Concentrate"/>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s v=""/>
    <s v=""/>
    <s v=""/>
    <s v=""/>
    <m/>
    <m/>
    <m/>
    <m/>
    <m/>
    <m/>
    <m/>
    <m/>
    <m/>
    <m/>
    <n v="108"/>
    <m/>
    <m/>
    <m/>
    <m/>
    <m/>
    <m/>
    <m/>
    <m/>
    <m/>
    <m/>
    <m/>
    <m/>
    <n v="5.7"/>
    <m/>
    <m/>
  </r>
  <r>
    <x v="7"/>
    <x v="157"/>
    <s v="Frozen"/>
    <s v="Lemon Juice Concentrate"/>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s v=""/>
    <s v=""/>
    <s v=""/>
    <s v=""/>
    <m/>
    <m/>
    <m/>
    <m/>
    <m/>
    <m/>
    <m/>
    <m/>
    <m/>
    <m/>
    <n v="76"/>
    <m/>
    <m/>
    <m/>
    <m/>
    <m/>
    <m/>
    <m/>
    <m/>
    <m/>
    <m/>
    <m/>
    <m/>
    <n v="4"/>
    <m/>
    <m/>
  </r>
  <r>
    <x v="4"/>
    <x v="73"/>
    <s v="Canned"/>
    <s v="Spanish-style green table, packed in tins, ave. of 3 tin sizes"/>
    <s v="Yes"/>
    <s v="Italy"/>
    <n v="2010"/>
    <s v="G.M. CAPPELLETTI*, G.M. NICOLETTI1 and C. RUSSO1"/>
    <s v="1Dipartimento di Scienze Economico-Aziendali, Giuridiche, Merceologiche e Geografiche (SEAGMeG), Università degli Studi di Foggia, Via Caggese, 1, 71100 Foggia, ItalyBIOAGROMED (Istituto per la Ricerca e le Applicazioni Biotecnologiche per la Sicurezza e la Valorizzazione dei Prodotti Tipici e di Qualità), Università degli Studi di Foggia, Foggia, Italy1Dipartimento di Scienze Economico-Aziendali, Giuridiche, Merceologiche e Geografiche (SEAGMeG), Università degli Studi di Foggia, Via Caggese, 1, 71100 Foggia, Italy"/>
    <s v="Peer Reviewed Journal"/>
    <s v="Cappelletti, G. M., Nicoletti, G. M. and Russo, C., LIFE CYCLE ASSESSMENT ( LCA ) OF SPANISH-STYLE GREEN TABLE OLIVES. Italian Journal of Food Science 2010, 22 (1), 3-14."/>
    <s v="Yes"/>
    <s v="No"/>
    <s v="Yes"/>
    <s v="Yes"/>
    <s v="Yes"/>
    <s v="No"/>
    <s v="No"/>
    <s v="No"/>
    <s v="No"/>
    <s v="No"/>
    <s v="No"/>
    <s v="No"/>
    <m/>
    <s v="cradle to factory gate"/>
    <s v="No"/>
    <s v="No"/>
    <s v="100 kg of drained packaged olives, including pit"/>
    <s v="/100"/>
    <n v="7.7979999999999992"/>
    <s v=""/>
    <n v="0.56869999999999998"/>
    <s v=""/>
    <m/>
    <m/>
    <m/>
    <m/>
    <m/>
    <m/>
    <m/>
    <m/>
    <m/>
    <n v="7.7979999999999992"/>
    <n v="16.840999999999998"/>
    <m/>
    <m/>
    <m/>
    <m/>
    <m/>
    <m/>
    <m/>
    <m/>
    <m/>
    <m/>
    <m/>
    <n v="0.56869999999999998"/>
    <n v="9.1310000000000002"/>
    <m/>
    <m/>
  </r>
  <r>
    <x v="4"/>
    <x v="73"/>
    <s v="Canned"/>
    <s v="Spanish-style green table, packed in glass jars, ave. of 6 jar sizes"/>
    <s v="Yes"/>
    <s v="Italy"/>
    <n v="2010"/>
    <s v="G.M. CAPPELLETTI*, G.M. NICOLETTI1 and C. RUSSO1"/>
    <s v="1Dipartimento di Scienze Economico-Aziendali, Giuridiche, Merceologiche e Geografiche (SEAGMeG), Università degli Studi di Foggia, Via Caggese, 1, 71100 Foggia, ItalyBIOAGROMED (Istituto per la Ricerca e le Applicazioni Biotecnologiche per la Sicurezza e la Valorizzazione dei Prodotti Tipici e di Qualità), Università degli Studi di Foggia, Foggia, Italy1Dipartimento di Scienze Economico-Aziendali, Giuridiche, Merceologiche e Geografiche (SEAGMeG), Università degli Studi di Foggia, Via Caggese, 1, 71100 Foggia, Italy"/>
    <s v="Peer Reviewed Journal"/>
    <s v="Cappelletti, G. M., Nicoletti, G. M. and Russo, C., LIFE CYCLE ASSESSMENT ( LCA ) OF SPANISH-STYLE GREEN TABLE OLIVES. Italian Journal of Food Science 2010, 22 (1), 3-14."/>
    <s v="Yes"/>
    <s v="No"/>
    <s v="Yes"/>
    <s v="Yes"/>
    <s v="Yes"/>
    <s v="No"/>
    <s v="No"/>
    <s v="No"/>
    <s v="No"/>
    <s v="No"/>
    <s v="No"/>
    <s v="No"/>
    <m/>
    <s v="cradle to factory gate"/>
    <s v="No"/>
    <s v="No"/>
    <s v="100 kg of drained packaged olives, including pit"/>
    <s v="/100"/>
    <n v="7.7979999999999992"/>
    <s v=""/>
    <n v="0.56869999999999998"/>
    <s v=""/>
    <m/>
    <m/>
    <m/>
    <m/>
    <m/>
    <m/>
    <m/>
    <m/>
    <m/>
    <n v="7.7979999999999992"/>
    <n v="19.774999999999999"/>
    <m/>
    <m/>
    <m/>
    <m/>
    <m/>
    <m/>
    <m/>
    <m/>
    <m/>
    <m/>
    <m/>
    <n v="0.56869999999999998"/>
    <n v="8.3840000000000003"/>
    <m/>
    <m/>
  </r>
  <r>
    <x v="4"/>
    <x v="81"/>
    <s v="Fresh or Not Specified"/>
    <s v="Strawberries"/>
    <s v="Yes"/>
    <s v="Italy"/>
    <n v="2015"/>
    <s v="Cristiana Peano (a); Claudio Baudino (a, b); Nadia Tecco (a); Vincenzo Girgenti (a);"/>
    <s v="(a) Department of Agricultural, Forestry and Food Sciences, University of Turin, Turin, Italy_x000a_; (b) Ortofruit Italia, Saluzzo, Italy;"/>
    <s v="Peer Reviewed Journal"/>
    <s v="Peano, C., Baudino, C., Tecco, N. and Girgenti, V., Green marketing tools for fruit growers associated groups: application of the Life Cycle Assessment (LCA) for strawberries and berry fruits ecobranding in northern Italy. Journal of Cleaner Production 2015, 104, 59-67."/>
    <s v="Yes"/>
    <s v="Yes"/>
    <s v="Yes"/>
    <s v="Yes"/>
    <s v="Yes"/>
    <s v="Yes"/>
    <s v="Yes"/>
    <s v="No"/>
    <s v="No"/>
    <s v="No"/>
    <s v="No"/>
    <s v="No"/>
    <s v="packaging waste disposal"/>
    <m/>
    <s v="Yes"/>
    <s v="Yes"/>
    <s v="0.250kg"/>
    <s v="/0.25"/>
    <n v="9.6999999999999993"/>
    <s v=""/>
    <n v="0.32400000000000001"/>
    <s v=""/>
    <n v="9.6999999999999993"/>
    <m/>
    <m/>
    <n v="4.484"/>
    <n v="0.6"/>
    <m/>
    <m/>
    <n v="0.02"/>
    <m/>
    <n v="9.6999999999999993"/>
    <n v="14.8"/>
    <s v="NRE e Impact 2002 þ v. 2.04:"/>
    <m/>
    <n v="0.32400000000000001"/>
    <m/>
    <m/>
    <n v="0.16400000000000001"/>
    <n v="0.04"/>
    <m/>
    <m/>
    <n v="2.4E-2"/>
    <m/>
    <n v="0.32400000000000001"/>
    <n v="0.55200000000000005"/>
    <m/>
    <s v="IPCC GWP 100a:"/>
  </r>
  <r>
    <x v="4"/>
    <x v="79"/>
    <s v="Fresh or Not Specified"/>
    <s v="Blue berries"/>
    <s v="Yes"/>
    <s v="Italy"/>
    <n v="2015"/>
    <s v="Cristiana Peano (a); Claudio Baudino (a, b); Nadia Tecco (a); Vincenzo Girgenti (a);"/>
    <s v="(a) Department of Agricultural, Forestry and Food Sciences, University of Turin, Turin, Italy_x000a_; (b) Ortofruit Italia, Saluzzo, Italy;"/>
    <s v="Peer Reviewed Journal"/>
    <s v="Peano, C., Baudino, C., Tecco, N. and Girgenti, V., Green marketing tools for fruit growers associated groups: application of the Life Cycle Assessment (LCA) for strawberries and berry fruits ecobranding in northern Italy. Journal of Cleaner Production 2015, 104, 59-67."/>
    <s v="Yes"/>
    <s v="Yes"/>
    <s v="Yes"/>
    <s v="Yes"/>
    <s v="Yes"/>
    <s v="Yes"/>
    <s v="Yes"/>
    <s v="No"/>
    <s v="No"/>
    <s v="No"/>
    <s v="No"/>
    <s v="No"/>
    <s v="packaging waste disposal"/>
    <m/>
    <s v="Yes"/>
    <s v="Yes"/>
    <s v="0.125g"/>
    <s v="/0.125"/>
    <n v="3.2320000000000002"/>
    <s v=""/>
    <n v="0.16800000000000001"/>
    <s v=""/>
    <n v="3.2320000000000002"/>
    <m/>
    <m/>
    <n v="4.4880000000000004"/>
    <n v="1.248"/>
    <m/>
    <m/>
    <n v="1.6E-2"/>
    <m/>
    <n v="3.2320000000000002"/>
    <n v="8.984"/>
    <s v="NRE e Impact 2002 þ v. 2.04:"/>
    <m/>
    <n v="0.16800000000000001"/>
    <m/>
    <m/>
    <n v="0.16800000000000001"/>
    <n v="0.08"/>
    <m/>
    <m/>
    <n v="2.4E-2"/>
    <m/>
    <n v="0.16800000000000001"/>
    <n v="0.44"/>
    <m/>
    <s v="IPCC GWP 100a:"/>
  </r>
  <r>
    <x v="4"/>
    <x v="68"/>
    <s v="Fresh or Not Specified"/>
    <s v="Raspberry"/>
    <s v="Yes"/>
    <s v="Italy"/>
    <n v="2015"/>
    <s v="Cristiana Peano (a); Claudio Baudino (a, b); Nadia Tecco (a); Vincenzo Girgenti (a);"/>
    <s v="(a) Department of Agricultural, Forestry and Food Sciences, University of Turin, Turin, Italy_x000a_; (b) Ortofruit Italia, Saluzzo, Italy;"/>
    <s v="Peer Reviewed Journal"/>
    <s v="Peano, C., Baudino, C., Tecco, N. and Girgenti, V., Green marketing tools for fruit growers associated groups: application of the Life Cycle Assessment (LCA) for strawberries and berry fruits ecobranding in northern Italy. Journal of Cleaner Production 2015, 104, 59-67."/>
    <s v="Yes"/>
    <s v="Yes"/>
    <s v="Yes"/>
    <s v="Yes"/>
    <s v="Yes"/>
    <s v="Yes"/>
    <s v="Yes"/>
    <s v="No"/>
    <s v="No"/>
    <s v="No"/>
    <s v="No"/>
    <s v="No"/>
    <s v="packaging waste disposal"/>
    <m/>
    <s v="Yes"/>
    <s v="Yes"/>
    <s v="0.125g"/>
    <s v="/0.125"/>
    <n v="3.8479999999999999"/>
    <s v=""/>
    <n v="0.192"/>
    <s v=""/>
    <n v="3.8479999999999999"/>
    <m/>
    <m/>
    <n v="4.4880000000000004"/>
    <n v="0.6"/>
    <m/>
    <m/>
    <n v="1.6E-2"/>
    <m/>
    <n v="3.8479999999999999"/>
    <n v="8.952"/>
    <s v="NRE e Impact 2002 þ v. 2.04:"/>
    <m/>
    <n v="0.192"/>
    <m/>
    <m/>
    <n v="0.16800000000000001"/>
    <n v="3.2000000000000001E-2"/>
    <m/>
    <m/>
    <n v="2.4E-2"/>
    <m/>
    <n v="0.192"/>
    <n v="0.41599999999999998"/>
    <m/>
    <s v="IPCC GWP 100a:"/>
  </r>
  <r>
    <x v="11"/>
    <x v="148"/>
    <s v="Fresh or Not Specified"/>
    <s v="Small farms &lt;1 ha"/>
    <s v="Yes"/>
    <s v="Iran"/>
    <n v="2015"/>
    <s v="Alireza Sabzevari (a); Hamed Kouchaki-Penchah (b); Ashkan Nabavi-Pelesaraei (c)"/>
    <s v="(a) Department of Agricultural Machinery Engineering, Faculty of Agriculture, Dezful Branch, Islamic Azad University, Dezful, IRAN; (b) Department of Agricultural Machinery Engineering, Faculty of Agricultural Engineering and Technology, University of Tehran, Karaj, IRAN; (c) Young Researchers and Elite Club, Langroud Branch,_x000a_ Islamic Azad University, Langroud, IRAN;"/>
    <s v="Peer Reviewed Journal"/>
    <s v="Sabzevari, A., Kouchaki-Penchah, H. and Nabavi-Pelesaraei, A., Investigation of Life Cycle Assessment of Hazelnut Production in Guilan Province of I . R . Iran Based on Orchards size Levels. Bioloigical Journal 2015, 7 (1), 807-813."/>
    <s v="Yes"/>
    <s v="No"/>
    <s v="No"/>
    <s v="No"/>
    <s v="No"/>
    <s v="No"/>
    <s v="No"/>
    <s v="No"/>
    <s v="No"/>
    <s v="No"/>
    <s v="No"/>
    <s v="Yes"/>
    <m/>
    <s v="production only"/>
    <s v="No"/>
    <s v="No"/>
    <s v="1 tonne of Hazelnut"/>
    <s v="/1000"/>
    <s v=""/>
    <s v=""/>
    <s v=""/>
    <s v=""/>
    <m/>
    <m/>
    <m/>
    <m/>
    <m/>
    <m/>
    <m/>
    <m/>
    <m/>
    <m/>
    <m/>
    <m/>
    <m/>
    <m/>
    <m/>
    <m/>
    <m/>
    <m/>
    <m/>
    <m/>
    <m/>
    <m/>
    <m/>
    <n v="0.77522999999999997"/>
    <m/>
    <s v="CML method;"/>
  </r>
  <r>
    <x v="11"/>
    <x v="148"/>
    <s v="Fresh or Not Specified"/>
    <s v="Medium farms 1&lt;ha&lt;3"/>
    <s v="Yes"/>
    <s v="Iran"/>
    <n v="2015"/>
    <s v="Alireza Sabzevari (a); Hamed Kouchaki-Penchah (b); Ashkan Nabavi-Pelesaraei (c)"/>
    <s v="(a) Department of Agricultural Machinery Engineering, Faculty of Agriculture, Dezful Branch, Islamic Azad University, Dezful, IRAN; (b) Department of Agricultural Machinery Engineering, Faculty of Agricultural Engineering and Technology, University of Tehran, Karaj, IRAN; (c) Young Researchers and Elite Club, Langroud Branch,_x000a_ Islamic Azad University, Langroud, IRAN;"/>
    <s v="Peer Reviewed Journal"/>
    <s v="Sabzevari, A., Kouchaki-Penchah, H. and Nabavi-Pelesaraei, A., Investigation of Life Cycle Assessment of Hazelnut Production in Guilan Province of I . R . Iran Based on Orchards size Levels. Bioloigical Journal 2015, 7 (1), 807-813."/>
    <s v="Yes"/>
    <s v="No"/>
    <s v="No"/>
    <s v="No"/>
    <s v="No"/>
    <s v="No"/>
    <s v="No"/>
    <s v="No"/>
    <s v="No"/>
    <s v="No"/>
    <s v="No"/>
    <s v="Yes"/>
    <m/>
    <s v="production only"/>
    <s v="No"/>
    <s v="No"/>
    <s v="1 tonne of Hazelnut"/>
    <s v="/1000"/>
    <s v=""/>
    <s v=""/>
    <s v=""/>
    <s v=""/>
    <m/>
    <m/>
    <m/>
    <m/>
    <m/>
    <m/>
    <m/>
    <m/>
    <m/>
    <m/>
    <m/>
    <m/>
    <m/>
    <m/>
    <m/>
    <m/>
    <m/>
    <m/>
    <m/>
    <m/>
    <m/>
    <m/>
    <m/>
    <n v="0.66598999999999997"/>
    <m/>
    <s v="CML method;"/>
  </r>
  <r>
    <x v="11"/>
    <x v="148"/>
    <s v="Fresh or Not Specified"/>
    <s v="Large farms &gt;3 ha"/>
    <s v="Yes"/>
    <s v="Iran"/>
    <n v="2015"/>
    <s v="Alireza Sabzevari (a); Hamed Kouchaki-Penchah (b); Ashkan Nabavi-Pelesaraei (c)"/>
    <s v="(a) Department of Agricultural Machinery Engineering, Faculty of Agriculture, Dezful Branch, Islamic Azad University, Dezful, IRAN; (b) Department of Agricultural Machinery Engineering, Faculty of Agricultural Engineering and Technology, University of Tehran, Karaj, IRAN; (c) Young Researchers and Elite Club, Langroud Branch,_x000a_ Islamic Azad University, Langroud, IRAN;"/>
    <s v="Peer Reviewed Journal"/>
    <s v="Sabzevari, A., Kouchaki-Penchah, H. and Nabavi-Pelesaraei, A., Investigation of Life Cycle Assessment of Hazelnut Production in Guilan Province of I . R . Iran Based on Orchards size Levels. Bioloigical Journal 2015, 7 (1), 807-813."/>
    <s v="Yes"/>
    <s v="No"/>
    <s v="No"/>
    <s v="No"/>
    <s v="No"/>
    <s v="No"/>
    <s v="No"/>
    <s v="No"/>
    <s v="No"/>
    <s v="No"/>
    <s v="No"/>
    <s v="Yes"/>
    <m/>
    <s v="production only"/>
    <s v="No"/>
    <s v="No"/>
    <s v="1 tonne of Hazelnut"/>
    <s v="/1000"/>
    <s v=""/>
    <s v=""/>
    <s v=""/>
    <s v=""/>
    <m/>
    <m/>
    <m/>
    <m/>
    <m/>
    <m/>
    <m/>
    <m/>
    <m/>
    <m/>
    <m/>
    <m/>
    <m/>
    <m/>
    <m/>
    <m/>
    <m/>
    <m/>
    <m/>
    <m/>
    <m/>
    <m/>
    <m/>
    <n v="0.75046000000000002"/>
    <m/>
    <s v="CML method;"/>
  </r>
  <r>
    <x v="7"/>
    <x v="65"/>
    <s v="Processed"/>
    <s v="large scale organic orange juice"/>
    <s v="Yes"/>
    <s v="Brazil"/>
    <n v="2011"/>
    <s v="Marie Trydeman Knudsen (a); Gustavo Fonseca de Almeida (b); Vibeke Langer (a); Lucimar Santiago de Abreu (c) Niels Halberg (d)"/>
    <s v="(a) Department of Agriculture and Ecology, Faculty of Life Sciences, University of Copenhagen, Taastrup, Denmark; (b) Centre of Agricultural Sciences, Federal University of São Carlos, 330, Araras, São Paulo, Brazil; (c) Embrapa Environment,_x000a_ P.O. Box 69, Jaguariúna, São Paulo, Brazil; (d) International Centre for Research in Organic Food Systems_x000a_ (ICROFS);"/>
    <s v="Peer Reviewed Journal"/>
    <s v="Knudsen, M. T., Fonseca De Almeida, G., Langer, V., Santiago De Abreu, L. and Halberg, N., Environmental assessment of organic juice imported to Denmark: A case study on oranges (Citrus sinensis) from Brazil. Organic Agriculture 2011, 1 (3), 167-185."/>
    <s v="Yes"/>
    <s v="Yes"/>
    <s v="No"/>
    <s v="No"/>
    <s v="No"/>
    <s v="No"/>
    <s v="No"/>
    <s v="No"/>
    <s v="No"/>
    <s v="No"/>
    <s v="No"/>
    <s v="No"/>
    <m/>
    <s v="Cradle to retail, residue use included"/>
    <s v="No"/>
    <s v="Yes"/>
    <s v="1 tonne oranges at farm gate"/>
    <s v="/1000"/>
    <n v="0.95199999999999996"/>
    <s v=""/>
    <n v="0.114"/>
    <s v=""/>
    <m/>
    <m/>
    <m/>
    <m/>
    <m/>
    <m/>
    <m/>
    <m/>
    <m/>
    <n v="0.95199999999999996"/>
    <m/>
    <m/>
    <m/>
    <m/>
    <m/>
    <m/>
    <m/>
    <m/>
    <m/>
    <m/>
    <m/>
    <m/>
    <n v="0.114"/>
    <m/>
    <m/>
    <s v="EDIP97, IPCC 2007"/>
  </r>
  <r>
    <x v="7"/>
    <x v="65"/>
    <s v="Fresh or Not Specified"/>
    <s v="Small scale organic orange orchard"/>
    <s v="Yes"/>
    <s v="Brazil"/>
    <n v="2011"/>
    <s v="Marie Trydeman Knudsen (a); Gustavo Fonseca de Almeida (b); Vibeke Langer (a); Lucimar Santiago de Abreu (c) Niels Halberg (d)"/>
    <s v="(a) Department of Agriculture and Ecology, Faculty of Life Sciences, University of Copenhagen, Taastrup, Denmark; (b) Centre of Agricultural Sciences, Federal University of São Carlos, 330, Araras, São Paulo, Brazil; (c) Embrapa Environment,_x000a_ P.O. Box 69, Jaguariúna, São Paulo, Brazil; (d) International Centre for Research in Organic Food Systems_x000a_ (ICROFS);"/>
    <s v="Peer Reviewed Journal"/>
    <s v="Knudsen, M. T., Fonseca De Almeida, G., Langer, V., Santiago De Abreu, L. and Halberg, N., Environmental assessment of organic juice imported to Denmark: A case study on oranges (Citrus sinensis) from Brazil. Organic Agriculture 2011, 1 (3), 167-185."/>
    <s v="Yes"/>
    <s v="Yes"/>
    <s v="Yes"/>
    <s v="Yes"/>
    <s v="Yes"/>
    <s v="Yes"/>
    <s v="No"/>
    <s v="No"/>
    <s v="No"/>
    <s v="No"/>
    <s v="No"/>
    <s v="No"/>
    <m/>
    <s v="Cradle to farm gate only"/>
    <s v="No"/>
    <s v="No"/>
    <s v="1 tonne oranges at farm gate and 1 litre of OJ sold to denmark"/>
    <s v="/1000 until farm gate, then (*1.048)kg/L"/>
    <n v="0.89312977099236635"/>
    <n v="2.7452290076335877"/>
    <n v="0.10305343511450381"/>
    <n v="0.17080152671755722"/>
    <n v="0.89312977099236635"/>
    <m/>
    <n v="1.8520992366412214"/>
    <m/>
    <n v="3.646946564885496"/>
    <m/>
    <m/>
    <m/>
    <m/>
    <n v="0.89312977099236635"/>
    <n v="6.3921755725190836"/>
    <m/>
    <m/>
    <n v="0.10305343511450381"/>
    <m/>
    <n v="6.7748091603053423E-2"/>
    <m/>
    <n v="0.23282442748091603"/>
    <m/>
    <m/>
    <m/>
    <m/>
    <n v="0.10305343511450381"/>
    <n v="0.40458015267175568"/>
    <m/>
    <s v="EDIP97, IPCC 2007"/>
  </r>
  <r>
    <x v="7"/>
    <x v="65"/>
    <s v="Fresh or Not Specified"/>
    <s v="Small scale conventional orange orchards"/>
    <s v="Yes"/>
    <s v="Brazil"/>
    <n v="2011"/>
    <s v="Marie Trydeman Knudsen (a); Gustavo Fonseca de Almeida (b); Vibeke Langer (a); Lucimar Santiago de Abreu (c) Niels Halberg (d)"/>
    <s v="(a) Department of Agriculture and Ecology, Faculty of Life Sciences, University of Copenhagen, Taastrup, Denmark; (b) Centre of Agricultural Sciences, Federal University of São Carlos, 330, Araras, São Paulo, Brazil; (c) Embrapa Environment,_x000a_ P.O. Box 69, Jaguariúna, São Paulo, Brazil; (d) International Centre for Research in Organic Food Systems_x000a_ (ICROFS);"/>
    <s v="Peer Reviewed Journal"/>
    <s v="Knudsen, M. T., Fonseca De Almeida, G., Langer, V., Santiago De Abreu, L. and Halberg, N., Environmental assessment of organic juice imported to Denmark: A case study on oranges (Citrus sinensis) from Brazil. Organic Agriculture 2011, 1 (3), 167-185."/>
    <s v="Yes"/>
    <s v="Yes"/>
    <s v="No"/>
    <s v="No"/>
    <s v="No"/>
    <s v="No"/>
    <s v="No"/>
    <s v="No"/>
    <s v="No"/>
    <s v="No"/>
    <s v="No"/>
    <s v="No"/>
    <m/>
    <s v="Cradle to farm gate only"/>
    <s v="No"/>
    <s v="No"/>
    <s v="1 tonne oranges at farm gate"/>
    <s v="/1000"/>
    <n v="1.2649999999999999"/>
    <s v=""/>
    <n v="0.112"/>
    <s v=""/>
    <m/>
    <m/>
    <m/>
    <m/>
    <m/>
    <m/>
    <m/>
    <m/>
    <m/>
    <n v="1.2649999999999999"/>
    <m/>
    <m/>
    <m/>
    <m/>
    <m/>
    <m/>
    <m/>
    <m/>
    <m/>
    <m/>
    <m/>
    <m/>
    <n v="0.112"/>
    <m/>
    <m/>
    <s v="EDIP97, IPCC 2007"/>
  </r>
  <r>
    <x v="4"/>
    <x v="137"/>
    <s v="Fresh or Not Specified"/>
    <s v="Growth"/>
    <s v="Yes"/>
    <s v="Spain"/>
    <n v="2015"/>
    <s v="Elisabet Vinyes (a); Carles M. Gasol (a, b); Luis Asin (c); Simo Alegre (c)_x000a_, Pere Munoz (a, d);"/>
    <s v="(a) Sostenipra Research Group, Universitat Autonoma de Barcelona, 08193 Bellaterra, Barcelona, Spain; (b) Inedit Innovacio s.l. Research Park of UAB, UAB Campus, 08193 Bellaterra, Spain ; (c) Institute for Research and Technology in Food and Agriculture (IRTA), 25198 Lleida, Spain_x000a_; (d) Institute for Research and Technology in Food and Agriculture (IRTA), 08348 Cabrils, Barcelona, Spain"/>
    <s v="Peer Reviewed Journal"/>
    <s v="Vinyes, E., Gasol, C. M., Asin, L., Alegre, S. and Muñoz, P., Life Cycle Assessment of multiyear peach production. Journal of Cleaner Production 2015, 104, 68-79."/>
    <s v="Yes"/>
    <s v="Yes"/>
    <s v="No"/>
    <s v="No"/>
    <s v="No"/>
    <s v="No"/>
    <s v="No"/>
    <s v="No"/>
    <s v="No"/>
    <s v="No"/>
    <s v="No"/>
    <s v="Yes"/>
    <m/>
    <s v="Production alone"/>
    <s v="No"/>
    <s v="No"/>
    <s v="1 kg peaches"/>
    <m/>
    <n v="2.38"/>
    <s v=""/>
    <n v="0.125"/>
    <s v=""/>
    <m/>
    <m/>
    <m/>
    <m/>
    <m/>
    <m/>
    <m/>
    <m/>
    <m/>
    <n v="2.38"/>
    <m/>
    <m/>
    <m/>
    <m/>
    <m/>
    <m/>
    <m/>
    <m/>
    <m/>
    <m/>
    <m/>
    <m/>
    <n v="0.125"/>
    <m/>
    <m/>
    <m/>
  </r>
  <r>
    <x v="4"/>
    <x v="137"/>
    <s v="Fresh or Not Specified"/>
    <s v="Low yield"/>
    <s v="Yes"/>
    <s v="Spain"/>
    <n v="2015"/>
    <s v="Elisabet Vinyes (a); Carles M. Gasol (a, b); Luis Asin (c); Simo Alegre (c)_x000a_, Pere Munoz (a, d);"/>
    <s v="(a) Sostenipra Research Group, Universitat Autonoma de Barcelona, 08193 Bellaterra, Barcelona, Spain; (b) Inedit Innovacio s.l. Research Park of UAB, UAB Campus, 08193 Bellaterra, Spain ; (c) Institute for Research and Technology in Food and Agriculture (IRTA), 25198 Lleida, Spain_x000a_; (d) Institute for Research and Technology in Food and Agriculture (IRTA), 08348 Cabrils, Barcelona, Spain"/>
    <s v="Peer Reviewed Journal"/>
    <s v="Vinyes, E., Gasol, C. M., Asin, L., Alegre, S. and Muñoz, P., Life Cycle Assessment of multiyear peach production. Journal of Cleaner Production 2015, 104, 68-79."/>
    <s v="Yes"/>
    <s v="Yes"/>
    <s v="No"/>
    <s v="No"/>
    <s v="No"/>
    <s v="No"/>
    <s v="No"/>
    <s v="No"/>
    <s v="No"/>
    <s v="No"/>
    <s v="No"/>
    <s v="Yes"/>
    <m/>
    <s v="Production alone"/>
    <s v="No"/>
    <s v="No"/>
    <s v="1 kg peaches"/>
    <m/>
    <n v="1.76"/>
    <s v=""/>
    <n v="0.183"/>
    <s v=""/>
    <m/>
    <m/>
    <m/>
    <m/>
    <m/>
    <m/>
    <m/>
    <m/>
    <m/>
    <n v="1.76"/>
    <m/>
    <m/>
    <m/>
    <m/>
    <m/>
    <m/>
    <m/>
    <m/>
    <m/>
    <m/>
    <m/>
    <m/>
    <n v="0.183"/>
    <m/>
    <m/>
    <m/>
  </r>
  <r>
    <x v="4"/>
    <x v="137"/>
    <s v="Fresh or Not Specified"/>
    <s v="Moderate"/>
    <s v="Yes"/>
    <s v="Spain"/>
    <n v="2015"/>
    <s v="Elisabet Vinyes (a); Carles M. Gasol (a, b); Luis Asin (c); Simo Alegre (c)_x000a_, Pere Munoz (a, d);"/>
    <s v="(a) Sostenipra Research Group, Universitat Autonoma de Barcelona, 08193 Bellaterra, Barcelona, Spain; (b) Inedit Innovacio s.l. Research Park of UAB, UAB Campus, 08193 Bellaterra, Spain ; (c) Institute for Research and Technology in Food and Agriculture (IRTA), 25198 Lleida, Spain_x000a_; (d) Institute for Research and Technology in Food and Agriculture (IRTA), 08348 Cabrils, Barcelona, Spain"/>
    <s v="Peer Reviewed Journal"/>
    <s v="Vinyes, E., Gasol, C. M., Asin, L., Alegre, S. and Muñoz, P., Life Cycle Assessment of multiyear peach production. Journal of Cleaner Production 2015, 104, 68-79."/>
    <s v="Yes"/>
    <s v="Yes"/>
    <s v="No"/>
    <s v="No"/>
    <s v="No"/>
    <s v="No"/>
    <s v="No"/>
    <s v="No"/>
    <s v="No"/>
    <s v="No"/>
    <s v="No"/>
    <s v="Yes"/>
    <m/>
    <s v="Production alone"/>
    <s v="No"/>
    <s v="No"/>
    <s v="1 kg peaches"/>
    <m/>
    <n v="1.0900000000000001"/>
    <s v=""/>
    <n v="0.125"/>
    <s v=""/>
    <m/>
    <m/>
    <m/>
    <m/>
    <m/>
    <m/>
    <m/>
    <m/>
    <m/>
    <n v="1.0900000000000001"/>
    <m/>
    <m/>
    <m/>
    <m/>
    <m/>
    <m/>
    <m/>
    <m/>
    <m/>
    <m/>
    <m/>
    <m/>
    <n v="0.125"/>
    <m/>
    <m/>
    <m/>
  </r>
  <r>
    <x v="4"/>
    <x v="137"/>
    <s v="Fresh or Not Specified"/>
    <s v="High yield"/>
    <s v="Yes"/>
    <s v="Spain"/>
    <n v="2015"/>
    <s v="Elisabet Vinyes (a); Carles M. Gasol (a, b); Luis Asin (c); Simo Alegre (c)_x000a_, Pere Munoz (a, d);"/>
    <s v="(a) Sostenipra Research Group, Universitat Autonoma de Barcelona, 08193 Bellaterra, Barcelona, Spain; (b) Inedit Innovacio s.l. Research Park of UAB, UAB Campus, 08193 Bellaterra, Spain ; (c) Institute for Research and Technology in Food and Agriculture (IRTA), 25198 Lleida, Spain_x000a_; (d) Institute for Research and Technology in Food and Agriculture (IRTA), 08348 Cabrils, Barcelona, Spain"/>
    <s v="Peer Reviewed Journal"/>
    <s v="Vinyes, E., Gasol, C. M., Asin, L., Alegre, S. and Muñoz, P., Life Cycle Assessment of multiyear peach production. Journal of Cleaner Production 2015, 104, 68-79."/>
    <s v="Yes"/>
    <s v="Yes"/>
    <s v="No"/>
    <s v="No"/>
    <s v="No"/>
    <s v="No"/>
    <s v="No"/>
    <s v="No"/>
    <s v="No"/>
    <s v="No"/>
    <s v="No"/>
    <s v="Yes"/>
    <m/>
    <s v="Production alone"/>
    <s v="No"/>
    <s v="No"/>
    <s v="1 kg peaches"/>
    <m/>
    <n v="1.62"/>
    <s v=""/>
    <n v="0.16200000000000001"/>
    <s v=""/>
    <m/>
    <m/>
    <m/>
    <m/>
    <m/>
    <m/>
    <m/>
    <m/>
    <m/>
    <n v="1.62"/>
    <m/>
    <m/>
    <m/>
    <m/>
    <m/>
    <m/>
    <m/>
    <m/>
    <m/>
    <m/>
    <m/>
    <m/>
    <n v="0.16200000000000001"/>
    <m/>
    <m/>
    <m/>
  </r>
  <r>
    <x v="4"/>
    <x v="158"/>
    <s v="Fresh or Not Specified"/>
    <s v="Andean Blackberry"/>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17"/>
    <s v=""/>
    <m/>
    <m/>
    <m/>
    <m/>
    <m/>
    <m/>
    <m/>
    <m/>
    <m/>
    <m/>
    <m/>
    <m/>
    <m/>
    <m/>
    <m/>
    <m/>
    <m/>
    <m/>
    <m/>
    <m/>
    <m/>
    <m/>
    <n v="0.17"/>
    <m/>
    <m/>
    <m/>
  </r>
  <r>
    <x v="4"/>
    <x v="159"/>
    <s v="Fresh or Not Specified"/>
    <s v="Lulo"/>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38700000000000001"/>
    <s v=""/>
    <m/>
    <m/>
    <m/>
    <m/>
    <m/>
    <m/>
    <m/>
    <m/>
    <m/>
    <m/>
    <m/>
    <m/>
    <m/>
    <m/>
    <m/>
    <m/>
    <m/>
    <m/>
    <m/>
    <m/>
    <m/>
    <m/>
    <n v="0.38700000000000001"/>
    <m/>
    <m/>
    <m/>
  </r>
  <r>
    <x v="4"/>
    <x v="160"/>
    <s v="Fresh or Not Specified"/>
    <s v="Passion Fruit"/>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125"/>
    <s v=""/>
    <m/>
    <m/>
    <m/>
    <m/>
    <m/>
    <m/>
    <m/>
    <m/>
    <m/>
    <m/>
    <m/>
    <m/>
    <m/>
    <m/>
    <m/>
    <m/>
    <m/>
    <m/>
    <m/>
    <m/>
    <m/>
    <m/>
    <n v="0.125"/>
    <m/>
    <m/>
    <m/>
  </r>
  <r>
    <x v="4"/>
    <x v="161"/>
    <s v="Fresh or Not Specified"/>
    <s v="Tree Tomato"/>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34499999999999997"/>
    <s v=""/>
    <m/>
    <m/>
    <m/>
    <m/>
    <m/>
    <m/>
    <m/>
    <m/>
    <m/>
    <m/>
    <m/>
    <m/>
    <m/>
    <m/>
    <m/>
    <m/>
    <m/>
    <m/>
    <m/>
    <m/>
    <m/>
    <m/>
    <n v="0.34499999999999997"/>
    <m/>
    <m/>
    <m/>
  </r>
  <r>
    <x v="4"/>
    <x v="162"/>
    <s v="Fresh or Not Specified"/>
    <s v="Golden Berry"/>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189"/>
    <s v=""/>
    <m/>
    <m/>
    <m/>
    <m/>
    <m/>
    <m/>
    <m/>
    <m/>
    <m/>
    <m/>
    <m/>
    <m/>
    <m/>
    <m/>
    <m/>
    <m/>
    <m/>
    <m/>
    <m/>
    <m/>
    <m/>
    <m/>
    <n v="0.189"/>
    <m/>
    <m/>
    <m/>
  </r>
  <r>
    <x v="4"/>
    <x v="43"/>
    <s v="Fresh or Not Specified"/>
    <s v="Pineapple"/>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60499999999999998"/>
    <s v=""/>
    <m/>
    <m/>
    <m/>
    <m/>
    <m/>
    <m/>
    <m/>
    <m/>
    <m/>
    <m/>
    <m/>
    <m/>
    <m/>
    <m/>
    <m/>
    <m/>
    <m/>
    <m/>
    <m/>
    <m/>
    <m/>
    <m/>
    <n v="0.60499999999999998"/>
    <m/>
    <m/>
    <m/>
  </r>
  <r>
    <x v="4"/>
    <x v="89"/>
    <s v="Fresh or Not Specified"/>
    <s v="Avacado"/>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17"/>
    <s v=""/>
    <m/>
    <m/>
    <m/>
    <m/>
    <m/>
    <m/>
    <m/>
    <m/>
    <m/>
    <m/>
    <m/>
    <m/>
    <m/>
    <m/>
    <m/>
    <m/>
    <m/>
    <m/>
    <m/>
    <m/>
    <m/>
    <m/>
    <n v="0.17"/>
    <m/>
    <m/>
    <m/>
  </r>
  <r>
    <x v="4"/>
    <x v="163"/>
    <s v="Fresh or Not Specified"/>
    <s v="Mango"/>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441"/>
    <s v=""/>
    <m/>
    <m/>
    <m/>
    <m/>
    <m/>
    <m/>
    <m/>
    <m/>
    <m/>
    <m/>
    <m/>
    <m/>
    <m/>
    <m/>
    <m/>
    <m/>
    <m/>
    <m/>
    <m/>
    <m/>
    <m/>
    <m/>
    <n v="0.441"/>
    <m/>
    <m/>
    <m/>
  </r>
  <r>
    <x v="4"/>
    <x v="66"/>
    <s v="Fresh or Not Specified"/>
    <s v="Apples, grown and consum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32"/>
    <s v=""/>
    <m/>
    <m/>
    <m/>
    <m/>
    <m/>
    <m/>
    <m/>
    <m/>
    <m/>
    <m/>
    <m/>
    <m/>
    <m/>
    <m/>
    <m/>
    <m/>
    <m/>
    <m/>
    <m/>
    <m/>
    <m/>
    <m/>
    <n v="0.32"/>
    <n v="0.41799999999999998"/>
    <m/>
    <s v="DEFRA 2013"/>
  </r>
  <r>
    <x v="4"/>
    <x v="164"/>
    <s v="Fresh or Not Specified"/>
    <s v="Cherries, grown and consum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32"/>
    <s v=""/>
    <m/>
    <m/>
    <m/>
    <m/>
    <m/>
    <m/>
    <m/>
    <m/>
    <m/>
    <m/>
    <m/>
    <m/>
    <m/>
    <m/>
    <m/>
    <m/>
    <m/>
    <m/>
    <m/>
    <m/>
    <m/>
    <m/>
    <n v="0.32"/>
    <n v="0.41799999999999998"/>
    <m/>
    <s v="DEFRA 2013"/>
  </r>
  <r>
    <x v="4"/>
    <x v="81"/>
    <s v="Fresh or Not Specified"/>
    <s v="Strawberries, grown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84"/>
    <s v=""/>
    <m/>
    <m/>
    <m/>
    <m/>
    <m/>
    <m/>
    <m/>
    <m/>
    <m/>
    <m/>
    <m/>
    <m/>
    <m/>
    <m/>
    <m/>
    <m/>
    <m/>
    <m/>
    <m/>
    <m/>
    <m/>
    <m/>
    <n v="0.84"/>
    <n v="0.93799999999999994"/>
    <m/>
    <s v="DEFRA 2013"/>
  </r>
  <r>
    <x v="3"/>
    <x v="165"/>
    <s v="Fresh or Not Specified"/>
    <s v="Garlic, grown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56999999999999995"/>
    <s v=""/>
    <m/>
    <m/>
    <m/>
    <m/>
    <m/>
    <m/>
    <m/>
    <m/>
    <m/>
    <m/>
    <m/>
    <m/>
    <m/>
    <m/>
    <m/>
    <m/>
    <m/>
    <m/>
    <m/>
    <m/>
    <m/>
    <m/>
    <n v="0.56999999999999995"/>
    <n v="0.66800000000000004"/>
    <m/>
    <s v="DEFRA 2013"/>
  </r>
  <r>
    <x v="3"/>
    <x v="166"/>
    <s v="Fresh or Not Specified"/>
    <s v="Peas, grown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28999999999999998"/>
    <s v=""/>
    <m/>
    <m/>
    <m/>
    <m/>
    <m/>
    <m/>
    <m/>
    <m/>
    <m/>
    <m/>
    <m/>
    <m/>
    <m/>
    <m/>
    <m/>
    <m/>
    <m/>
    <m/>
    <m/>
    <m/>
    <m/>
    <m/>
    <n v="0.28999999999999998"/>
    <n v="0.38800000000000001"/>
    <m/>
    <s v="DEFRA 2013"/>
  </r>
  <r>
    <x v="4"/>
    <x v="66"/>
    <s v="Fresh or Not Specified"/>
    <s v="Apples,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43"/>
    <s v=""/>
    <m/>
    <m/>
    <m/>
    <m/>
    <m/>
    <m/>
    <m/>
    <m/>
    <m/>
    <m/>
    <m/>
    <m/>
    <m/>
    <m/>
    <m/>
    <m/>
    <m/>
    <m/>
    <m/>
    <m/>
    <m/>
    <m/>
    <n v="0.43"/>
    <n v="0.55000000000000004"/>
    <m/>
    <s v="DEFRA 2013"/>
  </r>
  <r>
    <x v="4"/>
    <x v="164"/>
    <s v="Fresh or Not Specified"/>
    <s v="Cherries,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43"/>
    <s v=""/>
    <m/>
    <m/>
    <m/>
    <m/>
    <m/>
    <m/>
    <m/>
    <m/>
    <m/>
    <m/>
    <m/>
    <m/>
    <m/>
    <m/>
    <m/>
    <m/>
    <m/>
    <m/>
    <m/>
    <m/>
    <m/>
    <m/>
    <n v="0.43"/>
    <n v="0.67600000000000005"/>
    <m/>
    <s v="DEFRA 2013"/>
  </r>
  <r>
    <x v="4"/>
    <x v="81"/>
    <s v="Fresh or Not Specified"/>
    <s v="Strawberries,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1.06"/>
    <s v=""/>
    <m/>
    <m/>
    <m/>
    <m/>
    <m/>
    <m/>
    <m/>
    <m/>
    <m/>
    <m/>
    <m/>
    <m/>
    <m/>
    <m/>
    <m/>
    <m/>
    <m/>
    <m/>
    <m/>
    <m/>
    <m/>
    <m/>
    <n v="1.06"/>
    <n v="1.2270000000000001"/>
    <m/>
    <s v="DEFRA 2013"/>
  </r>
  <r>
    <x v="3"/>
    <x v="165"/>
    <s v="Fresh or Not Specified"/>
    <s v="Garlic,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68"/>
    <s v=""/>
    <m/>
    <m/>
    <m/>
    <m/>
    <m/>
    <m/>
    <m/>
    <m/>
    <m/>
    <m/>
    <m/>
    <m/>
    <m/>
    <m/>
    <m/>
    <m/>
    <m/>
    <m/>
    <m/>
    <m/>
    <m/>
    <m/>
    <n v="0.68"/>
    <n v="0.874"/>
    <m/>
    <s v="DEFRA 2013"/>
  </r>
  <r>
    <x v="3"/>
    <x v="166"/>
    <s v="Fresh or Not Specified"/>
    <s v="Peas,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4"/>
    <s v=""/>
    <m/>
    <m/>
    <m/>
    <m/>
    <m/>
    <m/>
    <m/>
    <m/>
    <m/>
    <m/>
    <m/>
    <m/>
    <m/>
    <m/>
    <m/>
    <m/>
    <m/>
    <m/>
    <m/>
    <m/>
    <m/>
    <m/>
    <n v="0.4"/>
    <n v="0.59699999999999998"/>
    <m/>
    <s v="DEFRA 2013"/>
  </r>
  <r>
    <x v="4"/>
    <x v="66"/>
    <s v="Fresh or Not Specified"/>
    <s v="Apples,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88"/>
    <s v=""/>
    <m/>
    <m/>
    <m/>
    <m/>
    <m/>
    <m/>
    <m/>
    <m/>
    <m/>
    <m/>
    <m/>
    <m/>
    <m/>
    <m/>
    <m/>
    <m/>
    <m/>
    <m/>
    <m/>
    <m/>
    <m/>
    <m/>
    <n v="0.88"/>
    <n v="13.093"/>
    <m/>
    <s v="DEFRA 2013"/>
  </r>
  <r>
    <x v="4"/>
    <x v="164"/>
    <s v="Fresh or Not Specified"/>
    <s v="Cherries,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88"/>
    <s v=""/>
    <m/>
    <m/>
    <m/>
    <m/>
    <m/>
    <m/>
    <m/>
    <m/>
    <m/>
    <m/>
    <m/>
    <m/>
    <m/>
    <m/>
    <m/>
    <m/>
    <m/>
    <m/>
    <m/>
    <m/>
    <m/>
    <m/>
    <n v="0.88"/>
    <n v="12.157"/>
    <m/>
    <s v="DEFRA 2013"/>
  </r>
  <r>
    <x v="4"/>
    <x v="81"/>
    <s v="Fresh or Not Specified"/>
    <s v="Strawberries,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1.39"/>
    <s v=""/>
    <m/>
    <m/>
    <m/>
    <m/>
    <m/>
    <m/>
    <m/>
    <m/>
    <m/>
    <m/>
    <m/>
    <m/>
    <m/>
    <m/>
    <m/>
    <m/>
    <m/>
    <m/>
    <m/>
    <m/>
    <m/>
    <m/>
    <n v="1.39"/>
    <n v="7.3520000000000003"/>
    <m/>
    <s v="DEFRA 2013"/>
  </r>
  <r>
    <x v="3"/>
    <x v="165"/>
    <s v="Fresh or Not Specified"/>
    <s v="Garlic,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68700000000000006"/>
    <s v=""/>
    <m/>
    <m/>
    <m/>
    <m/>
    <m/>
    <m/>
    <m/>
    <m/>
    <m/>
    <m/>
    <m/>
    <m/>
    <m/>
    <m/>
    <m/>
    <m/>
    <m/>
    <m/>
    <m/>
    <m/>
    <m/>
    <m/>
    <n v="0.68700000000000006"/>
    <n v="11.420999999999999"/>
    <m/>
    <s v="DEFRA 2013"/>
  </r>
  <r>
    <x v="3"/>
    <x v="166"/>
    <s v="Fresh or Not Specified"/>
    <s v="Peas,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4"/>
    <s v=""/>
    <m/>
    <m/>
    <m/>
    <m/>
    <m/>
    <m/>
    <m/>
    <m/>
    <m/>
    <m/>
    <m/>
    <m/>
    <m/>
    <m/>
    <m/>
    <m/>
    <m/>
    <m/>
    <m/>
    <m/>
    <m/>
    <m/>
    <n v="0.4"/>
    <n v="10.635"/>
    <m/>
    <s v="DEFRA 2013"/>
  </r>
  <r>
    <x v="4"/>
    <x v="91"/>
    <s v="Fresh or Not Specified"/>
    <s v="Gold Kiwi"/>
    <s v="Yes"/>
    <s v="New Zealand"/>
    <n v="2014"/>
    <s v="Karin_x000a_ Muller (a); Allister Holmes (b); Markus Deurer (c); Brent E. Clothier (c)"/>
    <s v="(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
    <s v="Peer Reviewed Journal"/>
    <s v="Müller, K., Holmes, A., Deurer, M. and Clothier, B. E., Eco-efficiency as a sustainability measure for kiwifruit production in New Zealand. Journal of Cleaner Production 2015, 106, 333-342."/>
    <s v="Yes"/>
    <s v="No"/>
    <s v="No"/>
    <s v="No"/>
    <s v="No"/>
    <s v="No"/>
    <s v="No"/>
    <s v="No"/>
    <s v="No"/>
    <s v="No"/>
    <s v="No"/>
    <s v="No"/>
    <m/>
    <s v="Cradle to Farm Gate"/>
    <s v="No"/>
    <s v="No"/>
    <s v="kg fruit produced"/>
    <m/>
    <s v=""/>
    <s v=""/>
    <n v="0.217"/>
    <s v=""/>
    <m/>
    <m/>
    <m/>
    <m/>
    <m/>
    <m/>
    <m/>
    <m/>
    <m/>
    <m/>
    <m/>
    <m/>
    <m/>
    <m/>
    <m/>
    <m/>
    <m/>
    <m/>
    <m/>
    <m/>
    <m/>
    <m/>
    <n v="0.217"/>
    <m/>
    <s v="0.058, std err"/>
    <s v="IPCC 2013"/>
  </r>
  <r>
    <x v="4"/>
    <x v="91"/>
    <s v="Fresh or Not Specified"/>
    <s v="Green Kiwi"/>
    <s v="Yes"/>
    <s v="New Zealand"/>
    <n v="2014"/>
    <s v="Karin_x000a_ Muller (a); Allister Holmes (b); Markus Deurer (c); Brent E. Clothier (c)"/>
    <s v="(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
    <s v="Peer Reviewed Journal"/>
    <s v="Müller, K., Holmes, A., Deurer, M. and Clothier, B. E., Eco-efficiency as a sustainability measure for kiwifruit production in New Zealand. Journal of Cleaner Production 2015, 106, 333-342."/>
    <s v="Yes"/>
    <s v="No"/>
    <s v="No"/>
    <s v="No"/>
    <s v="No"/>
    <s v="No"/>
    <s v="No"/>
    <s v="No"/>
    <s v="No"/>
    <s v="No"/>
    <s v="No"/>
    <s v="No"/>
    <m/>
    <s v="Cradle to Farm Gate"/>
    <s v="No"/>
    <s v="No"/>
    <s v="kg fruit produced"/>
    <m/>
    <s v=""/>
    <s v=""/>
    <n v="0.13500000000000001"/>
    <s v=""/>
    <m/>
    <m/>
    <m/>
    <m/>
    <m/>
    <m/>
    <m/>
    <m/>
    <m/>
    <m/>
    <m/>
    <m/>
    <m/>
    <m/>
    <m/>
    <m/>
    <m/>
    <m/>
    <m/>
    <m/>
    <m/>
    <m/>
    <n v="0.13500000000000001"/>
    <m/>
    <s v="0.013, std err"/>
    <s v="IPCC 2013"/>
  </r>
  <r>
    <x v="4"/>
    <x v="91"/>
    <s v="Fresh or Not Specified"/>
    <s v="Green Kiwi, Integrated Cultivar"/>
    <s v="Yes"/>
    <s v="New Zealand"/>
    <n v="2014"/>
    <s v="Karin_x000a_ Muller (a); Allister Holmes (b); Markus Deurer (c); Brent E. Clothier (c)"/>
    <s v="(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
    <s v="Peer Reviewed Journal"/>
    <s v="Müller, K., Holmes, A., Deurer, M. and Clothier, B. E., Eco-efficiency as a sustainability measure for kiwifruit production in New Zealand. Journal of Cleaner Production 2015, 106, 333-342."/>
    <s v="Yes"/>
    <s v="No"/>
    <s v="No"/>
    <s v="No"/>
    <s v="No"/>
    <s v="No"/>
    <s v="No"/>
    <s v="No"/>
    <s v="No"/>
    <s v="No"/>
    <s v="No"/>
    <s v="No"/>
    <m/>
    <s v="Cradle to Farm Gate"/>
    <s v="No"/>
    <s v="No"/>
    <s v="kg fruit produced"/>
    <m/>
    <s v=""/>
    <s v=""/>
    <n v="0.14599999999999999"/>
    <s v=""/>
    <m/>
    <m/>
    <m/>
    <m/>
    <m/>
    <m/>
    <m/>
    <m/>
    <m/>
    <m/>
    <m/>
    <m/>
    <m/>
    <m/>
    <m/>
    <m/>
    <m/>
    <m/>
    <m/>
    <m/>
    <m/>
    <m/>
    <n v="0.14599999999999999"/>
    <m/>
    <s v="0.017, std err"/>
    <s v="IPCC 2013"/>
  </r>
  <r>
    <x v="4"/>
    <x v="91"/>
    <s v="Fresh or Not Specified"/>
    <s v="Green Kiwi, Organic Cultivar"/>
    <s v="Yes"/>
    <s v="New Zealand"/>
    <n v="2014"/>
    <s v="Karin_x000a_ Muller (a); Allister Holmes (b); Markus Deurer (c); Brent E. Clothier (c)"/>
    <s v="(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
    <s v="Peer Reviewed Journal"/>
    <s v="Müller, K., Holmes, A., Deurer, M. and Clothier, B. E., Eco-efficiency as a sustainability measure for kiwifruit production in New Zealand. Journal of Cleaner Production 2015, 106, 333-342."/>
    <s v="Yes"/>
    <s v="No"/>
    <s v="No"/>
    <s v="No"/>
    <s v="No"/>
    <s v="No"/>
    <s v="No"/>
    <s v="No"/>
    <s v="No"/>
    <s v="No"/>
    <s v="No"/>
    <s v="No"/>
    <m/>
    <s v="Cradle to Farm Gate"/>
    <s v="No"/>
    <s v="No"/>
    <s v="kg fruit produced"/>
    <m/>
    <s v=""/>
    <s v=""/>
    <n v="0.20399999999999999"/>
    <s v=""/>
    <m/>
    <m/>
    <m/>
    <m/>
    <m/>
    <m/>
    <m/>
    <m/>
    <m/>
    <m/>
    <m/>
    <m/>
    <m/>
    <m/>
    <m/>
    <m/>
    <m/>
    <m/>
    <m/>
    <m/>
    <m/>
    <m/>
    <n v="0.20399999999999999"/>
    <m/>
    <s v="0.055, std err"/>
    <s v="IPCC 2013"/>
  </r>
  <r>
    <x v="2"/>
    <x v="2"/>
    <s v="Fresh or Not Specified"/>
    <s v="Caged Hens"/>
    <s v="Yes"/>
    <s v="UK"/>
    <n v="2011"/>
    <s v="I. Leinonen (a); A. G. Williams (b); J. Wiseman (c); J. Guy (a); I. Kyriazakis (a)"/>
    <s v="(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kg eggs"/>
    <s v="RV / 1000"/>
    <n v="16.88"/>
    <s v=""/>
    <n v="2.92"/>
    <s v=""/>
    <m/>
    <m/>
    <m/>
    <m/>
    <m/>
    <m/>
    <m/>
    <m/>
    <m/>
    <n v="16.88"/>
    <m/>
    <m/>
    <m/>
    <m/>
    <m/>
    <m/>
    <m/>
    <m/>
    <m/>
    <m/>
    <m/>
    <m/>
    <n v="2.92"/>
    <m/>
    <s v="0.21, std. dev."/>
    <s v="IPCC 2006"/>
  </r>
  <r>
    <x v="2"/>
    <x v="2"/>
    <s v="Fresh or Not Specified"/>
    <s v="Barned Hens"/>
    <s v="Yes"/>
    <s v="UK"/>
    <n v="2011"/>
    <s v="I. Leinonen (a); A. G. Williams (b); J. Wiseman (c); J. Guy (a); I. Kyriazakis (a)"/>
    <s v="(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kg eggs"/>
    <s v="RV / 1000"/>
    <n v="22.2"/>
    <s v=""/>
    <n v="3.45"/>
    <s v=""/>
    <m/>
    <m/>
    <m/>
    <m/>
    <m/>
    <m/>
    <m/>
    <m/>
    <m/>
    <n v="22.2"/>
    <m/>
    <m/>
    <m/>
    <m/>
    <m/>
    <m/>
    <m/>
    <m/>
    <m/>
    <m/>
    <m/>
    <m/>
    <n v="3.45"/>
    <m/>
    <s v="0.26, std. dev."/>
    <s v="IPCC 2006"/>
  </r>
  <r>
    <x v="2"/>
    <x v="2"/>
    <s v="Fresh or Not Specified"/>
    <s v="Free Range Hens"/>
    <s v="Yes"/>
    <s v="UK"/>
    <n v="2011"/>
    <s v="I. Leinonen (a); A. G. Williams (b); J. Wiseman (c); J. Guy (a); I. Kyriazakis (a)"/>
    <s v="(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kg eggs"/>
    <s v="RV / 1000"/>
    <n v="18.78"/>
    <s v=""/>
    <n v="3.38"/>
    <s v=""/>
    <m/>
    <m/>
    <m/>
    <m/>
    <m/>
    <m/>
    <m/>
    <m/>
    <m/>
    <n v="18.78"/>
    <m/>
    <m/>
    <m/>
    <m/>
    <m/>
    <m/>
    <m/>
    <m/>
    <m/>
    <m/>
    <m/>
    <m/>
    <n v="3.38"/>
    <m/>
    <s v="0.27, std. dev."/>
    <s v="IPCC 2006"/>
  </r>
  <r>
    <x v="2"/>
    <x v="2"/>
    <s v="Fresh or Not Specified"/>
    <s v="Organic Hens"/>
    <s v="Yes"/>
    <s v="UK"/>
    <n v="2011"/>
    <s v="I. Leinonen (a); A. G. Williams (b); J. Wiseman (c); J. Guy (a); I. Kyriazakis (a)"/>
    <s v="(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kg eggs"/>
    <s v="RV / 1000"/>
    <n v="26.41"/>
    <s v=""/>
    <n v="3.42"/>
    <s v=""/>
    <m/>
    <m/>
    <m/>
    <m/>
    <m/>
    <m/>
    <m/>
    <m/>
    <m/>
    <n v="26.41"/>
    <m/>
    <m/>
    <m/>
    <m/>
    <m/>
    <m/>
    <m/>
    <m/>
    <m/>
    <m/>
    <m/>
    <m/>
    <n v="3.42"/>
    <m/>
    <s v="0.34, std. dev."/>
    <s v="IPCC 2006"/>
  </r>
  <r>
    <x v="3"/>
    <x v="19"/>
    <s v="Fresh or Not Specified"/>
    <s v="Whole Tomatoes"/>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0088000000000001"/>
    <n v="8.9300000000000004E-2"/>
    <n v="9.0400000000000008E-2"/>
    <n v="0.93"/>
    <n v="7.8799999999999995E-2"/>
    <m/>
    <n v="0.59219999999999995"/>
    <n v="0.80810000000000004"/>
    <m/>
    <m/>
    <n v="3.5000000000000001E-3"/>
    <m/>
    <n v="0.93"/>
    <n v="2.4127999999999998"/>
    <m/>
    <m/>
    <n v="8.9300000000000004E-2"/>
    <n v="1.1000000000000001E-3"/>
    <m/>
    <n v="8.0399999999999999E-2"/>
    <n v="1.12E-2"/>
    <m/>
    <m/>
    <n v="6.8500000000000002E-3"/>
    <m/>
    <n v="8.9300000000000004E-2"/>
    <n v="0.18940000000000001"/>
    <m/>
    <m/>
  </r>
  <r>
    <x v="3"/>
    <x v="17"/>
    <s v="Fresh or Not Specified"/>
    <s v="Tomato Paste"/>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4378"/>
    <n v="8.9300000000000004E-2"/>
    <n v="0.11840000000000001"/>
    <n v="0.93"/>
    <n v="0.1613"/>
    <n v="0.34649999999999997"/>
    <n v="0.1772"/>
    <n v="3.1339999999999999"/>
    <m/>
    <m/>
    <m/>
    <m/>
    <n v="0.93"/>
    <n v="4.7489999999999997"/>
    <m/>
    <m/>
    <n v="8.9300000000000004E-2"/>
    <n v="2.3E-3"/>
    <n v="2.6800000000000001E-2"/>
    <n v="2.07E-2"/>
    <n v="4.3499999999999997E-2"/>
    <m/>
    <m/>
    <m/>
    <m/>
    <n v="8.9300000000000004E-2"/>
    <n v="0.18260000000000001"/>
    <m/>
    <m/>
  </r>
  <r>
    <x v="3"/>
    <x v="16"/>
    <s v="Fresh or Not Specified"/>
    <s v="Whole Peeled Tomatoes"/>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1055999999999999"/>
    <n v="8.9300000000000004E-2"/>
    <n v="9.2700000000000005E-2"/>
    <n v="0.93"/>
    <n v="0.1613"/>
    <n v="1.43E-2"/>
    <n v="0.90380000000000005"/>
    <n v="15.9834"/>
    <m/>
    <m/>
    <m/>
    <m/>
    <n v="0.93"/>
    <n v="18.020800000000001"/>
    <m/>
    <m/>
    <n v="8.9300000000000004E-2"/>
    <n v="2.3E-3"/>
    <n v="1.1000000000000001E-3"/>
    <n v="0.106"/>
    <n v="0.22189999999999999"/>
    <m/>
    <m/>
    <n v="1.1000000000000001E-3"/>
    <m/>
    <n v="8.9300000000000004E-2"/>
    <n v="0.40920000000000001"/>
    <m/>
    <m/>
  </r>
  <r>
    <x v="3"/>
    <x v="15"/>
    <s v="Fresh or Not Specified"/>
    <s v="Diced Tomatoes"/>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1055999999999999"/>
    <n v="8.9300000000000004E-2"/>
    <n v="9.2700000000000005E-2"/>
    <n v="0.93"/>
    <n v="0.1613"/>
    <n v="1.43E-2"/>
    <n v="0.90380000000000005"/>
    <n v="15.9834"/>
    <m/>
    <m/>
    <m/>
    <m/>
    <n v="0.93"/>
    <n v="18.0227"/>
    <m/>
    <m/>
    <n v="8.9300000000000004E-2"/>
    <n v="2.3E-3"/>
    <n v="1.1000000000000001E-3"/>
    <n v="0.106"/>
    <n v="0.22189999999999999"/>
    <m/>
    <m/>
    <n v="1.1000000000000001E-3"/>
    <m/>
    <n v="8.9300000000000004E-2"/>
    <n v="0.40920000000000001"/>
    <m/>
    <m/>
  </r>
  <r>
    <x v="3"/>
    <x v="167"/>
    <s v="Fresh or Not Specified"/>
    <s v="Tomato Juice"/>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6705000000000001"/>
    <n v="8.9300000000000004E-2"/>
    <n v="0.1002"/>
    <n v="0.93"/>
    <n v="0.1613"/>
    <n v="0.57920000000000005"/>
    <n v="1.1700999999999999"/>
    <n v="9.4019999999999992"/>
    <m/>
    <m/>
    <m/>
    <m/>
    <n v="0.93"/>
    <n v="12.242599999999999"/>
    <m/>
    <m/>
    <n v="8.9300000000000004E-2"/>
    <n v="2.3E-3"/>
    <n v="8.6E-3"/>
    <n v="0.3412"/>
    <n v="0.1305"/>
    <m/>
    <m/>
    <n v="8.0000000000000004E-4"/>
    <m/>
    <n v="8.9300000000000004E-2"/>
    <n v="0.57269999999999999"/>
    <m/>
    <m/>
  </r>
  <r>
    <x v="3"/>
    <x v="19"/>
    <s v="Fresh or Not Specified"/>
    <s v="cultivation in open-field with compost plus mineral_x000a_ fertilizers"/>
    <s v="Yes"/>
    <s v="Spain"/>
    <n v="2011"/>
    <s v="Julia Martínez-Blanco (a); Pere Muñoz (b); Assumpció Antón (b,c); Joan Rieradevall (a,d)"/>
    <s v="(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
    <s v="Peer Reviewed Journal"/>
    <s v="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
    <s v="Yes"/>
    <s v="No"/>
    <s v="No"/>
    <s v="No"/>
    <s v="No"/>
    <s v="No"/>
    <s v="No"/>
    <s v="No"/>
    <s v="No"/>
    <s v="No"/>
    <s v="No"/>
    <s v="No"/>
    <m/>
    <s v="Cradle to Farm Gate"/>
    <s v="Yes"/>
    <s v="No"/>
    <s v="1 tonne of tomatoes"/>
    <s v="RV / 1000"/>
    <n v="3.9775999999999998"/>
    <s v=""/>
    <n v="0.28916999999999998"/>
    <s v=""/>
    <m/>
    <m/>
    <m/>
    <m/>
    <m/>
    <m/>
    <m/>
    <m/>
    <m/>
    <n v="3.9775999999999998"/>
    <m/>
    <m/>
    <m/>
    <m/>
    <m/>
    <m/>
    <m/>
    <m/>
    <m/>
    <m/>
    <m/>
    <m/>
    <n v="0.28916999999999998"/>
    <m/>
    <m/>
    <s v="ISO 2006"/>
  </r>
  <r>
    <x v="3"/>
    <x v="19"/>
    <s v="Fresh or Not Specified"/>
    <s v="cultivation in open-field with mineral fertilizers"/>
    <s v="Yes"/>
    <s v="Spain"/>
    <n v="2011"/>
    <s v="Julia Martínez-Blanco (a); Pere Muñoz (b); Assumpció Antón (b,c); Joan Rieradevall (a,d)"/>
    <s v="(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
    <s v="Peer Reviewed Journal"/>
    <s v="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
    <s v="Yes"/>
    <s v="No"/>
    <s v="No"/>
    <s v="No"/>
    <s v="No"/>
    <s v="No"/>
    <s v="No"/>
    <s v="No"/>
    <s v="No"/>
    <s v="No"/>
    <s v="No"/>
    <s v="No"/>
    <m/>
    <s v="Cradle to Farm Gate"/>
    <s v="Yes"/>
    <s v="No"/>
    <s v="1 tonne of tomatoes"/>
    <s v="RV / 1000"/>
    <n v="2.2599999999999998"/>
    <s v=""/>
    <n v="0.15606"/>
    <s v=""/>
    <m/>
    <m/>
    <m/>
    <m/>
    <m/>
    <m/>
    <m/>
    <m/>
    <m/>
    <n v="2.2599999999999998"/>
    <m/>
    <m/>
    <m/>
    <m/>
    <m/>
    <m/>
    <m/>
    <m/>
    <m/>
    <m/>
    <m/>
    <m/>
    <n v="0.15606"/>
    <m/>
    <m/>
    <s v="ISO 2006"/>
  </r>
  <r>
    <x v="3"/>
    <x v="19"/>
    <s v="Fresh or Not Specified"/>
    <s v="cultivation under greenhouse with compost plus_x000a_ mineral fertilizers"/>
    <s v="Yes"/>
    <s v="Spain"/>
    <n v="2011"/>
    <s v="Julia Martínez-Blanco (a); Pere Muñoz (b); Assumpció Antón (b,c); Joan Rieradevall (a,d)"/>
    <s v="(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
    <s v="Peer Reviewed Journal"/>
    <s v="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
    <s v="Yes"/>
    <s v="No"/>
    <s v="No"/>
    <s v="No"/>
    <s v="No"/>
    <s v="No"/>
    <s v="No"/>
    <s v="No"/>
    <s v="No"/>
    <s v="No"/>
    <s v="No"/>
    <s v="No"/>
    <m/>
    <s v="Cradle to Farm Gate"/>
    <s v="Yes"/>
    <s v="No"/>
    <s v="1 tonne of tomatoes"/>
    <s v="RV / 1000"/>
    <n v="3.1414"/>
    <s v=""/>
    <n v="0.18207000000000001"/>
    <s v=""/>
    <m/>
    <m/>
    <m/>
    <m/>
    <m/>
    <m/>
    <m/>
    <m/>
    <m/>
    <n v="3.1414"/>
    <m/>
    <m/>
    <m/>
    <m/>
    <m/>
    <m/>
    <m/>
    <m/>
    <m/>
    <m/>
    <m/>
    <m/>
    <n v="0.18207000000000001"/>
    <m/>
    <m/>
    <s v="ISO 2006"/>
  </r>
  <r>
    <x v="3"/>
    <x v="19"/>
    <s v="Fresh or Not Specified"/>
    <s v="cultivation under greenhouse with mineral_x000a_ fertilizers"/>
    <s v="Yes"/>
    <s v="Spain"/>
    <n v="2011"/>
    <s v="Julia Martínez-Blanco (a); Pere Muñoz (b); Assumpció Antón (b,c); Joan Rieradevall (a,d)"/>
    <s v="(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
    <s v="Peer Reviewed Journal"/>
    <s v="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
    <s v="Yes"/>
    <s v="No"/>
    <s v="No"/>
    <s v="No"/>
    <s v="No"/>
    <s v="No"/>
    <s v="No"/>
    <s v="No"/>
    <s v="No"/>
    <s v="No"/>
    <s v="No"/>
    <s v="No"/>
    <m/>
    <s v="Cradle to Farm Gate"/>
    <s v="Yes"/>
    <s v="No"/>
    <s v="1 tonne of tomatoes"/>
    <s v="RV / 1000"/>
    <n v="2.5537999999999998"/>
    <s v=""/>
    <n v="0.153"/>
    <s v=""/>
    <m/>
    <m/>
    <m/>
    <m/>
    <m/>
    <m/>
    <m/>
    <m/>
    <m/>
    <n v="2.5537999999999998"/>
    <m/>
    <m/>
    <m/>
    <m/>
    <m/>
    <m/>
    <m/>
    <m/>
    <m/>
    <m/>
    <m/>
    <m/>
    <n v="0.153"/>
    <m/>
    <m/>
    <s v="ISO 2006"/>
  </r>
  <r>
    <x v="3"/>
    <x v="57"/>
    <s v="Fresh or Not Specified"/>
    <s v="Winter Lettuce cultivated in a hoop house in Michigan and consumed in Michigan"/>
    <s v="No"/>
    <s v="US"/>
    <n v="2013"/>
    <s v="Rachel Plawecki (1); Rich Pirog (1,2); Adam Montri (3); Michael W. Hamm(1,2,4,5)"/>
    <s v="(1) Department of Community, Agriculture, Recreation and Resource Studies, Michigan State University, East Lansing, MI 48824, USA.; (2) Center for Regional Food Systems, Michigan State University, East Lansing, MI 48824, USA; (3) Department of Horticulture, Michigan State University, East Lansing, MI 48824, USA.; (4) Department of Plant, Soil and Microbial Sciences, Michigan State University, East Lansing, MI 48824, USA.; (5) Department of Food Science and Human Nutrition, Michigan State University, East Lansing, MI 48824, USA."/>
    <s v="Other (specify)"/>
    <s v="Plawecki, R., Pirog, R., Montri, A. and Hamm, M. W., Comparative carbon footprint assessment of winter lettuce production in two climatic zones for Midwestern market. Renewable Agriculture and Food Systems 2013, 29 (4), 310-318."/>
    <s v="Yes"/>
    <s v="No"/>
    <s v="No"/>
    <s v="No"/>
    <s v="No"/>
    <s v="Yes"/>
    <s v="No"/>
    <s v="No"/>
    <s v="No"/>
    <s v="No"/>
    <s v="No"/>
    <s v="No"/>
    <m/>
    <s v="Cradle to Retail"/>
    <s v="No"/>
    <s v="No"/>
    <s v="1 kg lettuce"/>
    <s v="n/a"/>
    <s v=""/>
    <s v=""/>
    <s v=""/>
    <s v=""/>
    <m/>
    <m/>
    <m/>
    <m/>
    <m/>
    <m/>
    <m/>
    <m/>
    <m/>
    <m/>
    <m/>
    <m/>
    <m/>
    <m/>
    <m/>
    <m/>
    <m/>
    <m/>
    <m/>
    <m/>
    <m/>
    <m/>
    <m/>
    <n v="0.19800000000000001"/>
    <m/>
    <s v="GHG Protocol and Eco-Indicator 99"/>
  </r>
  <r>
    <x v="3"/>
    <x v="57"/>
    <s v="Fresh or Not Specified"/>
    <s v="Winter Lettuce cultivated outdoors in CA then transported to Michigan"/>
    <s v="No"/>
    <s v="US"/>
    <n v="2013"/>
    <s v="Rachel Plawecki (1); Rich Pirog (1,2); Adam Montri (3); Michael W. Hamm(1,2,4,5)"/>
    <s v="(1) Department of Community, Agriculture, Recreation and Resource Studies, Michigan State University, East Lansing, MI 48824, USA.; (2) Center for Regional Food Systems, Michigan State University, East Lansing, MI 48824, USA; (3) Department of Horticulture, Michigan State University, East Lansing, MI 48824, USA.; (4) Department of Plant, Soil and Microbial Sciences, Michigan State University, East Lansing, MI 48824, USA.; (5) Department of Food Science and Human Nutrition, Michigan State University, East Lansing, MI 48824, USA."/>
    <s v="Other (specify)"/>
    <s v="Plawecki, R., Pirog, R., Montri, A. and Hamm, M. W., Comparative carbon footprint assessment of winter lettuce production in two climatic zones for Midwestern market. Renewable Agriculture and Food Systems 2013, 29 (4), 310-318."/>
    <s v="Yes"/>
    <s v="No"/>
    <s v="No"/>
    <s v="No"/>
    <s v="No"/>
    <s v="Yes"/>
    <s v="No"/>
    <s v="No"/>
    <s v="No"/>
    <s v="No"/>
    <s v="No"/>
    <s v="No"/>
    <m/>
    <s v="Cradle to Retail"/>
    <s v="No"/>
    <s v="No"/>
    <s v="1 kg lettuce"/>
    <s v="n/a"/>
    <s v=""/>
    <s v=""/>
    <s v=""/>
    <s v=""/>
    <m/>
    <m/>
    <m/>
    <m/>
    <m/>
    <m/>
    <m/>
    <m/>
    <m/>
    <m/>
    <m/>
    <m/>
    <m/>
    <m/>
    <m/>
    <m/>
    <m/>
    <m/>
    <m/>
    <m/>
    <m/>
    <m/>
    <m/>
    <n v="0.85699999999999998"/>
    <m/>
    <s v="GHG Protocol and Eco-Indicator 99"/>
  </r>
  <r>
    <x v="4"/>
    <x v="137"/>
    <s v="Fresh or Not Specified"/>
    <s v="peaches"/>
    <s v="No"/>
    <s v="Italy"/>
    <n v="2014"/>
    <s v="Carlo Ingrao (a, b); Donald Huisingh (c); Agata Matarazzo (b_x000a_); Caterina Tricase (a); Maria Teresa Clasadonte (b);"/>
    <s v="(a) Department of Economics, University of Foggia, Via Romolo Caggese, 1, 71121 Foggia Italy_x000a_; (b) Department of Economics and Business, University of Catania, Corso Italia, 55, 95129 Catania Italy_x000a_; (c) University of Tennessee, Institute for a Secure and Sustainable Environment, 311 Conference Centre Building, Knoxville, TN 37996-4134, USA"/>
    <s v="Peer Reviewed Journal"/>
    <s v="Lo Giudice, A., Mbohwa, C., Clasadonte, M. and Ingrao, C., Life cycle assessment interpretation and improvement of the Sicilian artichokes production. International Journal of Environmental Research 2014, 8 (2), 305-316."/>
    <s v="Yes"/>
    <s v="Yes"/>
    <s v="No"/>
    <s v="No"/>
    <s v="No"/>
    <s v="No"/>
    <s v="No"/>
    <s v="No"/>
    <s v="No"/>
    <s v="No"/>
    <s v="No"/>
    <s v="Yes"/>
    <s v="waste disposal - plastic boxes for fertiliser transport"/>
    <s v="Production only"/>
    <s v="No"/>
    <s v="No"/>
    <s v="1 ha of peach orchard"/>
    <s v="Conversion = 31500kg/ha.yr (mentioned in paper)"/>
    <s v=""/>
    <s v=""/>
    <s v=""/>
    <s v=""/>
    <m/>
    <m/>
    <m/>
    <m/>
    <m/>
    <m/>
    <m/>
    <m/>
    <m/>
    <m/>
    <n v="8.6666666666666661"/>
    <m/>
    <m/>
    <m/>
    <m/>
    <m/>
    <m/>
    <m/>
    <m/>
    <m/>
    <m/>
    <m/>
    <m/>
    <n v="0.23428571428571429"/>
    <m/>
    <m/>
  </r>
  <r>
    <x v="4"/>
    <x v="136"/>
    <s v="Fresh or Not Specified"/>
    <s v="Orange fruit"/>
    <s v="No"/>
    <s v="Brazil"/>
    <n v="2009"/>
    <s v="Leda Coltro (a); Anna Lúcia Mourad (a); Rojane M. Kletecke (a); Taíssa A. Mendonça (a); Sílvia P. M. Germer (a);"/>
    <s v="(a) CETEA—Packaging Technology Center,_x000a_ ITAL—Institute of Food Technology,_x000a_ P.O. Box 139, 13070-178 Campinas, SP, Brazil"/>
    <s v="Peer Reviewed Journal"/>
    <s v="Coltro, L., Mourad, A. L., Kletecke, R. M., Mendonça, T. A. and Germer, S. P. M., Assessing the environmental profile of orange production in Brazil. The International Journal of Life Cycle Assessment 2009, 14 (7), 656-664."/>
    <s v="Yes"/>
    <s v="Yes"/>
    <s v="Yes"/>
    <s v="No"/>
    <s v="No"/>
    <s v="No"/>
    <s v="No"/>
    <s v="No"/>
    <s v="No"/>
    <s v="No"/>
    <s v="No"/>
    <s v="No"/>
    <m/>
    <s v="Cradle to gate"/>
    <s v="No"/>
    <s v="No"/>
    <s v="1000 kg of orange"/>
    <s v="/1000"/>
    <s v=""/>
    <s v=""/>
    <s v=""/>
    <s v=""/>
    <m/>
    <m/>
    <m/>
    <m/>
    <m/>
    <m/>
    <m/>
    <m/>
    <m/>
    <m/>
    <n v="1.54"/>
    <m/>
    <m/>
    <m/>
    <m/>
    <m/>
    <m/>
    <m/>
    <m/>
    <m/>
    <m/>
    <m/>
    <m/>
    <m/>
    <m/>
    <m/>
  </r>
  <r>
    <x v="4"/>
    <x v="168"/>
    <s v="Fresh or Not Specified"/>
    <s v="Greenhouse strawberries"/>
    <s v="Yes"/>
    <s v="Iran"/>
    <n v="2013"/>
    <s v="Benyamin Khoshnevisan (a); Shahin Rafiee (a); Hossein Mousazadeh (a);"/>
    <s v="(a) Department of Agricultural Machinery Engineering, Faculty of Agricultural Engineering and Technology, University of Tehran, Karaj, Iran"/>
    <s v="Peer Reviewed Journal"/>
    <s v="Khoshnevisan, B., Rafiee, S. and Mousazadeh, H., Environmental impact assessment of open field and greenhouse strawberry production. European Journal of Agronomy 2013, 50, 29-37."/>
    <s v="Yes"/>
    <s v="No"/>
    <s v="No"/>
    <s v="No"/>
    <s v="No"/>
    <s v="No"/>
    <s v="No"/>
    <s v="No"/>
    <s v="No"/>
    <s v="No"/>
    <s v="No"/>
    <s v="Yes"/>
    <m/>
    <s v="Agricultural production"/>
    <s v="No"/>
    <s v="No"/>
    <s v="1 ton of strawberries"/>
    <s v="/1000"/>
    <s v=""/>
    <s v=""/>
    <s v=""/>
    <s v=""/>
    <m/>
    <m/>
    <m/>
    <m/>
    <m/>
    <m/>
    <m/>
    <m/>
    <m/>
    <m/>
    <m/>
    <m/>
    <m/>
    <m/>
    <m/>
    <m/>
    <m/>
    <m/>
    <m/>
    <m/>
    <m/>
    <m/>
    <m/>
    <n v="0.69499999999999995"/>
    <m/>
    <s v="CML method"/>
  </r>
  <r>
    <x v="4"/>
    <x v="81"/>
    <s v="Fresh or Not Specified"/>
    <s v="Open field strawberries"/>
    <s v="Yes"/>
    <s v="Iran"/>
    <n v="2013"/>
    <s v="Benyamin Khoshnevisan (a); Shahin Rafiee (a); Hossein Mousazadeh (a);"/>
    <s v="(a) Department of Agricultural Machinery Engineering, Faculty of Agricultural Engineering and Technology, University of Tehran, Karaj, Iran"/>
    <s v="Peer Reviewed Journal"/>
    <s v="Khoshnevisan, B., Rafiee, S. and Mousazadeh, H., Environmental impact assessment of open field and greenhouse strawberry production. European Journal of Agronomy 2013, 50, 29-37."/>
    <s v="Yes"/>
    <s v="No"/>
    <s v="No"/>
    <s v="No"/>
    <s v="No"/>
    <s v="No"/>
    <s v="No"/>
    <s v="No"/>
    <s v="No"/>
    <s v="No"/>
    <s v="No"/>
    <s v="Yes"/>
    <m/>
    <s v="Agricultural production"/>
    <s v="No"/>
    <s v="No"/>
    <s v="1 ton of strawberries"/>
    <s v="/1000"/>
    <s v=""/>
    <s v=""/>
    <s v=""/>
    <s v=""/>
    <m/>
    <m/>
    <m/>
    <m/>
    <m/>
    <m/>
    <m/>
    <m/>
    <m/>
    <m/>
    <m/>
    <m/>
    <m/>
    <m/>
    <m/>
    <m/>
    <m/>
    <m/>
    <m/>
    <m/>
    <m/>
    <m/>
    <m/>
    <n v="0.58499999999999996"/>
    <m/>
    <s v="CML method"/>
  </r>
  <r>
    <x v="3"/>
    <x v="94"/>
    <s v="Fresh or Not Specified"/>
    <s v="Organic Carrots"/>
    <s v="Yes"/>
    <s v="Finland"/>
    <n v="2014"/>
    <s v="Raghu KC (a)"/>
    <s v="(a) Lappeenranta University of Technology;"/>
    <s v="Master's Thesis"/>
    <s v="Kc, R., Comparative life cycle assessment on organic and conventional carrots - case; Carrots from south-savo and imported carrots from Italy. 2014, ."/>
    <s v="Yes"/>
    <s v="No"/>
    <s v="Yes"/>
    <s v="No"/>
    <s v="No"/>
    <s v="Yes"/>
    <s v="No"/>
    <s v="No"/>
    <s v="No"/>
    <s v="No"/>
    <s v="No"/>
    <s v="No"/>
    <m/>
    <s v="Agricultural production"/>
    <s v="No"/>
    <s v="No"/>
    <s v="1 kg carrots"/>
    <m/>
    <s v=""/>
    <s v=""/>
    <s v=""/>
    <s v=""/>
    <m/>
    <m/>
    <m/>
    <m/>
    <m/>
    <m/>
    <m/>
    <m/>
    <m/>
    <m/>
    <n v="1.33"/>
    <m/>
    <m/>
    <m/>
    <m/>
    <m/>
    <m/>
    <m/>
    <m/>
    <m/>
    <m/>
    <m/>
    <m/>
    <n v="4.0000000000000001E-3"/>
    <m/>
    <s v="CML2001"/>
  </r>
  <r>
    <x v="3"/>
    <x v="94"/>
    <s v="Fresh or Not Specified"/>
    <s v="Conventional grown"/>
    <s v="Yes"/>
    <s v="Italy"/>
    <n v="2014"/>
    <s v="Raghu KC (a)"/>
    <s v="(a) Lappeenranta University of Technology;"/>
    <s v="Master's Thesis"/>
    <s v="Kc, R., Comparative life cycle assessment on organic and conventional carrots - case; Carrots from south-savo and imported carrots from Italy. 2014, ."/>
    <s v="Yes"/>
    <s v="No"/>
    <s v="Yes"/>
    <s v="No"/>
    <s v="No"/>
    <s v="Yes"/>
    <s v="No"/>
    <s v="No"/>
    <s v="No"/>
    <s v="No"/>
    <s v="No"/>
    <s v="No"/>
    <m/>
    <s v="Agricultural production"/>
    <s v="No"/>
    <s v="No"/>
    <s v="1 kg carrots"/>
    <m/>
    <s v=""/>
    <s v=""/>
    <s v=""/>
    <s v=""/>
    <m/>
    <m/>
    <m/>
    <m/>
    <m/>
    <m/>
    <m/>
    <m/>
    <m/>
    <m/>
    <n v="3.68"/>
    <m/>
    <m/>
    <m/>
    <m/>
    <m/>
    <m/>
    <m/>
    <m/>
    <m/>
    <m/>
    <m/>
    <m/>
    <n v="0.28000000000000003"/>
    <m/>
    <s v="CML2001"/>
  </r>
  <r>
    <x v="3"/>
    <x v="94"/>
    <s v="Fresh or Not Specified"/>
    <s v="Conventional grown"/>
    <s v="Yes"/>
    <s v="Finland"/>
    <n v="2014"/>
    <s v="Raghu KC (a)"/>
    <s v="(a) Lappeenranta University of Technology;"/>
    <s v="Master's Thesis"/>
    <s v="Kc, R., Comparative life cycle assessment on organic and conventional carrots - case; Carrots from south-savo and imported carrots from Italy. 2014, ."/>
    <s v="Yes"/>
    <s v="No"/>
    <s v="Yes"/>
    <s v="No"/>
    <s v="No"/>
    <s v="Yes"/>
    <s v="No"/>
    <s v="No"/>
    <s v="No"/>
    <s v="No"/>
    <s v="No"/>
    <s v="No"/>
    <m/>
    <s v="Agricultural production"/>
    <s v="No"/>
    <s v="No"/>
    <s v="1 kg carrots"/>
    <m/>
    <s v=""/>
    <s v=""/>
    <s v=""/>
    <s v=""/>
    <m/>
    <m/>
    <m/>
    <m/>
    <m/>
    <m/>
    <m/>
    <m/>
    <m/>
    <m/>
    <n v="1.88"/>
    <m/>
    <m/>
    <m/>
    <m/>
    <m/>
    <m/>
    <m/>
    <m/>
    <m/>
    <m/>
    <m/>
    <m/>
    <n v="0.14199999999999999"/>
    <m/>
    <s v="CML2001"/>
  </r>
  <r>
    <x v="4"/>
    <x v="136"/>
    <s v="Fresh or Not Specified"/>
    <s v="Integrated production"/>
    <s v="No"/>
    <s v="Italy"/>
    <n v="2013"/>
    <s v="A. Lo Giudice (a); C. Mbohwa (a); M.T. Clasadonte (b); C. Ingrao (c);"/>
    <s v="(a) Department of Quality and Operations Management Faculty of Engineering and the Built Environment, University of Johannesburg South Africa Doornfontein 2028, Johannesburg, South Africa; (b)Department of Economics and Business, University of Catania, Corso Italia 55, 95129, Catania, Italy"/>
    <s v="Peer Reviewed Journal"/>
    <s v="Giudice, A. L., Mbohwa, C., Clasadonte, M. and Incrao, C., Environmental assessment of the citrus fruit production in Sicily using LCA. Italian Journal of Food Science 2013, 25 (2), 202."/>
    <s v="Yes"/>
    <s v="No"/>
    <s v="Yes"/>
    <s v="Yes"/>
    <s v="Yes"/>
    <s v="Yes"/>
    <s v="No"/>
    <s v="No"/>
    <s v="No"/>
    <s v="No"/>
    <s v="No"/>
    <s v="Yes"/>
    <m/>
    <s v="Cradle to retail"/>
    <s v="No"/>
    <s v="No"/>
    <s v="1 ton oranges"/>
    <s v="/1000"/>
    <s v=""/>
    <s v=""/>
    <s v=""/>
    <s v=""/>
    <m/>
    <m/>
    <m/>
    <m/>
    <m/>
    <m/>
    <m/>
    <m/>
    <m/>
    <m/>
    <n v="5.53"/>
    <m/>
    <m/>
    <m/>
    <m/>
    <m/>
    <m/>
    <m/>
    <m/>
    <m/>
    <m/>
    <m/>
    <m/>
    <n v="0.25700000000000001"/>
    <m/>
    <s v="Impact 2002+"/>
  </r>
  <r>
    <x v="3"/>
    <x v="18"/>
    <s v="Fresh or Not Specified"/>
    <s v="Waste volatisation - heating of greenhouse"/>
    <s v="Yes"/>
    <s v="Italy"/>
    <n v="2014"/>
    <s v="Joana Almeida (a); Wouter M.J. Achten (a); Bruno Verbist (a); Reindert F. Heuts (a); Eddie Schrevens (a); and Bart Muys (a);"/>
    <s v="(a) KU Leuven–University of Leuven, Division Forest, Nature and Landscape, Celestijnenlaan 200 E box 2411, BE-3001 Leuven, Belgium."/>
    <s v="Peer Reviewed Journal"/>
    <s v="Almeida, J., Achten, W. M. J., Verbist, B., Heuts, R. F., Schrevens, E. and Muys, B., Carbon and Water Footprints and Energy Use of Greenhouse Tomato Production in Northern Italy. Journal of Industrial Ecology 2014, 18 (6), 898-908."/>
    <s v="Yes"/>
    <s v="No"/>
    <s v="No"/>
    <s v="No"/>
    <s v="Yes"/>
    <s v="No"/>
    <s v="No"/>
    <s v="No"/>
    <s v="No"/>
    <s v="No"/>
    <s v="No"/>
    <s v="Yes"/>
    <m/>
    <s v="Production only"/>
    <s v="No"/>
    <s v="Yes"/>
    <s v="1 kg tomato"/>
    <m/>
    <n v="22.352170000000001"/>
    <s v=""/>
    <n v="0.812253"/>
    <s v=""/>
    <n v="22.352170000000001"/>
    <m/>
    <m/>
    <n v="4.7519999999999998"/>
    <m/>
    <m/>
    <m/>
    <m/>
    <n v="7.8029999999999999"/>
    <n v="22.352170000000001"/>
    <n v="35"/>
    <m/>
    <m/>
    <n v="0.812253"/>
    <m/>
    <m/>
    <n v="5.0326999999999997E-2"/>
    <m/>
    <m/>
    <m/>
    <m/>
    <n v="0.49769999999999998"/>
    <n v="0.812253"/>
    <n v="1.37"/>
    <m/>
    <m/>
  </r>
  <r>
    <x v="3"/>
    <x v="18"/>
    <s v="Fresh or Not Specified"/>
    <s v="Natural gas heating of greenhouse"/>
    <s v="Yes"/>
    <s v="Italy"/>
    <n v="2014"/>
    <s v="Joana Almeida (a); Wouter M.J. Achten (a); Bruno Verbist (a); Reindert F. Heuts (a); Eddie Schrevens (a); and Bart Muys (a);"/>
    <s v="(a) KU Leuven–University of Leuven, Division Forest, Nature and Landscape, Celestijnenlaan 200 E box 2411, BE-3001 Leuven, Belgium."/>
    <s v="Peer Reviewed Journal"/>
    <s v="Almeida, J., Achten, W. M. J., Verbist, B., Heuts, R. F., Schrevens, E. and Muys, B., Carbon and Water Footprints and Energy Use of Greenhouse Tomato Production in Northern Italy. Journal of Industrial Ecology 2014, 18 (6), 898-908."/>
    <s v="Yes"/>
    <s v="No"/>
    <s v="No"/>
    <s v="No"/>
    <s v="Yes"/>
    <s v="No"/>
    <s v="No"/>
    <s v="No"/>
    <s v="No"/>
    <s v="No"/>
    <s v="No"/>
    <s v="Yes"/>
    <m/>
    <s v="Production only"/>
    <s v="No"/>
    <s v="Yes"/>
    <s v="1 kg tomato"/>
    <m/>
    <n v="50.963999999999999"/>
    <s v=""/>
    <n v="3.0140340000000001"/>
    <s v=""/>
    <n v="50.963999999999999"/>
    <m/>
    <m/>
    <n v="4.7519999999999998"/>
    <m/>
    <m/>
    <m/>
    <m/>
    <n v="7.8029999999999999"/>
    <n v="50.963999999999999"/>
    <n v="63.6"/>
    <m/>
    <m/>
    <n v="3.0140340000000001"/>
    <m/>
    <m/>
    <n v="5.0326999999999997E-2"/>
    <m/>
    <m/>
    <m/>
    <m/>
    <n v="0.49769999999999998"/>
    <n v="3.0140340000000001"/>
    <n v="3.59"/>
    <m/>
    <m/>
  </r>
  <r>
    <x v="3"/>
    <x v="18"/>
    <s v="Fresh or Not Specified"/>
    <s v="Cogeneration heating of greenhouse"/>
    <s v="Yes"/>
    <s v="Italy"/>
    <n v="2014"/>
    <s v="Joana Almeida (a); Wouter M.J. Achten (a); Bruno Verbist (a); Reindert F. Heuts (a); Eddie Schrevens (a); and Bart Muys (a);"/>
    <s v="(a) KU Leuven–University of Leuven, Division Forest, Nature and Landscape, Celestijnenlaan 200 E box 2411, BE-3001 Leuven, Belgium."/>
    <s v="Peer Reviewed Journal"/>
    <s v="Almeida, J., Achten, W. M. J., Verbist, B., Heuts, R. F., Schrevens, E. and Muys, B., Carbon and Water Footprints and Energy Use of Greenhouse Tomato Production in Northern Italy. Journal of Industrial Ecology 2014, 18 (6), 898-908."/>
    <s v="Yes"/>
    <s v="No"/>
    <s v="No"/>
    <s v="No"/>
    <s v="Yes"/>
    <s v="No"/>
    <s v="No"/>
    <s v="No"/>
    <s v="No"/>
    <s v="No"/>
    <s v="No"/>
    <s v="Yes"/>
    <m/>
    <s v="Production only"/>
    <s v="No"/>
    <s v="Yes"/>
    <s v="1 kg tomato"/>
    <m/>
    <n v="31.48611"/>
    <s v=""/>
    <n v="2.1017410000000001"/>
    <s v=""/>
    <n v="31.48611"/>
    <m/>
    <m/>
    <n v="4.7519999999999998"/>
    <m/>
    <m/>
    <m/>
    <m/>
    <n v="7.8029999999999999"/>
    <n v="31.48611"/>
    <n v="44"/>
    <m/>
    <m/>
    <n v="2.1017410000000001"/>
    <m/>
    <m/>
    <n v="5.0326999999999997E-2"/>
    <m/>
    <m/>
    <m/>
    <m/>
    <n v="0.49769999999999998"/>
    <n v="2.1017410000000001"/>
    <n v="2.69"/>
    <m/>
    <m/>
  </r>
  <r>
    <x v="3"/>
    <x v="63"/>
    <s v="Fresh or Not Specified"/>
    <s v="Sajor-Caju Mushrooms, Small Farm (&lt; 20,000 kg per year)"/>
    <s v="No"/>
    <s v="Thailand"/>
    <n v="2014"/>
    <s v="S. Ueawiwatsakul (a); T. Mungcharoen (b); R. Tongpool (c)"/>
    <s v="(a) Thailand Advanced Institute of science and_x000a_ Technology and Tokyo Institute of Technology (TAIST-Tokyo Tech), Faculty of Engineering, Kesetsart University, Bangkok 10900, Thailand; (b) Faculty of Engineering, Kasetsart University,_x000a_ Bangkok 10900, Thailand;(c) National Metal and Materials Technology Center,_x000a_ Pathumthani, 12120, Thailand"/>
    <s v="Peer Reviewed Journal"/>
    <s v="Ueawiwatsakul, S., Mungcharoen, T. and Tongpool, R., Life Cycle Assessment of Sajor-caju Mushroom (Pleurotus Sajor-caju) from Different Sizes of Farms in Thailand. International Journal of Environmental Science and Development 2014, 5 (5), 435-439."/>
    <s v="Yes"/>
    <s v="No"/>
    <s v="No"/>
    <s v="No"/>
    <s v="No"/>
    <s v="No"/>
    <s v="No"/>
    <s v="No"/>
    <s v="No"/>
    <s v="No"/>
    <s v="No"/>
    <s v="No"/>
    <m/>
    <s v="Cradle to Farm Gate"/>
    <s v="No"/>
    <s v="No"/>
    <s v="1 kg of sajor-caju"/>
    <s v="N/A"/>
    <n v="4.9137899999999997"/>
    <s v=""/>
    <n v="3.0145179999999998"/>
    <s v=""/>
    <m/>
    <m/>
    <m/>
    <m/>
    <m/>
    <m/>
    <m/>
    <m/>
    <m/>
    <n v="4.9137899999999997"/>
    <m/>
    <m/>
    <m/>
    <m/>
    <m/>
    <m/>
    <m/>
    <m/>
    <m/>
    <m/>
    <m/>
    <m/>
    <n v="3.0145179999999998"/>
    <m/>
    <m/>
    <s v="IPCC 2006"/>
  </r>
  <r>
    <x v="3"/>
    <x v="63"/>
    <s v="Fresh or Not Specified"/>
    <s v="Sajor-Caju Mushrooms, Medium Farm (20,000-40,000 kg per year)"/>
    <s v="No"/>
    <s v="Thailand"/>
    <n v="2014"/>
    <s v="S. Ueawiwatsakul (a); T. Mungcharoen (b); R. Tongpool (c)"/>
    <s v="(a) Thailand Advanced Institute of science and_x000a_ Technology and Tokyo Institute of Technology (TAIST-Tokyo Tech), Faculty of Engineering, Kesetsart University, Bangkok 10900, Thailand; (b) Faculty of Engineering, Kasetsart University,_x000a_ Bangkok 10900, Thailand;(c) National Metal and Materials Technology Center,_x000a_ Pathumthani, 12120, Thailand"/>
    <s v="Peer Reviewed Journal"/>
    <s v="Ueawiwatsakul, S., Mungcharoen, T. and Tongpool, R., Life Cycle Assessment of Sajor-caju Mushroom (Pleurotus Sajor-caju) from Different Sizes of Farms in Thailand. International Journal of Environmental Science and Development 2014, 5 (5), 435-439."/>
    <s v="Yes"/>
    <s v="No"/>
    <s v="No"/>
    <s v="No"/>
    <s v="No"/>
    <s v="No"/>
    <s v="No"/>
    <s v="No"/>
    <s v="No"/>
    <s v="No"/>
    <s v="No"/>
    <s v="No"/>
    <m/>
    <s v="Cradle to Farm Gate"/>
    <s v="No"/>
    <s v="No"/>
    <s v="1 kg of sajor-caju"/>
    <s v="N/A"/>
    <n v="5.2694879999999999"/>
    <s v=""/>
    <n v="5.0029450000000004"/>
    <s v=""/>
    <m/>
    <m/>
    <m/>
    <m/>
    <m/>
    <m/>
    <m/>
    <m/>
    <m/>
    <n v="5.2694879999999999"/>
    <m/>
    <m/>
    <m/>
    <m/>
    <m/>
    <m/>
    <m/>
    <m/>
    <m/>
    <m/>
    <m/>
    <m/>
    <n v="5.0029450000000004"/>
    <m/>
    <m/>
    <s v="IPCC 2006"/>
  </r>
  <r>
    <x v="3"/>
    <x v="63"/>
    <s v="Fresh or Not Specified"/>
    <s v="Sajor-Caju Mushrooms, Large Farm (&gt; 40,000 kg per year)"/>
    <s v="No"/>
    <s v="Thailand"/>
    <n v="2014"/>
    <s v="S. Ueawiwatsakul (a); T. Mungcharoen (b); R. Tongpool (c)"/>
    <s v="(a) Thailand Advanced Institute of science and_x000a_ Technology and Tokyo Institute of Technology (TAIST-Tokyo Tech), Faculty of Engineering, Kesetsart University, Bangkok 10900, Thailand; (b) Faculty of Engineering, Kasetsart University,_x000a_ Bangkok 10900, Thailand;(c) National Metal and Materials Technology Center,_x000a_ Pathumthani, 12120, Thailand"/>
    <s v="Peer Reviewed Journal"/>
    <s v="Ueawiwatsakul, S., Mungcharoen, T. and Tongpool, R., Life Cycle Assessment of Sajor-caju Mushroom (Pleurotus Sajor-caju) from Different Sizes of Farms in Thailand. International Journal of Environmental Science and Development 2014, 5 (5), 435-439."/>
    <s v="Yes"/>
    <s v="No"/>
    <s v="No"/>
    <s v="No"/>
    <s v="No"/>
    <s v="No"/>
    <s v="No"/>
    <s v="No"/>
    <s v="No"/>
    <s v="No"/>
    <s v="No"/>
    <s v="No"/>
    <m/>
    <s v="Cradle to Farm Gate"/>
    <s v="No"/>
    <s v="No"/>
    <s v="1 kg of sajor-caju"/>
    <s v="N/A"/>
    <n v="4.3407419999999997"/>
    <s v=""/>
    <n v="3.371086"/>
    <s v=""/>
    <m/>
    <m/>
    <m/>
    <m/>
    <m/>
    <m/>
    <m/>
    <m/>
    <m/>
    <n v="4.3407419999999997"/>
    <m/>
    <m/>
    <m/>
    <m/>
    <m/>
    <m/>
    <m/>
    <m/>
    <m/>
    <m/>
    <m/>
    <m/>
    <n v="3.371086"/>
    <m/>
    <m/>
    <s v="IPCC 2006"/>
  </r>
  <r>
    <x v="3"/>
    <x v="86"/>
    <s v="Fresh or Not Specified"/>
    <s v="Cucumber, grown in greenhouse"/>
    <s v="No"/>
    <s v="Iran"/>
    <n v="2013"/>
    <s v="Benyamin Khoshnevisan (a); Sean Clark (b); Shahin Rafiee (a); Mahmoud Omid (a); Hossein Mousazadeh (a)"/>
    <m/>
    <s v="Peer Reviewed Journal"/>
    <s v="Khoshnevisan, B., Rafiee, S. and Mousazadeh, H., Environmental impact assessment of open field and greenhouse strawberry production. European Journal of Agronomy 2013, 50, 29-37."/>
    <s v="Yes"/>
    <s v="No"/>
    <s v="No"/>
    <s v="No"/>
    <s v="No"/>
    <s v="No"/>
    <s v="No"/>
    <s v="No"/>
    <s v="No"/>
    <s v="No"/>
    <s v="No"/>
    <s v="No"/>
    <m/>
    <s v="Cradle to Farm Gate"/>
    <s v="No"/>
    <s v="No"/>
    <s v="tonne of crop"/>
    <s v="RV / 1000"/>
    <s v=""/>
    <s v=""/>
    <n v="0.12938999999999998"/>
    <s v=""/>
    <m/>
    <m/>
    <m/>
    <m/>
    <m/>
    <m/>
    <m/>
    <m/>
    <m/>
    <m/>
    <m/>
    <m/>
    <m/>
    <m/>
    <m/>
    <m/>
    <m/>
    <m/>
    <m/>
    <m/>
    <m/>
    <m/>
    <n v="0.12938999999999998"/>
    <m/>
    <m/>
    <m/>
  </r>
  <r>
    <x v="3"/>
    <x v="18"/>
    <s v="Fresh or Not Specified"/>
    <s v="Tomato, grown in greenhouse"/>
    <s v="No"/>
    <s v="Iran"/>
    <n v="2013"/>
    <s v="Benyamin Khoshnevisan (a); Sean Clark (b); Shahin Rafiee (a); Mahmoud Omid (a); Hossein Mousazadeh (a)"/>
    <m/>
    <s v="Peer Reviewed Journal"/>
    <s v="Khoshnevisan, B., Rafiee, S. and Mousazadeh, H., Environmental impact assessment of open field and greenhouse strawberry production. European Journal of Agronomy 2013, 50, 29-37."/>
    <s v="Yes"/>
    <s v="No"/>
    <s v="No"/>
    <s v="No"/>
    <s v="No"/>
    <s v="No"/>
    <s v="No"/>
    <s v="No"/>
    <s v="No"/>
    <s v="No"/>
    <s v="No"/>
    <s v="No"/>
    <m/>
    <s v="Cradle to Farm Gate"/>
    <s v="No"/>
    <s v="No"/>
    <s v="tonne of crop"/>
    <s v="RV / 1000"/>
    <s v=""/>
    <s v=""/>
    <n v="0.24493000000000001"/>
    <s v=""/>
    <m/>
    <m/>
    <m/>
    <m/>
    <m/>
    <m/>
    <m/>
    <m/>
    <m/>
    <m/>
    <m/>
    <m/>
    <m/>
    <m/>
    <m/>
    <m/>
    <m/>
    <m/>
    <m/>
    <m/>
    <m/>
    <m/>
    <n v="0.24493000000000001"/>
    <m/>
    <m/>
    <m/>
  </r>
  <r>
    <x v="0"/>
    <x v="0"/>
    <s v="Fresh or Not Specified"/>
    <s v="Fluid Milk"/>
    <s v="No"/>
    <s v="Portugal"/>
    <n v="2010"/>
    <s v="É.G. Castanheira (a); A.C. Dias (b); L. Arroja (b); R. Amaro (c)"/>
    <s v="(a) ADAI, Department of Mechanical Engineering – University of Coimbra, 3030-788 Coimbra, Portugal; (b) CESAM, Department of Environment and Planning – University of Aveiro, 3810-193 Aveiro, Portugal; (c) CERNAS, Escola Superior Agrária, Instituto Politécnico de Coimbra, 3040-316 Coimbra, Portugal"/>
    <s v="Peer Reviewed Journal"/>
    <s v="Castanheira, É. G., Dias, A. C., Arroja, L. and Amaro, R., The environmental performance of milk production on a typical Portuguese dairy farm. Agricultural Systems 2010, 103 (7), 498-507."/>
    <s v="Yes"/>
    <s v="No"/>
    <s v="No"/>
    <s v="No"/>
    <s v="No"/>
    <s v="No"/>
    <s v="No"/>
    <s v="No"/>
    <s v="No"/>
    <s v="No"/>
    <s v="No"/>
    <s v="No"/>
    <m/>
    <s v="Cradle to Farm Gate"/>
    <s v="No"/>
    <s v="No"/>
    <s v="1 tonne raw milk delivered to farm gate"/>
    <s v="RV / 1000"/>
    <s v=""/>
    <s v=""/>
    <n v="1.02078"/>
    <s v=""/>
    <m/>
    <m/>
    <m/>
    <m/>
    <m/>
    <m/>
    <m/>
    <m/>
    <m/>
    <m/>
    <m/>
    <m/>
    <m/>
    <m/>
    <m/>
    <m/>
    <m/>
    <m/>
    <m/>
    <m/>
    <m/>
    <m/>
    <n v="1.02078"/>
    <m/>
    <m/>
    <s v="IPCC 2007"/>
  </r>
  <r>
    <x v="0"/>
    <x v="0"/>
    <s v="Fresh or Not Specified"/>
    <s v="Fluid Milk"/>
    <s v="No"/>
    <s v="UK"/>
    <n v="2012"/>
    <s v="DairyCo"/>
    <s v="Agriculture and Horticulture_x000a_ Development Board, UK"/>
    <s v="Government Report"/>
    <s v="DairyCo. Greenhouse gas emissions on British dairy farms: Agriculture and Horticulture Development Board; 2012."/>
    <s v="Yes"/>
    <s v="No"/>
    <s v="No"/>
    <s v="No"/>
    <s v="No"/>
    <s v="No"/>
    <s v="No"/>
    <s v="No"/>
    <s v="No"/>
    <s v="No"/>
    <s v="No"/>
    <s v="No"/>
    <m/>
    <s v="Cradle to Farm Gate"/>
    <s v="No"/>
    <s v="No"/>
    <s v="1 liter of FCMP"/>
    <s v="RV x (1000L/1m^3) x (1m^3/1035kg)"/>
    <s v=""/>
    <s v=""/>
    <n v="1.2647342995169082"/>
    <s v=""/>
    <m/>
    <m/>
    <m/>
    <m/>
    <m/>
    <m/>
    <m/>
    <m/>
    <m/>
    <m/>
    <m/>
    <m/>
    <m/>
    <m/>
    <m/>
    <m/>
    <m/>
    <m/>
    <m/>
    <m/>
    <m/>
    <m/>
    <n v="1.2647342995169082"/>
    <m/>
    <s v="0.266, std. dev."/>
    <s v="IPCC 2006"/>
  </r>
  <r>
    <x v="4"/>
    <x v="66"/>
    <s v="Fresh or Not Specified"/>
    <s v="European consumption in country of production"/>
    <s v="No"/>
    <s v="Europe"/>
    <n v="2007"/>
    <s v="Llorenç Milà i Canals1*, Sarah J. Cowell1,2, Sarah Sim1 and Lauren Basson1"/>
    <s v="1 Centre for Environmental Strategy, University of Surrey (D3), GU2 7XH Guildford (Surrey), UK, 2 Sustainability and Society, Landcare Research, PO Box 40, Lincoln 7640, New Zealand"/>
    <s v="Peer Reviewed Journal"/>
    <s v="Milà I Canals, L., Cowell, S. J., Sim, S. and Basson, L., Comparing domestic versus imported apples: a focus on energy use. Environmental science and pollution research international 2007, 14 (5), 338-344."/>
    <s v="Yes"/>
    <s v="No"/>
    <s v="Yes"/>
    <s v="No"/>
    <s v="Yes"/>
    <s v="Yes"/>
    <s v="No"/>
    <s v="No"/>
    <s v="No"/>
    <s v="No"/>
    <s v="No"/>
    <s v="No"/>
    <m/>
    <s v="cradle to retail; reporting average of 4 seasons"/>
    <s v="yes, during storage"/>
    <s v="Yes"/>
    <s v="1 kg apples at European retail outlet"/>
    <m/>
    <n v="1.25"/>
    <n v="2.4875000000000003"/>
    <s v=""/>
    <s v=""/>
    <n v="1.25"/>
    <n v="1.2375000000000003"/>
    <m/>
    <n v="0.65"/>
    <n v="0.2"/>
    <m/>
    <m/>
    <m/>
    <m/>
    <n v="1.25"/>
    <n v="3.3499999999999996"/>
    <m/>
    <m/>
    <m/>
    <m/>
    <m/>
    <m/>
    <m/>
    <m/>
    <m/>
    <m/>
    <m/>
    <m/>
    <m/>
    <m/>
    <m/>
  </r>
  <r>
    <x v="4"/>
    <x v="66"/>
    <s v="Fresh or Not Specified"/>
    <s v="European consumption, European production, not consumed in country of production"/>
    <s v="No"/>
    <s v="Europe"/>
    <n v="2007"/>
    <s v="Llorenç Milà i Canals1*, Sarah J. Cowell1,2, Sarah Sim1 and Lauren Basson1"/>
    <s v="1 Centre for Environmental Strategy, University of Surrey (D3), GU2 7XH Guildford (Surrey), UK, 2 Sustainability and Society, Landcare Research, PO Box 40, Lincoln 7640, New Zealand"/>
    <s v="Peer Reviewed Journal"/>
    <s v="Milà I Canals, L., Cowell, S. J., Sim, S. and Basson, L., Comparing domestic versus imported apples: a focus on energy use. Environmental science and pollution research international 2007, 14 (5), 338-344."/>
    <s v="Yes"/>
    <s v="No"/>
    <s v="Yes"/>
    <s v="No"/>
    <s v="Yes"/>
    <s v="Yes"/>
    <s v="No"/>
    <s v="No"/>
    <s v="No"/>
    <s v="No"/>
    <s v="No"/>
    <s v="No"/>
    <m/>
    <s v="cradle to retail; reporting average of 4 seasons"/>
    <s v="yes, during storage"/>
    <s v="Yes"/>
    <s v="1 kg apples at European retail outlet"/>
    <m/>
    <n v="1.25"/>
    <n v="3.7475000000000001"/>
    <s v=""/>
    <s v=""/>
    <n v="1.25"/>
    <n v="2.4975000000000001"/>
    <m/>
    <n v="0.65"/>
    <n v="0.2"/>
    <m/>
    <m/>
    <m/>
    <m/>
    <n v="1.25"/>
    <n v="4.625"/>
    <m/>
    <m/>
    <m/>
    <m/>
    <m/>
    <m/>
    <m/>
    <m/>
    <m/>
    <m/>
    <m/>
    <m/>
    <m/>
    <m/>
    <m/>
  </r>
  <r>
    <x v="4"/>
    <x v="66"/>
    <s v="Fresh or Not Specified"/>
    <s v="European consumption, New Zealand production"/>
    <s v="No"/>
    <s v="New Zealand"/>
    <n v="2007"/>
    <s v="Llorenç Milà i Canals1*, Sarah J. Cowell1,2, Sarah Sim1 and Lauren Basson1"/>
    <s v="1 Centre for Environmental Strategy, University of Surrey (D3), GU2 7XH Guildford (Surrey), UK, 2 Sustainability and Society, Landcare Research, PO Box 40, Lincoln 7640, New Zealand"/>
    <s v="Peer Reviewed Journal"/>
    <s v="Milà I Canals, L., Cowell, S. J., Sim, S. and Basson, L., Comparing domestic versus imported apples: a focus on energy use. Environmental science and pollution research international 2007, 14 (5), 338-344."/>
    <s v="Yes"/>
    <s v="No"/>
    <s v="Yes"/>
    <s v="No"/>
    <s v="Yes"/>
    <s v="Yes"/>
    <s v="No"/>
    <s v="No"/>
    <s v="No"/>
    <s v="No"/>
    <s v="No"/>
    <s v="No"/>
    <m/>
    <s v="cradle to retail; reporting average of 4 seasons"/>
    <s v="yes, during storage"/>
    <s v="Yes"/>
    <s v="1 kg apples at European retail outlet"/>
    <m/>
    <n v="0.54749999999999999"/>
    <n v="4.6150000000000002"/>
    <s v=""/>
    <s v=""/>
    <n v="0.54749999999999999"/>
    <n v="4.0674999999999999"/>
    <m/>
    <n v="0.65"/>
    <n v="0.2"/>
    <m/>
    <m/>
    <m/>
    <m/>
    <n v="0.54749999999999999"/>
    <n v="5.4499999999999993"/>
    <m/>
    <m/>
    <m/>
    <m/>
    <m/>
    <m/>
    <m/>
    <m/>
    <m/>
    <m/>
    <m/>
    <m/>
    <m/>
    <m/>
    <m/>
  </r>
  <r>
    <x v="4"/>
    <x v="66"/>
    <s v="Fresh or Not Specified"/>
    <s v="European consumption, other southern hemisphere country production"/>
    <m/>
    <s v="Southern Hemisphere, not new zealand"/>
    <n v="2007"/>
    <s v="Llorenç Milà i Canals1*, Sarah J. Cowell1,2, Sarah Sim1 and Lauren Basson1"/>
    <s v="1 Centre for Environmental Strategy, University of Surrey (D3), GU2 7XH Guildford (Surrey), UK, 2 Sustainability and Society, Landcare Research, PO Box 40, Lincoln 7640, New Zealand"/>
    <s v="Peer Reviewed Journal"/>
    <s v="Milà I Canals, L., Cowell, S. J., Sim, S. and Basson, L., Comparing domestic versus imported apples: a focus on energy use. Environmental science and pollution research international 2007, 14 (5), 338-344."/>
    <s v="Yes"/>
    <s v="No"/>
    <s v="Yes"/>
    <s v="No"/>
    <s v="Yes"/>
    <s v="Yes"/>
    <s v="No"/>
    <s v="No"/>
    <s v="No"/>
    <s v="No"/>
    <s v="No"/>
    <s v="No"/>
    <m/>
    <s v="cradle to retail; reporting average of 4 seasons"/>
    <s v="yes, during storage"/>
    <s v="Yes"/>
    <s v="1 kg apples at European retail outlet"/>
    <m/>
    <n v="1.2"/>
    <n v="3.8875000000000002"/>
    <s v=""/>
    <s v=""/>
    <n v="1.2"/>
    <n v="2.6875"/>
    <m/>
    <n v="0.65"/>
    <n v="0.2"/>
    <m/>
    <m/>
    <m/>
    <m/>
    <n v="1.2"/>
    <n v="4.7250000000000005"/>
    <m/>
    <m/>
    <m/>
    <m/>
    <m/>
    <m/>
    <m/>
    <m/>
    <m/>
    <m/>
    <m/>
    <m/>
    <m/>
    <m/>
    <m/>
  </r>
  <r>
    <x v="7"/>
    <x v="110"/>
    <s v="bottled"/>
    <s v="Coca-Cola, 330 mL aluminum can"/>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49438725062525446"/>
    <m/>
    <m/>
  </r>
  <r>
    <x v="7"/>
    <x v="110"/>
    <s v="bottled"/>
    <s v="Coca-Cola, 330 mL glass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1.0469377072064212"/>
    <m/>
    <m/>
  </r>
  <r>
    <x v="7"/>
    <x v="110"/>
    <s v="bottled"/>
    <s v="Coca-Cola, 2 L plastic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23992322456813819"/>
    <m/>
    <m/>
  </r>
  <r>
    <x v="7"/>
    <x v="110"/>
    <s v="bottled"/>
    <s v="Diet Coke, 330 mL aluminum can"/>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43622404466934217"/>
    <m/>
    <m/>
  </r>
  <r>
    <x v="7"/>
    <x v="110"/>
    <s v="bottled"/>
    <s v="Diet Coke, 330 mL glass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98877450125050892"/>
    <m/>
    <m/>
  </r>
  <r>
    <x v="7"/>
    <x v="110"/>
    <s v="bottled"/>
    <s v="Diet Coke, 2 L plastic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19193857965451055"/>
    <m/>
    <m/>
  </r>
  <r>
    <x v="7"/>
    <x v="110"/>
    <s v="bottled"/>
    <s v="Coke Zero, 330 mL aluminum can"/>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43622404466934217"/>
    <m/>
    <m/>
  </r>
  <r>
    <x v="7"/>
    <x v="110"/>
    <s v="bottled"/>
    <s v="Coke Zero, 330 mL glass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98877450125050892"/>
    <m/>
    <m/>
  </r>
  <r>
    <x v="7"/>
    <x v="110"/>
    <s v="bottled"/>
    <s v="Coke Zero, 2 L plastic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19193857965451055"/>
    <m/>
    <m/>
  </r>
  <r>
    <x v="7"/>
    <x v="110"/>
    <s v="bottled"/>
    <s v="Oasis, 375 mL glass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87012156110044792"/>
    <m/>
    <m/>
  </r>
  <r>
    <x v="7"/>
    <x v="141"/>
    <s v="bottled"/>
    <s v="glass bottle"/>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No"/>
    <s v="No"/>
    <s v="No"/>
    <s v="No"/>
    <s v="No"/>
    <s v="No"/>
    <s v="no"/>
    <m/>
    <m/>
    <m/>
    <s v="g per litre beer"/>
    <s v="/1000/1.01 (assumed density of beer in kg/L)"/>
    <s v=""/>
    <s v=""/>
    <n v="0.15445544554455445"/>
    <n v="0.85940594059405928"/>
    <m/>
    <m/>
    <m/>
    <m/>
    <m/>
    <m/>
    <m/>
    <m/>
    <m/>
    <m/>
    <m/>
    <m/>
    <m/>
    <n v="0.15445544554455445"/>
    <n v="1.782178217821782E-2"/>
    <n v="0.68712871287128707"/>
    <n v="0.52772277227722775"/>
    <m/>
    <m/>
    <m/>
    <m/>
    <m/>
    <n v="0.15445544554455445"/>
    <n v="1.387128712871287"/>
    <m/>
    <m/>
  </r>
  <r>
    <x v="7"/>
    <x v="141"/>
    <s v="draft"/>
    <m/>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No"/>
    <s v="No"/>
    <s v="No"/>
    <s v="No"/>
    <s v="No"/>
    <s v="No"/>
    <s v="no"/>
    <m/>
    <m/>
    <m/>
    <s v="g per litre beer"/>
    <s v="/1000/1.01 (assumed density of beer in kg/L)"/>
    <s v=""/>
    <s v=""/>
    <n v="0.15445544554455445"/>
    <n v="0.83960396039603957"/>
    <m/>
    <m/>
    <m/>
    <m/>
    <m/>
    <m/>
    <m/>
    <m/>
    <m/>
    <m/>
    <m/>
    <m/>
    <m/>
    <n v="0.15445544554455445"/>
    <m/>
    <n v="0.68514851485148509"/>
    <n v="6.3366336633663367E-2"/>
    <n v="0.14653465346534653"/>
    <m/>
    <m/>
    <m/>
    <m/>
    <n v="0.15445544554455445"/>
    <n v="1.0485148514851486"/>
    <m/>
    <m/>
  </r>
  <r>
    <x v="7"/>
    <x v="141"/>
    <s v="bottled"/>
    <s v="glass bottle"/>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No"/>
    <s v="No"/>
    <s v="No"/>
    <s v="No"/>
    <s v="No"/>
    <s v="No"/>
    <s v="no"/>
    <m/>
    <m/>
    <m/>
    <s v="g per litre beer"/>
    <s v="/1000/1.01 (assumed density of beer in kg/L)"/>
    <s v=""/>
    <s v=""/>
    <n v="0.33564356435643561"/>
    <n v="0.82178217821782173"/>
    <m/>
    <m/>
    <m/>
    <m/>
    <m/>
    <m/>
    <m/>
    <m/>
    <m/>
    <m/>
    <m/>
    <m/>
    <m/>
    <n v="0.33564356435643561"/>
    <n v="0.36336633663366336"/>
    <n v="0.12277227722772277"/>
    <n v="0.17722772277227722"/>
    <m/>
    <m/>
    <m/>
    <m/>
    <m/>
    <n v="0.33564356435643561"/>
    <n v="1.0138613861386139"/>
    <m/>
    <m/>
  </r>
  <r>
    <x v="7"/>
    <x v="141"/>
    <s v="draft"/>
    <m/>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No"/>
    <s v="No"/>
    <s v="No"/>
    <s v="No"/>
    <s v="No"/>
    <s v="No"/>
    <s v="no"/>
    <m/>
    <m/>
    <m/>
    <s v="g per litre beer"/>
    <s v="/1000/1.01 (assumed density of beer in kg/L)"/>
    <s v=""/>
    <s v=""/>
    <n v="0.33589108910891086"/>
    <n v="0.82351485148514847"/>
    <m/>
    <m/>
    <m/>
    <m/>
    <m/>
    <m/>
    <m/>
    <m/>
    <m/>
    <m/>
    <m/>
    <m/>
    <m/>
    <n v="0.33589108910891086"/>
    <n v="0.3636138613861386"/>
    <n v="0.12400990099009901"/>
    <n v="0.19133663366336634"/>
    <m/>
    <m/>
    <m/>
    <m/>
    <m/>
    <n v="0.33589108910891086"/>
    <n v="1"/>
    <m/>
    <m/>
  </r>
  <r>
    <x v="7"/>
    <x v="141"/>
    <m/>
    <m/>
    <m/>
    <m/>
    <n v="2010"/>
    <s v="Henrik Saxe"/>
    <s v="Institute of Food and Resource Economics, Copenhagen"/>
    <s v="NGO Report"/>
    <s v="Saxe H. LCA-based comparison of the climate footprint of beer vs. wine &amp; spirits: Fødevareøkonomisk Institut, Københavns Universitet; 2010."/>
    <m/>
    <m/>
    <m/>
    <m/>
    <m/>
    <m/>
    <m/>
    <m/>
    <m/>
    <m/>
    <m/>
    <m/>
    <m/>
    <m/>
    <m/>
    <m/>
    <s v="g per litre beer"/>
    <s v="/1000/1.01 (assumed density of beer in kg/L)"/>
    <s v=""/>
    <s v=""/>
    <n v="0.29273927392739274"/>
    <n v="0.40033003300330033"/>
    <m/>
    <m/>
    <m/>
    <m/>
    <m/>
    <m/>
    <m/>
    <m/>
    <m/>
    <m/>
    <m/>
    <m/>
    <m/>
    <n v="0.29273927392739274"/>
    <m/>
    <n v="0.10759075907590759"/>
    <n v="0.36996699669966993"/>
    <n v="0.14125412541254126"/>
    <n v="0.43333333333333329"/>
    <n v="0.13828382838283829"/>
    <m/>
    <m/>
    <n v="0.29273927392739274"/>
    <n v="1.4831683168316832"/>
    <m/>
    <m/>
  </r>
  <r>
    <x v="7"/>
    <x v="141"/>
    <s v="ave bottles &amp; cans"/>
    <m/>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Yes"/>
    <s v="No"/>
    <s v="Yes"/>
    <m/>
    <m/>
    <m/>
    <m/>
    <s v="includes refrigeration in use phase"/>
    <m/>
    <m/>
    <s v="g per litre beer"/>
    <s v="/1000/1.01 (assumed density of beer in kg/L)"/>
    <s v=""/>
    <s v=""/>
    <s v=""/>
    <s v=""/>
    <m/>
    <m/>
    <m/>
    <m/>
    <m/>
    <m/>
    <m/>
    <m/>
    <m/>
    <m/>
    <m/>
    <m/>
    <m/>
    <m/>
    <m/>
    <m/>
    <m/>
    <m/>
    <m/>
    <m/>
    <m/>
    <m/>
    <m/>
    <m/>
    <m/>
    <m/>
  </r>
  <r>
    <x v="7"/>
    <x v="141"/>
    <s v="bottles"/>
    <s v="New Belgium Fat Tire in 6 pack bottles"/>
    <m/>
    <m/>
    <n v="2008"/>
    <s v="The Climate Conservancy"/>
    <m/>
    <s v="NGO Report"/>
    <s v="The Climate Conservancy, The Carbon Footprint of Fat Tire® Amber Ale. 2008, ."/>
    <s v="Yes"/>
    <s v="No"/>
    <s v="Yes"/>
    <s v="Yes"/>
    <s v="Yes"/>
    <s v="Yes"/>
    <s v="Yes"/>
    <s v="Yes"/>
    <s v="Yes"/>
    <s v="No"/>
    <s v="No"/>
    <s v="No"/>
    <m/>
    <m/>
    <s v="No"/>
    <m/>
    <s v="g per 6 pack"/>
    <s v="/1000/72 oz.(=2.129 L)/1.05"/>
    <s v=""/>
    <s v=""/>
    <n v="0.28101438189178912"/>
    <n v="0.38514661477554857"/>
    <m/>
    <m/>
    <m/>
    <m/>
    <m/>
    <m/>
    <m/>
    <m/>
    <m/>
    <m/>
    <m/>
    <m/>
    <m/>
    <n v="0.28101438189178912"/>
    <m/>
    <n v="0.10413223288375942"/>
    <n v="0.3566172359032857"/>
    <n v="0.13551454964324858"/>
    <n v="0.41652893153503773"/>
    <n v="0.13266161175602229"/>
    <m/>
    <m/>
    <n v="0.28101438189178912"/>
    <n v="1.4829627631621782"/>
    <m/>
    <m/>
  </r>
  <r>
    <x v="7"/>
    <x v="141"/>
    <s v="bottled"/>
    <s v="European format, 33cL bottle"/>
    <s v="No"/>
    <m/>
    <n v="2012"/>
    <s v="Beverage Industry Environmental Roundtable"/>
    <m/>
    <s v="NGO Report"/>
    <s v="Beverage Industry Environmental Roundtable, Research on the carbon footprint of beer. Beverage Industry Environmental Roundtable 2012, ."/>
    <s v="Yes"/>
    <s v="No"/>
    <s v="Yes"/>
    <s v="Yes"/>
    <s v="Yes"/>
    <s v="Yes"/>
    <s v="Yes"/>
    <s v="Yes"/>
    <s v="Yes"/>
    <s v="No"/>
    <s v="No"/>
    <s v="No"/>
    <m/>
    <m/>
    <s v="No"/>
    <m/>
    <s v="g per L"/>
    <s v="/1000/1.05 (assumed density of beer in kg/L)"/>
    <s v=""/>
    <s v=""/>
    <n v="0.16176237623762377"/>
    <n v="0.26572277227722774"/>
    <m/>
    <m/>
    <m/>
    <m/>
    <m/>
    <m/>
    <m/>
    <m/>
    <m/>
    <m/>
    <m/>
    <m/>
    <m/>
    <n v="0.16176237623762377"/>
    <m/>
    <n v="0.10396039603960396"/>
    <n v="5.4475247524752475E-2"/>
    <n v="5.1980198019801978E-2"/>
    <n v="2.1207920792079206E-2"/>
    <m/>
    <m/>
    <m/>
    <n v="0.16176237623762377"/>
    <n v="0.41584158415841582"/>
    <m/>
    <m/>
  </r>
  <r>
    <x v="7"/>
    <x v="141"/>
    <s v="Canned"/>
    <s v="North American format, 255mL can"/>
    <s v="No"/>
    <m/>
    <n v="2012"/>
    <s v="Beverage Industry Environmental Roundtable"/>
    <m/>
    <s v="NGO Report"/>
    <s v="Beverage Industry Environmental Roundtable, Research on the carbon footprint of beer. Beverage Industry Environmental Roundtable 2012, ."/>
    <s v="Yes"/>
    <s v="No"/>
    <s v="Yes"/>
    <s v="Yes"/>
    <s v="Yes"/>
    <s v="Yes"/>
    <s v="Yes"/>
    <s v="Yes"/>
    <s v="Yes"/>
    <s v="No"/>
    <s v="No"/>
    <s v="No"/>
    <m/>
    <m/>
    <s v="No"/>
    <m/>
    <s v="g per L"/>
    <s v="/1000/1.05 (assumed density of beer in kg/L)"/>
    <s v=""/>
    <s v=""/>
    <n v="0.29584158415841588"/>
    <n v="0.40099009900990101"/>
    <m/>
    <m/>
    <m/>
    <m/>
    <m/>
    <m/>
    <m/>
    <m/>
    <m/>
    <m/>
    <m/>
    <m/>
    <m/>
    <n v="0.29584158415841588"/>
    <m/>
    <n v="0.10514851485148514"/>
    <n v="0.37603960396039604"/>
    <n v="6.8613861386138619E-2"/>
    <n v="2.9405940594059408E-2"/>
    <m/>
    <m/>
    <m/>
    <n v="0.29584158415841588"/>
    <n v="0.8910891089108911"/>
    <m/>
    <m/>
  </r>
  <r>
    <x v="7"/>
    <x v="141"/>
    <s v="bottled"/>
    <s v="0.33 L glass bottle"/>
    <m/>
    <s v="UK"/>
    <n v="2016"/>
    <s v="David Amienyo1 &amp; Adisa Azapagic1"/>
    <s v="School of Chemical Engineering and Analytical Science, The University of Manchester, Room C16, The Mill, Sackville Street, M13 9PL Manchester, UK"/>
    <s v="Peer Reviewed Journal"/>
    <s v="Amienyo, D. and Azapagic, A., Life cycle environmental impacts and costs of beer production and consumption in the UK. The International Journal of Life Cycle Assessment 2016, 21 (4), 492-509."/>
    <s v="Yes"/>
    <s v="No"/>
    <s v="Yes"/>
    <s v="Yes"/>
    <s v="Yes"/>
    <s v="Yes"/>
    <s v="Yes"/>
    <s v="No"/>
    <s v="No"/>
    <s v="No"/>
    <s v="No"/>
    <s v="No"/>
    <m/>
    <m/>
    <s v="No"/>
    <m/>
    <s v="g per L"/>
    <s v="/1000/1.05 (assumed density of beer in kg/L)"/>
    <n v="5.7364150943396197"/>
    <n v="7.0594339622641495"/>
    <n v="0.19801980198019803"/>
    <n v="0.27326732673267329"/>
    <n v="5.7364150943396197"/>
    <m/>
    <n v="1.3230188679245301"/>
    <n v="7.4056603773584904"/>
    <n v="0.29622641509433961"/>
    <m/>
    <m/>
    <n v="0.14811320754716981"/>
    <m/>
    <n v="5.7364150943396197"/>
    <n v="14.811320754716981"/>
    <m/>
    <m/>
    <n v="0.19801980198019803"/>
    <m/>
    <n v="7.5247524752475245E-2"/>
    <n v="0.36732673267326732"/>
    <n v="2.3762376237623763E-2"/>
    <n v="0.15247524752475247"/>
    <m/>
    <n v="5.0495049504950491E-2"/>
    <m/>
    <n v="0.19801980198019803"/>
    <n v="0.86732673267326732"/>
    <m/>
    <s v="CML 2001"/>
  </r>
  <r>
    <x v="7"/>
    <x v="141"/>
    <s v="Canned"/>
    <s v="0.44 L aluminum can"/>
    <m/>
    <s v="UK"/>
    <n v="2016"/>
    <s v="David Amienyo1 &amp; Adisa Azapagic1"/>
    <s v="School of Chemical Engineering and Analytical Science, The University of Manchester, Room C16, The Mill, Sackville Street, M13 9PL Manchester, UK"/>
    <s v="Peer Reviewed Journal"/>
    <s v="Amienyo, D. and Azapagic, A., Life cycle environmental impacts and costs of beer production and consumption in the UK. The International Journal of Life Cycle Assessment 2016, 21 (4), 492-509."/>
    <s v="Yes"/>
    <s v="No"/>
    <s v="Yes"/>
    <s v="Yes"/>
    <s v="Yes"/>
    <s v="Yes"/>
    <s v="Yes"/>
    <s v="No"/>
    <s v="No"/>
    <s v="No"/>
    <s v="No"/>
    <s v="No"/>
    <m/>
    <m/>
    <s v="No"/>
    <m/>
    <s v="g per L"/>
    <s v="/1000/1.05 (assumed density of beer in kg/L)"/>
    <n v="6.3962264150943389"/>
    <n v="7.9952830188679238"/>
    <n v="0.19702970297029704"/>
    <n v="0.26930693069306932"/>
    <n v="6.3962264150943389"/>
    <m/>
    <n v="1.5990566037735847"/>
    <n v="2.45188679245283"/>
    <n v="0.10660377358490566"/>
    <m/>
    <m/>
    <n v="0.10660377358490566"/>
    <m/>
    <n v="6.3962264150943389"/>
    <n v="10.660377358490566"/>
    <m/>
    <m/>
    <n v="0.19702970297029704"/>
    <m/>
    <n v="7.2277227722772272E-2"/>
    <n v="0.24158415841584158"/>
    <n v="8.9108910891089101E-3"/>
    <n v="0.1"/>
    <m/>
    <n v="4.8514851485148516E-2"/>
    <m/>
    <n v="0.19702970297029704"/>
    <n v="0.66930693069306935"/>
    <m/>
    <s v="CML 2001"/>
  </r>
  <r>
    <x v="7"/>
    <x v="141"/>
    <s v="Canned"/>
    <s v="0.44 L steel can"/>
    <m/>
    <s v="UK"/>
    <n v="2016"/>
    <s v="David Amienyo1 &amp; Adisa Azapagic1"/>
    <s v="School of Chemical Engineering and Analytical Science, The University of Manchester, Room C16, The Mill, Sackville Street, M13 9PL Manchester, UK"/>
    <s v="Peer Reviewed Journal"/>
    <s v="Amienyo, D. and Azapagic, A., Life cycle environmental impacts and costs of beer production and consumption in the UK. The International Journal of Life Cycle Assessment 2016, 21 (4), 492-509."/>
    <s v="Yes"/>
    <s v="No"/>
    <s v="Yes"/>
    <s v="Yes"/>
    <s v="Yes"/>
    <s v="Yes"/>
    <s v="Yes"/>
    <s v="No"/>
    <s v="No"/>
    <s v="No"/>
    <s v="No"/>
    <s v="No"/>
    <m/>
    <m/>
    <s v="No"/>
    <m/>
    <s v="g per L"/>
    <s v="/1000/1.05 (assumed density of beer in kg/L)"/>
    <n v="6.4132075471698116"/>
    <n v="7.9679245283018867"/>
    <n v="0.19702970297029704"/>
    <n v="0.26930693069306932"/>
    <n v="6.4132075471698116"/>
    <m/>
    <n v="1.5547169811320753"/>
    <n v="1.5547169811320753"/>
    <n v="9.7169811320754709E-2"/>
    <m/>
    <m/>
    <n v="9.7169811320754709E-2"/>
    <m/>
    <n v="6.4132075471698116"/>
    <n v="9.7169811320754711"/>
    <m/>
    <m/>
    <n v="0.19702970297029704"/>
    <m/>
    <n v="7.2277227722772272E-2"/>
    <n v="0.17623762376237623"/>
    <n v="9.9009900990099011E-3"/>
    <n v="0.1"/>
    <m/>
    <n v="4.8514851485148516E-2"/>
    <m/>
    <n v="0.19702970297029704"/>
    <n v="0.60495049504950493"/>
    <m/>
    <s v="CML 2001"/>
  </r>
  <r>
    <x v="7"/>
    <x v="169"/>
    <s v="bottled"/>
    <s v="column distillation, high proof North American whiskey"/>
    <m/>
    <s v="North America"/>
    <n v="2012"/>
    <s v="Beverage Industry Environmental Roundtable"/>
    <m/>
    <s v="NGO Report"/>
    <s v="Beverage Industry Environmental Roundtable, Research on the Carbon Footprint of Spirits. 2012, ."/>
    <s v="Yes"/>
    <s v="No"/>
    <s v="Yes"/>
    <s v="Yes"/>
    <s v="Yes"/>
    <s v="Yes"/>
    <s v="No"/>
    <s v="No"/>
    <s v="No"/>
    <s v="No"/>
    <s v="No"/>
    <s v="No"/>
    <m/>
    <m/>
    <s v="No"/>
    <m/>
    <s v="g/750mL bottle"/>
    <s v="/1000/.750/0.94 (assumed density, kg/L)"/>
    <s v=""/>
    <s v=""/>
    <n v="0.67304964539007084"/>
    <n v="2.0805673758865249"/>
    <m/>
    <m/>
    <m/>
    <m/>
    <m/>
    <m/>
    <m/>
    <m/>
    <m/>
    <m/>
    <m/>
    <m/>
    <m/>
    <n v="0.67304964539007084"/>
    <m/>
    <n v="1.4075177304964539"/>
    <n v="0.98042553191489357"/>
    <n v="0.66524822695035457"/>
    <n v="8.8085106382978728E-2"/>
    <m/>
    <m/>
    <m/>
    <n v="0.67304964539007084"/>
    <n v="3.9007092198581561"/>
    <m/>
    <m/>
  </r>
  <r>
    <x v="7"/>
    <x v="169"/>
    <s v="bottled"/>
    <s v="pot distillation, high proof North American whiskey"/>
    <m/>
    <s v="North America"/>
    <n v="2012"/>
    <s v="Beverage Industry Environmental Roundtable"/>
    <m/>
    <s v="NGO Report"/>
    <s v="Beverage Industry Environmental Roundtable, Research on the Carbon Footprint of Spirits. 2012, ."/>
    <s v="Yes"/>
    <s v="No"/>
    <s v="Yes"/>
    <s v="Yes"/>
    <s v="Yes"/>
    <s v="Yes"/>
    <s v="No"/>
    <s v="No"/>
    <s v="No"/>
    <s v="No"/>
    <s v="No"/>
    <s v="No"/>
    <m/>
    <m/>
    <s v="No"/>
    <m/>
    <s v="g/750mL bottle"/>
    <s v="/1000/.750/0.94 (assumed density, kg/L)"/>
    <s v=""/>
    <s v=""/>
    <n v="0.70382978723404255"/>
    <n v="2.8019858156028374"/>
    <m/>
    <m/>
    <m/>
    <m/>
    <m/>
    <m/>
    <m/>
    <m/>
    <m/>
    <m/>
    <m/>
    <m/>
    <m/>
    <n v="0.70382978723404255"/>
    <m/>
    <n v="2.0981560283687948"/>
    <n v="0.98042553191489357"/>
    <n v="0.26312056737588652"/>
    <n v="8.8085106382978728E-2"/>
    <m/>
    <m/>
    <m/>
    <n v="0.70382978723404255"/>
    <n v="4.212765957446809"/>
    <m/>
    <m/>
  </r>
  <r>
    <x v="7"/>
    <x v="169"/>
    <s v="bottled"/>
    <s v="Scotch whisky"/>
    <m/>
    <s v="Scotland"/>
    <n v="2010"/>
    <s v="Henrik Saxe"/>
    <s v="Institute of Food and Resource Economics, Copenhagen"/>
    <s v="NGO Report"/>
    <s v="Saxe, H., LCA-based comparison of the climate footprint of beer vs. wine &amp; spirits. 2010, ."/>
    <s v="Yes"/>
    <s v="No"/>
    <s v="Yes"/>
    <s v="Yes"/>
    <s v="Yes"/>
    <s v="Yes"/>
    <s v="No"/>
    <s v="No"/>
    <s v="No"/>
    <s v="No"/>
    <s v="No"/>
    <s v="No"/>
    <m/>
    <m/>
    <s v="No"/>
    <m/>
    <s v="g/L"/>
    <m/>
    <s v=""/>
    <s v=""/>
    <n v="0.65957446808510645"/>
    <n v="1.6308510638297875"/>
    <m/>
    <m/>
    <m/>
    <m/>
    <m/>
    <m/>
    <m/>
    <m/>
    <m/>
    <m/>
    <m/>
    <m/>
    <m/>
    <n v="0.65957446808510645"/>
    <m/>
    <n v="0.97127659574468095"/>
    <n v="0.50425531914893618"/>
    <n v="0.26382978723404255"/>
    <m/>
    <m/>
    <m/>
    <m/>
    <n v="0.65957446808510645"/>
    <n v="2.3989361702127661"/>
    <m/>
    <m/>
  </r>
  <r>
    <x v="8"/>
    <x v="47"/>
    <s v="Fresh or Not Specified"/>
    <s v="Soybean Oil"/>
    <s v="No"/>
    <s v="USA"/>
    <n v="2008"/>
    <s v="Loijos, A."/>
    <m/>
    <s v="Industry Based Report"/>
    <s v="Barilla Center for Food &amp; Nutrition. Database for the double pyramid construction; 2015."/>
    <s v="Yes"/>
    <s v="No"/>
    <s v="No"/>
    <s v="Yes"/>
    <s v="No"/>
    <s v="No"/>
    <s v="No"/>
    <s v="No"/>
    <s v="No"/>
    <s v="No"/>
    <s v="No"/>
    <s v="No"/>
    <m/>
    <s v="Cradle to Refinery"/>
    <s v="No"/>
    <s v="No"/>
    <s v="serving size (14 g oil)"/>
    <s v="reported value / 14"/>
    <s v=""/>
    <s v=""/>
    <s v=""/>
    <s v=""/>
    <m/>
    <m/>
    <m/>
    <m/>
    <m/>
    <m/>
    <m/>
    <m/>
    <m/>
    <m/>
    <m/>
    <m/>
    <m/>
    <m/>
    <m/>
    <m/>
    <m/>
    <m/>
    <m/>
    <m/>
    <m/>
    <m/>
    <m/>
    <n v="1.103"/>
    <m/>
    <s v="(From Barilla Data)"/>
  </r>
  <r>
    <x v="8"/>
    <x v="47"/>
    <s v="Fresh or Not Specified"/>
    <s v="Soybean Oil"/>
    <s v="No"/>
    <s v="World"/>
    <n v="2015"/>
    <s v="Schmidt, J. H."/>
    <m/>
    <s v="Peer Reviewed Journal"/>
    <s v="Barilla Center for Food &amp; Nutrition. Database for the double pyramid construction; 2015."/>
    <s v="Yes"/>
    <s v="No"/>
    <s v="No"/>
    <s v="Yes"/>
    <s v="No"/>
    <s v="No"/>
    <s v="No"/>
    <s v="No"/>
    <s v="No"/>
    <s v="No"/>
    <s v="No"/>
    <s v="No"/>
    <m/>
    <s v="Cradle to Refinery"/>
    <s v="No"/>
    <s v="No"/>
    <s v="1 tonne oil"/>
    <s v="reported value / 1000"/>
    <s v=""/>
    <s v=""/>
    <s v=""/>
    <s v=""/>
    <m/>
    <m/>
    <m/>
    <m/>
    <m/>
    <m/>
    <m/>
    <m/>
    <m/>
    <m/>
    <m/>
    <m/>
    <m/>
    <m/>
    <m/>
    <m/>
    <m/>
    <m/>
    <m/>
    <m/>
    <m/>
    <m/>
    <m/>
    <n v="2.024"/>
    <m/>
    <s v="IPCC 2007 (From Barilla Data)"/>
  </r>
  <r>
    <x v="8"/>
    <x v="47"/>
    <s v="Fresh or Not Specified"/>
    <s v="Soybean Oil"/>
    <s v="No"/>
    <s v="Argentina"/>
    <n v="2008"/>
    <s v="Dalgaard, R., J. Schmidt, N. Halberg, P.Christensen, M. Thrane, W. A. Pengue."/>
    <m/>
    <s v="Peer Reviewed Journal"/>
    <s v="Barilla Center for Food &amp; Nutrition. Database for the double pyramid construction; 2015."/>
    <s v="Yes"/>
    <s v="No"/>
    <s v="No"/>
    <s v="Yes"/>
    <s v="No"/>
    <s v="Yes"/>
    <s v="No"/>
    <s v="No"/>
    <s v="No"/>
    <s v="No"/>
    <s v="No"/>
    <s v="No"/>
    <m/>
    <s v="Cradle to Refinery"/>
    <s v="No"/>
    <s v="No"/>
    <s v="kg soybean meal"/>
    <s v="paper converts to kg oil, no adjustment necessary"/>
    <s v=""/>
    <s v=""/>
    <s v=""/>
    <s v=""/>
    <m/>
    <m/>
    <m/>
    <m/>
    <m/>
    <m/>
    <m/>
    <m/>
    <m/>
    <m/>
    <m/>
    <m/>
    <m/>
    <m/>
    <m/>
    <m/>
    <m/>
    <m/>
    <m/>
    <m/>
    <m/>
    <m/>
    <m/>
    <n v="1.36"/>
    <m/>
    <s v="EDIP 97, (From Barilla Data), is the average of economic and mass based allocation methods"/>
  </r>
  <r>
    <x v="4"/>
    <x v="170"/>
    <m/>
    <m/>
    <m/>
    <s v="UK"/>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4"/>
    <s v=""/>
    <m/>
    <m/>
    <m/>
    <m/>
    <m/>
    <m/>
    <m/>
    <m/>
    <m/>
    <m/>
    <m/>
    <m/>
    <m/>
    <m/>
    <m/>
    <m/>
    <m/>
    <m/>
    <m/>
    <m/>
    <m/>
    <m/>
    <n v="0.84"/>
    <m/>
    <m/>
    <m/>
  </r>
  <r>
    <x v="4"/>
    <x v="171"/>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39"/>
    <s v=""/>
    <m/>
    <m/>
    <m/>
    <m/>
    <m/>
    <m/>
    <m/>
    <m/>
    <m/>
    <m/>
    <m/>
    <m/>
    <m/>
    <m/>
    <m/>
    <m/>
    <m/>
    <m/>
    <m/>
    <m/>
    <m/>
    <m/>
    <n v="1.39"/>
    <m/>
    <m/>
    <m/>
  </r>
  <r>
    <x v="3"/>
    <x v="172"/>
    <m/>
    <m/>
    <m/>
    <s v="UK"/>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35"/>
    <s v=""/>
    <m/>
    <m/>
    <m/>
    <m/>
    <m/>
    <m/>
    <m/>
    <m/>
    <m/>
    <m/>
    <m/>
    <m/>
    <m/>
    <m/>
    <m/>
    <m/>
    <m/>
    <m/>
    <m/>
    <m/>
    <m/>
    <m/>
    <n v="0.35"/>
    <m/>
    <m/>
    <m/>
  </r>
  <r>
    <x v="3"/>
    <x v="172"/>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6"/>
    <s v=""/>
    <m/>
    <m/>
    <m/>
    <m/>
    <m/>
    <m/>
    <m/>
    <m/>
    <m/>
    <m/>
    <m/>
    <m/>
    <m/>
    <m/>
    <m/>
    <m/>
    <m/>
    <m/>
    <m/>
    <m/>
    <m/>
    <m/>
    <n v="0.46"/>
    <m/>
    <m/>
    <m/>
  </r>
  <r>
    <x v="4"/>
    <x v="173"/>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51"/>
    <s v=""/>
    <m/>
    <m/>
    <m/>
    <m/>
    <m/>
    <m/>
    <m/>
    <m/>
    <m/>
    <m/>
    <m/>
    <m/>
    <m/>
    <m/>
    <m/>
    <m/>
    <m/>
    <m/>
    <m/>
    <m/>
    <m/>
    <m/>
    <n v="0.51"/>
    <m/>
    <m/>
    <m/>
  </r>
  <r>
    <x v="4"/>
    <x v="174"/>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51"/>
    <s v=""/>
    <m/>
    <m/>
    <m/>
    <m/>
    <m/>
    <m/>
    <m/>
    <m/>
    <m/>
    <m/>
    <m/>
    <m/>
    <m/>
    <m/>
    <m/>
    <m/>
    <m/>
    <m/>
    <m/>
    <m/>
    <m/>
    <m/>
    <n v="0.51"/>
    <m/>
    <m/>
    <m/>
  </r>
  <r>
    <x v="4"/>
    <x v="175"/>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51"/>
    <s v=""/>
    <m/>
    <m/>
    <m/>
    <m/>
    <m/>
    <m/>
    <m/>
    <m/>
    <m/>
    <m/>
    <m/>
    <m/>
    <m/>
    <m/>
    <m/>
    <m/>
    <m/>
    <m/>
    <m/>
    <m/>
    <m/>
    <m/>
    <n v="0.51"/>
    <m/>
    <m/>
    <m/>
  </r>
  <r>
    <x v="4"/>
    <x v="175"/>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7"/>
    <s v=""/>
    <m/>
    <m/>
    <m/>
    <m/>
    <m/>
    <m/>
    <m/>
    <m/>
    <m/>
    <m/>
    <m/>
    <m/>
    <m/>
    <m/>
    <m/>
    <m/>
    <m/>
    <m/>
    <m/>
    <m/>
    <m/>
    <m/>
    <n v="0.7"/>
    <m/>
    <m/>
    <m/>
  </r>
  <r>
    <x v="5"/>
    <x v="176"/>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7"/>
    <s v=""/>
    <m/>
    <m/>
    <m/>
    <m/>
    <m/>
    <m/>
    <m/>
    <m/>
    <m/>
    <m/>
    <m/>
    <m/>
    <m/>
    <m/>
    <m/>
    <m/>
    <m/>
    <m/>
    <m/>
    <m/>
    <m/>
    <m/>
    <n v="0.47"/>
    <m/>
    <m/>
    <m/>
  </r>
  <r>
    <x v="11"/>
    <x v="177"/>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05"/>
    <s v=""/>
    <m/>
    <m/>
    <m/>
    <m/>
    <m/>
    <m/>
    <m/>
    <m/>
    <m/>
    <m/>
    <m/>
    <m/>
    <m/>
    <m/>
    <m/>
    <m/>
    <m/>
    <m/>
    <m/>
    <m/>
    <m/>
    <m/>
    <n v="1.05"/>
    <m/>
    <m/>
    <m/>
  </r>
  <r>
    <x v="11"/>
    <x v="178"/>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3"/>
    <s v=""/>
    <m/>
    <m/>
    <m/>
    <m/>
    <m/>
    <m/>
    <m/>
    <m/>
    <m/>
    <m/>
    <m/>
    <m/>
    <m/>
    <m/>
    <m/>
    <m/>
    <m/>
    <m/>
    <m/>
    <m/>
    <m/>
    <m/>
    <n v="0.43"/>
    <m/>
    <m/>
    <m/>
  </r>
  <r>
    <x v="10"/>
    <x v="179"/>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8"/>
    <s v=""/>
    <m/>
    <m/>
    <m/>
    <m/>
    <m/>
    <m/>
    <m/>
    <m/>
    <m/>
    <m/>
    <m/>
    <m/>
    <m/>
    <m/>
    <m/>
    <m/>
    <m/>
    <m/>
    <m/>
    <m/>
    <m/>
    <m/>
    <n v="0.88"/>
    <m/>
    <m/>
    <m/>
  </r>
  <r>
    <x v="10"/>
    <x v="180"/>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n v="0"/>
    <s v=""/>
    <n v="0.87"/>
    <s v=""/>
    <m/>
    <m/>
    <m/>
    <m/>
    <m/>
    <m/>
    <m/>
    <m/>
    <m/>
    <m/>
    <m/>
    <m/>
    <m/>
    <m/>
    <m/>
    <m/>
    <m/>
    <m/>
    <m/>
    <m/>
    <m/>
    <m/>
    <n v="0.87"/>
    <m/>
    <m/>
    <m/>
  </r>
  <r>
    <x v="4"/>
    <x v="181"/>
    <m/>
    <m/>
    <m/>
    <s v="UK"/>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32"/>
    <s v=""/>
    <m/>
    <m/>
    <m/>
    <m/>
    <m/>
    <m/>
    <m/>
    <m/>
    <m/>
    <m/>
    <m/>
    <m/>
    <m/>
    <m/>
    <m/>
    <m/>
    <m/>
    <m/>
    <m/>
    <m/>
    <m/>
    <m/>
    <n v="0.32"/>
    <m/>
    <m/>
    <m/>
  </r>
  <r>
    <x v="4"/>
    <x v="181"/>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3"/>
    <s v=""/>
    <m/>
    <m/>
    <m/>
    <m/>
    <m/>
    <m/>
    <m/>
    <m/>
    <m/>
    <m/>
    <m/>
    <m/>
    <m/>
    <m/>
    <m/>
    <m/>
    <m/>
    <m/>
    <m/>
    <m/>
    <m/>
    <m/>
    <n v="0.43"/>
    <m/>
    <m/>
    <m/>
  </r>
  <r>
    <x v="4"/>
    <x v="181"/>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8"/>
    <s v=""/>
    <m/>
    <m/>
    <m/>
    <m/>
    <m/>
    <m/>
    <m/>
    <m/>
    <m/>
    <m/>
    <m/>
    <m/>
    <m/>
    <m/>
    <m/>
    <m/>
    <m/>
    <m/>
    <m/>
    <m/>
    <m/>
    <m/>
    <n v="0.88"/>
    <m/>
    <m/>
    <m/>
  </r>
  <r>
    <x v="4"/>
    <x v="182"/>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78"/>
    <s v=""/>
    <m/>
    <m/>
    <m/>
    <m/>
    <m/>
    <m/>
    <m/>
    <m/>
    <m/>
    <m/>
    <m/>
    <m/>
    <m/>
    <m/>
    <m/>
    <m/>
    <m/>
    <m/>
    <m/>
    <m/>
    <m/>
    <m/>
    <n v="1.78"/>
    <m/>
    <m/>
    <m/>
  </r>
  <r>
    <x v="3"/>
    <x v="183"/>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8"/>
    <s v=""/>
    <m/>
    <m/>
    <m/>
    <m/>
    <m/>
    <m/>
    <m/>
    <m/>
    <m/>
    <m/>
    <m/>
    <m/>
    <m/>
    <m/>
    <m/>
    <m/>
    <m/>
    <m/>
    <m/>
    <m/>
    <m/>
    <m/>
    <n v="0.88"/>
    <m/>
    <m/>
    <m/>
  </r>
  <r>
    <x v="11"/>
    <x v="184"/>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61"/>
    <s v=""/>
    <m/>
    <m/>
    <m/>
    <m/>
    <m/>
    <m/>
    <m/>
    <m/>
    <m/>
    <m/>
    <m/>
    <m/>
    <m/>
    <m/>
    <m/>
    <m/>
    <m/>
    <m/>
    <m/>
    <m/>
    <m/>
    <m/>
    <n v="0.61"/>
    <m/>
    <m/>
    <m/>
  </r>
  <r>
    <x v="4"/>
    <x v="87"/>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2"/>
    <s v=""/>
    <m/>
    <m/>
    <m/>
    <m/>
    <m/>
    <m/>
    <m/>
    <m/>
    <m/>
    <m/>
    <m/>
    <m/>
    <m/>
    <m/>
    <m/>
    <m/>
    <m/>
    <m/>
    <m/>
    <m/>
    <m/>
    <m/>
    <n v="0.42"/>
    <m/>
    <m/>
    <m/>
  </r>
  <r>
    <x v="4"/>
    <x v="87"/>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75"/>
    <s v=""/>
    <m/>
    <m/>
    <m/>
    <m/>
    <m/>
    <m/>
    <m/>
    <m/>
    <m/>
    <m/>
    <m/>
    <m/>
    <m/>
    <m/>
    <m/>
    <m/>
    <m/>
    <m/>
    <m/>
    <m/>
    <m/>
    <m/>
    <n v="0.75"/>
    <m/>
    <m/>
    <m/>
  </r>
  <r>
    <x v="4"/>
    <x v="185"/>
    <m/>
    <m/>
    <m/>
    <s v="UK"/>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32"/>
    <s v=""/>
    <m/>
    <m/>
    <m/>
    <m/>
    <m/>
    <m/>
    <m/>
    <m/>
    <m/>
    <m/>
    <m/>
    <m/>
    <m/>
    <m/>
    <m/>
    <m/>
    <m/>
    <m/>
    <m/>
    <m/>
    <m/>
    <m/>
    <n v="0.32"/>
    <m/>
    <m/>
    <m/>
  </r>
  <r>
    <x v="4"/>
    <x v="185"/>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8"/>
    <s v=""/>
    <m/>
    <m/>
    <m/>
    <m/>
    <m/>
    <m/>
    <m/>
    <m/>
    <m/>
    <m/>
    <m/>
    <m/>
    <m/>
    <m/>
    <m/>
    <m/>
    <m/>
    <m/>
    <m/>
    <m/>
    <m/>
    <m/>
    <n v="0.88"/>
    <m/>
    <m/>
    <m/>
  </r>
  <r>
    <x v="4"/>
    <x v="186"/>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33"/>
    <s v=""/>
    <m/>
    <m/>
    <m/>
    <m/>
    <m/>
    <m/>
    <m/>
    <m/>
    <m/>
    <m/>
    <m/>
    <m/>
    <m/>
    <m/>
    <m/>
    <m/>
    <m/>
    <m/>
    <m/>
    <m/>
    <m/>
    <m/>
    <n v="1.33"/>
    <m/>
    <m/>
    <m/>
  </r>
  <r>
    <x v="3"/>
    <x v="187"/>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8"/>
    <s v=""/>
    <m/>
    <m/>
    <m/>
    <m/>
    <m/>
    <m/>
    <m/>
    <m/>
    <m/>
    <m/>
    <m/>
    <m/>
    <m/>
    <m/>
    <m/>
    <m/>
    <m/>
    <m/>
    <m/>
    <m/>
    <m/>
    <m/>
    <n v="0.48"/>
    <m/>
    <m/>
    <m/>
  </r>
  <r>
    <x v="8"/>
    <x v="188"/>
    <m/>
    <m/>
    <m/>
    <s v="US"/>
    <m/>
    <s v="Ecoinvent 3 process: (Cottonseed oil, refined {US}| cottonseed oil refinery operation | Alloc Def, U)"/>
    <m/>
    <m/>
    <s v="Swiss Center for Life Cycle Inventories, Ecoinvent Database version 3.3. 2016, 2016, ."/>
    <s v="Yes"/>
    <s v="Yes"/>
    <s v="Yes"/>
    <s v="Yes"/>
    <s v="No"/>
    <s v="No"/>
    <s v="No"/>
    <s v="No"/>
    <s v="No"/>
    <s v="No"/>
    <s v="No"/>
    <s v="No"/>
    <m/>
    <s v="at oil refinery gate"/>
    <m/>
    <m/>
    <m/>
    <m/>
    <s v=""/>
    <n v="24.8"/>
    <s v=""/>
    <n v="2.14"/>
    <m/>
    <m/>
    <n v="24.8"/>
    <m/>
    <m/>
    <m/>
    <m/>
    <m/>
    <m/>
    <m/>
    <n v="24.8"/>
    <m/>
    <m/>
    <m/>
    <m/>
    <n v="2.14"/>
    <m/>
    <m/>
    <m/>
    <m/>
    <m/>
    <m/>
    <m/>
    <n v="2.14"/>
    <m/>
    <m/>
  </r>
  <r>
    <x v="11"/>
    <x v="189"/>
    <m/>
    <m/>
    <m/>
    <s v="AU"/>
    <m/>
    <s v="Agrifootprint processes: Pea, at farm/XX Mass"/>
    <m/>
    <m/>
    <s v="Blonk Consultants. Agri-Footprint 2.0. 2015 [cited 2015] Available from: http://www.agrifootprint."/>
    <m/>
    <m/>
    <m/>
    <m/>
    <m/>
    <m/>
    <m/>
    <m/>
    <m/>
    <m/>
    <m/>
    <m/>
    <m/>
    <m/>
    <m/>
    <m/>
    <m/>
    <m/>
    <n v="7.1159132999999999"/>
    <s v=""/>
    <n v="0.74203154000000004"/>
    <s v=""/>
    <m/>
    <m/>
    <m/>
    <m/>
    <m/>
    <m/>
    <m/>
    <m/>
    <m/>
    <n v="7.1159132999999999"/>
    <m/>
    <m/>
    <m/>
    <m/>
    <m/>
    <m/>
    <m/>
    <m/>
    <m/>
    <m/>
    <m/>
    <m/>
    <n v="0.74203154000000004"/>
    <m/>
    <m/>
    <m/>
  </r>
  <r>
    <x v="11"/>
    <x v="189"/>
    <m/>
    <m/>
    <m/>
    <s v="CZ"/>
    <m/>
    <s v="Agrifootprint processes: Pea, at farm/XX Mass"/>
    <m/>
    <m/>
    <s v="Blonk Consultants. Agri-Footprint 2.0. 2015 [cited 2015] Available from: http://www.agrifootprint."/>
    <m/>
    <m/>
    <m/>
    <m/>
    <m/>
    <m/>
    <m/>
    <m/>
    <m/>
    <m/>
    <m/>
    <m/>
    <m/>
    <m/>
    <m/>
    <m/>
    <m/>
    <m/>
    <n v="3.0132927999999999"/>
    <s v=""/>
    <n v="0.40359191"/>
    <s v=""/>
    <m/>
    <m/>
    <m/>
    <m/>
    <m/>
    <m/>
    <m/>
    <m/>
    <m/>
    <n v="3.0132927999999999"/>
    <m/>
    <m/>
    <m/>
    <m/>
    <m/>
    <m/>
    <m/>
    <m/>
    <m/>
    <m/>
    <m/>
    <m/>
    <n v="0.40359191"/>
    <m/>
    <m/>
    <m/>
  </r>
  <r>
    <x v="11"/>
    <x v="189"/>
    <m/>
    <m/>
    <m/>
    <s v="DE"/>
    <m/>
    <s v="Agrifootprint processes: Pea, at farm/XX Mass"/>
    <m/>
    <m/>
    <s v="Blonk Consultants. Agri-Footprint 2.0. 2015 [cited 2015] Available from: http://www.agrifootprint."/>
    <m/>
    <m/>
    <m/>
    <m/>
    <m/>
    <m/>
    <m/>
    <m/>
    <m/>
    <m/>
    <m/>
    <m/>
    <m/>
    <m/>
    <m/>
    <m/>
    <m/>
    <m/>
    <n v="2.9477362"/>
    <s v=""/>
    <n v="0.50794855000000005"/>
    <s v=""/>
    <m/>
    <m/>
    <m/>
    <m/>
    <m/>
    <m/>
    <m/>
    <m/>
    <m/>
    <n v="2.9477362"/>
    <m/>
    <m/>
    <m/>
    <m/>
    <m/>
    <m/>
    <m/>
    <m/>
    <m/>
    <m/>
    <m/>
    <m/>
    <n v="0.50794855000000005"/>
    <m/>
    <m/>
    <m/>
  </r>
  <r>
    <x v="11"/>
    <x v="189"/>
    <m/>
    <m/>
    <m/>
    <s v="ES"/>
    <m/>
    <s v="Agrifootprint processes: Pea, at farm/XX Mass"/>
    <m/>
    <m/>
    <s v="Blonk Consultants. Agri-Footprint 2.0. 2015 [cited 2015] Available from: http://www.agrifootprint."/>
    <m/>
    <m/>
    <m/>
    <m/>
    <m/>
    <m/>
    <m/>
    <m/>
    <m/>
    <m/>
    <m/>
    <m/>
    <m/>
    <m/>
    <m/>
    <m/>
    <m/>
    <m/>
    <n v="6.1614000999999998"/>
    <s v=""/>
    <n v="2.0447562000000001"/>
    <s v=""/>
    <m/>
    <m/>
    <m/>
    <m/>
    <m/>
    <m/>
    <m/>
    <m/>
    <m/>
    <n v="6.1614000999999998"/>
    <m/>
    <m/>
    <m/>
    <m/>
    <m/>
    <m/>
    <m/>
    <m/>
    <m/>
    <m/>
    <m/>
    <m/>
    <n v="2.0447562000000001"/>
    <m/>
    <m/>
    <m/>
  </r>
  <r>
    <x v="11"/>
    <x v="189"/>
    <m/>
    <m/>
    <m/>
    <s v="FR"/>
    <m/>
    <s v="Agrifootprint processes: Pea, at farm/XX Mass"/>
    <m/>
    <m/>
    <s v="Blonk Consultants. Agri-Footprint 2.0. 2015 [cited 2015] Available from: http://www.agrifootprint."/>
    <m/>
    <m/>
    <m/>
    <m/>
    <m/>
    <m/>
    <m/>
    <m/>
    <m/>
    <m/>
    <m/>
    <m/>
    <m/>
    <m/>
    <m/>
    <m/>
    <m/>
    <m/>
    <n v="2.2760601"/>
    <s v=""/>
    <n v="0.26357739000000002"/>
    <s v=""/>
    <m/>
    <m/>
    <m/>
    <m/>
    <m/>
    <m/>
    <m/>
    <m/>
    <m/>
    <n v="2.2760601"/>
    <m/>
    <m/>
    <m/>
    <m/>
    <m/>
    <m/>
    <m/>
    <m/>
    <m/>
    <m/>
    <m/>
    <m/>
    <n v="0.26357739000000002"/>
    <m/>
    <m/>
    <m/>
  </r>
  <r>
    <x v="11"/>
    <x v="189"/>
    <m/>
    <m/>
    <m/>
    <s v="IT"/>
    <m/>
    <s v="Agrifootprint processes: Pea, at farm/XX Mass"/>
    <m/>
    <m/>
    <s v="Blonk Consultants. Agri-Footprint 2.0. 2015 [cited 2015] Available from: http://www.agrifootprint."/>
    <m/>
    <m/>
    <m/>
    <m/>
    <m/>
    <m/>
    <m/>
    <m/>
    <m/>
    <m/>
    <m/>
    <m/>
    <m/>
    <m/>
    <m/>
    <m/>
    <m/>
    <m/>
    <n v="3.0091594000000002"/>
    <s v=""/>
    <n v="0.44686640999999999"/>
    <s v=""/>
    <m/>
    <m/>
    <m/>
    <m/>
    <m/>
    <m/>
    <m/>
    <m/>
    <m/>
    <n v="3.0091594000000002"/>
    <m/>
    <m/>
    <m/>
    <m/>
    <m/>
    <m/>
    <m/>
    <m/>
    <m/>
    <m/>
    <m/>
    <m/>
    <n v="0.44686640999999999"/>
    <m/>
    <m/>
    <m/>
  </r>
  <r>
    <x v="11"/>
    <x v="189"/>
    <m/>
    <m/>
    <m/>
    <s v="RO"/>
    <m/>
    <s v="Agrifootprint processes: Pea, at farm/XX Mass"/>
    <m/>
    <m/>
    <s v="Blonk Consultants. Agri-Footprint 2.0. 2015 [cited 2015] Available from: http://www.agrifootprint."/>
    <m/>
    <m/>
    <m/>
    <m/>
    <m/>
    <m/>
    <m/>
    <m/>
    <m/>
    <m/>
    <m/>
    <m/>
    <m/>
    <m/>
    <m/>
    <m/>
    <m/>
    <m/>
    <n v="3.9729307999999999"/>
    <s v=""/>
    <n v="0.53576064000000001"/>
    <s v=""/>
    <m/>
    <m/>
    <m/>
    <m/>
    <m/>
    <m/>
    <m/>
    <m/>
    <m/>
    <n v="3.9729307999999999"/>
    <m/>
    <m/>
    <m/>
    <m/>
    <m/>
    <m/>
    <m/>
    <m/>
    <m/>
    <m/>
    <m/>
    <m/>
    <n v="0.53576064000000001"/>
    <m/>
    <m/>
    <m/>
  </r>
  <r>
    <x v="11"/>
    <x v="189"/>
    <m/>
    <m/>
    <m/>
    <s v="SE"/>
    <m/>
    <s v="Agrifootprint processes: Pea, at farm/XX Mass"/>
    <m/>
    <m/>
    <s v="Blonk Consultants. Agri-Footprint 2.0. 2015 [cited 2015] Available from: http://www.agrifootprint."/>
    <m/>
    <m/>
    <m/>
    <m/>
    <m/>
    <m/>
    <m/>
    <m/>
    <m/>
    <m/>
    <m/>
    <m/>
    <m/>
    <m/>
    <m/>
    <m/>
    <m/>
    <m/>
    <n v="2.2949158000000001"/>
    <s v=""/>
    <n v="0.32196740000000001"/>
    <s v=""/>
    <m/>
    <m/>
    <m/>
    <m/>
    <m/>
    <m/>
    <m/>
    <m/>
    <m/>
    <n v="2.2949158000000001"/>
    <m/>
    <m/>
    <m/>
    <m/>
    <m/>
    <m/>
    <m/>
    <m/>
    <m/>
    <m/>
    <m/>
    <m/>
    <n v="0.32196740000000001"/>
    <m/>
    <m/>
    <m/>
  </r>
  <r>
    <x v="11"/>
    <x v="189"/>
    <m/>
    <m/>
    <m/>
    <s v="UK"/>
    <m/>
    <s v="Agrifootprint processes: Pea, at farm/XX Mass"/>
    <m/>
    <m/>
    <s v="Blonk Consultants. Agri-Footprint 2.0. 2015 [cited 2015] Available from: http://www.agrifootprint."/>
    <m/>
    <m/>
    <m/>
    <m/>
    <m/>
    <m/>
    <m/>
    <m/>
    <m/>
    <m/>
    <m/>
    <m/>
    <m/>
    <m/>
    <m/>
    <m/>
    <m/>
    <m/>
    <n v="2.0325096999999999"/>
    <s v=""/>
    <n v="0.2892537"/>
    <s v=""/>
    <m/>
    <m/>
    <m/>
    <m/>
    <m/>
    <m/>
    <m/>
    <m/>
    <m/>
    <n v="2.0325096999999999"/>
    <m/>
    <m/>
    <m/>
    <m/>
    <m/>
    <m/>
    <m/>
    <m/>
    <m/>
    <m/>
    <m/>
    <m/>
    <n v="0.2892537"/>
    <m/>
    <m/>
    <m/>
  </r>
  <r>
    <x v="11"/>
    <x v="190"/>
    <m/>
    <m/>
    <m/>
    <s v="AR"/>
    <m/>
    <s v="Agrifootprint processes: Sunflower seed, at farm/XX Mass"/>
    <m/>
    <m/>
    <s v="Blonk Consultants. Agri-Footprint 2.0. 2015 [cited 2015] Available from: http://www.agrifootprint."/>
    <m/>
    <m/>
    <m/>
    <m/>
    <m/>
    <m/>
    <m/>
    <m/>
    <m/>
    <m/>
    <m/>
    <m/>
    <m/>
    <m/>
    <m/>
    <m/>
    <m/>
    <m/>
    <n v="6.0645585000000004"/>
    <s v=""/>
    <n v="0.58053664999999999"/>
    <s v=""/>
    <m/>
    <m/>
    <m/>
    <m/>
    <m/>
    <m/>
    <m/>
    <m/>
    <m/>
    <n v="6.0645585000000004"/>
    <m/>
    <m/>
    <m/>
    <m/>
    <m/>
    <m/>
    <m/>
    <m/>
    <m/>
    <m/>
    <m/>
    <m/>
    <n v="0.58053664999999999"/>
    <m/>
    <m/>
    <m/>
  </r>
  <r>
    <x v="11"/>
    <x v="190"/>
    <m/>
    <m/>
    <m/>
    <s v="BG"/>
    <m/>
    <s v="Agrifootprint processes: Sunflower seed, at farm/XX Mass"/>
    <m/>
    <m/>
    <s v="Blonk Consultants. Agri-Footprint 2.0. 2015 [cited 2015] Available from: http://www.agrifootprint."/>
    <m/>
    <m/>
    <m/>
    <m/>
    <m/>
    <m/>
    <m/>
    <m/>
    <m/>
    <m/>
    <m/>
    <m/>
    <m/>
    <m/>
    <m/>
    <m/>
    <m/>
    <m/>
    <n v="6.3242871000000003"/>
    <s v=""/>
    <n v="0.94865215000000003"/>
    <s v=""/>
    <m/>
    <m/>
    <m/>
    <m/>
    <m/>
    <m/>
    <m/>
    <m/>
    <m/>
    <n v="6.3242871000000003"/>
    <m/>
    <m/>
    <m/>
    <m/>
    <m/>
    <m/>
    <m/>
    <m/>
    <m/>
    <m/>
    <m/>
    <m/>
    <n v="0.94865215000000003"/>
    <m/>
    <m/>
    <m/>
  </r>
  <r>
    <x v="11"/>
    <x v="190"/>
    <m/>
    <m/>
    <m/>
    <s v="CN"/>
    <m/>
    <s v="Agrifootprint processes: Sunflower seed, at farm/XX Mass"/>
    <m/>
    <m/>
    <s v="Blonk Consultants. Agri-Footprint 2.0. 2015 [cited 2015] Available from: http://www.agrifootprint."/>
    <m/>
    <m/>
    <m/>
    <m/>
    <m/>
    <m/>
    <m/>
    <m/>
    <m/>
    <m/>
    <m/>
    <m/>
    <m/>
    <m/>
    <m/>
    <m/>
    <m/>
    <m/>
    <n v="7.8457853999999996"/>
    <s v=""/>
    <n v="0.91692832999999996"/>
    <s v=""/>
    <m/>
    <m/>
    <m/>
    <m/>
    <m/>
    <m/>
    <m/>
    <m/>
    <m/>
    <n v="7.8457853999999996"/>
    <m/>
    <m/>
    <m/>
    <m/>
    <m/>
    <m/>
    <m/>
    <m/>
    <m/>
    <m/>
    <m/>
    <m/>
    <n v="0.91692832999999996"/>
    <m/>
    <m/>
    <m/>
  </r>
  <r>
    <x v="11"/>
    <x v="190"/>
    <m/>
    <m/>
    <m/>
    <s v="CZ"/>
    <m/>
    <s v="Agrifootprint processes: Sunflower seed, at farm/XX Mass"/>
    <m/>
    <m/>
    <s v="Blonk Consultants. Agri-Footprint 2.0. 2015 [cited 2015] Available from: http://www.agrifootprint."/>
    <m/>
    <m/>
    <m/>
    <m/>
    <m/>
    <m/>
    <m/>
    <m/>
    <m/>
    <m/>
    <m/>
    <m/>
    <m/>
    <m/>
    <m/>
    <m/>
    <m/>
    <m/>
    <n v="5.8051529999999998"/>
    <s v=""/>
    <n v="0.74121219000000005"/>
    <s v=""/>
    <m/>
    <m/>
    <m/>
    <m/>
    <m/>
    <m/>
    <m/>
    <m/>
    <m/>
    <n v="5.8051529999999998"/>
    <m/>
    <m/>
    <m/>
    <m/>
    <m/>
    <m/>
    <m/>
    <m/>
    <m/>
    <m/>
    <m/>
    <m/>
    <n v="0.74121219000000005"/>
    <m/>
    <m/>
    <m/>
  </r>
  <r>
    <x v="11"/>
    <x v="190"/>
    <m/>
    <m/>
    <m/>
    <s v="ES"/>
    <m/>
    <s v="Agrifootprint processes: Sunflower seed, at farm/XX Mass"/>
    <m/>
    <m/>
    <s v="Blonk Consultants. Agri-Footprint 2.0. 2015 [cited 2015] Available from: http://www.agrifootprint."/>
    <m/>
    <m/>
    <m/>
    <m/>
    <m/>
    <m/>
    <m/>
    <m/>
    <m/>
    <m/>
    <m/>
    <m/>
    <m/>
    <m/>
    <m/>
    <m/>
    <m/>
    <m/>
    <n v="9.4524524999999997"/>
    <s v=""/>
    <n v="0.97667108000000002"/>
    <s v=""/>
    <m/>
    <m/>
    <m/>
    <m/>
    <m/>
    <m/>
    <m/>
    <m/>
    <m/>
    <n v="9.4524524999999997"/>
    <m/>
    <m/>
    <m/>
    <m/>
    <m/>
    <m/>
    <m/>
    <m/>
    <m/>
    <m/>
    <m/>
    <m/>
    <n v="0.97667108000000002"/>
    <m/>
    <m/>
    <m/>
  </r>
  <r>
    <x v="11"/>
    <x v="190"/>
    <m/>
    <m/>
    <m/>
    <s v="FR"/>
    <m/>
    <s v="Agrifootprint processes: Sunflower seed, at farm/XX Mass"/>
    <m/>
    <m/>
    <s v="Blonk Consultants. Agri-Footprint 2.0. 2015 [cited 2015] Available from: http://www.agrifootprint."/>
    <m/>
    <m/>
    <m/>
    <m/>
    <m/>
    <m/>
    <m/>
    <m/>
    <m/>
    <m/>
    <m/>
    <m/>
    <m/>
    <m/>
    <m/>
    <m/>
    <m/>
    <m/>
    <n v="5.3033666000000004"/>
    <s v=""/>
    <n v="0.47313101000000002"/>
    <s v=""/>
    <m/>
    <m/>
    <m/>
    <m/>
    <m/>
    <m/>
    <m/>
    <m/>
    <m/>
    <n v="5.3033666000000004"/>
    <m/>
    <m/>
    <m/>
    <m/>
    <m/>
    <m/>
    <m/>
    <m/>
    <m/>
    <m/>
    <m/>
    <m/>
    <n v="0.47313101000000002"/>
    <m/>
    <m/>
    <m/>
  </r>
  <r>
    <x v="11"/>
    <x v="190"/>
    <m/>
    <m/>
    <m/>
    <s v="GR"/>
    <m/>
    <s v="Agrifootprint processes: Sunflower seed, at farm/XX Mass"/>
    <m/>
    <m/>
    <s v="Blonk Consultants. Agri-Footprint 2.0. 2015 [cited 2015] Available from: http://www.agrifootprint."/>
    <m/>
    <m/>
    <m/>
    <m/>
    <m/>
    <m/>
    <m/>
    <m/>
    <m/>
    <m/>
    <m/>
    <m/>
    <m/>
    <m/>
    <m/>
    <m/>
    <m/>
    <m/>
    <n v="4.1808379000000002"/>
    <s v=""/>
    <n v="0.81226721999999996"/>
    <s v=""/>
    <m/>
    <m/>
    <m/>
    <m/>
    <m/>
    <m/>
    <m/>
    <m/>
    <m/>
    <n v="4.1808379000000002"/>
    <m/>
    <m/>
    <m/>
    <m/>
    <m/>
    <m/>
    <m/>
    <m/>
    <m/>
    <m/>
    <m/>
    <m/>
    <n v="0.81226721999999996"/>
    <m/>
    <m/>
    <m/>
  </r>
  <r>
    <x v="11"/>
    <x v="190"/>
    <m/>
    <m/>
    <m/>
    <s v="HU"/>
    <m/>
    <s v="Agrifootprint processes: Sunflower seed, at farm/XX Mass"/>
    <m/>
    <m/>
    <s v="Blonk Consultants. Agri-Footprint 2.0. 2015 [cited 2015] Available from: http://www.agrifootprint."/>
    <m/>
    <m/>
    <m/>
    <m/>
    <m/>
    <m/>
    <m/>
    <m/>
    <m/>
    <m/>
    <m/>
    <m/>
    <m/>
    <m/>
    <m/>
    <m/>
    <m/>
    <m/>
    <n v="5.6055684000000001"/>
    <s v=""/>
    <n v="0.79245741999999997"/>
    <s v=""/>
    <m/>
    <m/>
    <m/>
    <m/>
    <m/>
    <m/>
    <m/>
    <m/>
    <m/>
    <n v="5.6055684000000001"/>
    <m/>
    <m/>
    <m/>
    <m/>
    <m/>
    <m/>
    <m/>
    <m/>
    <m/>
    <m/>
    <m/>
    <m/>
    <n v="0.79245741999999997"/>
    <m/>
    <m/>
    <m/>
  </r>
  <r>
    <x v="11"/>
    <x v="190"/>
    <m/>
    <m/>
    <m/>
    <s v="IT"/>
    <m/>
    <s v="Agrifootprint processes: Sunflower seed, at farm/XX Mass"/>
    <m/>
    <m/>
    <s v="Blonk Consultants. Agri-Footprint 2.0. 2015 [cited 2015] Available from: http://www.agrifootprint."/>
    <m/>
    <m/>
    <m/>
    <m/>
    <m/>
    <m/>
    <m/>
    <m/>
    <m/>
    <m/>
    <m/>
    <m/>
    <m/>
    <m/>
    <m/>
    <m/>
    <m/>
    <m/>
    <n v="6.2167235999999999"/>
    <s v=""/>
    <n v="0.78888897999999996"/>
    <s v=""/>
    <m/>
    <m/>
    <m/>
    <m/>
    <m/>
    <m/>
    <m/>
    <m/>
    <m/>
    <n v="6.2167235999999999"/>
    <m/>
    <m/>
    <m/>
    <m/>
    <m/>
    <m/>
    <m/>
    <m/>
    <m/>
    <m/>
    <m/>
    <m/>
    <n v="0.78888897999999996"/>
    <m/>
    <m/>
    <m/>
  </r>
  <r>
    <x v="11"/>
    <x v="190"/>
    <m/>
    <m/>
    <m/>
    <s v="RO"/>
    <m/>
    <s v="Agrifootprint processes: Sunflower seed, at farm/XX Mass"/>
    <m/>
    <m/>
    <s v="Blonk Consultants. Agri-Footprint 2.0. 2015 [cited 2015] Available from: http://www.agrifootprint."/>
    <m/>
    <m/>
    <m/>
    <m/>
    <m/>
    <m/>
    <m/>
    <m/>
    <m/>
    <m/>
    <m/>
    <m/>
    <m/>
    <m/>
    <m/>
    <m/>
    <m/>
    <m/>
    <n v="6.9760612999999996"/>
    <s v=""/>
    <n v="1.2574736"/>
    <s v=""/>
    <m/>
    <m/>
    <m/>
    <m/>
    <m/>
    <m/>
    <m/>
    <m/>
    <m/>
    <n v="6.9760612999999996"/>
    <m/>
    <m/>
    <m/>
    <m/>
    <m/>
    <m/>
    <m/>
    <m/>
    <m/>
    <m/>
    <m/>
    <m/>
    <n v="1.2574736"/>
    <m/>
    <m/>
    <m/>
  </r>
  <r>
    <x v="11"/>
    <x v="190"/>
    <m/>
    <m/>
    <m/>
    <s v="UA"/>
    <m/>
    <s v="Agrifootprint processes: Sunflower seed, at farm/XX Mass"/>
    <m/>
    <m/>
    <s v="Blonk Consultants. Agri-Footprint 2.0. 2015 [cited 2015] Available from: http://www.agrifootprint."/>
    <m/>
    <m/>
    <m/>
    <m/>
    <m/>
    <m/>
    <m/>
    <m/>
    <m/>
    <m/>
    <m/>
    <m/>
    <m/>
    <m/>
    <m/>
    <m/>
    <m/>
    <m/>
    <n v="6.4303505000000003"/>
    <s v=""/>
    <n v="1.0446394000000001"/>
    <s v=""/>
    <m/>
    <m/>
    <m/>
    <m/>
    <m/>
    <m/>
    <m/>
    <m/>
    <m/>
    <n v="6.4303505000000003"/>
    <m/>
    <m/>
    <m/>
    <m/>
    <m/>
    <m/>
    <m/>
    <m/>
    <m/>
    <m/>
    <m/>
    <m/>
    <n v="1.0446394000000001"/>
    <m/>
    <m/>
    <m/>
  </r>
  <r>
    <x v="11"/>
    <x v="191"/>
    <m/>
    <m/>
    <m/>
    <s v="ID"/>
    <m/>
    <s v="Agrifootprint process: Coconut, at farm/XX Mass, assuming meat is 48% of whole coconut weight"/>
    <m/>
    <m/>
    <s v="Blonk Consultants. Agri-Footprint 2.0. 2015 [cited 2015] Available from: http://www.agrifootprint."/>
    <m/>
    <m/>
    <m/>
    <m/>
    <m/>
    <m/>
    <m/>
    <m/>
    <m/>
    <m/>
    <m/>
    <m/>
    <m/>
    <m/>
    <m/>
    <m/>
    <m/>
    <m/>
    <n v="2.5039583333333333"/>
    <s v=""/>
    <n v="1.3134791666666668"/>
    <s v=""/>
    <m/>
    <m/>
    <m/>
    <m/>
    <m/>
    <m/>
    <m/>
    <m/>
    <m/>
    <n v="2.5039583333333333"/>
    <m/>
    <m/>
    <m/>
    <m/>
    <m/>
    <m/>
    <m/>
    <m/>
    <m/>
    <m/>
    <m/>
    <m/>
    <n v="1.3134791666666668"/>
    <m/>
    <m/>
    <m/>
  </r>
  <r>
    <x v="11"/>
    <x v="191"/>
    <m/>
    <m/>
    <m/>
    <s v="PH"/>
    <m/>
    <s v="Agrifootprint process: Coconut, at farm/XX Mass, assuming meat is 48% of whole coconut weight"/>
    <m/>
    <m/>
    <s v="Blonk Consultants. Agri-Footprint 2.0. 2015 [cited 2015] Available from: http://www.agrifootprint."/>
    <m/>
    <m/>
    <m/>
    <m/>
    <m/>
    <m/>
    <m/>
    <m/>
    <m/>
    <m/>
    <m/>
    <m/>
    <m/>
    <m/>
    <m/>
    <m/>
    <m/>
    <m/>
    <n v="2.9379166666666667"/>
    <s v=""/>
    <n v="0.48656250000000001"/>
    <s v=""/>
    <m/>
    <m/>
    <m/>
    <m/>
    <m/>
    <m/>
    <m/>
    <m/>
    <m/>
    <n v="2.9379166666666667"/>
    <m/>
    <m/>
    <m/>
    <m/>
    <m/>
    <m/>
    <m/>
    <m/>
    <m/>
    <m/>
    <m/>
    <m/>
    <n v="0.48656250000000001"/>
    <m/>
    <m/>
    <m/>
  </r>
  <r>
    <x v="11"/>
    <x v="191"/>
    <m/>
    <m/>
    <m/>
    <s v="TH"/>
    <m/>
    <s v="Agrifootprint process: Coconut, at farm/XX Mass, assuming meat is 48% of whole coconut weight"/>
    <m/>
    <m/>
    <s v="Blonk Consultants. Agri-Footprint 2.0. 2015 [cited 2015] Available from: http://www.agrifootprint."/>
    <m/>
    <m/>
    <m/>
    <m/>
    <m/>
    <m/>
    <m/>
    <m/>
    <m/>
    <m/>
    <m/>
    <m/>
    <m/>
    <m/>
    <m/>
    <m/>
    <m/>
    <m/>
    <n v="3.5764583333333331"/>
    <s v=""/>
    <n v="0.57585416666666667"/>
    <s v=""/>
    <m/>
    <m/>
    <m/>
    <m/>
    <m/>
    <m/>
    <m/>
    <m/>
    <m/>
    <n v="3.5764583333333331"/>
    <m/>
    <m/>
    <m/>
    <m/>
    <m/>
    <m/>
    <m/>
    <m/>
    <m/>
    <m/>
    <m/>
    <m/>
    <n v="0.57585416666666667"/>
    <m/>
    <m/>
    <m/>
  </r>
  <r>
    <x v="5"/>
    <x v="129"/>
    <m/>
    <m/>
    <m/>
    <s v="CN"/>
    <m/>
    <s v="Agrifootprint process: White rice, from dry milling, at plant/CN Mass"/>
    <m/>
    <m/>
    <s v="Blonk Consultants. Agri-Footprint 2.0. 2015 [cited 2015] Available from: http://www.agrifootprint."/>
    <m/>
    <m/>
    <m/>
    <m/>
    <m/>
    <m/>
    <m/>
    <m/>
    <m/>
    <m/>
    <m/>
    <m/>
    <m/>
    <s v="at milling plant"/>
    <m/>
    <m/>
    <m/>
    <m/>
    <s v=""/>
    <n v="7.75"/>
    <s v=""/>
    <n v="1.54"/>
    <m/>
    <m/>
    <n v="7.75"/>
    <m/>
    <m/>
    <m/>
    <m/>
    <m/>
    <m/>
    <m/>
    <n v="7.75"/>
    <m/>
    <m/>
    <m/>
    <m/>
    <n v="1.54"/>
    <m/>
    <m/>
    <m/>
    <m/>
    <m/>
    <m/>
    <m/>
    <n v="1.54"/>
    <m/>
    <m/>
  </r>
  <r>
    <x v="5"/>
    <x v="192"/>
    <m/>
    <m/>
    <m/>
    <s v="US"/>
    <m/>
    <s v="Agrifootprint process: Maize flour, from dry milling, at plant/US Mass"/>
    <m/>
    <m/>
    <s v="Blonk Consultants. Agri-Footprint 2.0. 2015 [cited 2015] Available from: http://www.agrifootprint."/>
    <m/>
    <m/>
    <m/>
    <m/>
    <m/>
    <m/>
    <m/>
    <m/>
    <m/>
    <m/>
    <m/>
    <m/>
    <m/>
    <s v="at milling plant"/>
    <m/>
    <m/>
    <m/>
    <m/>
    <s v=""/>
    <n v="5.8"/>
    <s v=""/>
    <n v="0.55000000000000004"/>
    <m/>
    <m/>
    <n v="5.8"/>
    <m/>
    <m/>
    <m/>
    <m/>
    <m/>
    <m/>
    <m/>
    <n v="5.8"/>
    <m/>
    <m/>
    <m/>
    <m/>
    <n v="0.55000000000000004"/>
    <m/>
    <m/>
    <m/>
    <m/>
    <m/>
    <m/>
    <m/>
    <n v="0.55000000000000004"/>
    <m/>
    <m/>
  </r>
  <r>
    <x v="3"/>
    <x v="100"/>
    <m/>
    <m/>
    <m/>
    <s v="BE"/>
    <m/>
    <s v="Agrifootprint process: Spinach, at farm/BE Mass"/>
    <m/>
    <m/>
    <s v="Blonk Consultants. Agri-Footprint 2.0. 2015 [cited 2015] Available from: http://www.agrifootprint."/>
    <m/>
    <m/>
    <m/>
    <m/>
    <m/>
    <m/>
    <m/>
    <m/>
    <m/>
    <m/>
    <m/>
    <m/>
    <m/>
    <m/>
    <m/>
    <m/>
    <m/>
    <m/>
    <n v="0.54075452999999996"/>
    <s v=""/>
    <n v="0.13511646999999999"/>
    <s v=""/>
    <m/>
    <m/>
    <m/>
    <m/>
    <m/>
    <m/>
    <m/>
    <m/>
    <m/>
    <n v="0.54075452999999996"/>
    <m/>
    <m/>
    <m/>
    <m/>
    <m/>
    <m/>
    <m/>
    <m/>
    <m/>
    <m/>
    <m/>
    <m/>
    <n v="0.13511646999999999"/>
    <m/>
    <m/>
    <m/>
  </r>
  <r>
    <x v="3"/>
    <x v="100"/>
    <m/>
    <m/>
    <m/>
    <s v="NL"/>
    <m/>
    <s v="Agrifootprint process: Spinach, at farm/NL Mass"/>
    <m/>
    <m/>
    <s v="Blonk Consultants. Agri-Footprint 2.0. 2015 [cited 2015] Available from: http://www.agrifootprint."/>
    <m/>
    <m/>
    <m/>
    <m/>
    <m/>
    <m/>
    <m/>
    <m/>
    <m/>
    <m/>
    <m/>
    <m/>
    <m/>
    <m/>
    <m/>
    <m/>
    <m/>
    <m/>
    <n v="0.78148099999999998"/>
    <s v=""/>
    <n v="0.22567783999999999"/>
    <s v=""/>
    <m/>
    <m/>
    <m/>
    <m/>
    <m/>
    <m/>
    <m/>
    <m/>
    <m/>
    <n v="0.78148099999999998"/>
    <m/>
    <m/>
    <m/>
    <m/>
    <m/>
    <m/>
    <m/>
    <m/>
    <m/>
    <m/>
    <m/>
    <m/>
    <n v="0.22567783999999999"/>
    <m/>
    <m/>
    <m/>
  </r>
  <r>
    <x v="5"/>
    <x v="193"/>
    <m/>
    <m/>
    <m/>
    <s v="BE"/>
    <m/>
    <s v="Agrifootprint process: Oat grain peeled, from dry milling, at plant/BE Mass + average(difference between 3 fry flour and rye grain processes)"/>
    <m/>
    <m/>
    <s v="Blonk Consultants. Agri-Footprint 2.0. 2015 [cited 2015] Available from: http://www.agrifootprint."/>
    <m/>
    <m/>
    <m/>
    <m/>
    <m/>
    <m/>
    <m/>
    <m/>
    <m/>
    <m/>
    <m/>
    <m/>
    <m/>
    <m/>
    <m/>
    <m/>
    <m/>
    <m/>
    <s v=""/>
    <n v="4.8492999999999995"/>
    <s v=""/>
    <n v="0.47300999999999999"/>
    <m/>
    <m/>
    <n v="4.8492999999999995"/>
    <m/>
    <m/>
    <m/>
    <m/>
    <m/>
    <m/>
    <m/>
    <n v="4.8492999999999995"/>
    <m/>
    <m/>
    <m/>
    <m/>
    <n v="0.47300999999999999"/>
    <m/>
    <m/>
    <m/>
    <m/>
    <m/>
    <m/>
    <m/>
    <n v="0.47300999999999999"/>
    <m/>
    <m/>
  </r>
  <r>
    <x v="5"/>
    <x v="193"/>
    <m/>
    <m/>
    <m/>
    <s v="NL"/>
    <m/>
    <s v="Agrifootprint process: Oat grain peeled, from dry milling, at plant/NL Mass + average(difference between 3 fry flour and rye grain processes)"/>
    <m/>
    <m/>
    <s v="Blonk Consultants. Agri-Footprint 2.0. 2015 [cited 2015] Available from: http://www.agrifootprint."/>
    <m/>
    <m/>
    <m/>
    <m/>
    <m/>
    <m/>
    <m/>
    <m/>
    <m/>
    <m/>
    <m/>
    <m/>
    <m/>
    <m/>
    <m/>
    <m/>
    <m/>
    <m/>
    <s v=""/>
    <n v="4.5222999999999995"/>
    <s v=""/>
    <n v="0.52376"/>
    <m/>
    <m/>
    <n v="4.5222999999999995"/>
    <m/>
    <m/>
    <m/>
    <m/>
    <m/>
    <m/>
    <m/>
    <n v="4.5222999999999995"/>
    <m/>
    <m/>
    <m/>
    <m/>
    <n v="0.52376"/>
    <m/>
    <m/>
    <m/>
    <m/>
    <m/>
    <m/>
    <m/>
    <n v="0.52376"/>
    <m/>
    <m/>
  </r>
  <r>
    <x v="3"/>
    <x v="194"/>
    <m/>
    <m/>
    <m/>
    <s v="DK"/>
    <m/>
    <s v="from LCA FOOD DK dataset (used as proxy for alfalfa seed)"/>
    <m/>
    <m/>
    <s v="Nielsen, P. H., Nielsen, A. M., Weidema, B. P., Dalgaard, R. and Halberg, N., LCA food data base. 2003, 2013 (June), ."/>
    <m/>
    <m/>
    <m/>
    <m/>
    <m/>
    <m/>
    <m/>
    <m/>
    <m/>
    <m/>
    <m/>
    <m/>
    <m/>
    <m/>
    <m/>
    <m/>
    <m/>
    <m/>
    <n v="8.24"/>
    <s v=""/>
    <n v="6.25"/>
    <s v=""/>
    <m/>
    <m/>
    <m/>
    <m/>
    <m/>
    <m/>
    <m/>
    <m/>
    <m/>
    <n v="8.24"/>
    <m/>
    <m/>
    <m/>
    <m/>
    <m/>
    <m/>
    <m/>
    <m/>
    <m/>
    <m/>
    <m/>
    <m/>
    <n v="6.25"/>
    <m/>
    <m/>
    <m/>
  </r>
  <r>
    <x v="4"/>
    <x v="90"/>
    <m/>
    <m/>
    <m/>
    <m/>
    <m/>
    <s v="Ecoinvent 3 process: Melon {GLO}| production | Alloc Def, S"/>
    <m/>
    <m/>
    <s v="Swiss Center for Life Cycle Inventories, Ecoinvent Database version 3.3. 2016, 2016, ."/>
    <m/>
    <m/>
    <m/>
    <m/>
    <m/>
    <m/>
    <m/>
    <m/>
    <m/>
    <m/>
    <m/>
    <m/>
    <m/>
    <m/>
    <m/>
    <m/>
    <m/>
    <m/>
    <n v="1.46"/>
    <s v=""/>
    <n v="0.13100000000000001"/>
    <s v=""/>
    <m/>
    <m/>
    <m/>
    <m/>
    <m/>
    <m/>
    <m/>
    <m/>
    <m/>
    <n v="1.46"/>
    <m/>
    <m/>
    <m/>
    <m/>
    <m/>
    <m/>
    <m/>
    <m/>
    <m/>
    <m/>
    <m/>
    <m/>
    <n v="0.13100000000000001"/>
    <m/>
    <m/>
    <m/>
  </r>
  <r>
    <x v="11"/>
    <x v="195"/>
    <m/>
    <m/>
    <m/>
    <s v="FR"/>
    <m/>
    <s v="Agrifootprint process: Broad bean, at farm/FR Mass"/>
    <m/>
    <m/>
    <s v="Blonk Consultants. Agri-Footprint 2.0. 2015 [cited 2015] Available from: http://www.agrifootprint."/>
    <m/>
    <m/>
    <m/>
    <m/>
    <m/>
    <m/>
    <m/>
    <m/>
    <m/>
    <m/>
    <m/>
    <m/>
    <m/>
    <m/>
    <m/>
    <m/>
    <m/>
    <m/>
    <s v=""/>
    <s v=""/>
    <n v="0.50936000000000003"/>
    <s v=""/>
    <m/>
    <m/>
    <m/>
    <m/>
    <m/>
    <m/>
    <m/>
    <m/>
    <m/>
    <m/>
    <n v="0.83374000000000004"/>
    <m/>
    <m/>
    <m/>
    <m/>
    <m/>
    <m/>
    <m/>
    <m/>
    <m/>
    <m/>
    <m/>
    <n v="0.50936000000000003"/>
    <m/>
    <m/>
    <m/>
  </r>
  <r>
    <x v="11"/>
    <x v="195"/>
    <m/>
    <m/>
    <m/>
    <s v="AU"/>
    <m/>
    <s v="Agrifootprint process: Broad bean, at farm/AU Mass"/>
    <m/>
    <m/>
    <s v="Blonk Consultants. Agri-Footprint 2.0. 2015 [cited 2015] Available from: http://www.agrifootprint."/>
    <m/>
    <m/>
    <m/>
    <m/>
    <m/>
    <m/>
    <m/>
    <m/>
    <m/>
    <m/>
    <m/>
    <m/>
    <m/>
    <m/>
    <m/>
    <m/>
    <m/>
    <m/>
    <s v=""/>
    <s v=""/>
    <n v="1.82582"/>
    <s v=""/>
    <m/>
    <m/>
    <m/>
    <m/>
    <m/>
    <m/>
    <m/>
    <m/>
    <m/>
    <m/>
    <n v="1.4863999999999999"/>
    <m/>
    <m/>
    <m/>
    <m/>
    <m/>
    <m/>
    <m/>
    <m/>
    <m/>
    <m/>
    <m/>
    <n v="1.82582"/>
    <m/>
    <m/>
    <m/>
  </r>
  <r>
    <x v="3"/>
    <x v="196"/>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1000000000000001"/>
    <s v=""/>
    <n v="0.11"/>
    <s v=""/>
    <m/>
    <m/>
    <m/>
    <m/>
    <m/>
    <m/>
    <m/>
    <m/>
    <m/>
    <n v="1.1000000000000001"/>
    <m/>
    <m/>
    <m/>
    <m/>
    <m/>
    <m/>
    <m/>
    <m/>
    <m/>
    <m/>
    <m/>
    <m/>
    <n v="0.11"/>
    <m/>
    <m/>
    <m/>
  </r>
  <r>
    <x v="3"/>
    <x v="197"/>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1000000000000001"/>
    <s v=""/>
    <n v="0.12"/>
    <s v=""/>
    <m/>
    <m/>
    <m/>
    <m/>
    <m/>
    <m/>
    <m/>
    <m/>
    <m/>
    <n v="1.1000000000000001"/>
    <m/>
    <m/>
    <m/>
    <m/>
    <m/>
    <m/>
    <m/>
    <m/>
    <m/>
    <m/>
    <m/>
    <m/>
    <n v="0.12"/>
    <m/>
    <m/>
    <m/>
  </r>
  <r>
    <x v="4"/>
    <x v="91"/>
    <m/>
    <m/>
    <m/>
    <m/>
    <m/>
    <s v="Ecoinvent 3 process: Kiwi {GLO}| production | Alloc Def, S"/>
    <m/>
    <m/>
    <s v="Swiss Center for Life Cycle Inventories, Ecoinvent Database version 3.3. 2016, 2016, ."/>
    <m/>
    <m/>
    <m/>
    <m/>
    <m/>
    <m/>
    <m/>
    <m/>
    <m/>
    <m/>
    <m/>
    <m/>
    <m/>
    <m/>
    <m/>
    <m/>
    <m/>
    <m/>
    <n v="5.4400101999999997"/>
    <s v=""/>
    <n v="0.43526999999999999"/>
    <s v=""/>
    <m/>
    <m/>
    <m/>
    <m/>
    <m/>
    <m/>
    <m/>
    <m/>
    <m/>
    <n v="5.4400101999999997"/>
    <m/>
    <m/>
    <m/>
    <m/>
    <m/>
    <m/>
    <m/>
    <m/>
    <m/>
    <m/>
    <m/>
    <m/>
    <n v="0.43526999999999999"/>
    <m/>
    <m/>
    <m/>
  </r>
  <r>
    <x v="9"/>
    <x v="52"/>
    <m/>
    <m/>
    <m/>
    <s v="SE"/>
    <n v="2003"/>
    <s v="Annika Carlsson-Kanyam, Marianne Pipping Ekstrom, Helena Shanahan"/>
    <m/>
    <s v="Peer Reviewed Journal"/>
    <s v="Carlsson-Kanyama, A., Ekström, M. P. and Shanahan, H., Food and life cycle energy inputs: consequences of diet and ways to increase efficiency. Ecological economics 2003, 44 (2), 293-307."/>
    <m/>
    <m/>
    <m/>
    <m/>
    <m/>
    <m/>
    <m/>
    <m/>
    <m/>
    <m/>
    <m/>
    <m/>
    <m/>
    <m/>
    <m/>
    <m/>
    <m/>
    <m/>
    <s v=""/>
    <n v="1.3"/>
    <s v=""/>
    <s v=""/>
    <m/>
    <m/>
    <n v="1.3"/>
    <m/>
    <m/>
    <m/>
    <m/>
    <m/>
    <m/>
    <m/>
    <n v="1.3"/>
    <m/>
    <m/>
    <m/>
    <m/>
    <m/>
    <m/>
    <m/>
    <m/>
    <m/>
    <m/>
    <m/>
    <m/>
    <m/>
    <m/>
    <m/>
  </r>
  <r>
    <x v="9"/>
    <x v="52"/>
    <m/>
    <m/>
    <m/>
    <s v="&quot;overseas&quot;"/>
    <n v="2003"/>
    <s v="Annika Carlsson-Kanyam, Marianne Pipping Ekstrom, Helena Shanahan"/>
    <m/>
    <s v="Peer Reviewed Journal"/>
    <s v="Carlsson-Kanyama, A., Ekström, M. P. and Shanahan, H., Food and life cycle energy inputs: consequences of diet and ways to increase efficiency. Ecological economics 2003, 44 (2), 293-307."/>
    <m/>
    <m/>
    <m/>
    <m/>
    <m/>
    <m/>
    <m/>
    <m/>
    <m/>
    <m/>
    <m/>
    <m/>
    <m/>
    <m/>
    <m/>
    <m/>
    <m/>
    <m/>
    <s v=""/>
    <n v="5.6"/>
    <s v=""/>
    <s v=""/>
    <m/>
    <m/>
    <n v="5.6"/>
    <m/>
    <m/>
    <m/>
    <m/>
    <m/>
    <m/>
    <m/>
    <n v="5.6"/>
    <m/>
    <m/>
    <m/>
    <m/>
    <m/>
    <m/>
    <m/>
    <m/>
    <m/>
    <m/>
    <m/>
    <m/>
    <m/>
    <m/>
    <m/>
  </r>
  <r>
    <x v="3"/>
    <x v="139"/>
    <m/>
    <m/>
    <m/>
    <s v="Global"/>
    <m/>
    <s v="Ecoinvent 3 process: Green asparagus {GLO}| production | Alloc Def, S"/>
    <m/>
    <m/>
    <s v="Swiss Center for Life Cycle Inventories, Ecoinvent Database version 3.3. 2016, 2016, ."/>
    <m/>
    <m/>
    <m/>
    <m/>
    <m/>
    <m/>
    <m/>
    <m/>
    <m/>
    <m/>
    <m/>
    <m/>
    <m/>
    <m/>
    <m/>
    <m/>
    <m/>
    <m/>
    <n v="7.9758566000000002"/>
    <s v=""/>
    <n v="0.86667000000000005"/>
    <s v=""/>
    <m/>
    <m/>
    <m/>
    <m/>
    <m/>
    <m/>
    <m/>
    <m/>
    <m/>
    <n v="7.9758566000000002"/>
    <m/>
    <m/>
    <m/>
    <m/>
    <m/>
    <m/>
    <m/>
    <m/>
    <m/>
    <m/>
    <m/>
    <m/>
    <n v="0.86667000000000005"/>
    <m/>
    <m/>
    <m/>
  </r>
  <r>
    <x v="3"/>
    <x v="139"/>
    <m/>
    <m/>
    <m/>
    <s v="CN"/>
    <m/>
    <s v="Ecoinvent 3 process: White asparagus {CN}| white asparagus production | Alloc Def, S"/>
    <m/>
    <m/>
    <s v="Swiss Center for Life Cycle Inventories, Ecoinvent Database version 3.3. 2016, 2016, ."/>
    <m/>
    <m/>
    <m/>
    <m/>
    <m/>
    <m/>
    <m/>
    <m/>
    <m/>
    <m/>
    <m/>
    <m/>
    <m/>
    <m/>
    <m/>
    <m/>
    <m/>
    <m/>
    <n v="7.9089621000000001"/>
    <s v=""/>
    <n v="0.72014999999999996"/>
    <s v=""/>
    <m/>
    <m/>
    <m/>
    <m/>
    <m/>
    <m/>
    <m/>
    <m/>
    <m/>
    <n v="7.9089621000000001"/>
    <m/>
    <m/>
    <m/>
    <m/>
    <m/>
    <m/>
    <m/>
    <m/>
    <m/>
    <m/>
    <m/>
    <m/>
    <n v="0.72014999999999996"/>
    <m/>
    <m/>
    <m/>
  </r>
  <r>
    <x v="3"/>
    <x v="139"/>
    <m/>
    <m/>
    <m/>
    <s v="FR"/>
    <m/>
    <s v="Ecoinvent 3 process: White asparagus {FR}| white asparagus production | Alloc Def, S"/>
    <m/>
    <m/>
    <s v="Swiss Center for Life Cycle Inventories, Ecoinvent Database version 3.3. 2016, 2016, ."/>
    <m/>
    <m/>
    <m/>
    <m/>
    <m/>
    <m/>
    <m/>
    <m/>
    <m/>
    <m/>
    <m/>
    <m/>
    <m/>
    <m/>
    <m/>
    <m/>
    <m/>
    <m/>
    <n v="8.896547"/>
    <s v=""/>
    <n v="0.74765000000000004"/>
    <s v=""/>
    <m/>
    <m/>
    <m/>
    <m/>
    <m/>
    <m/>
    <m/>
    <m/>
    <m/>
    <n v="8.896547"/>
    <m/>
    <m/>
    <m/>
    <m/>
    <m/>
    <m/>
    <m/>
    <m/>
    <m/>
    <m/>
    <m/>
    <m/>
    <n v="0.74765000000000004"/>
    <m/>
    <m/>
    <m/>
  </r>
  <r>
    <x v="3"/>
    <x v="139"/>
    <m/>
    <m/>
    <m/>
    <s v="PE"/>
    <m/>
    <s v="Ecoinvent 3 process: White asparagus {PE}| white asparagus production | Alloc Def, S"/>
    <m/>
    <m/>
    <s v="Swiss Center for Life Cycle Inventories, Ecoinvent Database version 3.3. 2016, 2016, ."/>
    <m/>
    <m/>
    <m/>
    <m/>
    <m/>
    <m/>
    <m/>
    <m/>
    <m/>
    <m/>
    <m/>
    <m/>
    <m/>
    <m/>
    <m/>
    <m/>
    <m/>
    <m/>
    <n v="17.929449999999999"/>
    <s v=""/>
    <n v="1.9469000000000001"/>
    <s v=""/>
    <m/>
    <m/>
    <m/>
    <m/>
    <m/>
    <m/>
    <m/>
    <m/>
    <m/>
    <n v="17.929449999999999"/>
    <m/>
    <m/>
    <m/>
    <m/>
    <m/>
    <m/>
    <m/>
    <m/>
    <m/>
    <m/>
    <m/>
    <m/>
    <n v="1.9469000000000001"/>
    <m/>
    <m/>
    <m/>
  </r>
  <r>
    <x v="11"/>
    <x v="115"/>
    <m/>
    <m/>
    <m/>
    <s v="US"/>
    <m/>
    <s v="Agrifootprint process: Groundnuts, with shell, at farm/US Mass"/>
    <m/>
    <m/>
    <s v="Blonk Consultants. Agri-Footprint 2.0. 2015 [cited 2015] Available from: http://www.agrifootprint."/>
    <m/>
    <m/>
    <m/>
    <m/>
    <m/>
    <m/>
    <m/>
    <m/>
    <m/>
    <m/>
    <m/>
    <m/>
    <m/>
    <m/>
    <m/>
    <m/>
    <m/>
    <m/>
    <n v="1.0900000000000001"/>
    <s v=""/>
    <n v="0.32"/>
    <s v=""/>
    <m/>
    <m/>
    <m/>
    <m/>
    <m/>
    <m/>
    <m/>
    <m/>
    <m/>
    <n v="1.0900000000000001"/>
    <m/>
    <m/>
    <m/>
    <m/>
    <m/>
    <m/>
    <m/>
    <m/>
    <m/>
    <m/>
    <m/>
    <m/>
    <n v="0.32"/>
    <m/>
    <m/>
    <m/>
  </r>
  <r>
    <x v="3"/>
    <x v="75"/>
    <m/>
    <m/>
    <m/>
    <s v="FR"/>
    <m/>
    <s v="Agrifootprint process: Broccoli, at farm/FR Mass"/>
    <m/>
    <m/>
    <s v="Blonk Consultants. Agri-Footprint 2.0. 2015 [cited 2015] Available from: http://www.agrifootprint."/>
    <m/>
    <m/>
    <m/>
    <m/>
    <m/>
    <m/>
    <m/>
    <m/>
    <m/>
    <m/>
    <m/>
    <m/>
    <m/>
    <m/>
    <m/>
    <m/>
    <m/>
    <m/>
    <n v="1.6081475999999999"/>
    <s v=""/>
    <n v="0.35991274000000001"/>
    <s v=""/>
    <m/>
    <m/>
    <m/>
    <m/>
    <m/>
    <m/>
    <m/>
    <m/>
    <m/>
    <n v="1.6081475999999999"/>
    <m/>
    <m/>
    <m/>
    <m/>
    <m/>
    <m/>
    <m/>
    <m/>
    <m/>
    <m/>
    <m/>
    <m/>
    <n v="0.35991274000000001"/>
    <m/>
    <m/>
    <m/>
  </r>
  <r>
    <x v="3"/>
    <x v="75"/>
    <m/>
    <m/>
    <m/>
    <s v="NL"/>
    <m/>
    <s v="Agrifootprint process: Broccoli, at farm/NL Mass"/>
    <m/>
    <m/>
    <s v="Blonk Consultants. Agri-Footprint 2.0. 2015 [cited 2015] Available from: http://www.agrifootprint."/>
    <m/>
    <m/>
    <m/>
    <m/>
    <m/>
    <m/>
    <m/>
    <m/>
    <m/>
    <m/>
    <m/>
    <m/>
    <m/>
    <m/>
    <m/>
    <m/>
    <m/>
    <m/>
    <n v="2.9124268"/>
    <s v=""/>
    <n v="0.68451923000000003"/>
    <s v=""/>
    <m/>
    <m/>
    <m/>
    <m/>
    <m/>
    <m/>
    <m/>
    <m/>
    <m/>
    <n v="2.9124268"/>
    <m/>
    <m/>
    <m/>
    <m/>
    <m/>
    <m/>
    <m/>
    <m/>
    <m/>
    <m/>
    <m/>
    <m/>
    <n v="0.68451923000000003"/>
    <m/>
    <m/>
    <m/>
  </r>
  <r>
    <x v="3"/>
    <x v="95"/>
    <m/>
    <m/>
    <m/>
    <s v="ES"/>
    <m/>
    <s v="Agrifootprint process: Cauliflower, at farm/ES Mass"/>
    <m/>
    <m/>
    <s v="Blonk Consultants. Agri-Footprint 2.0. 2015 [cited 2015] Available from: http://www.agrifootprint."/>
    <m/>
    <m/>
    <m/>
    <m/>
    <m/>
    <m/>
    <m/>
    <m/>
    <m/>
    <m/>
    <m/>
    <m/>
    <m/>
    <m/>
    <m/>
    <m/>
    <m/>
    <m/>
    <n v="1.4390966999999999"/>
    <s v=""/>
    <n v="0.27288365999999997"/>
    <s v=""/>
    <m/>
    <m/>
    <m/>
    <m/>
    <m/>
    <m/>
    <m/>
    <m/>
    <m/>
    <n v="1.4390966999999999"/>
    <m/>
    <m/>
    <m/>
    <m/>
    <m/>
    <m/>
    <m/>
    <m/>
    <m/>
    <m/>
    <m/>
    <m/>
    <n v="0.27288365999999997"/>
    <m/>
    <m/>
    <m/>
  </r>
  <r>
    <x v="3"/>
    <x v="95"/>
    <m/>
    <m/>
    <m/>
    <s v="NL"/>
    <m/>
    <s v="Agrifootprint process: Cauliflower, at farm/NL Mass"/>
    <m/>
    <m/>
    <s v="Blonk Consultants. Agri-Footprint 2.0. 2015 [cited 2015] Available from: http://www.agrifootprint."/>
    <m/>
    <m/>
    <m/>
    <m/>
    <m/>
    <m/>
    <m/>
    <m/>
    <m/>
    <m/>
    <m/>
    <m/>
    <m/>
    <m/>
    <m/>
    <m/>
    <m/>
    <m/>
    <n v="2.0014116"/>
    <s v=""/>
    <n v="0.44161191999999999"/>
    <s v=""/>
    <m/>
    <m/>
    <m/>
    <m/>
    <m/>
    <m/>
    <m/>
    <m/>
    <m/>
    <n v="2.0014116"/>
    <m/>
    <m/>
    <m/>
    <m/>
    <m/>
    <m/>
    <m/>
    <m/>
    <m/>
    <m/>
    <m/>
    <m/>
    <n v="0.44161191999999999"/>
    <m/>
    <m/>
    <m/>
  </r>
  <r>
    <x v="3"/>
    <x v="198"/>
    <m/>
    <m/>
    <m/>
    <s v="ES"/>
    <m/>
    <s v="Agrifootprint process: Curly kale, at farm/ES Mass"/>
    <m/>
    <m/>
    <s v="Blonk Consultants. Agri-Footprint 2.0. 2015 [cited 2015] Available from: http://www.agrifootprint."/>
    <m/>
    <m/>
    <m/>
    <m/>
    <m/>
    <m/>
    <m/>
    <m/>
    <m/>
    <m/>
    <m/>
    <m/>
    <m/>
    <m/>
    <m/>
    <m/>
    <m/>
    <m/>
    <n v="0.56645767999999996"/>
    <s v=""/>
    <n v="0.11944332000000001"/>
    <s v=""/>
    <m/>
    <m/>
    <m/>
    <m/>
    <m/>
    <m/>
    <m/>
    <m/>
    <m/>
    <n v="0.56645767999999996"/>
    <m/>
    <m/>
    <m/>
    <m/>
    <m/>
    <m/>
    <m/>
    <m/>
    <m/>
    <m/>
    <m/>
    <m/>
    <n v="0.11944332000000001"/>
    <m/>
    <m/>
    <m/>
  </r>
  <r>
    <x v="3"/>
    <x v="198"/>
    <m/>
    <m/>
    <m/>
    <s v="NL"/>
    <m/>
    <s v="Agrifootprint process: Curly kale, at farm/NL Mass"/>
    <m/>
    <m/>
    <s v="Blonk Consultants. Agri-Footprint 2.0. 2015 [cited 2015] Available from: http://www.agrifootprint."/>
    <m/>
    <m/>
    <m/>
    <m/>
    <m/>
    <m/>
    <m/>
    <m/>
    <m/>
    <m/>
    <m/>
    <m/>
    <m/>
    <m/>
    <m/>
    <m/>
    <m/>
    <m/>
    <n v="0.35823792999999998"/>
    <s v=""/>
    <n v="0.11627535"/>
    <s v=""/>
    <m/>
    <m/>
    <m/>
    <m/>
    <m/>
    <m/>
    <m/>
    <m/>
    <m/>
    <n v="0.35823792999999998"/>
    <m/>
    <m/>
    <m/>
    <m/>
    <m/>
    <m/>
    <m/>
    <m/>
    <m/>
    <m/>
    <m/>
    <m/>
    <n v="0.11627535"/>
    <m/>
    <m/>
    <m/>
  </r>
  <r>
    <x v="8"/>
    <x v="147"/>
    <m/>
    <m/>
    <m/>
    <m/>
    <m/>
    <s v="Agrifootprint process: Refined rapeseed oil, from crushing (solvent), at plant/US Mass"/>
    <m/>
    <m/>
    <s v="Blonk Consultants. Agri-Footprint 2.0. 2015 [cited 2015] Available from: http://www.agrifootprint."/>
    <m/>
    <m/>
    <m/>
    <m/>
    <m/>
    <m/>
    <m/>
    <m/>
    <m/>
    <m/>
    <m/>
    <m/>
    <m/>
    <m/>
    <m/>
    <m/>
    <m/>
    <m/>
    <s v=""/>
    <n v="13.327939000000001"/>
    <s v=""/>
    <n v="1.92"/>
    <m/>
    <m/>
    <n v="13.327939000000001"/>
    <m/>
    <m/>
    <m/>
    <m/>
    <m/>
    <m/>
    <m/>
    <n v="13.327939000000001"/>
    <m/>
    <m/>
    <m/>
    <m/>
    <n v="1.92"/>
    <m/>
    <m/>
    <m/>
    <m/>
    <m/>
    <m/>
    <m/>
    <n v="1.92"/>
    <m/>
    <m/>
  </r>
  <r>
    <x v="4"/>
    <x v="199"/>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33"/>
    <s v=""/>
    <m/>
    <m/>
    <m/>
    <m/>
    <m/>
    <m/>
    <m/>
    <m/>
    <m/>
    <m/>
    <m/>
    <m/>
    <m/>
    <m/>
    <m/>
    <m/>
    <m/>
    <m/>
    <m/>
    <m/>
    <m/>
    <m/>
    <n v="1.33"/>
    <m/>
    <m/>
    <m/>
  </r>
  <r>
    <x v="4"/>
    <x v="199"/>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33"/>
    <s v=""/>
    <m/>
    <m/>
    <m/>
    <m/>
    <m/>
    <m/>
    <m/>
    <m/>
    <m/>
    <m/>
    <m/>
    <m/>
    <m/>
    <m/>
    <m/>
    <m/>
    <m/>
    <m/>
    <m/>
    <m/>
    <m/>
    <m/>
    <n v="1.33"/>
    <m/>
    <m/>
    <m/>
  </r>
  <r>
    <x v="4"/>
    <x v="164"/>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
    <s v=""/>
    <n v="0.26"/>
    <s v=""/>
    <m/>
    <m/>
    <m/>
    <m/>
    <m/>
    <m/>
    <m/>
    <m/>
    <m/>
    <n v="3"/>
    <m/>
    <m/>
    <m/>
    <m/>
    <m/>
    <m/>
    <m/>
    <m/>
    <m/>
    <m/>
    <m/>
    <m/>
    <n v="0.26"/>
    <m/>
    <m/>
    <m/>
  </r>
  <r>
    <x v="4"/>
    <x v="164"/>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5"/>
    <s v=""/>
    <n v="0.45"/>
    <s v=""/>
    <m/>
    <m/>
    <m/>
    <m/>
    <m/>
    <m/>
    <m/>
    <m/>
    <m/>
    <n v="5"/>
    <m/>
    <m/>
    <m/>
    <m/>
    <m/>
    <m/>
    <m/>
    <m/>
    <m/>
    <m/>
    <m/>
    <m/>
    <n v="0.45"/>
    <m/>
    <m/>
    <m/>
  </r>
  <r>
    <x v="3"/>
    <x v="86"/>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84"/>
    <s v=""/>
    <n v="0.08"/>
    <s v=""/>
    <m/>
    <m/>
    <m/>
    <m/>
    <m/>
    <m/>
    <m/>
    <m/>
    <m/>
    <n v="0.84"/>
    <m/>
    <m/>
    <m/>
    <m/>
    <m/>
    <m/>
    <m/>
    <m/>
    <m/>
    <m/>
    <m/>
    <m/>
    <n v="0.08"/>
    <m/>
    <m/>
    <m/>
  </r>
  <r>
    <x v="3"/>
    <x v="200"/>
    <m/>
    <m/>
    <m/>
    <m/>
    <m/>
    <s v="Ecoinvent 3 process: Zucchini {GLO}| production | Alloc Def, S"/>
    <m/>
    <m/>
    <s v="Swiss Center for Life Cycle Inventories, Ecoinvent Database version 3.3. 2016, 2016, ."/>
    <m/>
    <m/>
    <m/>
    <m/>
    <m/>
    <m/>
    <m/>
    <m/>
    <m/>
    <m/>
    <m/>
    <m/>
    <m/>
    <m/>
    <m/>
    <m/>
    <m/>
    <m/>
    <n v="0.18415999999999999"/>
    <s v=""/>
    <n v="2.2156125099999997"/>
    <s v=""/>
    <m/>
    <m/>
    <m/>
    <m/>
    <m/>
    <m/>
    <m/>
    <m/>
    <m/>
    <n v="0.18415999999999999"/>
    <m/>
    <m/>
    <m/>
    <m/>
    <m/>
    <m/>
    <m/>
    <m/>
    <m/>
    <m/>
    <m/>
    <m/>
    <n v="2.2156125099999997"/>
    <m/>
    <m/>
    <m/>
  </r>
  <r>
    <x v="5"/>
    <x v="140"/>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2.9"/>
    <s v=""/>
    <n v="0.47"/>
    <s v=""/>
    <m/>
    <m/>
    <m/>
    <m/>
    <m/>
    <m/>
    <m/>
    <m/>
    <m/>
    <n v="2.9"/>
    <m/>
    <m/>
    <m/>
    <m/>
    <m/>
    <m/>
    <m/>
    <m/>
    <m/>
    <m/>
    <m/>
    <m/>
    <n v="0.47"/>
    <m/>
    <m/>
    <m/>
  </r>
  <r>
    <x v="5"/>
    <x v="140"/>
    <m/>
    <m/>
    <m/>
    <s v="BE"/>
    <m/>
    <s v="Agrifootprint process: Oat grain peeled, from dry milling, at plant/BE Mass"/>
    <m/>
    <m/>
    <s v="Blonk Consultants. Agri-Footprint 2.0. 2015 [cited 2015] Available from: http://www.agrifootprint."/>
    <m/>
    <m/>
    <m/>
    <m/>
    <m/>
    <m/>
    <m/>
    <m/>
    <m/>
    <m/>
    <m/>
    <m/>
    <m/>
    <m/>
    <m/>
    <m/>
    <m/>
    <m/>
    <n v="2.8693"/>
    <s v=""/>
    <n v="0.36201"/>
    <s v=""/>
    <m/>
    <m/>
    <m/>
    <m/>
    <m/>
    <m/>
    <m/>
    <m/>
    <m/>
    <n v="2.8693"/>
    <m/>
    <m/>
    <m/>
    <m/>
    <m/>
    <m/>
    <m/>
    <m/>
    <m/>
    <m/>
    <m/>
    <m/>
    <n v="0.36201"/>
    <m/>
    <m/>
    <m/>
  </r>
  <r>
    <x v="5"/>
    <x v="140"/>
    <m/>
    <m/>
    <m/>
    <s v="NL"/>
    <m/>
    <s v="Agrifootprint process: Oat grain peeled, from dry milling, at plant/NL Mass"/>
    <m/>
    <m/>
    <s v="Blonk Consultants. Agri-Footprint 2.0. 2015 [cited 2015] Available from: http://www.agrifootprint."/>
    <m/>
    <m/>
    <m/>
    <m/>
    <m/>
    <m/>
    <m/>
    <m/>
    <m/>
    <m/>
    <m/>
    <m/>
    <m/>
    <m/>
    <m/>
    <m/>
    <m/>
    <m/>
    <n v="2.5423"/>
    <s v=""/>
    <n v="0.41276000000000002"/>
    <s v=""/>
    <m/>
    <m/>
    <m/>
    <m/>
    <m/>
    <m/>
    <m/>
    <m/>
    <m/>
    <n v="2.5423"/>
    <m/>
    <m/>
    <m/>
    <m/>
    <m/>
    <m/>
    <m/>
    <m/>
    <m/>
    <m/>
    <m/>
    <m/>
    <n v="0.41276000000000002"/>
    <m/>
    <m/>
    <m/>
  </r>
  <r>
    <x v="3"/>
    <x v="93"/>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
    <s v=""/>
    <n v="0.1"/>
    <s v=""/>
    <m/>
    <m/>
    <m/>
    <m/>
    <m/>
    <m/>
    <m/>
    <m/>
    <m/>
    <n v="1"/>
    <m/>
    <m/>
    <m/>
    <m/>
    <m/>
    <m/>
    <m/>
    <m/>
    <m/>
    <m/>
    <m/>
    <m/>
    <n v="0.1"/>
    <m/>
    <m/>
    <m/>
  </r>
  <r>
    <x v="1"/>
    <x v="3"/>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82"/>
    <s v=""/>
    <n v="20"/>
    <s v=""/>
    <m/>
    <m/>
    <m/>
    <m/>
    <m/>
    <m/>
    <m/>
    <m/>
    <m/>
    <n v="82"/>
    <m/>
    <m/>
    <m/>
    <m/>
    <m/>
    <m/>
    <m/>
    <m/>
    <m/>
    <m/>
    <m/>
    <m/>
    <n v="20"/>
    <m/>
    <m/>
    <m/>
  </r>
  <r>
    <x v="1"/>
    <x v="3"/>
    <m/>
    <m/>
    <m/>
    <s v="Argentina"/>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52"/>
    <s v=""/>
    <n v="22"/>
    <s v=""/>
    <m/>
    <m/>
    <m/>
    <m/>
    <m/>
    <m/>
    <m/>
    <m/>
    <m/>
    <n v="52"/>
    <m/>
    <m/>
    <m/>
    <m/>
    <m/>
    <m/>
    <m/>
    <m/>
    <m/>
    <m/>
    <m/>
    <m/>
    <n v="22"/>
    <m/>
    <m/>
    <m/>
  </r>
  <r>
    <x v="1"/>
    <x v="3"/>
    <m/>
    <m/>
    <m/>
    <s v="Uruguay"/>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8"/>
    <s v=""/>
    <n v="29"/>
    <s v=""/>
    <m/>
    <m/>
    <m/>
    <m/>
    <m/>
    <m/>
    <m/>
    <m/>
    <m/>
    <n v="38"/>
    <m/>
    <m/>
    <m/>
    <m/>
    <m/>
    <m/>
    <m/>
    <m/>
    <m/>
    <m/>
    <m/>
    <m/>
    <n v="29"/>
    <m/>
    <m/>
    <m/>
  </r>
  <r>
    <x v="1"/>
    <x v="1"/>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65"/>
    <s v=""/>
    <n v="17"/>
    <s v=""/>
    <m/>
    <m/>
    <m/>
    <m/>
    <m/>
    <m/>
    <m/>
    <m/>
    <m/>
    <n v="65"/>
    <m/>
    <m/>
    <m/>
    <m/>
    <m/>
    <m/>
    <m/>
    <m/>
    <m/>
    <m/>
    <m/>
    <m/>
    <n v="17"/>
    <m/>
    <m/>
    <m/>
  </r>
  <r>
    <x v="1"/>
    <x v="1"/>
    <m/>
    <m/>
    <m/>
    <s v="Uruguay"/>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40"/>
    <s v=""/>
    <n v="36"/>
    <s v=""/>
    <m/>
    <m/>
    <m/>
    <m/>
    <m/>
    <m/>
    <m/>
    <m/>
    <m/>
    <n v="40"/>
    <m/>
    <m/>
    <m/>
    <m/>
    <m/>
    <m/>
    <m/>
    <m/>
    <m/>
    <m/>
    <m/>
    <m/>
    <n v="36"/>
    <m/>
    <m/>
    <m/>
  </r>
  <r>
    <x v="1"/>
    <x v="23"/>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1"/>
    <s v=""/>
    <n v="7.2"/>
    <s v=""/>
    <m/>
    <m/>
    <m/>
    <m/>
    <m/>
    <m/>
    <m/>
    <m/>
    <m/>
    <n v="31"/>
    <m/>
    <m/>
    <m/>
    <m/>
    <m/>
    <m/>
    <m/>
    <m/>
    <m/>
    <m/>
    <m/>
    <m/>
    <n v="7.2"/>
    <m/>
    <m/>
    <m/>
  </r>
  <r>
    <x v="1"/>
    <x v="24"/>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29"/>
    <s v=""/>
    <n v="2.9"/>
    <s v=""/>
    <m/>
    <m/>
    <m/>
    <m/>
    <m/>
    <m/>
    <m/>
    <m/>
    <m/>
    <n v="29"/>
    <m/>
    <m/>
    <m/>
    <m/>
    <m/>
    <m/>
    <m/>
    <m/>
    <m/>
    <m/>
    <m/>
    <m/>
    <n v="2.9"/>
    <m/>
    <m/>
    <m/>
  </r>
  <r>
    <x v="2"/>
    <x v="2"/>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2"/>
    <s v=""/>
    <n v="1.6"/>
    <s v=""/>
    <m/>
    <m/>
    <m/>
    <m/>
    <m/>
    <m/>
    <m/>
    <m/>
    <m/>
    <n v="12"/>
    <m/>
    <m/>
    <m/>
    <m/>
    <m/>
    <m/>
    <m/>
    <m/>
    <m/>
    <m/>
    <m/>
    <m/>
    <n v="1.6"/>
    <m/>
    <m/>
    <m/>
  </r>
  <r>
    <x v="2"/>
    <x v="2"/>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7"/>
    <s v=""/>
    <n v="1.9"/>
    <s v=""/>
    <m/>
    <m/>
    <m/>
    <m/>
    <m/>
    <m/>
    <m/>
    <m/>
    <m/>
    <n v="17"/>
    <m/>
    <m/>
    <m/>
    <m/>
    <m/>
    <m/>
    <m/>
    <m/>
    <m/>
    <m/>
    <m/>
    <m/>
    <n v="1.9"/>
    <m/>
    <m/>
    <m/>
  </r>
  <r>
    <x v="11"/>
    <x v="127"/>
    <m/>
    <m/>
    <m/>
    <s v="Brazil"/>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beans"/>
    <m/>
    <n v="4"/>
    <s v=""/>
    <n v="3.8"/>
    <s v=""/>
    <m/>
    <m/>
    <m/>
    <m/>
    <m/>
    <m/>
    <m/>
    <m/>
    <m/>
    <n v="4"/>
    <m/>
    <m/>
    <m/>
    <m/>
    <m/>
    <m/>
    <m/>
    <m/>
    <m/>
    <m/>
    <m/>
    <m/>
    <n v="3.8"/>
    <m/>
    <m/>
    <m/>
  </r>
  <r>
    <x v="11"/>
    <x v="201"/>
    <m/>
    <s v="brown bean"/>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beans"/>
    <m/>
    <n v="7.4"/>
    <s v=""/>
    <n v="0.68"/>
    <s v=""/>
    <m/>
    <m/>
    <m/>
    <m/>
    <m/>
    <m/>
    <m/>
    <m/>
    <m/>
    <n v="7.4"/>
    <m/>
    <m/>
    <m/>
    <m/>
    <m/>
    <m/>
    <m/>
    <m/>
    <m/>
    <m/>
    <m/>
    <m/>
    <n v="0.68"/>
    <m/>
    <m/>
    <m/>
  </r>
  <r>
    <x v="3"/>
    <x v="166"/>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beans"/>
    <m/>
    <n v="3.5"/>
    <s v=""/>
    <n v="0.49"/>
    <s v=""/>
    <m/>
    <m/>
    <m/>
    <m/>
    <m/>
    <m/>
    <m/>
    <m/>
    <m/>
    <n v="3.5"/>
    <m/>
    <m/>
    <m/>
    <m/>
    <m/>
    <m/>
    <m/>
    <m/>
    <m/>
    <m/>
    <m/>
    <m/>
    <n v="0.49"/>
    <m/>
    <m/>
    <m/>
  </r>
  <r>
    <x v="5"/>
    <x v="129"/>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grain"/>
    <m/>
    <n v="6.6"/>
    <s v=""/>
    <n v="1.1000000000000001"/>
    <s v=""/>
    <m/>
    <m/>
    <m/>
    <m/>
    <m/>
    <m/>
    <m/>
    <m/>
    <m/>
    <n v="6.6"/>
    <m/>
    <m/>
    <m/>
    <m/>
    <m/>
    <m/>
    <m/>
    <m/>
    <m/>
    <m/>
    <m/>
    <m/>
    <n v="1.1000000000000001"/>
    <m/>
    <m/>
    <m/>
  </r>
  <r>
    <x v="5"/>
    <x v="129"/>
    <m/>
    <m/>
    <m/>
    <s v="Japa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grain"/>
    <m/>
    <n v="7.4"/>
    <s v=""/>
    <n v="1.2"/>
    <s v=""/>
    <m/>
    <m/>
    <m/>
    <m/>
    <m/>
    <m/>
    <m/>
    <m/>
    <m/>
    <n v="7.4"/>
    <m/>
    <m/>
    <m/>
    <m/>
    <m/>
    <m/>
    <m/>
    <m/>
    <m/>
    <m/>
    <m/>
    <m/>
    <n v="1.2"/>
    <m/>
    <m/>
    <m/>
  </r>
  <r>
    <x v="3"/>
    <x v="44"/>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5"/>
    <s v=""/>
    <n v="0.16"/>
    <s v=""/>
    <m/>
    <m/>
    <m/>
    <m/>
    <m/>
    <m/>
    <m/>
    <m/>
    <m/>
    <n v="1.5"/>
    <m/>
    <m/>
    <m/>
    <m/>
    <m/>
    <m/>
    <m/>
    <m/>
    <m/>
    <m/>
    <m/>
    <m/>
    <n v="0.16"/>
    <m/>
    <m/>
    <m/>
  </r>
  <r>
    <x v="3"/>
    <x v="44"/>
    <m/>
    <m/>
    <m/>
    <s v="Switzerland"/>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5"/>
    <s v=""/>
    <n v="0.14000000000000001"/>
    <s v=""/>
    <m/>
    <m/>
    <m/>
    <m/>
    <m/>
    <m/>
    <m/>
    <m/>
    <m/>
    <n v="1.5"/>
    <m/>
    <m/>
    <m/>
    <m/>
    <m/>
    <m/>
    <m/>
    <m/>
    <m/>
    <m/>
    <m/>
    <m/>
    <n v="0.14000000000000001"/>
    <m/>
    <m/>
    <m/>
  </r>
  <r>
    <x v="3"/>
    <x v="44"/>
    <m/>
    <m/>
    <m/>
    <s v="Denmark"/>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8"/>
    <s v=""/>
    <n v="0.09"/>
    <s v=""/>
    <m/>
    <m/>
    <m/>
    <m/>
    <m/>
    <m/>
    <m/>
    <m/>
    <m/>
    <n v="0.8"/>
    <m/>
    <m/>
    <m/>
    <m/>
    <m/>
    <m/>
    <m/>
    <m/>
    <m/>
    <m/>
    <m/>
    <m/>
    <n v="0.09"/>
    <m/>
    <m/>
    <m/>
  </r>
  <r>
    <x v="3"/>
    <x v="202"/>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96"/>
    <s v=""/>
    <n v="0.09"/>
    <s v=""/>
    <m/>
    <m/>
    <m/>
    <m/>
    <m/>
    <m/>
    <m/>
    <m/>
    <m/>
    <n v="0.96"/>
    <m/>
    <m/>
    <m/>
    <m/>
    <m/>
    <m/>
    <m/>
    <m/>
    <m/>
    <m/>
    <m/>
    <m/>
    <n v="0.09"/>
    <m/>
    <m/>
    <m/>
  </r>
  <r>
    <x v="3"/>
    <x v="19"/>
    <m/>
    <m/>
    <m/>
    <s v="Spai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
    <s v=""/>
    <n v="0.37"/>
    <s v=""/>
    <m/>
    <m/>
    <m/>
    <m/>
    <m/>
    <m/>
    <m/>
    <m/>
    <m/>
    <n v="3"/>
    <m/>
    <m/>
    <m/>
    <m/>
    <m/>
    <m/>
    <m/>
    <m/>
    <m/>
    <m/>
    <m/>
    <m/>
    <n v="0.37"/>
    <m/>
    <m/>
    <m/>
  </r>
  <r>
    <x v="3"/>
    <x v="75"/>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6"/>
    <s v=""/>
    <n v="0.37"/>
    <s v=""/>
    <m/>
    <m/>
    <m/>
    <m/>
    <m/>
    <m/>
    <m/>
    <m/>
    <m/>
    <n v="3.6"/>
    <m/>
    <m/>
    <m/>
    <m/>
    <m/>
    <m/>
    <m/>
    <m/>
    <m/>
    <m/>
    <m/>
    <m/>
    <n v="0.37"/>
    <m/>
    <m/>
    <m/>
  </r>
  <r>
    <x v="3"/>
    <x v="94"/>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97"/>
    <s v=""/>
    <n v="0.09"/>
    <s v=""/>
    <m/>
    <m/>
    <m/>
    <m/>
    <m/>
    <m/>
    <m/>
    <m/>
    <m/>
    <n v="0.97"/>
    <m/>
    <m/>
    <m/>
    <m/>
    <m/>
    <m/>
    <m/>
    <m/>
    <m/>
    <m/>
    <m/>
    <m/>
    <n v="0.09"/>
    <m/>
    <m/>
    <m/>
  </r>
  <r>
    <x v="3"/>
    <x v="94"/>
    <m/>
    <m/>
    <m/>
    <s v="Switzerland"/>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7"/>
    <s v=""/>
    <n v="0.14000000000000001"/>
    <s v=""/>
    <m/>
    <m/>
    <m/>
    <m/>
    <m/>
    <m/>
    <m/>
    <m/>
    <m/>
    <n v="1.7"/>
    <m/>
    <m/>
    <m/>
    <m/>
    <m/>
    <m/>
    <m/>
    <m/>
    <m/>
    <m/>
    <m/>
    <m/>
    <n v="0.14000000000000001"/>
    <m/>
    <m/>
    <m/>
  </r>
  <r>
    <x v="3"/>
    <x v="57"/>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4"/>
    <s v=""/>
    <n v="0.13"/>
    <s v=""/>
    <m/>
    <m/>
    <m/>
    <m/>
    <m/>
    <m/>
    <m/>
    <m/>
    <m/>
    <n v="1.4"/>
    <m/>
    <m/>
    <m/>
    <m/>
    <m/>
    <m/>
    <m/>
    <m/>
    <m/>
    <m/>
    <m/>
    <m/>
    <n v="0.13"/>
    <m/>
    <m/>
    <m/>
  </r>
  <r>
    <x v="3"/>
    <x v="57"/>
    <m/>
    <m/>
    <m/>
    <s v="Holland"/>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3"/>
    <s v=""/>
    <n v="0.14000000000000001"/>
    <s v=""/>
    <m/>
    <m/>
    <m/>
    <m/>
    <m/>
    <m/>
    <m/>
    <m/>
    <m/>
    <n v="1.3"/>
    <m/>
    <m/>
    <m/>
    <m/>
    <m/>
    <m/>
    <m/>
    <m/>
    <m/>
    <m/>
    <m/>
    <m/>
    <n v="0.14000000000000001"/>
    <m/>
    <m/>
    <m/>
  </r>
  <r>
    <x v="3"/>
    <x v="57"/>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9"/>
    <s v=""/>
    <n v="0.32"/>
    <s v=""/>
    <m/>
    <m/>
    <m/>
    <m/>
    <m/>
    <m/>
    <m/>
    <m/>
    <m/>
    <n v="3.9"/>
    <m/>
    <m/>
    <m/>
    <m/>
    <m/>
    <m/>
    <m/>
    <m/>
    <m/>
    <m/>
    <m/>
    <m/>
    <n v="0.32"/>
    <m/>
    <m/>
    <m/>
  </r>
  <r>
    <x v="4"/>
    <x v="66"/>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63"/>
    <s v=""/>
    <n v="0.06"/>
    <s v=""/>
    <m/>
    <m/>
    <m/>
    <m/>
    <m/>
    <m/>
    <m/>
    <m/>
    <m/>
    <n v="0.63"/>
    <m/>
    <m/>
    <m/>
    <m/>
    <m/>
    <m/>
    <m/>
    <m/>
    <m/>
    <m/>
    <m/>
    <m/>
    <n v="0.06"/>
    <m/>
    <m/>
    <m/>
  </r>
  <r>
    <x v="4"/>
    <x v="66"/>
    <m/>
    <m/>
    <m/>
    <s v="New Zealand"/>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6.1"/>
    <s v=""/>
    <n v="0.48"/>
    <s v=""/>
    <m/>
    <m/>
    <m/>
    <m/>
    <m/>
    <m/>
    <m/>
    <m/>
    <m/>
    <n v="6.1"/>
    <m/>
    <m/>
    <m/>
    <m/>
    <m/>
    <m/>
    <m/>
    <m/>
    <m/>
    <m/>
    <m/>
    <m/>
    <n v="0.48"/>
    <m/>
    <m/>
    <m/>
  </r>
  <r>
    <x v="4"/>
    <x v="66"/>
    <m/>
    <m/>
    <m/>
    <s v="Franc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6"/>
    <s v=""/>
    <n v="0.12"/>
    <s v=""/>
    <m/>
    <m/>
    <m/>
    <m/>
    <m/>
    <m/>
    <m/>
    <m/>
    <m/>
    <n v="1.6"/>
    <m/>
    <m/>
    <m/>
    <m/>
    <m/>
    <m/>
    <m/>
    <m/>
    <m/>
    <m/>
    <m/>
    <m/>
    <n v="0.12"/>
    <m/>
    <m/>
    <m/>
  </r>
  <r>
    <x v="4"/>
    <x v="136"/>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7"/>
    <s v=""/>
    <n v="0.33"/>
    <s v=""/>
    <m/>
    <m/>
    <m/>
    <m/>
    <m/>
    <m/>
    <m/>
    <m/>
    <m/>
    <n v="3.7"/>
    <m/>
    <m/>
    <m/>
    <m/>
    <m/>
    <m/>
    <m/>
    <m/>
    <m/>
    <m/>
    <m/>
    <m/>
    <n v="0.33"/>
    <m/>
    <m/>
    <m/>
  </r>
  <r>
    <x v="4"/>
    <x v="81"/>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2.8"/>
    <s v=""/>
    <n v="0.21"/>
    <s v=""/>
    <m/>
    <m/>
    <m/>
    <m/>
    <m/>
    <m/>
    <m/>
    <m/>
    <m/>
    <n v="2.8"/>
    <m/>
    <m/>
    <m/>
    <m/>
    <m/>
    <m/>
    <m/>
    <m/>
    <m/>
    <m/>
    <m/>
    <m/>
    <n v="0.21"/>
    <m/>
    <m/>
    <m/>
  </r>
  <r>
    <x v="4"/>
    <x v="81"/>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5.4"/>
    <s v=""/>
    <n v="0.55000000000000004"/>
    <s v=""/>
    <m/>
    <m/>
    <m/>
    <m/>
    <m/>
    <m/>
    <m/>
    <m/>
    <m/>
    <n v="5.4"/>
    <m/>
    <m/>
    <m/>
    <m/>
    <m/>
    <m/>
    <m/>
    <m/>
    <m/>
    <m/>
    <m/>
    <m/>
    <n v="0.55000000000000004"/>
    <m/>
    <m/>
    <m/>
  </r>
  <r>
    <x v="4"/>
    <x v="20"/>
    <m/>
    <m/>
    <m/>
    <s v="CR"/>
    <m/>
    <s v="Eocinvent 2 process: Banana {CR}| banana production | Alloc Def, S"/>
    <m/>
    <m/>
    <s v="Swiss Center for Life Cycle Inventories, Ecoinvent Database version 3.3. 2016, 2016, ."/>
    <m/>
    <m/>
    <m/>
    <m/>
    <m/>
    <m/>
    <m/>
    <m/>
    <m/>
    <m/>
    <m/>
    <m/>
    <m/>
    <m/>
    <m/>
    <m/>
    <m/>
    <m/>
    <n v="0.97439113229999996"/>
    <s v=""/>
    <n v="8.1206746999999996E-2"/>
    <s v=""/>
    <m/>
    <m/>
    <m/>
    <m/>
    <m/>
    <m/>
    <m/>
    <m/>
    <m/>
    <n v="0.97439113229999996"/>
    <m/>
    <m/>
    <m/>
    <m/>
    <m/>
    <m/>
    <m/>
    <m/>
    <m/>
    <m/>
    <m/>
    <m/>
    <n v="8.1206746999999996E-2"/>
    <m/>
    <m/>
    <m/>
  </r>
  <r>
    <x v="4"/>
    <x v="20"/>
    <m/>
    <m/>
    <m/>
    <s v="EC"/>
    <m/>
    <s v="Eocinvent 2 process: Banana {EC}| banana production | Alloc Def, S"/>
    <m/>
    <m/>
    <s v="Swiss Center for Life Cycle Inventories, Ecoinvent Database version 3.3. 2016, 2016, ."/>
    <m/>
    <m/>
    <m/>
    <m/>
    <m/>
    <m/>
    <m/>
    <m/>
    <m/>
    <m/>
    <m/>
    <m/>
    <m/>
    <m/>
    <m/>
    <m/>
    <m/>
    <m/>
    <n v="3.3026936950999999"/>
    <s v=""/>
    <n v="0.26266316000000001"/>
    <s v=""/>
    <m/>
    <m/>
    <m/>
    <m/>
    <m/>
    <m/>
    <m/>
    <m/>
    <m/>
    <n v="3.3026936950999999"/>
    <m/>
    <m/>
    <m/>
    <m/>
    <m/>
    <m/>
    <m/>
    <m/>
    <m/>
    <m/>
    <m/>
    <m/>
    <n v="0.26266316000000001"/>
    <m/>
    <m/>
    <m/>
  </r>
  <r>
    <x v="4"/>
    <x v="20"/>
    <m/>
    <m/>
    <m/>
    <s v="IN"/>
    <m/>
    <s v="Eocinvent 2 process: Banana {IN}| banana production | Alloc Def, S"/>
    <m/>
    <m/>
    <s v="Swiss Center for Life Cycle Inventories, Ecoinvent Database version 3.3. 2016, 2016, ."/>
    <m/>
    <m/>
    <m/>
    <m/>
    <m/>
    <m/>
    <m/>
    <m/>
    <m/>
    <m/>
    <m/>
    <m/>
    <m/>
    <m/>
    <m/>
    <m/>
    <m/>
    <m/>
    <n v="3.1540473375000002"/>
    <s v=""/>
    <n v="0.26752540000000002"/>
    <s v=""/>
    <m/>
    <m/>
    <m/>
    <m/>
    <m/>
    <m/>
    <m/>
    <m/>
    <m/>
    <n v="3.1540473375000002"/>
    <m/>
    <m/>
    <m/>
    <m/>
    <m/>
    <m/>
    <m/>
    <m/>
    <m/>
    <m/>
    <m/>
    <m/>
    <n v="0.26752540000000002"/>
    <m/>
    <m/>
    <m/>
  </r>
  <r>
    <x v="4"/>
    <x v="20"/>
    <m/>
    <m/>
    <m/>
    <s v="RoW"/>
    <m/>
    <s v="Eocinvent 2 process: Banana {RoW}| banana production | Alloc Def, S"/>
    <m/>
    <m/>
    <s v="Swiss Center for Life Cycle Inventories, Ecoinvent Database version 3.3. 2016, 2016, ."/>
    <m/>
    <m/>
    <m/>
    <m/>
    <m/>
    <m/>
    <m/>
    <m/>
    <m/>
    <m/>
    <m/>
    <m/>
    <m/>
    <m/>
    <m/>
    <m/>
    <m/>
    <m/>
    <n v="2.6421060044000004"/>
    <s v=""/>
    <n v="0.26593591"/>
    <s v=""/>
    <m/>
    <m/>
    <m/>
    <m/>
    <m/>
    <m/>
    <m/>
    <m/>
    <m/>
    <n v="2.6421060044000004"/>
    <m/>
    <m/>
    <m/>
    <m/>
    <m/>
    <m/>
    <m/>
    <m/>
    <m/>
    <m/>
    <m/>
    <m/>
    <n v="0.26593591"/>
    <m/>
    <m/>
    <m/>
  </r>
  <r>
    <x v="3"/>
    <x v="142"/>
    <m/>
    <m/>
    <m/>
    <s v="DE"/>
    <m/>
    <s v="Agrifootprint process: Potato starch dried, from wet milling, at plant/DE Mass"/>
    <m/>
    <m/>
    <s v="Blonk Consultants. Agri-Footprint 2.0. 2015 [cited 2015] Available from: http://www.agrifootprint."/>
    <m/>
    <m/>
    <m/>
    <m/>
    <m/>
    <m/>
    <m/>
    <m/>
    <m/>
    <m/>
    <m/>
    <m/>
    <m/>
    <m/>
    <m/>
    <m/>
    <m/>
    <m/>
    <s v=""/>
    <n v="6.7838162000000004"/>
    <s v=""/>
    <n v="0.93291893999999997"/>
    <m/>
    <m/>
    <n v="6.7838162000000004"/>
    <m/>
    <m/>
    <m/>
    <m/>
    <m/>
    <m/>
    <m/>
    <n v="6.7838162000000004"/>
    <m/>
    <m/>
    <m/>
    <m/>
    <n v="0.93291893999999997"/>
    <m/>
    <m/>
    <m/>
    <m/>
    <m/>
    <m/>
    <m/>
    <n v="0.93291893999999997"/>
    <m/>
    <m/>
  </r>
  <r>
    <x v="3"/>
    <x v="142"/>
    <m/>
    <m/>
    <m/>
    <s v="NL"/>
    <m/>
    <s v="Agrifootprint process: Potato starch dried, from wet milling, at plant/NL Mass"/>
    <m/>
    <m/>
    <s v="Blonk Consultants. Agri-Footprint 2.0. 2015 [cited 2015] Available from: http://www.agrifootprint."/>
    <m/>
    <m/>
    <m/>
    <m/>
    <m/>
    <m/>
    <m/>
    <m/>
    <m/>
    <m/>
    <m/>
    <m/>
    <m/>
    <m/>
    <m/>
    <m/>
    <m/>
    <m/>
    <s v=""/>
    <n v="6.4781129000000002"/>
    <s v=""/>
    <n v="0.97211035000000001"/>
    <m/>
    <m/>
    <n v="6.4781129000000002"/>
    <m/>
    <m/>
    <m/>
    <m/>
    <m/>
    <m/>
    <m/>
    <n v="6.4781129000000002"/>
    <m/>
    <m/>
    <m/>
    <m/>
    <n v="0.97211035000000001"/>
    <m/>
    <m/>
    <m/>
    <m/>
    <m/>
    <m/>
    <m/>
    <n v="0.97211035000000001"/>
    <m/>
    <m/>
  </r>
  <r>
    <x v="3"/>
    <x v="203"/>
    <m/>
    <m/>
    <m/>
    <m/>
    <m/>
    <s v="Ecoinvent 3 process: Celery {GLO}| 675 production | Alloc Def, S"/>
    <m/>
    <m/>
    <s v="Swiss Center for Life Cycle Inventories, Ecoinvent Database version 3.3. 2016, 2016, ."/>
    <m/>
    <m/>
    <m/>
    <m/>
    <m/>
    <m/>
    <m/>
    <m/>
    <m/>
    <m/>
    <m/>
    <m/>
    <m/>
    <m/>
    <m/>
    <m/>
    <m/>
    <m/>
    <n v="5.2511022999999994"/>
    <s v=""/>
    <n v="0.41115000000000002"/>
    <s v=""/>
    <m/>
    <m/>
    <m/>
    <m/>
    <m/>
    <m/>
    <m/>
    <m/>
    <m/>
    <n v="5.2511022999999994"/>
    <m/>
    <m/>
    <m/>
    <m/>
    <m/>
    <m/>
    <m/>
    <m/>
    <m/>
    <m/>
    <m/>
    <m/>
    <n v="0.41115000000000002"/>
    <m/>
    <m/>
    <m/>
  </r>
  <r>
    <x v="3"/>
    <x v="204"/>
    <m/>
    <m/>
    <m/>
    <m/>
    <m/>
    <s v="Ecoinvent 3 process: Iceberg lettuce {GLO}| production | Alloc Def, S"/>
    <m/>
    <m/>
    <s v="Swiss Center for Life Cycle Inventories, Ecoinvent Database version 3.3. 2016, 2016, ."/>
    <m/>
    <m/>
    <m/>
    <m/>
    <m/>
    <m/>
    <m/>
    <m/>
    <m/>
    <m/>
    <m/>
    <m/>
    <m/>
    <m/>
    <m/>
    <m/>
    <m/>
    <m/>
    <n v="1.9850391699999999"/>
    <s v=""/>
    <n v="0.15075"/>
    <s v=""/>
    <m/>
    <m/>
    <m/>
    <m/>
    <m/>
    <m/>
    <m/>
    <m/>
    <m/>
    <n v="1.9850391699999999"/>
    <m/>
    <m/>
    <m/>
    <m/>
    <m/>
    <m/>
    <m/>
    <m/>
    <m/>
    <m/>
    <m/>
    <m/>
    <n v="0.15075"/>
    <m/>
    <m/>
    <m/>
  </r>
  <r>
    <x v="7"/>
    <x v="40"/>
    <m/>
    <m/>
    <m/>
    <s v="CA-QC"/>
    <m/>
    <s v="Ecoinvent 3: Soybean beverage {CA-QC}| production | Alloc Def, S"/>
    <m/>
    <m/>
    <s v="Swiss Center for Life Cycle Inventories, Ecoinvent Database version 3.3. 2016, 2016, ."/>
    <m/>
    <m/>
    <m/>
    <m/>
    <m/>
    <m/>
    <m/>
    <m/>
    <m/>
    <m/>
    <m/>
    <m/>
    <m/>
    <m/>
    <m/>
    <m/>
    <m/>
    <m/>
    <s v=""/>
    <n v="1.6030119999999999"/>
    <s v=""/>
    <n v="0.15309"/>
    <m/>
    <m/>
    <n v="1.6030119999999999"/>
    <m/>
    <m/>
    <m/>
    <m/>
    <m/>
    <m/>
    <m/>
    <n v="1.6030119999999999"/>
    <m/>
    <m/>
    <m/>
    <m/>
    <n v="0.15309"/>
    <m/>
    <m/>
    <m/>
    <m/>
    <m/>
    <m/>
    <m/>
    <n v="0.15309"/>
    <m/>
    <m/>
  </r>
  <r>
    <x v="7"/>
    <x v="40"/>
    <m/>
    <m/>
    <m/>
    <s v="RoW"/>
    <m/>
    <s v="Ecoinvent 3: Soybean beverage {RoW}| production | Alloc Def, S"/>
    <m/>
    <m/>
    <s v="Swiss Center for Life Cycle Inventories, Ecoinvent Database version 3.3. 2016, 2016, ."/>
    <m/>
    <m/>
    <m/>
    <m/>
    <m/>
    <m/>
    <m/>
    <m/>
    <m/>
    <m/>
    <m/>
    <m/>
    <m/>
    <m/>
    <m/>
    <m/>
    <m/>
    <m/>
    <s v=""/>
    <n v="1.76278241"/>
    <s v=""/>
    <n v="0.16888"/>
    <m/>
    <m/>
    <n v="1.76278241"/>
    <m/>
    <m/>
    <m/>
    <m/>
    <m/>
    <m/>
    <m/>
    <n v="1.76278241"/>
    <m/>
    <m/>
    <m/>
    <m/>
    <n v="0.16888"/>
    <m/>
    <m/>
    <m/>
    <m/>
    <m/>
    <m/>
    <m/>
    <n v="0.16888"/>
    <m/>
    <m/>
  </r>
  <r>
    <x v="10"/>
    <x v="205"/>
    <m/>
    <m/>
    <m/>
    <m/>
    <n v="2008"/>
    <s v="The Climate Conservancy. 2008. The Carbon Footprint of Fat Tire® Amber Ale. http://www.newbelgium.com/files/shared/tinkerer/the-carbon-footprint-of-fat-tire-amber-ale-2008-public-dist-rfs.pdf."/>
    <m/>
    <m/>
    <s v="The Climate Conservancy, The Carbon Footprint of Fat Tire® Amber Ale. 2008, ."/>
    <m/>
    <m/>
    <m/>
    <m/>
    <m/>
    <m/>
    <m/>
    <m/>
    <m/>
    <m/>
    <m/>
    <m/>
    <m/>
    <m/>
    <m/>
    <m/>
    <m/>
    <m/>
    <s v=""/>
    <s v=""/>
    <n v="2.35"/>
    <s v=""/>
    <m/>
    <m/>
    <m/>
    <m/>
    <m/>
    <m/>
    <m/>
    <m/>
    <m/>
    <m/>
    <m/>
    <m/>
    <m/>
    <m/>
    <m/>
    <m/>
    <m/>
    <m/>
    <m/>
    <m/>
    <m/>
    <m/>
    <n v="2.35"/>
    <m/>
    <m/>
    <m/>
  </r>
  <r>
    <x v="3"/>
    <x v="100"/>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3.33"/>
    <s v=""/>
    <n v="0.30199999999999999"/>
    <s v=""/>
    <m/>
    <m/>
    <m/>
    <m/>
    <m/>
    <m/>
    <m/>
    <m/>
    <m/>
    <n v="3.33"/>
    <m/>
    <m/>
    <m/>
    <m/>
    <m/>
    <m/>
    <m/>
    <m/>
    <m/>
    <m/>
    <m/>
    <m/>
    <n v="0.30199999999999999"/>
    <m/>
    <m/>
    <s v="without deforestation impacts"/>
  </r>
  <r>
    <x v="3"/>
    <x v="206"/>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1.92"/>
    <s v=""/>
    <n v="0.152"/>
    <s v=""/>
    <m/>
    <m/>
    <m/>
    <m/>
    <m/>
    <m/>
    <m/>
    <m/>
    <m/>
    <n v="1.92"/>
    <m/>
    <m/>
    <m/>
    <m/>
    <m/>
    <m/>
    <m/>
    <m/>
    <m/>
    <m/>
    <m/>
    <m/>
    <n v="0.152"/>
    <m/>
    <m/>
    <s v="without deforestation impacts"/>
  </r>
  <r>
    <x v="3"/>
    <x v="94"/>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1.81"/>
    <s v=""/>
    <n v="0.121"/>
    <s v=""/>
    <m/>
    <m/>
    <m/>
    <m/>
    <m/>
    <m/>
    <m/>
    <m/>
    <m/>
    <n v="1.81"/>
    <m/>
    <m/>
    <m/>
    <m/>
    <m/>
    <m/>
    <m/>
    <m/>
    <m/>
    <m/>
    <m/>
    <m/>
    <n v="0.121"/>
    <m/>
    <m/>
    <s v="without deforestation impacts"/>
  </r>
  <r>
    <x v="3"/>
    <x v="93"/>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0.96699999999999997"/>
    <s v=""/>
    <n v="9.8400000000000001E-2"/>
    <s v=""/>
    <m/>
    <m/>
    <m/>
    <m/>
    <m/>
    <m/>
    <m/>
    <m/>
    <m/>
    <n v="0.96699999999999997"/>
    <m/>
    <m/>
    <m/>
    <m/>
    <m/>
    <m/>
    <m/>
    <m/>
    <m/>
    <m/>
    <m/>
    <m/>
    <n v="9.8400000000000001E-2"/>
    <m/>
    <m/>
    <s v="without deforestation impacts"/>
  </r>
  <r>
    <x v="3"/>
    <x v="88"/>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5.64"/>
    <s v=""/>
    <n v="0.27"/>
    <s v=""/>
    <m/>
    <m/>
    <m/>
    <m/>
    <m/>
    <m/>
    <m/>
    <m/>
    <m/>
    <n v="5.64"/>
    <m/>
    <m/>
    <m/>
    <m/>
    <m/>
    <m/>
    <m/>
    <m/>
    <m/>
    <m/>
    <m/>
    <m/>
    <n v="0.27"/>
    <m/>
    <m/>
    <s v="without deforestation impacts"/>
  </r>
  <r>
    <x v="11"/>
    <x v="148"/>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28.4"/>
    <s v=""/>
    <n v="1.46"/>
    <s v=""/>
    <m/>
    <m/>
    <m/>
    <m/>
    <m/>
    <m/>
    <m/>
    <m/>
    <m/>
    <n v="28.4"/>
    <m/>
    <m/>
    <m/>
    <m/>
    <m/>
    <m/>
    <m/>
    <m/>
    <m/>
    <m/>
    <m/>
    <m/>
    <n v="1.46"/>
    <m/>
    <m/>
    <s v="without deforestation impacts"/>
  </r>
  <r>
    <x v="11"/>
    <x v="82"/>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22.4"/>
    <s v=""/>
    <n v="1.1599999999999999"/>
    <s v=""/>
    <m/>
    <m/>
    <m/>
    <m/>
    <m/>
    <m/>
    <m/>
    <m/>
    <m/>
    <n v="22.4"/>
    <m/>
    <m/>
    <m/>
    <m/>
    <m/>
    <m/>
    <m/>
    <m/>
    <m/>
    <m/>
    <m/>
    <m/>
    <n v="1.1599999999999999"/>
    <m/>
    <m/>
    <s v="without deforestation impacts"/>
  </r>
  <r>
    <x v="4"/>
    <x v="137"/>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7.08"/>
    <s v=""/>
    <n v="0.28499999999999998"/>
    <s v=""/>
    <m/>
    <m/>
    <m/>
    <m/>
    <m/>
    <m/>
    <m/>
    <m/>
    <m/>
    <n v="7.08"/>
    <m/>
    <m/>
    <m/>
    <m/>
    <m/>
    <m/>
    <m/>
    <m/>
    <m/>
    <m/>
    <m/>
    <m/>
    <n v="0.28499999999999998"/>
    <m/>
    <m/>
    <s v="without deforestation impacts"/>
  </r>
  <r>
    <x v="4"/>
    <x v="136"/>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1.93"/>
    <s v=""/>
    <n v="0.107"/>
    <s v=""/>
    <m/>
    <m/>
    <m/>
    <m/>
    <m/>
    <m/>
    <m/>
    <m/>
    <m/>
    <n v="1.93"/>
    <m/>
    <m/>
    <m/>
    <m/>
    <m/>
    <m/>
    <m/>
    <m/>
    <m/>
    <m/>
    <m/>
    <m/>
    <n v="0.107"/>
    <m/>
    <m/>
    <s v="without deforestation impacts"/>
  </r>
  <r>
    <x v="4"/>
    <x v="20"/>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2.68"/>
    <s v=""/>
    <n v="0.23"/>
    <s v=""/>
    <m/>
    <m/>
    <m/>
    <m/>
    <m/>
    <m/>
    <m/>
    <m/>
    <m/>
    <n v="2.68"/>
    <m/>
    <m/>
    <m/>
    <m/>
    <m/>
    <m/>
    <m/>
    <m/>
    <m/>
    <m/>
    <m/>
    <m/>
    <n v="0.23"/>
    <m/>
    <m/>
    <s v="without deforestation impacts"/>
  </r>
  <r>
    <x v="4"/>
    <x v="66"/>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3.13"/>
    <s v=""/>
    <n v="0.14799999999999999"/>
    <s v=""/>
    <m/>
    <m/>
    <m/>
    <m/>
    <m/>
    <m/>
    <m/>
    <m/>
    <m/>
    <n v="3.13"/>
    <m/>
    <m/>
    <m/>
    <m/>
    <m/>
    <m/>
    <m/>
    <m/>
    <m/>
    <m/>
    <m/>
    <m/>
    <n v="0.14799999999999999"/>
    <m/>
    <m/>
    <s v="without deforestation impacts"/>
  </r>
  <r>
    <x v="3"/>
    <x v="44"/>
    <m/>
    <m/>
    <m/>
    <m/>
    <n v="2018"/>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2.69"/>
    <s v=""/>
    <n v="0.157"/>
    <s v=""/>
    <m/>
    <m/>
    <m/>
    <m/>
    <m/>
    <m/>
    <m/>
    <m/>
    <m/>
    <n v="2.69"/>
    <m/>
    <m/>
    <m/>
    <m/>
    <m/>
    <m/>
    <m/>
    <m/>
    <m/>
    <m/>
    <m/>
    <m/>
    <n v="0.157"/>
    <m/>
    <m/>
    <s v="without deforestation impacts"/>
  </r>
  <r>
    <x v="11"/>
    <x v="207"/>
    <m/>
    <m/>
    <m/>
    <s v="CA"/>
    <m/>
    <s v="Argifootprint process: Lentil, at farm/CA Mass"/>
    <m/>
    <m/>
    <s v="Blonk Consultants. Agri-Footprint 2.0. 2015 [cited 2015] Available from: http://www.agrifootprint."/>
    <m/>
    <m/>
    <m/>
    <m/>
    <m/>
    <m/>
    <m/>
    <m/>
    <m/>
    <m/>
    <m/>
    <m/>
    <m/>
    <m/>
    <m/>
    <m/>
    <m/>
    <m/>
    <n v="1.4028"/>
    <s v=""/>
    <n v="0.42380000000000001"/>
    <s v=""/>
    <m/>
    <m/>
    <m/>
    <m/>
    <m/>
    <m/>
    <m/>
    <m/>
    <m/>
    <n v="1.4028"/>
    <m/>
    <m/>
    <m/>
    <m/>
    <m/>
    <m/>
    <m/>
    <m/>
    <m/>
    <m/>
    <m/>
    <m/>
    <n v="0.42380000000000001"/>
    <m/>
    <m/>
    <m/>
  </r>
  <r>
    <x v="11"/>
    <x v="207"/>
    <m/>
    <m/>
    <m/>
    <s v="AU"/>
    <m/>
    <s v="Argifootprint process: Lentil, at farm/AU Mass"/>
    <m/>
    <m/>
    <s v="Blonk Consultants. Agri-Footprint 2.0. 2015 [cited 2015] Available from: http://www.agrifootprint."/>
    <m/>
    <m/>
    <m/>
    <m/>
    <m/>
    <m/>
    <m/>
    <m/>
    <m/>
    <m/>
    <m/>
    <m/>
    <m/>
    <m/>
    <m/>
    <m/>
    <m/>
    <m/>
    <n v="1.2381"/>
    <s v=""/>
    <n v="3.3369"/>
    <s v=""/>
    <m/>
    <m/>
    <m/>
    <m/>
    <m/>
    <m/>
    <m/>
    <m/>
    <m/>
    <n v="1.2381"/>
    <m/>
    <m/>
    <m/>
    <m/>
    <m/>
    <m/>
    <m/>
    <m/>
    <m/>
    <m/>
    <m/>
    <m/>
    <n v="3.3369"/>
    <m/>
    <m/>
    <m/>
  </r>
  <r>
    <x v="11"/>
    <x v="201"/>
    <m/>
    <m/>
    <m/>
    <s v="US"/>
    <m/>
    <s v="Agrifootprint process: Beans, dry, at farm/US Mass"/>
    <m/>
    <m/>
    <s v="Blonk Consultants. Agri-Footprint 2.0. 2015 [cited 2015] Available from: http://www.agrifootprint."/>
    <m/>
    <m/>
    <m/>
    <m/>
    <m/>
    <m/>
    <m/>
    <m/>
    <m/>
    <m/>
    <m/>
    <m/>
    <m/>
    <m/>
    <m/>
    <m/>
    <m/>
    <m/>
    <n v="2.1116000000000001"/>
    <s v=""/>
    <n v="0.46848000000000001"/>
    <s v=""/>
    <m/>
    <m/>
    <m/>
    <m/>
    <m/>
    <m/>
    <m/>
    <m/>
    <m/>
    <n v="2.1116000000000001"/>
    <m/>
    <m/>
    <m/>
    <m/>
    <m/>
    <m/>
    <m/>
    <m/>
    <m/>
    <m/>
    <m/>
    <m/>
    <n v="0.46848000000000001"/>
    <m/>
    <m/>
    <m/>
  </r>
  <r>
    <x v="11"/>
    <x v="208"/>
    <m/>
    <m/>
    <m/>
    <s v="US"/>
    <m/>
    <s v="Agrifootprint process: Chickpea, at farm/US Mass"/>
    <m/>
    <m/>
    <s v="Blonk Consultants. Agri-Footprint 2.0. 2015 [cited 2015] Available from: http://www.agrifootprint."/>
    <m/>
    <m/>
    <m/>
    <m/>
    <m/>
    <m/>
    <m/>
    <m/>
    <m/>
    <m/>
    <m/>
    <m/>
    <m/>
    <m/>
    <m/>
    <m/>
    <m/>
    <m/>
    <n v="1.5431999999999999"/>
    <s v=""/>
    <n v="0.4914"/>
    <s v=""/>
    <m/>
    <m/>
    <m/>
    <m/>
    <m/>
    <m/>
    <m/>
    <m/>
    <m/>
    <n v="1.5431999999999999"/>
    <m/>
    <m/>
    <m/>
    <m/>
    <m/>
    <m/>
    <m/>
    <m/>
    <m/>
    <m/>
    <m/>
    <m/>
    <n v="0.4914"/>
    <m/>
    <m/>
    <m/>
  </r>
  <r>
    <x v="11"/>
    <x v="127"/>
    <m/>
    <m/>
    <m/>
    <s v="US"/>
    <m/>
    <s v="Agrifootprint process: Soybean, at farm/US Mass"/>
    <m/>
    <m/>
    <s v="Blonk Consultants. Agri-Footprint 2.0. 2015 [cited 2015] Available from: http://www.agrifootprint."/>
    <m/>
    <m/>
    <m/>
    <m/>
    <m/>
    <m/>
    <m/>
    <m/>
    <m/>
    <m/>
    <m/>
    <m/>
    <m/>
    <m/>
    <m/>
    <m/>
    <m/>
    <m/>
    <n v="3.0627"/>
    <s v=""/>
    <n v="0.37952000000000002"/>
    <s v=""/>
    <m/>
    <m/>
    <m/>
    <m/>
    <m/>
    <m/>
    <m/>
    <m/>
    <m/>
    <n v="3.0627"/>
    <m/>
    <m/>
    <m/>
    <m/>
    <m/>
    <m/>
    <m/>
    <m/>
    <m/>
    <m/>
    <m/>
    <m/>
    <n v="0.37952000000000002"/>
    <m/>
    <m/>
    <m/>
  </r>
  <r>
    <x v="9"/>
    <x v="209"/>
    <m/>
    <m/>
    <m/>
    <s v="US"/>
    <m/>
    <s v="Agrifootprint process:Sugar cane molasses, from sugar production, at plant/US Mass"/>
    <m/>
    <m/>
    <s v="Blonk Consultants. Agri-Footprint 2.0. 2015 [cited 2015] Available from: http://www.agrifootprint."/>
    <m/>
    <m/>
    <m/>
    <m/>
    <m/>
    <m/>
    <m/>
    <m/>
    <m/>
    <m/>
    <m/>
    <m/>
    <m/>
    <m/>
    <m/>
    <m/>
    <m/>
    <m/>
    <s v=""/>
    <n v="5.0787000000000004"/>
    <s v=""/>
    <n v="0.48759999999999998"/>
    <m/>
    <m/>
    <n v="5.0787000000000004"/>
    <m/>
    <m/>
    <m/>
    <m/>
    <m/>
    <m/>
    <m/>
    <n v="5.0787000000000004"/>
    <m/>
    <m/>
    <m/>
    <m/>
    <n v="0.48759999999999998"/>
    <m/>
    <m/>
    <m/>
    <m/>
    <m/>
    <m/>
    <m/>
    <n v="0.48759999999999998"/>
    <m/>
    <m/>
  </r>
  <r>
    <x v="9"/>
    <x v="131"/>
    <m/>
    <m/>
    <m/>
    <s v="US"/>
    <m/>
    <s v="Agrifootprint process: Sugar, from sugar cane, from sugar production, at plant/US Mass"/>
    <m/>
    <m/>
    <s v="Blonk Consultants. Agri-Footprint 2.0. 2015 [cited 2015] Available from: http://www.agrifootprint."/>
    <m/>
    <m/>
    <m/>
    <m/>
    <m/>
    <m/>
    <m/>
    <m/>
    <m/>
    <m/>
    <m/>
    <m/>
    <m/>
    <m/>
    <m/>
    <m/>
    <m/>
    <m/>
    <s v=""/>
    <n v="6.7751476000000004"/>
    <s v=""/>
    <n v="0.66705736999999998"/>
    <m/>
    <m/>
    <n v="6.7751476000000004"/>
    <m/>
    <m/>
    <m/>
    <m/>
    <m/>
    <m/>
    <m/>
    <n v="6.7751476000000004"/>
    <m/>
    <m/>
    <m/>
    <m/>
    <n v="0.66705736999999998"/>
    <m/>
    <m/>
    <m/>
    <m/>
    <m/>
    <m/>
    <m/>
    <n v="0.66705736999999998"/>
    <m/>
    <m/>
  </r>
  <r>
    <x v="8"/>
    <x v="47"/>
    <m/>
    <m/>
    <m/>
    <s v="US"/>
    <m/>
    <s v="Agrifootprint process: Refined soybean oil, from crushing (solvent), at plant/US Mass"/>
    <m/>
    <m/>
    <s v="Blonk Consultants. Agri-Footprint 2.0. 2015 [cited 2015] Available from: http://www.agrifootprint."/>
    <m/>
    <m/>
    <m/>
    <m/>
    <m/>
    <m/>
    <m/>
    <m/>
    <m/>
    <m/>
    <m/>
    <m/>
    <m/>
    <m/>
    <m/>
    <m/>
    <m/>
    <m/>
    <s v=""/>
    <n v="8.75"/>
    <s v=""/>
    <n v="0.80688000000000004"/>
    <m/>
    <m/>
    <n v="8.75"/>
    <m/>
    <m/>
    <m/>
    <m/>
    <m/>
    <m/>
    <m/>
    <n v="8.75"/>
    <m/>
    <m/>
    <m/>
    <m/>
    <n v="0.80688000000000004"/>
    <m/>
    <m/>
    <m/>
    <m/>
    <m/>
    <m/>
    <m/>
    <n v="0.80688000000000004"/>
    <m/>
    <m/>
  </r>
  <r>
    <x v="11"/>
    <x v="210"/>
    <m/>
    <m/>
    <m/>
    <s v="US"/>
    <m/>
    <s v="Ecoinvent 3 process: Soybean meal {US}| soybean meal and crude oil production | Alloc Def, S"/>
    <m/>
    <m/>
    <s v="Swiss Center for Life Cycle Inventories, Ecoinvent Database version 3.3. 2016, 2016, ."/>
    <m/>
    <m/>
    <m/>
    <m/>
    <m/>
    <m/>
    <m/>
    <m/>
    <m/>
    <m/>
    <m/>
    <m/>
    <m/>
    <m/>
    <m/>
    <m/>
    <m/>
    <m/>
    <s v=""/>
    <n v="2.9633449999999999"/>
    <s v=""/>
    <n v="0.40566000000000002"/>
    <m/>
    <m/>
    <n v="2.9633449999999999"/>
    <m/>
    <m/>
    <m/>
    <m/>
    <m/>
    <m/>
    <m/>
    <n v="2.9633449999999999"/>
    <m/>
    <m/>
    <m/>
    <m/>
    <n v="0.40566000000000002"/>
    <m/>
    <m/>
    <m/>
    <m/>
    <m/>
    <m/>
    <m/>
    <n v="0.40566000000000002"/>
    <m/>
    <m/>
  </r>
  <r>
    <x v="3"/>
    <x v="211"/>
    <m/>
    <m/>
    <m/>
    <s v="US"/>
    <m/>
    <s v="Ecoinvent 3 process: Sweet corn {US}| sweet corn production | Alloc Def, S"/>
    <m/>
    <m/>
    <s v="Swiss Center for Life Cycle Inventories, Ecoinvent Database version 3.3. 2016, 2016, ."/>
    <m/>
    <m/>
    <m/>
    <m/>
    <m/>
    <m/>
    <m/>
    <m/>
    <m/>
    <m/>
    <m/>
    <m/>
    <m/>
    <m/>
    <m/>
    <m/>
    <m/>
    <m/>
    <n v="2.4748158250000003"/>
    <s v=""/>
    <n v="0.24421635"/>
    <s v=""/>
    <m/>
    <m/>
    <m/>
    <m/>
    <m/>
    <m/>
    <m/>
    <m/>
    <m/>
    <n v="2.4748158250000003"/>
    <m/>
    <m/>
    <m/>
    <m/>
    <m/>
    <m/>
    <m/>
    <m/>
    <m/>
    <m/>
    <m/>
    <m/>
    <n v="0.24421635"/>
    <m/>
    <m/>
    <m/>
  </r>
  <r>
    <x v="3"/>
    <x v="211"/>
    <m/>
    <m/>
    <m/>
    <s v="HU"/>
    <m/>
    <s v="Ecoinvent 3 process: Sweet corn {HU}| sweet corn production | Alloc Def, S"/>
    <m/>
    <m/>
    <s v="Swiss Center for Life Cycle Inventories, Ecoinvent Database version 3.3. 2016, 2016, ."/>
    <m/>
    <m/>
    <m/>
    <m/>
    <m/>
    <m/>
    <m/>
    <m/>
    <m/>
    <m/>
    <m/>
    <m/>
    <m/>
    <m/>
    <m/>
    <m/>
    <m/>
    <m/>
    <n v="2.6657383942699999"/>
    <s v=""/>
    <n v="0.28881754999999998"/>
    <s v=""/>
    <m/>
    <m/>
    <m/>
    <m/>
    <m/>
    <m/>
    <m/>
    <m/>
    <m/>
    <n v="2.6657383942699999"/>
    <m/>
    <m/>
    <m/>
    <m/>
    <m/>
    <m/>
    <m/>
    <m/>
    <m/>
    <m/>
    <m/>
    <m/>
    <n v="0.28881754999999998"/>
    <m/>
    <m/>
    <m/>
  </r>
  <r>
    <x v="3"/>
    <x v="211"/>
    <m/>
    <m/>
    <m/>
    <s v="RoW"/>
    <m/>
    <s v="Ecoinvent 3 process: Sweet corn {RoW}| sweet corn production | Alloc Def, S"/>
    <m/>
    <m/>
    <s v="Swiss Center for Life Cycle Inventories, Ecoinvent Database version 3.3. 2016, 2016, ."/>
    <m/>
    <m/>
    <m/>
    <m/>
    <m/>
    <m/>
    <m/>
    <m/>
    <m/>
    <m/>
    <m/>
    <m/>
    <m/>
    <m/>
    <m/>
    <m/>
    <m/>
    <m/>
    <n v="2.527893089"/>
    <s v=""/>
    <n v="0.37178664"/>
    <s v=""/>
    <m/>
    <m/>
    <m/>
    <m/>
    <m/>
    <m/>
    <m/>
    <m/>
    <m/>
    <n v="2.527893089"/>
    <m/>
    <m/>
    <m/>
    <m/>
    <m/>
    <m/>
    <m/>
    <m/>
    <m/>
    <m/>
    <m/>
    <m/>
    <n v="0.37178664"/>
    <m/>
    <m/>
    <m/>
  </r>
  <r>
    <x v="3"/>
    <x v="211"/>
    <m/>
    <m/>
    <m/>
    <s v="TH"/>
    <m/>
    <s v="Ecoinvent 3 process: Sweet corn {TH}| sweet corn production | Alloc Def, S"/>
    <m/>
    <m/>
    <s v="Swiss Center for Life Cycle Inventories, Ecoinvent Database version 3.3. 2016, 2016, ."/>
    <m/>
    <m/>
    <m/>
    <m/>
    <m/>
    <m/>
    <m/>
    <m/>
    <m/>
    <m/>
    <m/>
    <m/>
    <m/>
    <m/>
    <m/>
    <m/>
    <m/>
    <m/>
    <n v="1.8887313091"/>
    <s v=""/>
    <n v="0.18450696"/>
    <s v=""/>
    <m/>
    <m/>
    <m/>
    <m/>
    <m/>
    <m/>
    <m/>
    <m/>
    <m/>
    <n v="1.8887313091"/>
    <m/>
    <m/>
    <m/>
    <m/>
    <m/>
    <m/>
    <m/>
    <m/>
    <m/>
    <m/>
    <m/>
    <m/>
    <n v="0.18450696"/>
    <m/>
    <m/>
    <m/>
  </r>
  <r>
    <x v="8"/>
    <x v="50"/>
    <m/>
    <m/>
    <m/>
    <s v="Global"/>
    <m/>
    <s v="World Food LCA Database: Peanut oil, at oil mill (WFLDB 3.1)/GLO U"/>
    <m/>
    <m/>
    <s v="Quantis, World Food LCA Database. 2016, ."/>
    <m/>
    <m/>
    <m/>
    <m/>
    <m/>
    <m/>
    <m/>
    <m/>
    <m/>
    <m/>
    <m/>
    <m/>
    <m/>
    <m/>
    <m/>
    <m/>
    <m/>
    <m/>
    <s v=""/>
    <n v="3.1583665999999999"/>
    <s v=""/>
    <n v="4.3630063999999997"/>
    <m/>
    <m/>
    <n v="3.1583665999999999"/>
    <m/>
    <m/>
    <m/>
    <m/>
    <m/>
    <m/>
    <m/>
    <n v="3.1583665999999999"/>
    <m/>
    <m/>
    <m/>
    <m/>
    <n v="4.3630063999999997"/>
    <m/>
    <m/>
    <m/>
    <m/>
    <m/>
    <m/>
    <m/>
    <n v="4.3630063999999997"/>
    <m/>
    <m/>
  </r>
  <r>
    <x v="3"/>
    <x v="93"/>
    <m/>
    <m/>
    <m/>
    <s v="CN"/>
    <m/>
    <s v="Ecoinvent 3 (WFLDB) process: Onion {CN}| onion production | Alloc Def, S"/>
    <m/>
    <m/>
    <s v="Swiss Center for Life Cycle Inventories, Ecoinvent Database version 3.3. 2016, 2016, ."/>
    <m/>
    <m/>
    <m/>
    <m/>
    <m/>
    <m/>
    <m/>
    <m/>
    <m/>
    <m/>
    <m/>
    <m/>
    <m/>
    <m/>
    <m/>
    <m/>
    <m/>
    <m/>
    <n v="2.1517225358000003"/>
    <s v=""/>
    <n v="0.18947802999999999"/>
    <s v=""/>
    <m/>
    <m/>
    <m/>
    <m/>
    <m/>
    <m/>
    <m/>
    <m/>
    <m/>
    <n v="2.1517225358000003"/>
    <m/>
    <m/>
    <m/>
    <m/>
    <m/>
    <m/>
    <m/>
    <m/>
    <m/>
    <m/>
    <m/>
    <m/>
    <n v="0.18947802999999999"/>
    <m/>
    <m/>
    <m/>
  </r>
  <r>
    <x v="3"/>
    <x v="93"/>
    <m/>
    <m/>
    <m/>
    <s v="IN"/>
    <m/>
    <s v="Ecoinvent 3 (WFLDB) process: Onion {IN}| onion production | Alloc Def, S"/>
    <m/>
    <m/>
    <s v="Swiss Center for Life Cycle Inventories, Ecoinvent Database version 3.3. 2016, 2016, ."/>
    <m/>
    <m/>
    <m/>
    <m/>
    <m/>
    <m/>
    <m/>
    <m/>
    <m/>
    <m/>
    <m/>
    <m/>
    <m/>
    <m/>
    <m/>
    <m/>
    <m/>
    <m/>
    <n v="5.6378573961000003"/>
    <s v=""/>
    <n v="0.54483833000000004"/>
    <s v=""/>
    <m/>
    <m/>
    <m/>
    <m/>
    <m/>
    <m/>
    <m/>
    <m/>
    <m/>
    <n v="5.6378573961000003"/>
    <m/>
    <m/>
    <m/>
    <m/>
    <m/>
    <m/>
    <m/>
    <m/>
    <m/>
    <m/>
    <m/>
    <m/>
    <n v="0.54483833000000004"/>
    <m/>
    <m/>
    <m/>
  </r>
  <r>
    <x v="3"/>
    <x v="93"/>
    <m/>
    <m/>
    <m/>
    <s v="NL"/>
    <m/>
    <s v="Ecoinvent 3 (WFLDB) process: Onion {NL}| onion production | Alloc Def, S"/>
    <m/>
    <m/>
    <s v="Swiss Center for Life Cycle Inventories, Ecoinvent Database version 3.3. 2016, 2016, ."/>
    <m/>
    <m/>
    <m/>
    <m/>
    <m/>
    <m/>
    <m/>
    <m/>
    <m/>
    <m/>
    <m/>
    <m/>
    <m/>
    <m/>
    <m/>
    <m/>
    <m/>
    <m/>
    <n v="2.1631013978000002"/>
    <s v=""/>
    <n v="0.19278450999999999"/>
    <s v=""/>
    <m/>
    <m/>
    <m/>
    <m/>
    <m/>
    <m/>
    <m/>
    <m/>
    <m/>
    <n v="2.1631013978000002"/>
    <m/>
    <m/>
    <m/>
    <m/>
    <m/>
    <m/>
    <m/>
    <m/>
    <m/>
    <m/>
    <m/>
    <m/>
    <n v="0.19278450999999999"/>
    <m/>
    <m/>
    <m/>
  </r>
  <r>
    <x v="3"/>
    <x v="93"/>
    <m/>
    <m/>
    <m/>
    <s v="NZ"/>
    <m/>
    <s v="Ecoinvent 3 (WFLDB) process: Onion {NZ}| onion production | Alloc Def, S"/>
    <m/>
    <m/>
    <s v="Swiss Center for Life Cycle Inventories, Ecoinvent Database version 3.3. 2016, 2016, ."/>
    <m/>
    <m/>
    <m/>
    <m/>
    <m/>
    <m/>
    <m/>
    <m/>
    <m/>
    <m/>
    <m/>
    <m/>
    <m/>
    <m/>
    <m/>
    <m/>
    <m/>
    <m/>
    <n v="2.5110390611"/>
    <s v=""/>
    <n v="0.24044423000000001"/>
    <s v=""/>
    <m/>
    <m/>
    <m/>
    <m/>
    <m/>
    <m/>
    <m/>
    <m/>
    <m/>
    <n v="2.5110390611"/>
    <m/>
    <m/>
    <m/>
    <m/>
    <m/>
    <m/>
    <m/>
    <m/>
    <m/>
    <m/>
    <m/>
    <m/>
    <n v="0.24044423000000001"/>
    <m/>
    <m/>
    <m/>
  </r>
  <r>
    <x v="3"/>
    <x v="93"/>
    <m/>
    <m/>
    <m/>
    <s v="RoW"/>
    <m/>
    <s v="Ecoinvent 3 (WFLDB) process: Onion {RoW}| onion production | Alloc Def, S"/>
    <m/>
    <m/>
    <s v="Swiss Center for Life Cycle Inventories, Ecoinvent Database version 3.3. 2016, 2016, ."/>
    <m/>
    <m/>
    <m/>
    <m/>
    <m/>
    <m/>
    <m/>
    <m/>
    <m/>
    <m/>
    <m/>
    <m/>
    <m/>
    <m/>
    <m/>
    <m/>
    <m/>
    <m/>
    <n v="3.4170270486000001"/>
    <s v=""/>
    <n v="0.32761311999999998"/>
    <s v=""/>
    <m/>
    <m/>
    <m/>
    <m/>
    <m/>
    <m/>
    <m/>
    <m/>
    <m/>
    <n v="3.4170270486000001"/>
    <m/>
    <m/>
    <m/>
    <m/>
    <m/>
    <m/>
    <m/>
    <m/>
    <m/>
    <m/>
    <m/>
    <m/>
    <n v="0.32761311999999998"/>
    <m/>
    <m/>
    <m/>
  </r>
  <r>
    <x v="9"/>
    <x v="212"/>
    <m/>
    <m/>
    <m/>
    <s v="NL"/>
    <m/>
    <s v="Agrifootprint process: Sugar, from sugar beet, from sugar production, at Suiker Unie plants/NL Mass"/>
    <m/>
    <m/>
    <s v="Blonk Consultants. Agri-Footprint 2.0. 2015 [cited 2015] Available from: http://www.agrifootprint."/>
    <m/>
    <m/>
    <m/>
    <m/>
    <m/>
    <m/>
    <m/>
    <m/>
    <m/>
    <m/>
    <m/>
    <m/>
    <m/>
    <m/>
    <m/>
    <m/>
    <m/>
    <m/>
    <s v=""/>
    <n v="3.7005972000000003"/>
    <s v=""/>
    <n v="0.29486158999999995"/>
    <m/>
    <m/>
    <n v="3.7005972000000003"/>
    <m/>
    <m/>
    <m/>
    <m/>
    <m/>
    <m/>
    <m/>
    <n v="3.7005972000000003"/>
    <m/>
    <m/>
    <m/>
    <m/>
    <n v="0.29486158999999995"/>
    <m/>
    <m/>
    <m/>
    <m/>
    <m/>
    <m/>
    <m/>
    <n v="0.29486158999999995"/>
    <m/>
    <m/>
  </r>
  <r>
    <x v="9"/>
    <x v="212"/>
    <m/>
    <m/>
    <m/>
    <s v="PL"/>
    <m/>
    <s v="Agrifootprint process: Sugar, from sugar beet, from sugar production, at plant/PL Mass"/>
    <m/>
    <m/>
    <s v="Blonk Consultants. Agri-Footprint 2.0. 2015 [cited 2015] Available from: http://www.agrifootprint."/>
    <m/>
    <m/>
    <m/>
    <m/>
    <m/>
    <m/>
    <m/>
    <m/>
    <m/>
    <m/>
    <m/>
    <m/>
    <m/>
    <m/>
    <m/>
    <m/>
    <m/>
    <m/>
    <s v=""/>
    <n v="5.132009"/>
    <s v=""/>
    <n v="0.47034267000000002"/>
    <m/>
    <m/>
    <n v="5.132009"/>
    <m/>
    <m/>
    <m/>
    <m/>
    <m/>
    <m/>
    <m/>
    <n v="5.132009"/>
    <m/>
    <m/>
    <m/>
    <m/>
    <n v="0.47034267000000002"/>
    <m/>
    <m/>
    <m/>
    <m/>
    <m/>
    <m/>
    <m/>
    <n v="0.47034267000000002"/>
    <m/>
    <m/>
  </r>
  <r>
    <x v="9"/>
    <x v="212"/>
    <m/>
    <m/>
    <m/>
    <s v="FR"/>
    <m/>
    <s v="Agrifootprint process: Sugar, from sugar beet, from sugar production, at plant/FR Mass"/>
    <m/>
    <m/>
    <s v="Blonk Consultants. Agri-Footprint 2.0. 2015 [cited 2015] Available from: http://www.agrifootprint."/>
    <m/>
    <m/>
    <m/>
    <m/>
    <m/>
    <m/>
    <m/>
    <m/>
    <m/>
    <m/>
    <m/>
    <m/>
    <m/>
    <m/>
    <m/>
    <m/>
    <m/>
    <m/>
    <s v=""/>
    <n v="4.5169813999999997"/>
    <s v=""/>
    <n v="0.36901864000000001"/>
    <m/>
    <m/>
    <n v="4.5169813999999997"/>
    <m/>
    <m/>
    <m/>
    <m/>
    <m/>
    <m/>
    <m/>
    <n v="4.5169813999999997"/>
    <m/>
    <m/>
    <m/>
    <m/>
    <n v="0.36901864000000001"/>
    <m/>
    <m/>
    <m/>
    <m/>
    <m/>
    <m/>
    <m/>
    <n v="0.36901864000000001"/>
    <m/>
    <m/>
  </r>
  <r>
    <x v="9"/>
    <x v="212"/>
    <m/>
    <m/>
    <m/>
    <s v="DE"/>
    <m/>
    <s v="Agrifootprint process: Sugar, from sugar beet, from sugar production, at plant/DE Mass"/>
    <m/>
    <m/>
    <s v="Blonk Consultants. Agri-Footprint 2.0. 2015 [cited 2015] Available from: http://www.agrifootprint."/>
    <m/>
    <m/>
    <m/>
    <m/>
    <m/>
    <m/>
    <m/>
    <m/>
    <m/>
    <m/>
    <m/>
    <m/>
    <m/>
    <m/>
    <m/>
    <m/>
    <m/>
    <m/>
    <s v=""/>
    <n v="4.9473551999999996"/>
    <s v=""/>
    <n v="0.42890933999999997"/>
    <m/>
    <m/>
    <n v="4.9473551999999996"/>
    <m/>
    <m/>
    <m/>
    <m/>
    <m/>
    <m/>
    <m/>
    <n v="4.9473551999999996"/>
    <m/>
    <m/>
    <m/>
    <m/>
    <n v="0.42890933999999997"/>
    <m/>
    <m/>
    <m/>
    <m/>
    <m/>
    <m/>
    <m/>
    <n v="0.42890933999999997"/>
    <m/>
    <m/>
  </r>
  <r>
    <x v="9"/>
    <x v="213"/>
    <m/>
    <m/>
    <m/>
    <s v="NL"/>
    <m/>
    <s v="Agrifootprint process: Sugar beet molasses, from sugar production, at Suiker Unie plants/NL Mass"/>
    <m/>
    <m/>
    <s v="Blonk Consultants. Agri-Footprint 2.0. 2015 [cited 2015] Available from: http://www.agrifootprint."/>
    <m/>
    <m/>
    <m/>
    <m/>
    <m/>
    <m/>
    <m/>
    <m/>
    <m/>
    <m/>
    <m/>
    <m/>
    <m/>
    <m/>
    <m/>
    <m/>
    <m/>
    <m/>
    <s v=""/>
    <n v="2.9346000000000001"/>
    <s v=""/>
    <n v="0.23335"/>
    <m/>
    <m/>
    <n v="2.9346000000000001"/>
    <m/>
    <m/>
    <m/>
    <m/>
    <m/>
    <m/>
    <m/>
    <n v="2.9346000000000001"/>
    <m/>
    <m/>
    <m/>
    <m/>
    <n v="0.23335"/>
    <m/>
    <m/>
    <m/>
    <m/>
    <m/>
    <m/>
    <m/>
    <n v="0.23335"/>
    <m/>
    <m/>
  </r>
  <r>
    <x v="9"/>
    <x v="213"/>
    <m/>
    <m/>
    <m/>
    <s v="PL"/>
    <m/>
    <s v="Agrifootprint process: Sugar beet molasses, from sugar production, at plant/PL Mass"/>
    <m/>
    <m/>
    <s v="Blonk Consultants. Agri-Footprint 2.0. 2015 [cited 2015] Available from: http://www.agrifootprint."/>
    <m/>
    <m/>
    <m/>
    <m/>
    <m/>
    <m/>
    <m/>
    <m/>
    <m/>
    <m/>
    <m/>
    <m/>
    <m/>
    <m/>
    <m/>
    <m/>
    <m/>
    <m/>
    <s v=""/>
    <n v="3.7627999999999999"/>
    <s v=""/>
    <n v="0.34007999999999999"/>
    <m/>
    <m/>
    <n v="3.7627999999999999"/>
    <m/>
    <m/>
    <m/>
    <m/>
    <m/>
    <m/>
    <m/>
    <n v="3.7627999999999999"/>
    <m/>
    <m/>
    <m/>
    <m/>
    <n v="0.34007999999999999"/>
    <m/>
    <m/>
    <m/>
    <m/>
    <m/>
    <m/>
    <m/>
    <n v="0.34007999999999999"/>
    <m/>
    <m/>
  </r>
  <r>
    <x v="9"/>
    <x v="213"/>
    <m/>
    <m/>
    <m/>
    <s v="FR"/>
    <m/>
    <s v="Agrifootprint process: Sugar beet molasses, from sugar production, at plant/FR Mass"/>
    <m/>
    <m/>
    <s v="Blonk Consultants. Agri-Footprint 2.0. 2015 [cited 2015] Available from: http://www.agrifootprint."/>
    <m/>
    <m/>
    <m/>
    <m/>
    <m/>
    <m/>
    <m/>
    <m/>
    <m/>
    <m/>
    <m/>
    <m/>
    <m/>
    <m/>
    <m/>
    <m/>
    <m/>
    <m/>
    <s v=""/>
    <n v="3.5030000000000001"/>
    <s v=""/>
    <n v="0.26682"/>
    <m/>
    <m/>
    <n v="3.5030000000000001"/>
    <m/>
    <m/>
    <m/>
    <m/>
    <m/>
    <m/>
    <m/>
    <n v="3.5030000000000001"/>
    <m/>
    <m/>
    <m/>
    <m/>
    <n v="0.26682"/>
    <m/>
    <m/>
    <m/>
    <m/>
    <m/>
    <m/>
    <m/>
    <n v="0.26682"/>
    <m/>
    <m/>
  </r>
  <r>
    <x v="9"/>
    <x v="213"/>
    <m/>
    <m/>
    <m/>
    <s v="DE"/>
    <m/>
    <s v="Agrifootprint process: Sugar beet molasses, from sugar production, at plant/DE Mass"/>
    <m/>
    <m/>
    <s v="Blonk Consultants. Agri-Footprint 2.0. 2015 [cited 2015] Available from: http://www.agrifootprint."/>
    <m/>
    <m/>
    <m/>
    <m/>
    <m/>
    <m/>
    <m/>
    <m/>
    <m/>
    <m/>
    <m/>
    <m/>
    <m/>
    <m/>
    <m/>
    <m/>
    <m/>
    <m/>
    <s v=""/>
    <n v="3.7029999999999998"/>
    <s v=""/>
    <n v="0.31012000000000001"/>
    <m/>
    <m/>
    <n v="3.7029999999999998"/>
    <m/>
    <m/>
    <m/>
    <m/>
    <m/>
    <m/>
    <m/>
    <n v="3.7029999999999998"/>
    <m/>
    <m/>
    <m/>
    <m/>
    <n v="0.31012000000000001"/>
    <m/>
    <m/>
    <m/>
    <m/>
    <m/>
    <m/>
    <m/>
    <n v="0.31012000000000001"/>
    <m/>
    <m/>
  </r>
  <r>
    <x v="3"/>
    <x v="214"/>
    <m/>
    <m/>
    <m/>
    <s v="TH"/>
    <m/>
    <s v="Agrifootprint process: Cassava, at farm/TH Mass"/>
    <m/>
    <m/>
    <s v="Blonk Consultants. Agri-Footprint 2.0. 2015 [cited 2015] Available from: http://www.agrifootprint."/>
    <m/>
    <m/>
    <m/>
    <m/>
    <m/>
    <m/>
    <m/>
    <m/>
    <m/>
    <m/>
    <m/>
    <m/>
    <m/>
    <m/>
    <m/>
    <m/>
    <m/>
    <m/>
    <n v="0.625"/>
    <s v=""/>
    <n v="7.8799999999999995E-2"/>
    <s v=""/>
    <m/>
    <m/>
    <m/>
    <m/>
    <m/>
    <m/>
    <m/>
    <m/>
    <m/>
    <n v="0.625"/>
    <m/>
    <m/>
    <m/>
    <m/>
    <m/>
    <m/>
    <m/>
    <m/>
    <m/>
    <m/>
    <m/>
    <m/>
    <n v="7.8799999999999995E-2"/>
    <m/>
    <m/>
    <m/>
  </r>
  <r>
    <x v="3"/>
    <x v="215"/>
    <m/>
    <m/>
    <m/>
    <s v="BE"/>
    <m/>
    <s v="Agrifootprint process: Chicory root, at farm/BE Mass"/>
    <m/>
    <m/>
    <s v="Blonk Consultants. Agri-Footprint 2.0. 2015 [cited 2015] Available from: http://www.agrifootprint."/>
    <m/>
    <m/>
    <m/>
    <m/>
    <m/>
    <m/>
    <m/>
    <m/>
    <m/>
    <m/>
    <m/>
    <m/>
    <m/>
    <m/>
    <m/>
    <m/>
    <m/>
    <m/>
    <n v="0.14480000000000001"/>
    <s v=""/>
    <n v="4.4065E-2"/>
    <s v=""/>
    <m/>
    <m/>
    <m/>
    <m/>
    <m/>
    <m/>
    <m/>
    <m/>
    <m/>
    <n v="0.14480000000000001"/>
    <m/>
    <m/>
    <m/>
    <m/>
    <m/>
    <m/>
    <m/>
    <m/>
    <m/>
    <m/>
    <m/>
    <m/>
    <n v="4.4065E-2"/>
    <m/>
    <m/>
    <m/>
  </r>
  <r>
    <x v="3"/>
    <x v="215"/>
    <m/>
    <m/>
    <m/>
    <s v="NL"/>
    <m/>
    <s v="Agrifootprint process: Chicory root, at farm/NL Mass"/>
    <m/>
    <m/>
    <s v="Blonk Consultants. Agri-Footprint 2.0. 2015 [cited 2015] Available from: http://www.agrifootprint."/>
    <m/>
    <m/>
    <m/>
    <m/>
    <m/>
    <m/>
    <m/>
    <m/>
    <m/>
    <m/>
    <m/>
    <m/>
    <m/>
    <m/>
    <m/>
    <m/>
    <m/>
    <m/>
    <n v="0.16400000000000001"/>
    <s v=""/>
    <n v="5.6827000000000003E-2"/>
    <s v=""/>
    <m/>
    <m/>
    <m/>
    <m/>
    <m/>
    <m/>
    <m/>
    <m/>
    <m/>
    <n v="0.16400000000000001"/>
    <m/>
    <m/>
    <m/>
    <m/>
    <m/>
    <m/>
    <m/>
    <m/>
    <m/>
    <m/>
    <m/>
    <m/>
    <n v="5.6827000000000003E-2"/>
    <m/>
    <m/>
    <m/>
  </r>
  <r>
    <x v="8"/>
    <x v="216"/>
    <m/>
    <m/>
    <m/>
    <s v="ID"/>
    <m/>
    <s v="Agrifootprint process: Refined coconut oil, at plant/ID Mass"/>
    <m/>
    <m/>
    <s v="Blonk Consultants. Agri-Footprint 2.0. 2015 [cited 2015] Available from: http://www.agrifootprint."/>
    <m/>
    <m/>
    <m/>
    <m/>
    <m/>
    <m/>
    <m/>
    <m/>
    <m/>
    <m/>
    <m/>
    <m/>
    <m/>
    <m/>
    <m/>
    <m/>
    <m/>
    <m/>
    <s v=""/>
    <n v="10.811221"/>
    <s v=""/>
    <n v="3.8596341000000001"/>
    <m/>
    <m/>
    <n v="10.811221"/>
    <m/>
    <m/>
    <m/>
    <m/>
    <m/>
    <m/>
    <m/>
    <n v="10.811221"/>
    <m/>
    <m/>
    <m/>
    <m/>
    <n v="3.8596341000000001"/>
    <m/>
    <m/>
    <m/>
    <m/>
    <m/>
    <m/>
    <m/>
    <n v="3.8596341000000001"/>
    <m/>
    <m/>
  </r>
  <r>
    <x v="8"/>
    <x v="216"/>
    <m/>
    <m/>
    <m/>
    <s v="IN"/>
    <m/>
    <s v="Agrifootprint process: Refined coconut oil, at plant/IN Mass"/>
    <m/>
    <m/>
    <s v="Blonk Consultants. Agri-Footprint 2.0. 2015 [cited 2015] Available from: http://www.agrifootprint."/>
    <m/>
    <m/>
    <m/>
    <m/>
    <m/>
    <m/>
    <m/>
    <m/>
    <m/>
    <m/>
    <m/>
    <m/>
    <m/>
    <m/>
    <m/>
    <m/>
    <m/>
    <m/>
    <s v=""/>
    <n v="12.123262"/>
    <s v=""/>
    <n v="2.0942848999999999"/>
    <m/>
    <m/>
    <n v="12.123262"/>
    <m/>
    <m/>
    <m/>
    <m/>
    <m/>
    <m/>
    <m/>
    <n v="12.123262"/>
    <m/>
    <m/>
    <m/>
    <m/>
    <n v="2.0942848999999999"/>
    <m/>
    <m/>
    <m/>
    <m/>
    <m/>
    <m/>
    <m/>
    <n v="2.0942848999999999"/>
    <m/>
    <m/>
  </r>
  <r>
    <x v="8"/>
    <x v="216"/>
    <m/>
    <m/>
    <m/>
    <s v="PH"/>
    <m/>
    <s v="Agrifootprint process: Refined coconut oil, at plant/PH Mass"/>
    <m/>
    <m/>
    <s v="Blonk Consultants. Agri-Footprint 2.0. 2015 [cited 2015] Available from: http://www.agrifootprint."/>
    <m/>
    <m/>
    <m/>
    <m/>
    <m/>
    <m/>
    <m/>
    <m/>
    <m/>
    <m/>
    <m/>
    <m/>
    <m/>
    <m/>
    <m/>
    <m/>
    <m/>
    <m/>
    <s v=""/>
    <n v="12.765396000000001"/>
    <s v=""/>
    <n v="2.2343989"/>
    <m/>
    <m/>
    <n v="12.765396000000001"/>
    <m/>
    <m/>
    <m/>
    <m/>
    <m/>
    <m/>
    <m/>
    <n v="12.765396000000001"/>
    <m/>
    <m/>
    <m/>
    <m/>
    <n v="2.2343989"/>
    <m/>
    <m/>
    <m/>
    <m/>
    <m/>
    <m/>
    <m/>
    <n v="2.2343989"/>
    <m/>
    <m/>
  </r>
  <r>
    <x v="8"/>
    <x v="123"/>
    <m/>
    <m/>
    <m/>
    <s v="US"/>
    <m/>
    <s v="Agrifootprint process: Refined maize germ oil, (pressing), at plant/US Mass"/>
    <m/>
    <m/>
    <s v="Blonk Consultants. Agri-Footprint 2.0. 2015 [cited 2015] Available from: http://www.agrifootprint."/>
    <m/>
    <m/>
    <m/>
    <m/>
    <m/>
    <m/>
    <m/>
    <m/>
    <m/>
    <m/>
    <m/>
    <m/>
    <m/>
    <m/>
    <m/>
    <m/>
    <m/>
    <m/>
    <s v=""/>
    <n v="14.681468000000001"/>
    <s v=""/>
    <n v="1.1531735000000001"/>
    <m/>
    <m/>
    <n v="14.681468000000001"/>
    <m/>
    <m/>
    <m/>
    <m/>
    <m/>
    <m/>
    <m/>
    <n v="14.681468000000001"/>
    <m/>
    <m/>
    <m/>
    <m/>
    <n v="1.1531735000000001"/>
    <m/>
    <m/>
    <m/>
    <m/>
    <m/>
    <m/>
    <m/>
    <n v="1.1531735000000001"/>
    <m/>
    <m/>
  </r>
  <r>
    <x v="8"/>
    <x v="123"/>
    <m/>
    <m/>
    <m/>
    <s v="US"/>
    <m/>
    <s v="Agrifootprint process: Refined maize germ oil, (solvent), at plant/US Mass"/>
    <m/>
    <m/>
    <s v="Blonk Consultants. Agri-Footprint 2.0. 2015 [cited 2015] Available from: http://www.agrifootprint."/>
    <m/>
    <m/>
    <m/>
    <m/>
    <m/>
    <m/>
    <m/>
    <m/>
    <m/>
    <m/>
    <m/>
    <m/>
    <m/>
    <m/>
    <m/>
    <m/>
    <m/>
    <m/>
    <s v=""/>
    <n v="15.649869000000001"/>
    <s v=""/>
    <n v="1.2454783"/>
    <m/>
    <m/>
    <n v="15.649869000000001"/>
    <m/>
    <m/>
    <m/>
    <m/>
    <m/>
    <m/>
    <m/>
    <n v="15.649869000000001"/>
    <m/>
    <m/>
    <m/>
    <m/>
    <n v="1.2454783"/>
    <m/>
    <m/>
    <m/>
    <m/>
    <m/>
    <m/>
    <m/>
    <n v="1.2454783"/>
    <m/>
    <m/>
  </r>
  <r>
    <x v="8"/>
    <x v="46"/>
    <m/>
    <m/>
    <m/>
    <s v="ID"/>
    <m/>
    <s v="Agrifootprint process: Refined palm kernel oil, at plant/ID Mass"/>
    <m/>
    <m/>
    <s v="Blonk Consultants. Agri-Footprint 2.0. 2015 [cited 2015] Available from: http://www.agrifootprint."/>
    <m/>
    <m/>
    <m/>
    <m/>
    <m/>
    <m/>
    <m/>
    <m/>
    <m/>
    <m/>
    <m/>
    <m/>
    <m/>
    <m/>
    <m/>
    <m/>
    <m/>
    <m/>
    <s v=""/>
    <n v="9.5381681"/>
    <s v=""/>
    <n v="11.189705"/>
    <m/>
    <m/>
    <n v="9.5381681"/>
    <m/>
    <m/>
    <m/>
    <m/>
    <m/>
    <m/>
    <m/>
    <n v="9.5381681"/>
    <m/>
    <m/>
    <m/>
    <m/>
    <n v="11.189705"/>
    <m/>
    <m/>
    <m/>
    <m/>
    <m/>
    <m/>
    <m/>
    <n v="11.189705"/>
    <m/>
    <m/>
  </r>
  <r>
    <x v="8"/>
    <x v="46"/>
    <m/>
    <m/>
    <m/>
    <s v="MY"/>
    <m/>
    <s v="Agrifootprint process: Refined palm kernel oil, at plant/MY Mass"/>
    <m/>
    <m/>
    <s v="Blonk Consultants. Agri-Footprint 2.0. 2015 [cited 2015] Available from: http://www.agrifootprint."/>
    <m/>
    <m/>
    <m/>
    <m/>
    <m/>
    <m/>
    <m/>
    <m/>
    <m/>
    <m/>
    <m/>
    <m/>
    <m/>
    <m/>
    <m/>
    <m/>
    <m/>
    <m/>
    <s v=""/>
    <n v="9.6309094999999996"/>
    <s v=""/>
    <n v="5.4762399999999998"/>
    <m/>
    <m/>
    <n v="9.6309094999999996"/>
    <m/>
    <m/>
    <m/>
    <m/>
    <m/>
    <m/>
    <m/>
    <n v="9.6309094999999996"/>
    <m/>
    <m/>
    <m/>
    <m/>
    <n v="5.4762399999999998"/>
    <m/>
    <m/>
    <m/>
    <m/>
    <m/>
    <m/>
    <m/>
    <n v="5.4762399999999998"/>
    <m/>
    <m/>
  </r>
  <r>
    <x v="8"/>
    <x v="46"/>
    <m/>
    <m/>
    <m/>
    <s v="NL"/>
    <m/>
    <s v="Agrifootprint process: Refined palm oil, at plant/NL Mass"/>
    <m/>
    <m/>
    <s v="Blonk Consultants. Agri-Footprint 2.0. 2015 [cited 2015] Available from: http://www.agrifootprint."/>
    <m/>
    <m/>
    <m/>
    <m/>
    <m/>
    <m/>
    <m/>
    <m/>
    <m/>
    <m/>
    <m/>
    <m/>
    <m/>
    <m/>
    <m/>
    <m/>
    <m/>
    <m/>
    <s v=""/>
    <n v="11.043447"/>
    <s v=""/>
    <n v="7.9745176999999998"/>
    <m/>
    <m/>
    <n v="11.043447"/>
    <m/>
    <m/>
    <m/>
    <m/>
    <m/>
    <m/>
    <m/>
    <n v="11.043447"/>
    <m/>
    <m/>
    <m/>
    <m/>
    <n v="7.9745176999999998"/>
    <m/>
    <m/>
    <m/>
    <m/>
    <m/>
    <m/>
    <m/>
    <n v="7.9745176999999998"/>
    <m/>
    <m/>
  </r>
  <r>
    <x v="11"/>
    <x v="217"/>
    <m/>
    <m/>
    <m/>
    <s v="IN"/>
    <m/>
    <s v="Agrifootprint process: Pigeon pea, at farm/IN Mass"/>
    <m/>
    <m/>
    <s v="Blonk Consultants. Agri-Footprint 2.0. 2015 [cited 2015] Available from: http://www.agrifootprint."/>
    <m/>
    <m/>
    <m/>
    <m/>
    <m/>
    <m/>
    <m/>
    <m/>
    <m/>
    <m/>
    <m/>
    <m/>
    <m/>
    <m/>
    <m/>
    <m/>
    <m/>
    <m/>
    <n v="3.2267999999999999"/>
    <s v=""/>
    <n v="1.0539000000000001"/>
    <s v=""/>
    <m/>
    <m/>
    <m/>
    <m/>
    <m/>
    <m/>
    <m/>
    <m/>
    <m/>
    <n v="3.2267999999999999"/>
    <m/>
    <m/>
    <m/>
    <m/>
    <m/>
    <m/>
    <m/>
    <m/>
    <m/>
    <m/>
    <m/>
    <m/>
    <n v="1.0539000000000001"/>
    <m/>
    <m/>
    <m/>
  </r>
  <r>
    <x v="5"/>
    <x v="218"/>
    <m/>
    <m/>
    <m/>
    <s v="CN"/>
    <m/>
    <s v="Agrifootprint process: Rice bran, from dry milling, raw, at plant/CN Mass"/>
    <m/>
    <m/>
    <s v="Blonk Consultants. Agri-Footprint 2.0. 2015 [cited 2015] Available from: http://www.agrifootprint."/>
    <m/>
    <m/>
    <m/>
    <m/>
    <m/>
    <m/>
    <m/>
    <m/>
    <m/>
    <m/>
    <m/>
    <m/>
    <m/>
    <m/>
    <m/>
    <m/>
    <m/>
    <m/>
    <s v=""/>
    <n v="5.3975"/>
    <s v=""/>
    <n v="1.3567"/>
    <m/>
    <m/>
    <n v="5.3975"/>
    <m/>
    <m/>
    <m/>
    <m/>
    <m/>
    <m/>
    <m/>
    <n v="5.3975"/>
    <m/>
    <m/>
    <m/>
    <m/>
    <n v="1.3567"/>
    <m/>
    <m/>
    <m/>
    <m/>
    <m/>
    <m/>
    <m/>
    <n v="1.3567"/>
    <m/>
    <m/>
  </r>
  <r>
    <x v="5"/>
    <x v="219"/>
    <m/>
    <m/>
    <m/>
    <s v="BE"/>
    <m/>
    <s v="Agrifootprint process: Rye flour, from dry milling, at plant/BE Mass"/>
    <m/>
    <m/>
    <s v="Blonk Consultants. Agri-Footprint 2.0. 2015 [cited 2015] Available from: http://www.agrifootprint."/>
    <m/>
    <m/>
    <m/>
    <m/>
    <m/>
    <m/>
    <m/>
    <m/>
    <m/>
    <m/>
    <m/>
    <m/>
    <m/>
    <m/>
    <m/>
    <m/>
    <m/>
    <m/>
    <s v=""/>
    <n v="4.3230949000000001"/>
    <s v=""/>
    <n v="0.42067012999999998"/>
    <m/>
    <m/>
    <n v="4.3230949000000001"/>
    <m/>
    <m/>
    <m/>
    <m/>
    <m/>
    <m/>
    <m/>
    <n v="4.3230949000000001"/>
    <m/>
    <m/>
    <m/>
    <m/>
    <n v="0.42067012999999998"/>
    <m/>
    <m/>
    <m/>
    <m/>
    <m/>
    <m/>
    <m/>
    <n v="0.42067012999999998"/>
    <m/>
    <m/>
  </r>
  <r>
    <x v="5"/>
    <x v="219"/>
    <m/>
    <m/>
    <m/>
    <s v="DE"/>
    <m/>
    <s v="Agrifootprint process: Rye flour, from dry milling, at plant/DE Mass"/>
    <m/>
    <m/>
    <s v="Blonk Consultants. Agri-Footprint 2.0. 2015 [cited 2015] Available from: http://www.agrifootprint."/>
    <m/>
    <m/>
    <m/>
    <m/>
    <m/>
    <m/>
    <m/>
    <m/>
    <m/>
    <m/>
    <m/>
    <m/>
    <m/>
    <m/>
    <m/>
    <m/>
    <m/>
    <m/>
    <s v=""/>
    <n v="3.5523142999999999"/>
    <s v=""/>
    <n v="0.39468321000000001"/>
    <m/>
    <m/>
    <n v="3.5523142999999999"/>
    <m/>
    <m/>
    <m/>
    <m/>
    <m/>
    <m/>
    <m/>
    <n v="3.5523142999999999"/>
    <m/>
    <m/>
    <m/>
    <m/>
    <n v="0.39468321000000001"/>
    <m/>
    <m/>
    <m/>
    <m/>
    <m/>
    <m/>
    <m/>
    <n v="0.39468321000000001"/>
    <m/>
    <m/>
  </r>
  <r>
    <x v="5"/>
    <x v="219"/>
    <m/>
    <m/>
    <m/>
    <s v="NL"/>
    <m/>
    <s v="Agrifootprint process: Rye flour, from dry milling, at plant/NL Mass"/>
    <m/>
    <m/>
    <s v="Blonk Consultants. Agri-Footprint 2.0. 2015 [cited 2015] Available from: http://www.agrifootprint."/>
    <m/>
    <m/>
    <m/>
    <m/>
    <m/>
    <m/>
    <m/>
    <m/>
    <m/>
    <m/>
    <m/>
    <m/>
    <m/>
    <m/>
    <m/>
    <m/>
    <m/>
    <m/>
    <s v=""/>
    <n v="3.9704747999999999"/>
    <s v=""/>
    <n v="0.43798810999999999"/>
    <m/>
    <m/>
    <n v="3.9704747999999999"/>
    <m/>
    <m/>
    <m/>
    <m/>
    <m/>
    <m/>
    <m/>
    <n v="3.9704747999999999"/>
    <m/>
    <m/>
    <m/>
    <m/>
    <n v="0.43798810999999999"/>
    <m/>
    <m/>
    <m/>
    <m/>
    <m/>
    <m/>
    <m/>
    <n v="0.43798810999999999"/>
    <m/>
    <m/>
  </r>
  <r>
    <x v="5"/>
    <x v="220"/>
    <m/>
    <m/>
    <m/>
    <s v="AT"/>
    <m/>
    <s v="Agrifootprint process: Rye grain, dried, at farm/AT Mass"/>
    <m/>
    <m/>
    <s v="Blonk Consultants. Agri-Footprint 2.0. 2015 [cited 2015] Available from: http://www.agrifootprint."/>
    <m/>
    <m/>
    <m/>
    <m/>
    <m/>
    <m/>
    <m/>
    <m/>
    <m/>
    <m/>
    <m/>
    <m/>
    <m/>
    <m/>
    <m/>
    <m/>
    <m/>
    <m/>
    <n v="1.7805606"/>
    <s v=""/>
    <n v="0.27597774000000003"/>
    <s v=""/>
    <m/>
    <m/>
    <m/>
    <m/>
    <m/>
    <m/>
    <m/>
    <m/>
    <m/>
    <n v="1.7805606"/>
    <m/>
    <m/>
    <m/>
    <m/>
    <m/>
    <m/>
    <m/>
    <m/>
    <m/>
    <m/>
    <m/>
    <m/>
    <n v="0.27597774000000003"/>
    <m/>
    <m/>
    <m/>
  </r>
  <r>
    <x v="5"/>
    <x v="220"/>
    <m/>
    <m/>
    <m/>
    <s v="BE"/>
    <m/>
    <s v="Agrifootprint process: Rye grain, dried, at farm/BE Mass"/>
    <m/>
    <m/>
    <s v="Blonk Consultants. Agri-Footprint 2.0. 2015 [cited 2015] Available from: http://www.agrifootprint."/>
    <m/>
    <m/>
    <m/>
    <m/>
    <m/>
    <m/>
    <m/>
    <m/>
    <m/>
    <m/>
    <m/>
    <m/>
    <m/>
    <m/>
    <m/>
    <m/>
    <m/>
    <m/>
    <n v="1.850662"/>
    <s v=""/>
    <n v="0.33297652999999999"/>
    <s v=""/>
    <m/>
    <m/>
    <m/>
    <m/>
    <m/>
    <m/>
    <m/>
    <m/>
    <m/>
    <n v="1.850662"/>
    <m/>
    <m/>
    <m/>
    <m/>
    <m/>
    <m/>
    <m/>
    <m/>
    <m/>
    <m/>
    <m/>
    <m/>
    <n v="0.33297652999999999"/>
    <m/>
    <m/>
    <m/>
  </r>
  <r>
    <x v="5"/>
    <x v="220"/>
    <m/>
    <m/>
    <m/>
    <s v="BG"/>
    <m/>
    <s v="Agrifootprint process: Rye grain, dried, at farm/BG Mass"/>
    <m/>
    <m/>
    <s v="Blonk Consultants. Agri-Footprint 2.0. 2015 [cited 2015] Available from: http://www.agrifootprint."/>
    <m/>
    <m/>
    <m/>
    <m/>
    <m/>
    <m/>
    <m/>
    <m/>
    <m/>
    <m/>
    <m/>
    <m/>
    <m/>
    <m/>
    <m/>
    <m/>
    <m/>
    <m/>
    <n v="2.9174134"/>
    <s v=""/>
    <n v="0.36690483000000002"/>
    <s v=""/>
    <m/>
    <m/>
    <m/>
    <m/>
    <m/>
    <m/>
    <m/>
    <m/>
    <m/>
    <n v="2.9174134"/>
    <m/>
    <m/>
    <m/>
    <m/>
    <m/>
    <m/>
    <m/>
    <m/>
    <m/>
    <m/>
    <m/>
    <m/>
    <n v="0.36690483000000002"/>
    <m/>
    <m/>
    <m/>
  </r>
  <r>
    <x v="5"/>
    <x v="220"/>
    <m/>
    <m/>
    <m/>
    <s v="CZ"/>
    <m/>
    <s v="Agrifootprint process: Rye grain, dried, at farm/CZ Mass"/>
    <m/>
    <m/>
    <s v="Blonk Consultants. Agri-Footprint 2.0. 2015 [cited 2015] Available from: http://www.agrifootprint."/>
    <m/>
    <m/>
    <m/>
    <m/>
    <m/>
    <m/>
    <m/>
    <m/>
    <m/>
    <m/>
    <m/>
    <m/>
    <m/>
    <m/>
    <m/>
    <m/>
    <m/>
    <m/>
    <n v="1.9777943"/>
    <s v=""/>
    <n v="0.28285407000000001"/>
    <s v=""/>
    <m/>
    <m/>
    <m/>
    <m/>
    <m/>
    <m/>
    <m/>
    <m/>
    <m/>
    <n v="1.9777943"/>
    <m/>
    <m/>
    <m/>
    <m/>
    <m/>
    <m/>
    <m/>
    <m/>
    <m/>
    <m/>
    <m/>
    <m/>
    <n v="0.28285407000000001"/>
    <m/>
    <m/>
    <m/>
  </r>
  <r>
    <x v="5"/>
    <x v="220"/>
    <m/>
    <m/>
    <m/>
    <s v="DE"/>
    <m/>
    <s v="Agrifootprint process: Rye grain, dried, at farm/DE Mass"/>
    <m/>
    <m/>
    <s v="Blonk Consultants. Agri-Footprint 2.0. 2015 [cited 2015] Available from: http://www.agrifootprint."/>
    <m/>
    <m/>
    <m/>
    <m/>
    <m/>
    <m/>
    <m/>
    <m/>
    <m/>
    <m/>
    <m/>
    <m/>
    <m/>
    <m/>
    <m/>
    <m/>
    <m/>
    <m/>
    <n v="2.0300755000000001"/>
    <s v=""/>
    <n v="0.29365765999999999"/>
    <s v=""/>
    <m/>
    <m/>
    <m/>
    <m/>
    <m/>
    <m/>
    <m/>
    <m/>
    <m/>
    <n v="2.0300755000000001"/>
    <m/>
    <m/>
    <m/>
    <m/>
    <m/>
    <m/>
    <m/>
    <m/>
    <m/>
    <m/>
    <m/>
    <m/>
    <n v="0.29365765999999999"/>
    <m/>
    <m/>
    <m/>
  </r>
  <r>
    <x v="5"/>
    <x v="220"/>
    <m/>
    <m/>
    <m/>
    <s v="DK"/>
    <m/>
    <s v="Agrifootprint process: Rye grain, dried, at farm/DK Mass"/>
    <m/>
    <m/>
    <s v="Blonk Consultants. Agri-Footprint 2.0. 2015 [cited 2015] Available from: http://www.agrifootprint."/>
    <m/>
    <m/>
    <m/>
    <m/>
    <m/>
    <m/>
    <m/>
    <m/>
    <m/>
    <m/>
    <m/>
    <m/>
    <m/>
    <m/>
    <m/>
    <m/>
    <m/>
    <m/>
    <n v="1.3678718000000001"/>
    <s v=""/>
    <n v="0.2390169"/>
    <s v=""/>
    <m/>
    <m/>
    <m/>
    <m/>
    <m/>
    <m/>
    <m/>
    <m/>
    <m/>
    <n v="1.3678718000000001"/>
    <m/>
    <m/>
    <m/>
    <m/>
    <m/>
    <m/>
    <m/>
    <m/>
    <m/>
    <m/>
    <m/>
    <m/>
    <n v="0.2390169"/>
    <m/>
    <m/>
    <m/>
  </r>
  <r>
    <x v="5"/>
    <x v="220"/>
    <m/>
    <m/>
    <m/>
    <s v="EE"/>
    <m/>
    <s v="Agrifootprint process: Rye grain, dried, at farm/EE Mass"/>
    <m/>
    <m/>
    <s v="Blonk Consultants. Agri-Footprint 2.0. 2015 [cited 2015] Available from: http://www.agrifootprint."/>
    <m/>
    <m/>
    <m/>
    <m/>
    <m/>
    <m/>
    <m/>
    <m/>
    <m/>
    <m/>
    <m/>
    <m/>
    <m/>
    <m/>
    <m/>
    <m/>
    <m/>
    <m/>
    <n v="2.8377842000000002"/>
    <s v=""/>
    <n v="0.37842503"/>
    <s v=""/>
    <m/>
    <m/>
    <m/>
    <m/>
    <m/>
    <m/>
    <m/>
    <m/>
    <m/>
    <n v="2.8377842000000002"/>
    <m/>
    <m/>
    <m/>
    <m/>
    <m/>
    <m/>
    <m/>
    <m/>
    <m/>
    <m/>
    <m/>
    <m/>
    <n v="0.37842503"/>
    <m/>
    <m/>
    <m/>
  </r>
  <r>
    <x v="5"/>
    <x v="220"/>
    <m/>
    <m/>
    <m/>
    <s v="ES"/>
    <m/>
    <s v="Agrifootprint process: Rye grain, dried, at farm/ES Mass"/>
    <m/>
    <m/>
    <s v="Blonk Consultants. Agri-Footprint 2.0. 2015 [cited 2015] Available from: http://www.agrifootprint."/>
    <m/>
    <m/>
    <m/>
    <m/>
    <m/>
    <m/>
    <m/>
    <m/>
    <m/>
    <m/>
    <m/>
    <m/>
    <m/>
    <m/>
    <m/>
    <m/>
    <m/>
    <m/>
    <n v="3.7718463"/>
    <s v=""/>
    <n v="0.49762219000000002"/>
    <s v=""/>
    <m/>
    <m/>
    <m/>
    <m/>
    <m/>
    <m/>
    <m/>
    <m/>
    <m/>
    <n v="3.7718463"/>
    <m/>
    <m/>
    <m/>
    <m/>
    <m/>
    <m/>
    <m/>
    <m/>
    <m/>
    <m/>
    <m/>
    <m/>
    <n v="0.49762219000000002"/>
    <m/>
    <m/>
    <m/>
  </r>
  <r>
    <x v="5"/>
    <x v="220"/>
    <m/>
    <m/>
    <m/>
    <s v="FI"/>
    <m/>
    <s v="Agrifootprint process: Rye grain, dried, at farm/FI Mass"/>
    <m/>
    <m/>
    <s v="Blonk Consultants. Agri-Footprint 2.0. 2015 [cited 2015] Available from: http://www.agrifootprint."/>
    <m/>
    <m/>
    <m/>
    <m/>
    <m/>
    <m/>
    <m/>
    <m/>
    <m/>
    <m/>
    <m/>
    <m/>
    <m/>
    <m/>
    <m/>
    <m/>
    <m/>
    <m/>
    <n v="2.7070300999999999"/>
    <s v=""/>
    <n v="0.3903586"/>
    <s v=""/>
    <m/>
    <m/>
    <m/>
    <m/>
    <m/>
    <m/>
    <m/>
    <m/>
    <m/>
    <n v="2.7070300999999999"/>
    <m/>
    <m/>
    <m/>
    <m/>
    <m/>
    <m/>
    <m/>
    <m/>
    <m/>
    <m/>
    <m/>
    <m/>
    <n v="0.3903586"/>
    <m/>
    <m/>
    <m/>
  </r>
  <r>
    <x v="5"/>
    <x v="220"/>
    <m/>
    <m/>
    <m/>
    <s v="FR"/>
    <m/>
    <s v="Agrifootprint process: Rye grain, dried, at farm/FR Mass"/>
    <m/>
    <m/>
    <s v="Blonk Consultants. Agri-Footprint 2.0. 2015 [cited 2015] Available from: http://www.agrifootprint."/>
    <m/>
    <m/>
    <m/>
    <m/>
    <m/>
    <m/>
    <m/>
    <m/>
    <m/>
    <m/>
    <m/>
    <m/>
    <m/>
    <m/>
    <m/>
    <m/>
    <m/>
    <m/>
    <n v="1.7102907000000001"/>
    <s v=""/>
    <n v="0.24326358000000001"/>
    <s v=""/>
    <m/>
    <m/>
    <m/>
    <m/>
    <m/>
    <m/>
    <m/>
    <m/>
    <m/>
    <n v="1.7102907000000001"/>
    <m/>
    <m/>
    <m/>
    <m/>
    <m/>
    <m/>
    <m/>
    <m/>
    <m/>
    <m/>
    <m/>
    <m/>
    <n v="0.24326358000000001"/>
    <m/>
    <m/>
    <m/>
  </r>
  <r>
    <x v="5"/>
    <x v="220"/>
    <m/>
    <m/>
    <m/>
    <s v="GR"/>
    <m/>
    <s v="Agrifootprint process: Rye grain, dried, at farm/GR Mass"/>
    <m/>
    <m/>
    <s v="Blonk Consultants. Agri-Footprint 2.0. 2015 [cited 2015] Available from: http://www.agrifootprint."/>
    <m/>
    <m/>
    <m/>
    <m/>
    <m/>
    <m/>
    <m/>
    <m/>
    <m/>
    <m/>
    <m/>
    <m/>
    <m/>
    <m/>
    <m/>
    <m/>
    <m/>
    <m/>
    <n v="3.2257494000000002"/>
    <s v=""/>
    <n v="0.46447648000000002"/>
    <s v=""/>
    <m/>
    <m/>
    <m/>
    <m/>
    <m/>
    <m/>
    <m/>
    <m/>
    <m/>
    <n v="3.2257494000000002"/>
    <m/>
    <m/>
    <m/>
    <m/>
    <m/>
    <m/>
    <m/>
    <m/>
    <m/>
    <m/>
    <m/>
    <m/>
    <n v="0.46447648000000002"/>
    <m/>
    <m/>
    <m/>
  </r>
  <r>
    <x v="5"/>
    <x v="220"/>
    <m/>
    <m/>
    <m/>
    <s v="HU"/>
    <m/>
    <s v="Agrifootprint process: Rye grain, dried, at farm/HU Mass"/>
    <m/>
    <m/>
    <s v="Blonk Consultants. Agri-Footprint 2.0. 2015 [cited 2015] Available from: http://www.agrifootprint."/>
    <m/>
    <m/>
    <m/>
    <m/>
    <m/>
    <m/>
    <m/>
    <m/>
    <m/>
    <m/>
    <m/>
    <m/>
    <m/>
    <m/>
    <m/>
    <m/>
    <m/>
    <m/>
    <n v="2.7191961999999998"/>
    <s v=""/>
    <n v="0.35876218999999998"/>
    <s v=""/>
    <m/>
    <m/>
    <m/>
    <m/>
    <m/>
    <m/>
    <m/>
    <m/>
    <m/>
    <n v="2.7191961999999998"/>
    <m/>
    <m/>
    <m/>
    <m/>
    <m/>
    <m/>
    <m/>
    <m/>
    <m/>
    <m/>
    <m/>
    <m/>
    <n v="0.35876218999999998"/>
    <m/>
    <m/>
    <m/>
  </r>
  <r>
    <x v="5"/>
    <x v="220"/>
    <m/>
    <m/>
    <m/>
    <s v="IT"/>
    <m/>
    <s v="Agrifootprint process: Rye grain, dried, at farm/IT Mass"/>
    <m/>
    <m/>
    <s v="Blonk Consultants. Agri-Footprint 2.0. 2015 [cited 2015] Available from: http://www.agrifootprint."/>
    <m/>
    <m/>
    <m/>
    <m/>
    <m/>
    <m/>
    <m/>
    <m/>
    <m/>
    <m/>
    <m/>
    <m/>
    <m/>
    <m/>
    <m/>
    <m/>
    <m/>
    <m/>
    <n v="3.1086014"/>
    <s v=""/>
    <n v="0.44209584000000002"/>
    <s v=""/>
    <m/>
    <m/>
    <m/>
    <m/>
    <m/>
    <m/>
    <m/>
    <m/>
    <m/>
    <n v="3.1086014"/>
    <m/>
    <m/>
    <m/>
    <m/>
    <m/>
    <m/>
    <m/>
    <m/>
    <m/>
    <m/>
    <m/>
    <m/>
    <n v="0.44209584000000002"/>
    <m/>
    <m/>
    <m/>
  </r>
  <r>
    <x v="5"/>
    <x v="220"/>
    <m/>
    <m/>
    <m/>
    <s v="LT"/>
    <m/>
    <s v="Agrifootprint process: Rye grain, dried, at farm/LT Mass"/>
    <m/>
    <m/>
    <s v="Blonk Consultants. Agri-Footprint 2.0. 2015 [cited 2015] Available from: http://www.agrifootprint."/>
    <m/>
    <m/>
    <m/>
    <m/>
    <m/>
    <m/>
    <m/>
    <m/>
    <m/>
    <m/>
    <m/>
    <m/>
    <m/>
    <m/>
    <m/>
    <m/>
    <m/>
    <m/>
    <n v="3.1931208"/>
    <s v=""/>
    <n v="0.40830355000000002"/>
    <s v=""/>
    <m/>
    <m/>
    <m/>
    <m/>
    <m/>
    <m/>
    <m/>
    <m/>
    <m/>
    <n v="3.1931208"/>
    <m/>
    <m/>
    <m/>
    <m/>
    <m/>
    <m/>
    <m/>
    <m/>
    <m/>
    <m/>
    <m/>
    <m/>
    <n v="0.40830355000000002"/>
    <m/>
    <m/>
    <m/>
  </r>
  <r>
    <x v="5"/>
    <x v="220"/>
    <m/>
    <m/>
    <m/>
    <s v="LV"/>
    <m/>
    <s v="Agrifootprint process: Rye grain, dried, at farm/LV Mass"/>
    <m/>
    <m/>
    <s v="Blonk Consultants. Agri-Footprint 2.0. 2015 [cited 2015] Available from: http://www.agrifootprint."/>
    <m/>
    <m/>
    <m/>
    <m/>
    <m/>
    <m/>
    <m/>
    <m/>
    <m/>
    <m/>
    <m/>
    <m/>
    <m/>
    <m/>
    <m/>
    <m/>
    <m/>
    <m/>
    <n v="2.3240387"/>
    <s v=""/>
    <n v="0.31438938"/>
    <s v=""/>
    <m/>
    <m/>
    <m/>
    <m/>
    <m/>
    <m/>
    <m/>
    <m/>
    <m/>
    <n v="2.3240387"/>
    <m/>
    <m/>
    <m/>
    <m/>
    <m/>
    <m/>
    <m/>
    <m/>
    <m/>
    <m/>
    <m/>
    <m/>
    <n v="0.31438938"/>
    <m/>
    <m/>
    <m/>
  </r>
  <r>
    <x v="5"/>
    <x v="220"/>
    <m/>
    <m/>
    <m/>
    <s v="NO"/>
    <m/>
    <s v="Agrifootprint process: Rye grain, dried, at farm/NO Mass"/>
    <m/>
    <m/>
    <s v="Blonk Consultants. Agri-Footprint 2.0. 2015 [cited 2015] Available from: http://www.agrifootprint."/>
    <m/>
    <m/>
    <m/>
    <m/>
    <m/>
    <m/>
    <m/>
    <m/>
    <m/>
    <m/>
    <m/>
    <m/>
    <m/>
    <m/>
    <m/>
    <m/>
    <m/>
    <m/>
    <n v="2.1946276"/>
    <s v=""/>
    <n v="0.42598944999999999"/>
    <s v=""/>
    <m/>
    <m/>
    <m/>
    <m/>
    <m/>
    <m/>
    <m/>
    <m/>
    <m/>
    <n v="2.1946276"/>
    <m/>
    <m/>
    <m/>
    <m/>
    <m/>
    <m/>
    <m/>
    <m/>
    <m/>
    <m/>
    <m/>
    <m/>
    <n v="0.42598944999999999"/>
    <m/>
    <m/>
    <m/>
  </r>
  <r>
    <x v="5"/>
    <x v="220"/>
    <m/>
    <m/>
    <m/>
    <s v="PL"/>
    <m/>
    <s v="Agrifootprint process: Rye grain, dried, at farm/PL Mass"/>
    <m/>
    <m/>
    <s v="Blonk Consultants. Agri-Footprint 2.0. 2015 [cited 2015] Available from: http://www.agrifootprint."/>
    <m/>
    <m/>
    <m/>
    <m/>
    <m/>
    <m/>
    <m/>
    <m/>
    <m/>
    <m/>
    <m/>
    <m/>
    <m/>
    <m/>
    <m/>
    <m/>
    <m/>
    <m/>
    <n v="2.7572553000000002"/>
    <s v=""/>
    <n v="0.36951792"/>
    <s v=""/>
    <m/>
    <m/>
    <m/>
    <m/>
    <m/>
    <m/>
    <m/>
    <m/>
    <m/>
    <n v="2.7572553000000002"/>
    <m/>
    <m/>
    <m/>
    <m/>
    <m/>
    <m/>
    <m/>
    <m/>
    <m/>
    <m/>
    <m/>
    <m/>
    <n v="0.36951792"/>
    <m/>
    <m/>
    <m/>
  </r>
  <r>
    <x v="5"/>
    <x v="220"/>
    <m/>
    <m/>
    <m/>
    <s v="PT"/>
    <m/>
    <s v="Agrifootprint process: Rye grain, dried, at farm/PT Mass"/>
    <m/>
    <m/>
    <s v="Blonk Consultants. Agri-Footprint 2.0. 2015 [cited 2015] Available from: http://www.agrifootprint."/>
    <m/>
    <m/>
    <m/>
    <m/>
    <m/>
    <m/>
    <m/>
    <m/>
    <m/>
    <m/>
    <m/>
    <m/>
    <m/>
    <m/>
    <m/>
    <m/>
    <m/>
    <m/>
    <n v="7.5897613000000002"/>
    <s v=""/>
    <n v="1.0864594999999999"/>
    <s v=""/>
    <m/>
    <m/>
    <m/>
    <m/>
    <m/>
    <m/>
    <m/>
    <m/>
    <m/>
    <n v="7.5897613000000002"/>
    <m/>
    <m/>
    <m/>
    <m/>
    <m/>
    <m/>
    <m/>
    <m/>
    <m/>
    <m/>
    <m/>
    <m/>
    <n v="1.0864594999999999"/>
    <m/>
    <m/>
    <m/>
  </r>
  <r>
    <x v="5"/>
    <x v="220"/>
    <m/>
    <m/>
    <m/>
    <s v="SE"/>
    <m/>
    <s v="Agrifootprint process: Rye grain, dried, at farm/SE Mass"/>
    <m/>
    <m/>
    <s v="Blonk Consultants. Agri-Footprint 2.0. 2015 [cited 2015] Available from: http://www.agrifootprint."/>
    <m/>
    <m/>
    <m/>
    <m/>
    <m/>
    <m/>
    <m/>
    <m/>
    <m/>
    <m/>
    <m/>
    <m/>
    <m/>
    <m/>
    <m/>
    <m/>
    <m/>
    <m/>
    <n v="1.3583780000000001"/>
    <s v=""/>
    <n v="0.20081935000000001"/>
    <s v=""/>
    <m/>
    <m/>
    <m/>
    <m/>
    <m/>
    <m/>
    <m/>
    <m/>
    <m/>
    <n v="1.3583780000000001"/>
    <m/>
    <m/>
    <m/>
    <m/>
    <m/>
    <m/>
    <m/>
    <m/>
    <m/>
    <m/>
    <m/>
    <m/>
    <n v="0.20081935000000001"/>
    <m/>
    <m/>
    <m/>
  </r>
  <r>
    <x v="5"/>
    <x v="220"/>
    <m/>
    <m/>
    <m/>
    <s v="SK"/>
    <m/>
    <s v="Agrifootprint process: Rye grain, dried, at farm/SK Mass"/>
    <m/>
    <m/>
    <s v="Blonk Consultants. Agri-Footprint 2.0. 2015 [cited 2015] Available from: http://www.agrifootprint."/>
    <m/>
    <m/>
    <m/>
    <m/>
    <m/>
    <m/>
    <m/>
    <m/>
    <m/>
    <m/>
    <m/>
    <m/>
    <m/>
    <m/>
    <m/>
    <m/>
    <m/>
    <m/>
    <n v="2.4911029999999998"/>
    <s v=""/>
    <n v="0.33164479000000002"/>
    <s v=""/>
    <m/>
    <m/>
    <m/>
    <m/>
    <m/>
    <m/>
    <m/>
    <m/>
    <m/>
    <n v="2.4911029999999998"/>
    <m/>
    <m/>
    <m/>
    <m/>
    <m/>
    <m/>
    <m/>
    <m/>
    <m/>
    <m/>
    <m/>
    <m/>
    <n v="0.33164479000000002"/>
    <m/>
    <m/>
    <m/>
  </r>
  <r>
    <x v="5"/>
    <x v="128"/>
    <m/>
    <m/>
    <m/>
    <s v="BE"/>
    <m/>
    <s v="Agrifootprint process: Wheat flour, from dry milling, at plant/BE Mass"/>
    <m/>
    <m/>
    <s v="Blonk Consultants. Agri-Footprint 2.0. 2015 [cited 2015] Available from: http://www.agrifootprint."/>
    <m/>
    <m/>
    <m/>
    <m/>
    <m/>
    <m/>
    <m/>
    <m/>
    <m/>
    <m/>
    <m/>
    <m/>
    <m/>
    <m/>
    <m/>
    <m/>
    <m/>
    <m/>
    <s v=""/>
    <n v="2.3104819999999999"/>
    <s v=""/>
    <n v="0.35133746999999999"/>
    <m/>
    <m/>
    <n v="2.3104819999999999"/>
    <m/>
    <m/>
    <m/>
    <m/>
    <m/>
    <m/>
    <m/>
    <n v="2.3104819999999999"/>
    <m/>
    <m/>
    <m/>
    <m/>
    <n v="0.35133746999999999"/>
    <m/>
    <m/>
    <m/>
    <m/>
    <m/>
    <m/>
    <m/>
    <n v="0.35133746999999999"/>
    <m/>
    <m/>
  </r>
  <r>
    <x v="5"/>
    <x v="128"/>
    <m/>
    <m/>
    <m/>
    <s v="DE"/>
    <m/>
    <s v="Agrifootprint process: Wheat flour, from dry milling, at plant/DE Mass"/>
    <m/>
    <m/>
    <s v="Blonk Consultants. Agri-Footprint 2.0. 2015 [cited 2015] Available from: http://www.agrifootprint."/>
    <m/>
    <m/>
    <m/>
    <m/>
    <m/>
    <m/>
    <m/>
    <m/>
    <m/>
    <m/>
    <m/>
    <m/>
    <m/>
    <m/>
    <m/>
    <m/>
    <m/>
    <m/>
    <s v=""/>
    <n v="2.2685884999999999"/>
    <s v=""/>
    <n v="0.35211460999999999"/>
    <m/>
    <m/>
    <n v="2.2685884999999999"/>
    <m/>
    <m/>
    <m/>
    <m/>
    <m/>
    <m/>
    <m/>
    <n v="2.2685884999999999"/>
    <m/>
    <m/>
    <m/>
    <m/>
    <n v="0.35211460999999999"/>
    <m/>
    <m/>
    <m/>
    <m/>
    <m/>
    <m/>
    <m/>
    <n v="0.35211460999999999"/>
    <m/>
    <m/>
  </r>
  <r>
    <x v="5"/>
    <x v="128"/>
    <m/>
    <m/>
    <m/>
    <s v="NL"/>
    <m/>
    <s v="Agrifootprint process: Wheat flour, from dry milling, at plant/NL Mass"/>
    <m/>
    <m/>
    <s v="Blonk Consultants. Agri-Footprint 2.0. 2015 [cited 2015] Available from: http://www.agrifootprint."/>
    <m/>
    <m/>
    <m/>
    <m/>
    <m/>
    <m/>
    <m/>
    <m/>
    <m/>
    <m/>
    <m/>
    <m/>
    <m/>
    <m/>
    <m/>
    <m/>
    <m/>
    <m/>
    <s v=""/>
    <n v="2.5439123000000001"/>
    <s v=""/>
    <n v="0.37024625999999999"/>
    <m/>
    <m/>
    <n v="2.5439123000000001"/>
    <m/>
    <m/>
    <m/>
    <m/>
    <m/>
    <m/>
    <m/>
    <n v="2.5439123000000001"/>
    <m/>
    <m/>
    <m/>
    <m/>
    <n v="0.37024625999999999"/>
    <m/>
    <m/>
    <m/>
    <m/>
    <m/>
    <m/>
    <m/>
    <n v="0.37024625999999999"/>
    <m/>
    <m/>
  </r>
  <r>
    <x v="10"/>
    <x v="221"/>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7"/>
    <s v=""/>
    <m/>
    <m/>
    <m/>
    <m/>
    <m/>
    <m/>
    <m/>
    <m/>
    <m/>
    <m/>
    <m/>
    <m/>
    <m/>
    <m/>
    <m/>
    <m/>
    <m/>
    <m/>
    <m/>
    <m/>
    <m/>
    <m/>
    <n v="0.87"/>
    <m/>
    <m/>
    <m/>
  </r>
  <r>
    <x v="4"/>
    <x v="222"/>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3"/>
    <s v=""/>
    <m/>
    <m/>
    <m/>
    <m/>
    <m/>
    <m/>
    <m/>
    <m/>
    <m/>
    <m/>
    <m/>
    <m/>
    <m/>
    <m/>
    <m/>
    <m/>
    <m/>
    <m/>
    <m/>
    <m/>
    <m/>
    <m/>
    <n v="0.43"/>
    <m/>
    <m/>
    <m/>
  </r>
  <r>
    <x v="4"/>
    <x v="223"/>
    <m/>
    <m/>
    <m/>
    <s v="Global"/>
    <m/>
    <s v="Ecoinvent process: Papaya {GLO}| production | Alloc Def, S"/>
    <m/>
    <m/>
    <s v="Swiss Center for Life Cycle Inventories, Ecoinvent Database version 3.3. 2016, 2016, ."/>
    <m/>
    <m/>
    <m/>
    <m/>
    <m/>
    <m/>
    <m/>
    <m/>
    <m/>
    <m/>
    <m/>
    <m/>
    <m/>
    <m/>
    <m/>
    <m/>
    <m/>
    <m/>
    <n v="1.3288105999999997"/>
    <s v=""/>
    <n v="0.14498"/>
    <s v=""/>
    <m/>
    <m/>
    <m/>
    <m/>
    <m/>
    <m/>
    <m/>
    <m/>
    <m/>
    <n v="1.3288105999999997"/>
    <m/>
    <m/>
    <m/>
    <m/>
    <m/>
    <m/>
    <m/>
    <m/>
    <m/>
    <m/>
    <m/>
    <m/>
    <n v="0.14498"/>
    <m/>
    <m/>
    <m/>
  </r>
  <r>
    <x v="10"/>
    <x v="114"/>
    <m/>
    <m/>
    <m/>
    <s v="CI"/>
    <m/>
    <s v="Ecoinvent process: Cocoa bean {CI}| cocoa bean production, sun-dried | Alloc Def, S"/>
    <m/>
    <m/>
    <s v="Swiss Center for Life Cycle Inventories, Ecoinvent Database version 3.3. 2016, 2016, ."/>
    <m/>
    <m/>
    <m/>
    <m/>
    <m/>
    <m/>
    <m/>
    <m/>
    <m/>
    <m/>
    <m/>
    <m/>
    <m/>
    <m/>
    <m/>
    <m/>
    <m/>
    <m/>
    <n v="27.198861299999997"/>
    <s v=""/>
    <n v="11.272119"/>
    <s v=""/>
    <m/>
    <m/>
    <m/>
    <m/>
    <m/>
    <m/>
    <m/>
    <m/>
    <m/>
    <n v="27.198861299999997"/>
    <m/>
    <m/>
    <m/>
    <m/>
    <m/>
    <m/>
    <m/>
    <m/>
    <m/>
    <m/>
    <m/>
    <m/>
    <n v="11.272119"/>
    <m/>
    <m/>
    <m/>
  </r>
  <r>
    <x v="10"/>
    <x v="114"/>
    <m/>
    <m/>
    <m/>
    <s v="GH"/>
    <m/>
    <s v="Ecoinvent process: Cocoa bean {GH}| cocoa bean production, sun-dried | Alloc Def, S"/>
    <m/>
    <m/>
    <s v="Swiss Center for Life Cycle Inventories, Ecoinvent Database version 3.3. 2016, 2016, ."/>
    <m/>
    <m/>
    <m/>
    <m/>
    <m/>
    <m/>
    <m/>
    <m/>
    <m/>
    <m/>
    <m/>
    <m/>
    <m/>
    <m/>
    <m/>
    <m/>
    <m/>
    <m/>
    <n v="47.445412300000001"/>
    <s v=""/>
    <n v="16.469787"/>
    <s v=""/>
    <m/>
    <m/>
    <m/>
    <m/>
    <m/>
    <m/>
    <m/>
    <m/>
    <m/>
    <n v="47.445412300000001"/>
    <m/>
    <m/>
    <m/>
    <m/>
    <m/>
    <m/>
    <m/>
    <m/>
    <m/>
    <m/>
    <m/>
    <m/>
    <n v="16.469787"/>
    <m/>
    <m/>
    <m/>
  </r>
  <r>
    <x v="10"/>
    <x v="114"/>
    <m/>
    <m/>
    <m/>
    <s v="ID"/>
    <m/>
    <s v="Ecoinvent process: Cocoa bean {ID}| cocoa bean production, sun-dried | Alloc Def, S"/>
    <m/>
    <m/>
    <s v="Swiss Center for Life Cycle Inventories, Ecoinvent Database version 3.3. 2016, 2016, ."/>
    <m/>
    <m/>
    <m/>
    <m/>
    <m/>
    <m/>
    <m/>
    <m/>
    <m/>
    <m/>
    <m/>
    <m/>
    <m/>
    <m/>
    <m/>
    <m/>
    <m/>
    <m/>
    <n v="246.3932897"/>
    <s v=""/>
    <n v="39.491154999999999"/>
    <s v=""/>
    <m/>
    <m/>
    <m/>
    <m/>
    <m/>
    <m/>
    <m/>
    <m/>
    <m/>
    <n v="246.3932897"/>
    <m/>
    <m/>
    <m/>
    <m/>
    <m/>
    <m/>
    <m/>
    <m/>
    <m/>
    <m/>
    <m/>
    <m/>
    <n v="39.491154999999999"/>
    <m/>
    <m/>
    <m/>
  </r>
  <r>
    <x v="10"/>
    <x v="114"/>
    <m/>
    <m/>
    <m/>
    <s v="RoW"/>
    <m/>
    <s v="Ecoinvent process: Cocoa bean {RoW}| cocoa bean production, sun-dried | Alloc Def, S"/>
    <m/>
    <m/>
    <s v="Swiss Center for Life Cycle Inventories, Ecoinvent Database version 3.3. 2016, 2016, ."/>
    <m/>
    <m/>
    <m/>
    <m/>
    <m/>
    <m/>
    <m/>
    <m/>
    <m/>
    <m/>
    <m/>
    <m/>
    <m/>
    <m/>
    <m/>
    <m/>
    <m/>
    <m/>
    <n v="23.449981136000002"/>
    <s v=""/>
    <n v="11.33441"/>
    <s v=""/>
    <m/>
    <m/>
    <m/>
    <m/>
    <m/>
    <m/>
    <m/>
    <m/>
    <m/>
    <n v="23.449981136000002"/>
    <m/>
    <m/>
    <m/>
    <m/>
    <m/>
    <m/>
    <m/>
    <m/>
    <m/>
    <m/>
    <m/>
    <m/>
    <n v="11.33441"/>
    <m/>
    <m/>
    <m/>
  </r>
  <r>
    <x v="10"/>
    <x v="135"/>
    <m/>
    <m/>
    <m/>
    <s v="RAS"/>
    <m/>
    <s v="WFLDB: Cocoa powder, at plant (WFLDB 3.1)/RAS U"/>
    <m/>
    <m/>
    <s v="Quantis, World Food LCA Database. 2016, ."/>
    <m/>
    <m/>
    <m/>
    <m/>
    <m/>
    <m/>
    <m/>
    <m/>
    <m/>
    <m/>
    <m/>
    <m/>
    <m/>
    <m/>
    <m/>
    <m/>
    <m/>
    <m/>
    <s v=""/>
    <n v="3.9887606999999998"/>
    <s v=""/>
    <n v="50.440724000000003"/>
    <m/>
    <m/>
    <n v="3.9887606999999998"/>
    <m/>
    <m/>
    <m/>
    <m/>
    <m/>
    <m/>
    <m/>
    <n v="3.9887606999999998"/>
    <m/>
    <m/>
    <m/>
    <m/>
    <n v="50.440724000000003"/>
    <m/>
    <m/>
    <m/>
    <m/>
    <m/>
    <m/>
    <m/>
    <n v="50.440724000000003"/>
    <m/>
    <m/>
  </r>
  <r>
    <x v="10"/>
    <x v="135"/>
    <m/>
    <m/>
    <m/>
    <s v="RER"/>
    <m/>
    <s v="WFLDB: Cocoa powder, at plant (WFLDB 3.1)/RER U"/>
    <m/>
    <m/>
    <s v="Quantis, World Food LCA Database. 2016, ."/>
    <m/>
    <m/>
    <m/>
    <m/>
    <m/>
    <m/>
    <m/>
    <m/>
    <m/>
    <m/>
    <m/>
    <m/>
    <m/>
    <m/>
    <m/>
    <m/>
    <m/>
    <m/>
    <s v=""/>
    <n v="3.6062574000000001"/>
    <s v=""/>
    <n v="25.23237"/>
    <m/>
    <m/>
    <n v="3.6062574000000001"/>
    <m/>
    <m/>
    <m/>
    <m/>
    <m/>
    <m/>
    <m/>
    <n v="3.6062574000000001"/>
    <m/>
    <m/>
    <m/>
    <m/>
    <n v="25.23237"/>
    <m/>
    <m/>
    <m/>
    <m/>
    <m/>
    <m/>
    <m/>
    <n v="25.23237"/>
    <m/>
    <m/>
  </r>
  <r>
    <x v="10"/>
    <x v="135"/>
    <m/>
    <m/>
    <m/>
    <s v="RNA"/>
    <m/>
    <s v="WFLDB: Cocoa powder, at plant (WFLDB 3.1)/RNA U"/>
    <m/>
    <m/>
    <s v="Quantis, World Food LCA Database. 2016, ."/>
    <m/>
    <m/>
    <m/>
    <m/>
    <m/>
    <m/>
    <m/>
    <m/>
    <m/>
    <m/>
    <m/>
    <m/>
    <m/>
    <m/>
    <m/>
    <m/>
    <m/>
    <m/>
    <s v=""/>
    <n v="3.6410518000000001"/>
    <s v=""/>
    <n v="25.268179"/>
    <m/>
    <m/>
    <n v="3.6410518000000001"/>
    <m/>
    <m/>
    <m/>
    <m/>
    <m/>
    <m/>
    <m/>
    <n v="3.6410518000000001"/>
    <m/>
    <m/>
    <m/>
    <m/>
    <n v="25.268179"/>
    <m/>
    <m/>
    <m/>
    <m/>
    <m/>
    <m/>
    <m/>
    <n v="25.268179"/>
    <m/>
    <m/>
  </r>
  <r>
    <x v="5"/>
    <x v="224"/>
    <m/>
    <m/>
    <m/>
    <s v="US"/>
    <m/>
    <s v="Agrifootprint process: Maize starch, from wet milling (starch drying), at plant/US Mass"/>
    <m/>
    <m/>
    <s v="Blonk Consultants. Agri-Footprint 2.0. 2015 [cited 2015] Available from: http://www.agrifootprint."/>
    <m/>
    <m/>
    <m/>
    <m/>
    <m/>
    <m/>
    <m/>
    <m/>
    <m/>
    <m/>
    <m/>
    <m/>
    <m/>
    <m/>
    <m/>
    <m/>
    <m/>
    <m/>
    <s v=""/>
    <n v="8.8000000000000007"/>
    <s v=""/>
    <n v="0.76"/>
    <m/>
    <m/>
    <n v="8.8000000000000007"/>
    <m/>
    <m/>
    <m/>
    <m/>
    <m/>
    <m/>
    <m/>
    <n v="8.8000000000000007"/>
    <m/>
    <m/>
    <m/>
    <m/>
    <n v="0.76"/>
    <m/>
    <m/>
    <m/>
    <m/>
    <m/>
    <m/>
    <m/>
    <n v="0.76"/>
    <m/>
    <m/>
  </r>
  <r>
    <x v="7"/>
    <x v="107"/>
    <s v="Fresh or Not Specified"/>
    <s v="Drip Filter Coffee (no wast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reported value / density (1g/ml) --&gt; (RV x 1000g)/(100ml x 1 g/ml)"/>
    <s v=""/>
    <s v=""/>
    <s v=""/>
    <s v=""/>
    <m/>
    <m/>
    <m/>
    <m/>
    <m/>
    <m/>
    <m/>
    <m/>
    <m/>
    <m/>
    <n v="21.400000000000002"/>
    <m/>
    <m/>
    <m/>
    <m/>
    <m/>
    <m/>
    <m/>
    <m/>
    <m/>
    <m/>
    <m/>
    <m/>
    <n v="1.21"/>
    <m/>
    <s v="IPCC 2006"/>
  </r>
  <r>
    <x v="7"/>
    <x v="107"/>
    <s v="Fresh or Not Specified"/>
    <s v="Capsule Espresso Coffe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reported value / density (1g/ml) --&gt; (RV x 1000g)/(100ml x 1 g/ml)"/>
    <s v=""/>
    <s v=""/>
    <s v=""/>
    <s v=""/>
    <m/>
    <m/>
    <m/>
    <m/>
    <m/>
    <m/>
    <m/>
    <m/>
    <m/>
    <m/>
    <n v="19.099999999999998"/>
    <m/>
    <m/>
    <m/>
    <m/>
    <m/>
    <m/>
    <m/>
    <m/>
    <m/>
    <m/>
    <m/>
    <m/>
    <n v="1.1000000000000001"/>
    <m/>
    <s v="IPCC 2006"/>
  </r>
  <r>
    <x v="7"/>
    <x v="107"/>
    <s v="Fresh or Not Specified"/>
    <s v="Espresso"/>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Yes"/>
    <s v="No"/>
    <s v="Yes"/>
    <s v="Yes"/>
    <s v="Yes"/>
    <s v="Yes"/>
    <s v="No"/>
    <s v="Yes"/>
    <s v="No"/>
    <s v="Yes"/>
    <s v="No"/>
    <s v="No"/>
    <m/>
    <s v="Production, packaging, transport (roastery to house), cooking/brewing"/>
    <s v="No"/>
    <s v="No"/>
    <s v="1 cup of coffee"/>
    <s v="reported value / density (1g/ml) --&gt; (RV x 1000g)/(236.588ml/cup x 1 g/ml)"/>
    <s v=""/>
    <s v=""/>
    <s v=""/>
    <s v=""/>
    <m/>
    <m/>
    <m/>
    <m/>
    <m/>
    <m/>
    <m/>
    <m/>
    <m/>
    <m/>
    <n v="2.831927232150405"/>
    <m/>
    <m/>
    <m/>
    <m/>
    <m/>
    <m/>
    <m/>
    <m/>
    <m/>
    <m/>
    <m/>
    <m/>
    <n v="0.38040813566199472"/>
    <m/>
    <m/>
  </r>
  <r>
    <x v="7"/>
    <x v="107"/>
    <s v="Fresh or Not Specified"/>
    <s v="Espresso"/>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No"/>
    <s v="Yes"/>
    <s v="Yes"/>
    <s v="Yes"/>
    <s v="Yes"/>
    <s v="No"/>
    <s v="Yes"/>
    <s v="No"/>
    <s v="Yes"/>
    <s v="No"/>
    <s v="No"/>
    <m/>
    <s v="Production, packaging, transport (roastery to house), cooking/brewing"/>
    <s v="no"/>
    <s v="No"/>
    <s v="1 cup of coffee"/>
    <s v="reported value / density (1g/ml) --&gt; (RV x 1000g)/(236.588ml/cup x 1 g/ml)"/>
    <m/>
    <n v="2.8319000000000001"/>
    <s v=""/>
    <n v="0.38"/>
    <s v=""/>
    <m/>
    <m/>
    <m/>
    <m/>
    <m/>
    <m/>
    <m/>
    <m/>
    <m/>
    <n v="2.8319000000000001"/>
    <m/>
    <m/>
    <m/>
    <m/>
    <m/>
    <m/>
    <m/>
    <m/>
    <m/>
    <m/>
    <m/>
    <m/>
    <n v="0.38"/>
    <m/>
    <m/>
    <m/>
  </r>
  <r>
    <x v="7"/>
    <x v="109"/>
    <s v="Fresh or Not Specified"/>
    <s v="Darjeeling Tea, conventional loose"/>
    <s v="Yes"/>
    <s v="India"/>
    <n v="2010"/>
    <s v="Geneviève Doublet; Niels Jungbluth"/>
    <s v="ESU-services Ltd. – fair consulting in sustainability, Kanzleistr. 4, CH-8610 Uster"/>
    <s v="Consulting Group"/>
    <s v="Doublet G, Jungbluth N. Life cycle assessment of drinking Darjeeling tea: ESU-Services Ltd; 2010."/>
    <s v="Yes"/>
    <s v="No"/>
    <s v="Yes"/>
    <s v="Yes"/>
    <s v="Yes"/>
    <s v="Yes"/>
    <s v="Yes"/>
    <s v="Yes"/>
    <s v="No"/>
    <s v="Yes"/>
    <s v="No"/>
    <s v="No"/>
    <m/>
    <s v="Cradle to Grave"/>
    <s v="No"/>
    <s v="No"/>
    <s v="250ml of tea ready for consumption (reference flow = 1.75g dry tea leaves)"/>
    <s v="reported value / density (250.44g/250ml) --&gt; (RV x 1000g/kg)/(250.44g/250ml)"/>
    <s v=""/>
    <s v=""/>
    <s v=""/>
    <s v=""/>
    <m/>
    <m/>
    <m/>
    <m/>
    <m/>
    <m/>
    <m/>
    <m/>
    <m/>
    <m/>
    <n v="3.1544481712186552"/>
    <m/>
    <m/>
    <m/>
    <m/>
    <m/>
    <m/>
    <m/>
    <m/>
    <m/>
    <m/>
    <m/>
    <m/>
    <n v="0.17888516211467817"/>
    <m/>
    <m/>
  </r>
  <r>
    <x v="12"/>
    <x v="102"/>
    <s v="Fresh or Not Specified"/>
    <s v="rainbow trout, standard feed diet"/>
    <s v="Yes"/>
    <s v="France"/>
    <n v="2011"/>
    <s v="Joachim Boissy, Joël Aubin ⁎, Abdeljalil Drissi, Hayo M.G. van der Werf, Gordon J. Bell, Sadasivam J. Kaushik"/>
    <s v="INRA UMR SAS"/>
    <s v="Peer Reviewed Journal"/>
    <s v="Boissy, J., Aubin, J., Drissi, A., Van Der Werf, H. M., Bell, G. J. and Kaushik, S. J., Environmental impacts of plant-based salmonid diets at feed and farm scales. Aquaculture 2011, 321 (1), 61-70."/>
    <s v="Yes"/>
    <s v="No"/>
    <s v="No"/>
    <s v="No"/>
    <s v="No"/>
    <s v="No"/>
    <s v="No"/>
    <s v="No"/>
    <s v="No"/>
    <s v="No"/>
    <s v="No"/>
    <s v="No"/>
    <m/>
    <s v="farm gate"/>
    <s v="No"/>
    <s v="No"/>
    <s v="1 kg live weight"/>
    <s v="/0.65"/>
    <n v="85.738461538461536"/>
    <s v=""/>
    <n v="3.4153846153846157"/>
    <s v=""/>
    <m/>
    <m/>
    <m/>
    <m/>
    <m/>
    <m/>
    <m/>
    <m/>
    <m/>
    <n v="85.738461538461536"/>
    <m/>
    <m/>
    <m/>
    <m/>
    <m/>
    <m/>
    <m/>
    <m/>
    <m/>
    <m/>
    <m/>
    <m/>
    <n v="3.4153846153846157"/>
    <m/>
    <m/>
    <m/>
  </r>
  <r>
    <x v="12"/>
    <x v="102"/>
    <s v="Fresh or Not Specified"/>
    <s v="rainbow trout,flow through system, low fishery diet"/>
    <s v="Yes"/>
    <s v="France"/>
    <n v="2011"/>
    <s v="Joachim Boissy, Joël Aubin ⁎, Abdeljalil Drissi, Hayo M.G. van der Werf, Gordon J. Bell, Sadasivam J. Kaushik"/>
    <s v="INRA UMR SAS"/>
    <s v="Peer Reviewed Journal"/>
    <s v="Boissy, J., Aubin, J., Drissi, A., Van Der Werf, H. M., Bell, G. J. and Kaushik, S. J., Environmental impacts of plant-based salmonid diets at feed and farm scales. Aquaculture 2011, 321 (1), 61-70."/>
    <s v="Yes"/>
    <s v="No"/>
    <s v="No"/>
    <s v="No"/>
    <s v="No"/>
    <s v="No"/>
    <s v="No"/>
    <s v="No"/>
    <s v="No"/>
    <s v="No"/>
    <s v="No"/>
    <s v="No"/>
    <m/>
    <s v="farm gate"/>
    <s v="No"/>
    <s v="No"/>
    <s v="1 kg live weight"/>
    <s v="/0.65"/>
    <n v="84.703076923076921"/>
    <s v=""/>
    <n v="3.4153846153846157"/>
    <s v=""/>
    <m/>
    <m/>
    <m/>
    <m/>
    <m/>
    <m/>
    <m/>
    <m/>
    <m/>
    <n v="84.703076923076921"/>
    <m/>
    <m/>
    <m/>
    <m/>
    <m/>
    <m/>
    <m/>
    <m/>
    <m/>
    <m/>
    <m/>
    <m/>
    <n v="3.4153846153846157"/>
    <m/>
    <m/>
    <m/>
  </r>
  <r>
    <x v="12"/>
    <x v="102"/>
    <s v="Fresh or Not Specified"/>
    <s v="rainbow trout, extensive flow through system"/>
    <s v="Yes"/>
    <s v="Germany"/>
    <n v="2013"/>
    <s v="B. Samuel-Fitwi, F. Nagela, S. Meyera, J.P. Schroedera, C. Schulz"/>
    <s v="Gesellschaft für Marine Aquakultur (GMA) mbH, 25761 Büsum, Germany; Christian Albrecht Universitaet zu Kiel, 24098 Kiel, Germany"/>
    <s v="Peer Reviewed Journal"/>
    <s v="Samuel-Fitwi, B., Nagel, F., Meyer, S., Schroeder, J. and Schulz, C., Comparative life cycle assessment (LCA) of raising rainbow trout (Oncorhynchus mykiss) in different production systems. Aquacultural engineering 2013, 54, 85-92."/>
    <s v="Yes"/>
    <s v="No"/>
    <s v="No"/>
    <s v="No"/>
    <s v="No"/>
    <s v="No"/>
    <s v="No"/>
    <s v="No"/>
    <s v="No"/>
    <s v="No"/>
    <s v="No"/>
    <s v="No"/>
    <m/>
    <s v="farm gate"/>
    <s v="No"/>
    <s v="No"/>
    <s v="1 kg live weight"/>
    <s v="/0.65"/>
    <s v=""/>
    <s v=""/>
    <n v="3.4452923076923079"/>
    <s v=""/>
    <m/>
    <m/>
    <m/>
    <m/>
    <m/>
    <m/>
    <m/>
    <m/>
    <m/>
    <m/>
    <m/>
    <m/>
    <m/>
    <m/>
    <m/>
    <m/>
    <m/>
    <m/>
    <m/>
    <m/>
    <m/>
    <m/>
    <n v="3.4452923076923079"/>
    <m/>
    <m/>
    <m/>
  </r>
  <r>
    <x v="12"/>
    <x v="102"/>
    <s v="Fresh or Not Specified"/>
    <s v="rainbow trout, intensive flow through system"/>
    <s v="Yes"/>
    <s v="Germany"/>
    <n v="2013"/>
    <s v="B. Samuel-Fitwi, F. Nagela, S. Meyera, J.P. Schroedera, C. Schulz"/>
    <s v="Gesellschaft für Marine Aquakultur (GMA) mbH, 25761 Büsum, Germany; Christian Albrecht Universitaet zu Kiel, 24098 Kiel, Germany"/>
    <s v="Peer Reviewed Journal"/>
    <s v="Samuel-Fitwi, B., Nagel, F., Meyer, S., Schroeder, J. and Schulz, C., Comparative life cycle assessment (LCA) of raising rainbow trout (Oncorhynchus mykiss) in different production systems. Aquacultural engineering 2013, 54, 85-92."/>
    <s v="Yes"/>
    <s v="No"/>
    <s v="No"/>
    <s v="No"/>
    <s v="No"/>
    <s v="No"/>
    <s v="No"/>
    <s v="No"/>
    <s v="No"/>
    <s v="No"/>
    <s v="No"/>
    <s v="No"/>
    <m/>
    <s v="farm gate"/>
    <s v="No"/>
    <s v="No"/>
    <s v="1 kg live weight"/>
    <s v="/0.65"/>
    <s v=""/>
    <s v=""/>
    <n v="5.4798615384615381"/>
    <s v=""/>
    <m/>
    <m/>
    <m/>
    <m/>
    <m/>
    <m/>
    <m/>
    <m/>
    <m/>
    <m/>
    <m/>
    <m/>
    <m/>
    <m/>
    <m/>
    <m/>
    <m/>
    <m/>
    <m/>
    <m/>
    <m/>
    <m/>
    <n v="5.4798615384615381"/>
    <m/>
    <m/>
    <m/>
  </r>
  <r>
    <x v="12"/>
    <x v="102"/>
    <s v="Fresh or Not Specified"/>
    <s v="rainbow trout,recirculating system"/>
    <s v="Yes"/>
    <s v="Germany"/>
    <n v="2013"/>
    <s v="B. Samuel-Fitwi, F. Nagela, S. Meyera, J.P. Schroedera, C. Schulz"/>
    <s v="Gesellschaft für Marine Aquakultur (GMA) mbH, 25761 Büsum, Germany; Christian Albrecht Universitaet zu Kiel, 24098 Kiel, Germany"/>
    <s v="Peer Reviewed Journal"/>
    <s v="Samuel-Fitwi, B., Nagel, F., Meyer, S., Schroeder, J. and Schulz, C., Comparative life cycle assessment (LCA) of raising rainbow trout (Oncorhynchus mykiss) in different production systems. Aquacultural engineering 2013, 54, 85-92."/>
    <s v="Yes"/>
    <s v="No"/>
    <s v="No"/>
    <s v="No"/>
    <s v="No"/>
    <s v="No"/>
    <s v="No"/>
    <s v="No"/>
    <s v="No"/>
    <s v="No"/>
    <s v="No"/>
    <s v="No"/>
    <m/>
    <s v="farm gate"/>
    <s v="No"/>
    <s v="No"/>
    <s v="1 kg live weight"/>
    <s v="/0.65"/>
    <s v=""/>
    <s v=""/>
    <n v="20.95750769230769"/>
    <s v=""/>
    <m/>
    <m/>
    <m/>
    <m/>
    <m/>
    <m/>
    <m/>
    <m/>
    <m/>
    <m/>
    <m/>
    <m/>
    <m/>
    <m/>
    <m/>
    <m/>
    <m/>
    <m/>
    <m/>
    <m/>
    <m/>
    <m/>
    <n v="20.95750769230769"/>
    <m/>
    <m/>
    <m/>
  </r>
  <r>
    <x v="12"/>
    <x v="102"/>
    <s v="Fresh or Not Specified"/>
    <s v="common carp, tench, roach, perch, sander &amp; pike; semi-extensive pond"/>
    <s v="Yes"/>
    <s v="France"/>
    <n v="2013"/>
    <s v="Aurélie Wilfart, Jehane Prudhomme, Jean-Paul Blancheton, Joël Aubin"/>
    <s v="INRA, UMR1069, Sol Agro et hydrosystème Spatialisation, 65 rue de Saint Brieuc, CS 84215, F-35042 Rennes, France"/>
    <s v="Peer Reviewed Journal"/>
    <s v="Wilfart, A., Prudhomme, J., Blancheton, J.-P. and Aubin, J., LCA and emergy accounting of aquaculture systems: Towards ecological intensification. Journal of environmental management 2013, 121, 96-109."/>
    <s v="Yes"/>
    <s v="No"/>
    <s v="No"/>
    <s v="No"/>
    <s v="No"/>
    <s v="No"/>
    <s v="No"/>
    <s v="No"/>
    <s v="No"/>
    <s v="No"/>
    <s v="No"/>
    <s v="No"/>
    <m/>
    <s v="farm gate"/>
    <s v="No"/>
    <s v="No"/>
    <s v="1 kg live weight"/>
    <s v="/.54"/>
    <n v="218.5185185185185"/>
    <s v=""/>
    <n v="2.6425925925925924"/>
    <s v=""/>
    <m/>
    <m/>
    <m/>
    <m/>
    <m/>
    <m/>
    <m/>
    <m/>
    <m/>
    <n v="218.5185185185185"/>
    <m/>
    <m/>
    <m/>
    <m/>
    <m/>
    <m/>
    <m/>
    <m/>
    <m/>
    <m/>
    <m/>
    <m/>
    <n v="2.6425925925925924"/>
    <m/>
    <m/>
    <m/>
  </r>
  <r>
    <x v="12"/>
    <x v="102"/>
    <s v="Fresh or Not Specified"/>
    <s v="common carp, tench, roach, perch, sander &amp; pike; extensive pond"/>
    <s v="Yes"/>
    <s v="France"/>
    <n v="2013"/>
    <s v="Aurélie Wilfart, Jehane Prudhomme, Jean-Paul Blancheton, Joël Aubin"/>
    <s v="INRA, UMR1069, Sol Agro et hydrosystème Spatialisation, 65 rue de Saint Brieuc, CS 84215, F-35042 Rennes, France"/>
    <s v="Peer Reviewed Journal"/>
    <s v="Wilfart, A., Prudhomme, J., Blancheton, J.-P. and Aubin, J., LCA and emergy accounting of aquaculture systems: Towards ecological intensification. Journal of environmental management 2013, 121, 96-109."/>
    <s v="Yes"/>
    <s v="No"/>
    <s v="No"/>
    <s v="No"/>
    <s v="No"/>
    <s v="No"/>
    <s v="No"/>
    <s v="No"/>
    <s v="No"/>
    <s v="No"/>
    <s v="No"/>
    <s v="No"/>
    <m/>
    <s v="farm gate"/>
    <s v="No"/>
    <s v="No"/>
    <s v="1 kg live weight"/>
    <s v="/.54"/>
    <n v="320.37037037037032"/>
    <s v=""/>
    <n v="15.898148148148149"/>
    <s v=""/>
    <m/>
    <m/>
    <m/>
    <m/>
    <m/>
    <m/>
    <m/>
    <m/>
    <m/>
    <n v="320.37037037037032"/>
    <m/>
    <m/>
    <m/>
    <m/>
    <m/>
    <m/>
    <m/>
    <m/>
    <m/>
    <m/>
    <m/>
    <m/>
    <n v="15.898148148148149"/>
    <m/>
    <m/>
    <m/>
  </r>
  <r>
    <x v="12"/>
    <x v="102"/>
    <s v="Fresh or Not Specified"/>
    <s v="atlantic salmon, recirculating system"/>
    <s v="Yes"/>
    <s v="France"/>
    <n v="2013"/>
    <s v="Aurélie Wilfart, Jehane Prudhomme, Jean-Paul Blancheton, Joël Aubin"/>
    <s v="INRA, UMR1069, Sol Agro et hydrosystème Spatialisation, 65 rue de Saint Brieuc, CS 84215, F-35042 Rennes, France"/>
    <s v="Peer Reviewed Journal"/>
    <s v="Wilfart, A., Prudhomme, J., Blancheton, J.-P. and Aubin, J., LCA and emergy accounting of aquaculture systems: Towards ecological intensification. Journal of environmental management 2013, 121, 96-109."/>
    <s v="Yes"/>
    <s v="No"/>
    <s v="No"/>
    <s v="No"/>
    <s v="No"/>
    <s v="No"/>
    <s v="No"/>
    <s v="No"/>
    <s v="No"/>
    <s v="No"/>
    <s v="No"/>
    <s v="No"/>
    <m/>
    <s v="farm gate"/>
    <s v="No"/>
    <s v="No"/>
    <s v="1 kg live weight"/>
    <s v="/.72"/>
    <n v="152.77777777777777"/>
    <s v=""/>
    <n v="4.3583333333333334"/>
    <s v=""/>
    <m/>
    <m/>
    <m/>
    <m/>
    <m/>
    <m/>
    <m/>
    <m/>
    <m/>
    <n v="152.77777777777777"/>
    <m/>
    <m/>
    <m/>
    <m/>
    <m/>
    <m/>
    <m/>
    <m/>
    <m/>
    <m/>
    <m/>
    <m/>
    <n v="4.3583333333333334"/>
    <m/>
    <m/>
    <m/>
  </r>
  <r>
    <x v="12"/>
    <x v="102"/>
    <s v="Fresh or Not Specified"/>
    <s v="tilapia, intensive pond system"/>
    <s v="Yes"/>
    <s v="Egypt"/>
    <n v="2016"/>
    <s v="Dalia M. M. Yacout, Naglaa F. Soliman, M. M. Yacout"/>
    <s v="Alexandria University, Alexandria, Egypt"/>
    <s v="Peer Reviewed Journal"/>
    <s v="Yacout, D. M., Soliman, N. F. and Yacout, M., Comparative life cycle assessment (LCA) of Tilapia in two production systems: semi-intensive and intensive. The International Journal of Life Cycle Assessment 2016, 21 (6), 806-819."/>
    <s v="Yes"/>
    <s v="No"/>
    <s v="No"/>
    <s v="No"/>
    <s v="No"/>
    <s v="No"/>
    <s v="No"/>
    <s v="No"/>
    <s v="No"/>
    <s v="No"/>
    <s v="No"/>
    <s v="No"/>
    <m/>
    <s v="farm gate"/>
    <s v="No"/>
    <s v="No"/>
    <s v="1 kg live weight"/>
    <s v="/.37"/>
    <n v="142.70270270270271"/>
    <s v=""/>
    <n v="2.5964864864864867"/>
    <s v=""/>
    <m/>
    <m/>
    <m/>
    <m/>
    <m/>
    <m/>
    <m/>
    <m/>
    <m/>
    <n v="142.70270270270271"/>
    <m/>
    <m/>
    <m/>
    <m/>
    <m/>
    <m/>
    <m/>
    <m/>
    <m/>
    <m/>
    <m/>
    <m/>
    <n v="2.5964864864864867"/>
    <m/>
    <m/>
    <m/>
  </r>
  <r>
    <x v="12"/>
    <x v="102"/>
    <s v="Fresh or Not Specified"/>
    <s v="tilapia, semi-intensive pond system"/>
    <s v="Yes"/>
    <s v="Egypt"/>
    <n v="2016"/>
    <s v="Dalia M. M. Yacout, Naglaa F. Soliman, M. M. Yacout"/>
    <s v="Alexandria University, Alexandria, Egypt"/>
    <s v="Peer Reviewed Journal"/>
    <s v="Yacout, D. M., Soliman, N. F. and Yacout, M., Comparative life cycle assessment (LCA) of Tilapia in two production systems: semi-intensive and intensive. The International Journal of Life Cycle Assessment 2016, 21 (6), 806-819."/>
    <s v="Yes"/>
    <s v="No"/>
    <s v="No"/>
    <s v="No"/>
    <s v="No"/>
    <s v="No"/>
    <s v="No"/>
    <s v="No"/>
    <s v="No"/>
    <s v="No"/>
    <s v="No"/>
    <s v="No"/>
    <m/>
    <s v="farm gate"/>
    <s v="No"/>
    <s v="No"/>
    <s v="1 kg live weight"/>
    <s v="/.37"/>
    <n v="644.05405405405406"/>
    <s v=""/>
    <n v="16.557027027027029"/>
    <s v=""/>
    <m/>
    <m/>
    <m/>
    <m/>
    <m/>
    <m/>
    <m/>
    <m/>
    <m/>
    <n v="644.05405405405406"/>
    <m/>
    <m/>
    <m/>
    <m/>
    <m/>
    <m/>
    <m/>
    <m/>
    <m/>
    <m/>
    <m/>
    <m/>
    <n v="16.557027027027029"/>
    <m/>
    <m/>
    <m/>
  </r>
  <r>
    <x v="12"/>
    <x v="102"/>
    <s v="Fresh or Not Specified"/>
    <s v="turbot, recirculating system"/>
    <s v="Yes"/>
    <s v="France"/>
    <n v="2006"/>
    <s v="J. Aubin, E. Papatryphon, H.M.G. Van der Werf, J. Petit, Y.M. Morvan"/>
    <s v="UMR INRA"/>
    <s v="Peer Reviewed Journal"/>
    <s v="Aubin, J., Papatryphon, E., Van Der Werf, H., Petit, J. and Morvan, Y., Characterisation of the environmental impact of a turbot (Scophthalmus maximus) re-circulating production system using Life Cycle Assessment. Aquaculture 2006, 261 (4), 1259-1268."/>
    <s v="Yes"/>
    <s v="No"/>
    <s v="No"/>
    <s v="No"/>
    <s v="No"/>
    <s v="No"/>
    <s v="No"/>
    <s v="No"/>
    <s v="No"/>
    <s v="No"/>
    <s v="No"/>
    <s v="No"/>
    <m/>
    <s v="farm gate"/>
    <s v="No"/>
    <s v="No"/>
    <s v="1 kg live weight"/>
    <s v="/.48"/>
    <n v="606.2208333333333"/>
    <s v=""/>
    <n v="12.536250000000001"/>
    <s v=""/>
    <m/>
    <m/>
    <m/>
    <m/>
    <m/>
    <m/>
    <m/>
    <m/>
    <m/>
    <n v="606.2208333333333"/>
    <m/>
    <m/>
    <m/>
    <m/>
    <m/>
    <m/>
    <m/>
    <m/>
    <m/>
    <m/>
    <m/>
    <m/>
    <n v="12.536250000000001"/>
    <m/>
    <m/>
    <m/>
  </r>
  <r>
    <x v="12"/>
    <x v="102"/>
    <s v="Fresh or Not Specified"/>
    <s v="turbot, recirculating system"/>
    <s v="Yes"/>
    <s v="France"/>
    <n v="2006"/>
    <s v="J. Aubin, E. Papatryphon, H.M.G. Van der Werf, J. Petit, Y.M. Morvan"/>
    <s v="UMR INRA"/>
    <s v="Peer Reviewed Journal"/>
    <s v="Aubin, J., Papatryphon, E., Van Der Werf, H., Petit, J. and Morvan, Y., Characterisation of the environmental impact of a turbot (Scophthalmus maximus) re-circulating production system using Life Cycle Assessment. Aquaculture 2006, 261 (4), 1259-1268."/>
    <s v="Yes"/>
    <s v="No"/>
    <s v="No"/>
    <s v="No"/>
    <s v="No"/>
    <s v="No"/>
    <s v="No"/>
    <s v="No"/>
    <s v="No"/>
    <s v="No"/>
    <s v="No"/>
    <s v="No"/>
    <m/>
    <s v="farm gate"/>
    <s v="No"/>
    <s v="No"/>
    <s v="1 kg live weight"/>
    <s v="/.48"/>
    <n v="606.2208333333333"/>
    <s v=""/>
    <n v="22.182083333333331"/>
    <s v=""/>
    <m/>
    <m/>
    <m/>
    <m/>
    <m/>
    <m/>
    <m/>
    <m/>
    <m/>
    <n v="606.2208333333333"/>
    <m/>
    <m/>
    <m/>
    <m/>
    <m/>
    <m/>
    <m/>
    <m/>
    <m/>
    <m/>
    <m/>
    <m/>
    <n v="22.182083333333331"/>
    <m/>
    <m/>
    <m/>
  </r>
  <r>
    <x v="12"/>
    <x v="102"/>
    <s v="Fresh or Not Specified"/>
    <s v="African catfish, recirculating system"/>
    <s v="Yes"/>
    <s v="Netherlands"/>
    <n v="2016"/>
    <s v="M. Besson, J. Aubin, H. Komen, M. Poelman, E. Quillet, M. Vandeputte, J.A.M. van Arendonk, I.J.M. de Boer"/>
    <s v="Animal Breeding and Genomics Centre, Wageningen University, P.O. Box 338, 6700 AH Wageningen, The Netherlands"/>
    <s v="Peer Reviewed Journal"/>
    <s v="Besson, M., Aubin, J., Komen, H., Poelman, M., Quillet, E., Vandeputte, M., Van Arendonk, J. and De Boer, I., Environmental impacts of genetic improvement of growth rate and feed conversion ratio in fish farming under rearing density and nitrogen output limitations. Journal of Cleaner Production 2016, 116, 100-109."/>
    <s v="Yes"/>
    <s v="No"/>
    <s v="No"/>
    <s v="No"/>
    <s v="No"/>
    <s v="No"/>
    <s v="No"/>
    <s v="No"/>
    <s v="No"/>
    <s v="No"/>
    <s v="No"/>
    <s v="No"/>
    <m/>
    <s v="farm gate"/>
    <s v="No"/>
    <s v="No"/>
    <s v="1 kg live weight"/>
    <s v="/.65"/>
    <n v="32.484923076923081"/>
    <s v=""/>
    <n v="2.247846153846154"/>
    <s v=""/>
    <m/>
    <m/>
    <m/>
    <m/>
    <m/>
    <m/>
    <m/>
    <m/>
    <m/>
    <n v="32.484923076923081"/>
    <m/>
    <m/>
    <m/>
    <m/>
    <m/>
    <m/>
    <m/>
    <m/>
    <m/>
    <m/>
    <m/>
    <m/>
    <n v="2.247846153846154"/>
    <m/>
    <m/>
    <m/>
  </r>
  <r>
    <x v="7"/>
    <x v="141"/>
    <m/>
    <s v="lager, re-used glass"/>
    <m/>
    <s v="Greece"/>
    <n v="2005"/>
    <s v="C. Koroneos, G. Roumbas, Z. Gabari, E. Papagiannidou, N. Moussiopoulos"/>
    <s v="Laboratory of Heat Transfer and Environmental Engineering, P.O. Box 483, Aristotle University Thessaloniki, 54124 Thessaloniki, Greece"/>
    <s v="Peer Reviewed Journal"/>
    <s v="Koroneos, C., Roumbas, G., Gabari, Z., Papagiannidou, E. and Moussiopoulos, N., Life cycle assessment of beer production in Greece. Journal of Cleaner Production 2005, 13 (4), 433-439."/>
    <s v="Yes"/>
    <m/>
    <m/>
    <s v="Yes"/>
    <s v="Yes"/>
    <m/>
    <m/>
    <m/>
    <m/>
    <m/>
    <m/>
    <m/>
    <m/>
    <m/>
    <m/>
    <s v="Yes"/>
    <m/>
    <s v="/1.01 (kg/L)"/>
    <s v=""/>
    <s v=""/>
    <n v="4.4835491241431782E-2"/>
    <n v="0.14945163747143969"/>
    <m/>
    <m/>
    <m/>
    <m/>
    <m/>
    <m/>
    <m/>
    <m/>
    <m/>
    <m/>
    <m/>
    <m/>
    <m/>
    <n v="4.4835491241431782E-2"/>
    <m/>
    <n v="0.10461614623000792"/>
    <n v="0.59780654988575743"/>
    <n v="0"/>
    <m/>
    <m/>
    <m/>
    <m/>
    <n v="4.4835491241431782E-2"/>
    <n v="0.74725818735719707"/>
    <m/>
    <m/>
  </r>
  <r>
    <x v="7"/>
    <x v="141"/>
    <m/>
    <m/>
    <m/>
    <s v="UK"/>
    <n v="2014"/>
    <s v="Adrian G. Williams, Seyoum Mekonen"/>
    <s v="School of Applied Sciences, Cranfield University, Bedford, MK43 0AL, UK"/>
    <s v="Conference Proceedings"/>
    <s v="Williams, A. G. and Mekonen, S., Environmental performance of traditional beer production in a micro-brewery. Proceedings of the 9th International Conference on Life Cycle Assessment in the Agri-Food Sector (LCA Food 2014) 2014, ."/>
    <s v="Yes"/>
    <m/>
    <m/>
    <s v="Yes"/>
    <s v="Yes"/>
    <s v="Yes"/>
    <m/>
    <m/>
    <m/>
    <m/>
    <m/>
    <m/>
    <m/>
    <m/>
    <m/>
    <s v="Yes"/>
    <m/>
    <s v="/1.01 (kg/L)"/>
    <s v=""/>
    <s v=""/>
    <n v="0.11287128712871287"/>
    <n v="0.21927128712871288"/>
    <m/>
    <m/>
    <m/>
    <m/>
    <m/>
    <m/>
    <m/>
    <m/>
    <m/>
    <m/>
    <m/>
    <m/>
    <m/>
    <n v="0.11287128712871287"/>
    <m/>
    <n v="0.10640000000000001"/>
    <n v="7.5247524752475245E-3"/>
    <n v="7.5247524752475245E-2"/>
    <m/>
    <m/>
    <n v="7.5247524752475245E-2"/>
    <m/>
    <n v="0.11287128712871287"/>
    <n v="0.3772910891089109"/>
    <m/>
    <m/>
  </r>
  <r>
    <x v="7"/>
    <x v="141"/>
    <m/>
    <s v="al. can"/>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0.49128712871287128"/>
    <n v="8.0099009900990101E-2"/>
    <m/>
    <m/>
    <n v="5.6435643564356434E-3"/>
    <n v="-0.12039603960396039"/>
    <n v="0.16712871287128714"/>
    <n v="0.68574257425742569"/>
    <m/>
    <m/>
  </r>
  <r>
    <x v="7"/>
    <x v="141"/>
    <m/>
    <s v="keg"/>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3.9702970297029697E-2"/>
    <n v="9.1683168316831681E-2"/>
    <m/>
    <m/>
    <n v="6.0396039603960398E-3"/>
    <n v="-0.12039603960396039"/>
    <n v="0.16712871287128714"/>
    <n v="0.24613861386138614"/>
    <m/>
    <m/>
  </r>
  <r>
    <x v="7"/>
    <x v="141"/>
    <m/>
    <s v="single use glass"/>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0.35128712871287127"/>
    <n v="9.6138613861386141E-2"/>
    <m/>
    <m/>
    <n v="5.7425742574257425E-3"/>
    <n v="-0.12039603960396039"/>
    <n v="0.16712871287128714"/>
    <n v="0.56188118811881183"/>
    <m/>
    <m/>
  </r>
  <r>
    <x v="7"/>
    <x v="141"/>
    <m/>
    <s v="single use glass"/>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0.43891089108910891"/>
    <n v="0.10564356435643564"/>
    <m/>
    <m/>
    <n v="5.7425742574257425E-3"/>
    <n v="-0.12039603960396039"/>
    <n v="0.16712871287128714"/>
    <n v="0.65900990099009904"/>
    <m/>
    <m/>
  </r>
  <r>
    <x v="7"/>
    <x v="141"/>
    <m/>
    <s v="single use glass"/>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0.4998019801980198"/>
    <n v="0.12247524752475247"/>
    <m/>
    <m/>
    <n v="5.7425742574257425E-3"/>
    <n v="-0.12039603960396039"/>
    <n v="0.16712871287128714"/>
    <n v="0.73673267326732672"/>
    <m/>
    <m/>
  </r>
  <r>
    <x v="7"/>
    <x v="141"/>
    <m/>
    <s v="Barley lager, al. can"/>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5.6336633663366338E-2"/>
    <n v="6.5386138613861389E-2"/>
    <m/>
    <m/>
    <m/>
    <m/>
    <m/>
    <m/>
    <m/>
    <m/>
    <m/>
    <m/>
    <m/>
    <m/>
    <m/>
    <n v="5.6336633663366338E-2"/>
    <m/>
    <n v="9.0495049504950506E-3"/>
    <n v="0.36673267326732673"/>
    <n v="5.0495049504950497E-3"/>
    <m/>
    <m/>
    <m/>
    <m/>
    <n v="5.6336633663366338E-2"/>
    <n v="0.43716831683168317"/>
    <m/>
    <m/>
  </r>
  <r>
    <x v="7"/>
    <x v="141"/>
    <m/>
    <s v="Barley lager, keg"/>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5.6336633663366338E-2"/>
    <n v="6.5386138613861389E-2"/>
    <m/>
    <m/>
    <m/>
    <m/>
    <m/>
    <m/>
    <m/>
    <m/>
    <m/>
    <m/>
    <m/>
    <m/>
    <m/>
    <n v="5.6336633663366338E-2"/>
    <m/>
    <n v="9.0495049504950506E-3"/>
    <n v="2.0792079207920793E-2"/>
    <n v="5.0495049504950497E-3"/>
    <m/>
    <m/>
    <m/>
    <m/>
    <n v="5.6336633663366338E-2"/>
    <n v="9.1227722772277239E-2"/>
    <m/>
    <m/>
  </r>
  <r>
    <x v="7"/>
    <x v="141"/>
    <m/>
    <s v="Barley lager, re-used glass"/>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5.6336633663366338E-2"/>
    <n v="6.5386138613861389E-2"/>
    <m/>
    <m/>
    <m/>
    <m/>
    <m/>
    <m/>
    <m/>
    <m/>
    <m/>
    <m/>
    <m/>
    <m/>
    <m/>
    <n v="5.6336633663366338E-2"/>
    <m/>
    <n v="9.0495049504950506E-3"/>
    <n v="0.08"/>
    <n v="5.0495049504950497E-3"/>
    <m/>
    <m/>
    <m/>
    <m/>
    <n v="5.6336633663366338E-2"/>
    <n v="0.15043564356435646"/>
    <m/>
    <m/>
  </r>
  <r>
    <x v="7"/>
    <x v="141"/>
    <m/>
    <s v="Barley&amp;rice lager, al, can"/>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7.0594059405940601E-2"/>
    <n v="7.9643564356435659E-2"/>
    <m/>
    <m/>
    <m/>
    <m/>
    <m/>
    <m/>
    <m/>
    <m/>
    <m/>
    <m/>
    <m/>
    <m/>
    <m/>
    <n v="7.0594059405940601E-2"/>
    <m/>
    <n v="9.0495049504950506E-3"/>
    <n v="0.36673267326732673"/>
    <n v="5.0495049504950497E-3"/>
    <m/>
    <m/>
    <m/>
    <m/>
    <n v="7.0594059405940601E-2"/>
    <n v="0.45142574257425744"/>
    <m/>
    <m/>
  </r>
  <r>
    <x v="7"/>
    <x v="141"/>
    <m/>
    <s v="Barley&amp;rice lager,keg"/>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7.0594059405940601E-2"/>
    <n v="7.9643564356435659E-2"/>
    <m/>
    <m/>
    <m/>
    <m/>
    <m/>
    <m/>
    <m/>
    <m/>
    <m/>
    <m/>
    <m/>
    <m/>
    <m/>
    <n v="7.0594059405940601E-2"/>
    <m/>
    <n v="9.0495049504950506E-3"/>
    <n v="2.0792079207920793E-2"/>
    <n v="5.0495049504950497E-3"/>
    <m/>
    <m/>
    <m/>
    <m/>
    <n v="7.0594059405940601E-2"/>
    <n v="0.10548514851485151"/>
    <m/>
    <m/>
  </r>
  <r>
    <x v="7"/>
    <x v="141"/>
    <m/>
    <s v="Barley&amp;rice lager,re-used glass"/>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7.0594059405940601E-2"/>
    <n v="7.9643564356435659E-2"/>
    <m/>
    <m/>
    <m/>
    <m/>
    <m/>
    <m/>
    <m/>
    <m/>
    <m/>
    <m/>
    <m/>
    <m/>
    <m/>
    <n v="7.0594059405940601E-2"/>
    <m/>
    <n v="9.0495049504950506E-3"/>
    <n v="0.08"/>
    <n v="5.0495049504950497E-3"/>
    <m/>
    <m/>
    <m/>
    <m/>
    <n v="7.0594059405940601E-2"/>
    <n v="0.16469306930693073"/>
    <m/>
    <m/>
  </r>
  <r>
    <x v="1"/>
    <x v="23"/>
    <m/>
    <m/>
    <m/>
    <s v="UK"/>
    <n v="2009"/>
    <s v="Celia Kingston, Jonna Meyhoff Fry and Simon Aumonier"/>
    <s v="Environmental Resources Management Limited (ERM)"/>
    <s v="NGO Report"/>
    <s v="Kingston, C., Meyhoff Fry, J. and Aumonier, S., Scoping life cycle assessment of pork production. 2009, ."/>
    <s v="Yes"/>
    <s v="No"/>
    <s v="No"/>
    <s v="Yes"/>
    <s v="Yes"/>
    <s v="Yes"/>
    <s v="Yes"/>
    <s v="No"/>
    <s v="Yes"/>
    <s v="No"/>
    <s v="No"/>
    <s v="No"/>
    <m/>
    <s v="slaughter gate"/>
    <m/>
    <m/>
    <s v="kg carcass weight"/>
    <s v="/0.75"/>
    <s v=""/>
    <s v=""/>
    <n v="6.22"/>
    <n v="6.5811999999999999"/>
    <m/>
    <m/>
    <m/>
    <m/>
    <m/>
    <m/>
    <m/>
    <m/>
    <m/>
    <m/>
    <m/>
    <m/>
    <m/>
    <n v="6.22"/>
    <m/>
    <n v="0.36120000000000002"/>
    <n v="0.17199999999999999"/>
    <n v="8.5999999999999993E-2"/>
    <n v="1.72E-2"/>
    <n v="1.8059999999999998"/>
    <n v="2.58E-2"/>
    <m/>
    <n v="6.22"/>
    <n v="8.6882000000000001"/>
    <m/>
    <m/>
  </r>
  <r>
    <x v="1"/>
    <x v="23"/>
    <m/>
    <m/>
    <m/>
    <s v="Flemish"/>
    <n v="2012"/>
    <s v="L. Devers, T.E. Kleynhans and E. Mathijs"/>
    <s v="Tropical Natural Resources Management of the Katholieke Universiteit, Leuven, Belgium"/>
    <s v="Peer Reviewed Journal"/>
    <s v="Devers, L., Kleynhans, T. and Mathijs, E., Comparative life cycle assessment of Flemish and Western Cape pork production. Agrekon 2012, 51 (4), 105-128."/>
    <s v="Yes"/>
    <m/>
    <s v="No"/>
    <s v="Yes"/>
    <m/>
    <m/>
    <m/>
    <m/>
    <m/>
    <m/>
    <m/>
    <m/>
    <m/>
    <m/>
    <m/>
    <m/>
    <m/>
    <m/>
    <s v=""/>
    <s v=""/>
    <n v="3.3489333333333331"/>
    <n v="3.3956"/>
    <m/>
    <m/>
    <m/>
    <m/>
    <m/>
    <m/>
    <m/>
    <m/>
    <m/>
    <m/>
    <m/>
    <m/>
    <m/>
    <n v="3.3489333333333331"/>
    <m/>
    <n v="4.6666666666666669E-2"/>
    <m/>
    <m/>
    <m/>
    <m/>
    <m/>
    <m/>
    <n v="3.3489333333333331"/>
    <n v="3.3956"/>
    <m/>
    <m/>
  </r>
  <r>
    <x v="1"/>
    <x v="23"/>
    <m/>
    <m/>
    <m/>
    <s v="Western cape"/>
    <n v="2012"/>
    <s v="L. Devers, T.E. Kleynhans and E. Mathijs"/>
    <s v="Tropical Natural Resources Management of the Katholieke Universiteit, Leuven, Belgium"/>
    <s v="Peer Reviewed Journal"/>
    <s v="Devers, L., Kleynhans, T. and Mathijs, E., Comparative life cycle assessment of Flemish and Western Cape pork production. Agrekon 2012, 51 (4), 105-128."/>
    <s v="Yes"/>
    <m/>
    <s v="No"/>
    <s v="Yes"/>
    <m/>
    <s v="Yes"/>
    <m/>
    <m/>
    <m/>
    <m/>
    <m/>
    <m/>
    <m/>
    <m/>
    <m/>
    <m/>
    <m/>
    <m/>
    <s v=""/>
    <s v=""/>
    <n v="5.0305333333333335"/>
    <n v="5.7812000000000001"/>
    <m/>
    <m/>
    <m/>
    <m/>
    <m/>
    <m/>
    <m/>
    <m/>
    <m/>
    <m/>
    <m/>
    <m/>
    <m/>
    <n v="5.0305333333333335"/>
    <m/>
    <n v="0.75066666666666659"/>
    <m/>
    <n v="0.22439999999999999"/>
    <m/>
    <m/>
    <m/>
    <m/>
    <n v="5.0305333333333335"/>
    <n v="6.0056000000000003"/>
    <m/>
    <m/>
  </r>
  <r>
    <x v="1"/>
    <x v="23"/>
    <m/>
    <m/>
    <m/>
    <s v="Austria"/>
    <n v="2016"/>
    <s v="Thomas Winkler, Kerstin Schopf, Ralf Aschemann, Wilfried Winiwarter"/>
    <s v="University of Graz, Institute of Systems Sciences, Innovation and Sustainability Research, Merangasse 18, 8010 Graz, Austria"/>
    <s v="Peer Reviewed Journal"/>
    <s v="Winkler, T., Schopf, K., Aschemann, R. and Winiwarter, W., From farm to fork – A life cycle assessment of fresh Austrian pork. Journal of Cleaner Production 2016, ."/>
    <s v="Yes"/>
    <m/>
    <m/>
    <s v="Yes"/>
    <m/>
    <s v="Yes"/>
    <s v="Yes"/>
    <m/>
    <s v="Yes"/>
    <m/>
    <m/>
    <m/>
    <m/>
    <m/>
    <m/>
    <m/>
    <m/>
    <m/>
    <s v=""/>
    <s v=""/>
    <n v="5.8533333333333335"/>
    <n v="6.0426666666666664"/>
    <m/>
    <m/>
    <m/>
    <m/>
    <m/>
    <m/>
    <m/>
    <m/>
    <m/>
    <m/>
    <m/>
    <m/>
    <m/>
    <n v="5.8533333333333335"/>
    <m/>
    <n v="0.1893333333333333"/>
    <m/>
    <n v="0.224"/>
    <n v="1.0666666666666666E-2"/>
    <n v="6.6666666666666666E-2"/>
    <m/>
    <m/>
    <n v="5.8533333333333335"/>
    <n v="6.3439999999999994"/>
    <m/>
    <m/>
  </r>
  <r>
    <x v="1"/>
    <x v="23"/>
    <m/>
    <s v="Netherlands, conv"/>
    <m/>
    <s v="NL"/>
    <n v="2010"/>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3.4978318104382846"/>
    <n v="3.5322131020597807"/>
    <m/>
    <m/>
    <m/>
    <m/>
    <m/>
    <m/>
    <m/>
    <m/>
    <m/>
    <m/>
    <m/>
    <m/>
    <m/>
    <n v="3.4978318104382846"/>
    <m/>
    <n v="3.4381291621496057E-2"/>
    <m/>
    <m/>
    <m/>
    <m/>
    <m/>
    <m/>
    <n v="3.4978318104382846"/>
    <n v="3.5322131020597807"/>
    <m/>
    <m/>
  </r>
  <r>
    <x v="1"/>
    <x v="23"/>
    <m/>
    <s v="Netherlands, org"/>
    <m/>
    <s v="NL"/>
    <n v="2011"/>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4.2667647514325546"/>
    <n v="4.3011460430540502"/>
    <m/>
    <m/>
    <m/>
    <m/>
    <m/>
    <m/>
    <m/>
    <m/>
    <m/>
    <m/>
    <m/>
    <m/>
    <m/>
    <n v="4.2667647514325546"/>
    <m/>
    <n v="3.4381291621496057E-2"/>
    <m/>
    <m/>
    <m/>
    <m/>
    <m/>
    <m/>
    <n v="4.2667647514325546"/>
    <n v="4.3011460430540502"/>
    <m/>
    <m/>
  </r>
  <r>
    <x v="1"/>
    <x v="23"/>
    <m/>
    <s v="England, conv"/>
    <m/>
    <s v="UK"/>
    <n v="2012"/>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3.4708843115998147"/>
    <n v="3.5052656032213108"/>
    <m/>
    <m/>
    <m/>
    <m/>
    <m/>
    <m/>
    <m/>
    <m/>
    <m/>
    <m/>
    <m/>
    <m/>
    <m/>
    <n v="3.4708843115998147"/>
    <m/>
    <n v="3.4381291621496057E-2"/>
    <m/>
    <m/>
    <m/>
    <m/>
    <m/>
    <m/>
    <n v="3.4708843115998147"/>
    <n v="3.5052656032213108"/>
    <m/>
    <m/>
  </r>
  <r>
    <x v="1"/>
    <x v="23"/>
    <m/>
    <s v="England, org"/>
    <m/>
    <s v="UK"/>
    <n v="2013"/>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4.3380827009447112"/>
    <n v="4.3724639925662068"/>
    <m/>
    <m/>
    <m/>
    <m/>
    <m/>
    <m/>
    <m/>
    <m/>
    <m/>
    <m/>
    <m/>
    <m/>
    <m/>
    <n v="4.3380827009447112"/>
    <m/>
    <n v="3.4381291621496057E-2"/>
    <m/>
    <m/>
    <m/>
    <m/>
    <m/>
    <m/>
    <n v="4.3380827009447112"/>
    <n v="4.3724639925662068"/>
    <m/>
    <m/>
  </r>
  <r>
    <x v="1"/>
    <x v="23"/>
    <m/>
    <s v="Germany, conv"/>
    <m/>
    <s v="DE"/>
    <n v="2014"/>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3.6697382685457649"/>
    <n v="3.704119560167261"/>
    <m/>
    <m/>
    <m/>
    <m/>
    <m/>
    <m/>
    <m/>
    <m/>
    <m/>
    <m/>
    <m/>
    <m/>
    <m/>
    <n v="3.6697382685457649"/>
    <m/>
    <n v="3.4381291621496057E-2"/>
    <m/>
    <m/>
    <m/>
    <m/>
    <m/>
    <m/>
    <n v="3.6697382685457649"/>
    <n v="3.704119560167261"/>
    <m/>
    <m/>
  </r>
  <r>
    <x v="1"/>
    <x v="23"/>
    <m/>
    <s v="Germany, org"/>
    <m/>
    <s v="DE"/>
    <n v="2015"/>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5.019436270713955"/>
    <n v="5.0538175623354515"/>
    <m/>
    <m/>
    <m/>
    <m/>
    <m/>
    <m/>
    <m/>
    <m/>
    <m/>
    <m/>
    <m/>
    <m/>
    <m/>
    <n v="5.019436270713955"/>
    <m/>
    <n v="3.4381291621496057E-2"/>
    <m/>
    <m/>
    <m/>
    <m/>
    <m/>
    <m/>
    <n v="5.019436270713955"/>
    <n v="5.0538175623354515"/>
    <m/>
    <m/>
  </r>
  <r>
    <x v="1"/>
    <x v="23"/>
    <m/>
    <s v="Denmark, conv"/>
    <m/>
    <s v="DK"/>
    <n v="2016"/>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3.4574105621805797"/>
    <n v="3.4917918538020758"/>
    <m/>
    <m/>
    <m/>
    <m/>
    <m/>
    <m/>
    <m/>
    <m/>
    <m/>
    <m/>
    <m/>
    <m/>
    <m/>
    <n v="3.4574105621805797"/>
    <m/>
    <n v="3.4381291621496057E-2"/>
    <m/>
    <m/>
    <m/>
    <m/>
    <m/>
    <m/>
    <n v="3.4574105621805797"/>
    <n v="3.4917918538020758"/>
    <m/>
    <m/>
  </r>
  <r>
    <x v="1"/>
    <x v="23"/>
    <m/>
    <s v="Denmark, org"/>
    <m/>
    <s v="DK"/>
    <n v="2017"/>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4.0116927365649691"/>
    <n v="4.0460740281864656"/>
    <m/>
    <m/>
    <m/>
    <m/>
    <m/>
    <m/>
    <m/>
    <m/>
    <m/>
    <m/>
    <m/>
    <m/>
    <m/>
    <n v="4.0116927365649691"/>
    <m/>
    <n v="3.4381291621496057E-2"/>
    <m/>
    <m/>
    <m/>
    <m/>
    <m/>
    <m/>
    <n v="4.0116927365649691"/>
    <n v="4.0460740281864656"/>
    <m/>
    <m/>
  </r>
  <r>
    <x v="1"/>
    <x v="23"/>
    <m/>
    <m/>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m/>
    <m/>
    <m/>
    <m/>
    <m/>
    <m/>
    <m/>
    <m/>
    <m/>
    <m/>
    <m/>
    <m/>
    <m/>
    <m/>
    <m/>
    <m/>
    <m/>
    <s v=""/>
    <s v=""/>
    <n v="4.6899999999999995"/>
    <s v=""/>
    <m/>
    <m/>
    <m/>
    <m/>
    <m/>
    <m/>
    <m/>
    <m/>
    <m/>
    <m/>
    <m/>
    <m/>
    <m/>
    <n v="4.6899999999999995"/>
    <m/>
    <m/>
    <m/>
    <m/>
    <m/>
    <m/>
    <m/>
    <m/>
    <n v="4.6899999999999995"/>
    <m/>
    <m/>
    <m/>
  </r>
  <r>
    <x v="3"/>
    <x v="19"/>
    <m/>
    <s v="open field"/>
    <m/>
    <s v="US"/>
    <n v="2012"/>
    <s v="Curtis D. Jones, Clyde W. Fraisse, Monica Ozores-Hampton"/>
    <s v="Department of Agricultural and Biological Engineering, University of Florida, P.O. Box 110570, Gainesville, FL 32611, USA"/>
    <s v="Peer Reviewed Journal"/>
    <s v="Jones, C. D., Fraisse, C. W. and Ozores-Hampton, M., Quantification of greenhouse gas emissions from open field-grown Florida tomato production. Agricultural Systems 2012, 113, 64-72."/>
    <s v="Yes"/>
    <m/>
    <m/>
    <m/>
    <m/>
    <m/>
    <m/>
    <m/>
    <m/>
    <m/>
    <m/>
    <m/>
    <m/>
    <m/>
    <m/>
    <m/>
    <m/>
    <m/>
    <s v=""/>
    <s v=""/>
    <n v="0.2076904761904762"/>
    <s v=""/>
    <m/>
    <m/>
    <m/>
    <m/>
    <m/>
    <m/>
    <m/>
    <m/>
    <m/>
    <m/>
    <m/>
    <m/>
    <m/>
    <n v="0.2076904761904762"/>
    <m/>
    <m/>
    <m/>
    <m/>
    <m/>
    <m/>
    <m/>
    <m/>
    <n v="0.2076904761904762"/>
    <m/>
    <m/>
    <m/>
  </r>
  <r>
    <x v="3"/>
    <x v="19"/>
    <m/>
    <s v="open field"/>
    <m/>
    <s v="US"/>
    <n v="2012"/>
    <s v="Curtis D. Jones, Clyde W. Fraisse, Monica Ozores-Hampton"/>
    <s v="Department of Agricultural and Biological Engineering, University of Florida, P.O. Box 110570, Gainesville, FL 32611, USA"/>
    <s v="Peer Reviewed Journal"/>
    <s v="Jones, C. D., Fraisse, C. W. and Ozores-Hampton, M., Quantification of greenhouse gas emissions from open field-grown Florida tomato production. Agricultural Systems 2012, 113, 64-72."/>
    <s v="Yes"/>
    <m/>
    <m/>
    <m/>
    <m/>
    <m/>
    <m/>
    <m/>
    <m/>
    <m/>
    <m/>
    <m/>
    <m/>
    <m/>
    <m/>
    <m/>
    <m/>
    <m/>
    <s v=""/>
    <s v=""/>
    <n v="0.26697619047619048"/>
    <s v=""/>
    <m/>
    <m/>
    <m/>
    <m/>
    <m/>
    <m/>
    <m/>
    <m/>
    <m/>
    <m/>
    <m/>
    <m/>
    <m/>
    <n v="0.26697619047619048"/>
    <m/>
    <m/>
    <m/>
    <m/>
    <m/>
    <m/>
    <m/>
    <m/>
    <n v="0.26697619047619048"/>
    <m/>
    <m/>
    <m/>
  </r>
  <r>
    <x v="3"/>
    <x v="19"/>
    <m/>
    <s v="open field"/>
    <m/>
    <s v="US"/>
    <n v="2012"/>
    <s v="Curtis D. Jones, Clyde W. Fraisse, Monica Ozores-Hampton"/>
    <s v="Department of Agricultural and Biological Engineering, University of Florida, P.O. Box 110570, Gainesville, FL 32611, USA"/>
    <s v="Peer Reviewed Journal"/>
    <s v="Jones, C. D., Fraisse, C. W. and Ozores-Hampton, M., Quantification of greenhouse gas emissions from open field-grown Florida tomato production. Agricultural Systems 2012, 113, 64-72."/>
    <s v="Yes"/>
    <m/>
    <m/>
    <m/>
    <m/>
    <m/>
    <m/>
    <m/>
    <m/>
    <m/>
    <m/>
    <m/>
    <m/>
    <m/>
    <m/>
    <m/>
    <m/>
    <m/>
    <s v=""/>
    <s v=""/>
    <n v="0.19265476190476191"/>
    <s v=""/>
    <m/>
    <m/>
    <m/>
    <m/>
    <m/>
    <m/>
    <m/>
    <m/>
    <m/>
    <m/>
    <m/>
    <m/>
    <m/>
    <n v="0.19265476190476191"/>
    <m/>
    <m/>
    <m/>
    <m/>
    <m/>
    <m/>
    <m/>
    <m/>
    <n v="0.19265476190476191"/>
    <m/>
    <m/>
    <m/>
  </r>
  <r>
    <x v="3"/>
    <x v="19"/>
    <m/>
    <s v="open field"/>
    <m/>
    <s v="US"/>
    <n v="2012"/>
    <s v="Curtis D. Jones, Clyde W. Fraisse, Monica Ozores-Hampton"/>
    <s v="Department of Agricultural and Biological Engineering, University of Florida, P.O. Box 110570, Gainesville, FL 32611, USA"/>
    <s v="Peer Reviewed Journal"/>
    <s v="Jones, C. D., Fraisse, C. W. and Ozores-Hampton, M., Quantification of greenhouse gas emissions from open field-grown Florida tomato production. Agricultural Systems 2012, 113, 64-72."/>
    <s v="Yes"/>
    <m/>
    <m/>
    <m/>
    <m/>
    <m/>
    <m/>
    <m/>
    <m/>
    <m/>
    <m/>
    <m/>
    <m/>
    <m/>
    <m/>
    <m/>
    <m/>
    <m/>
    <s v=""/>
    <s v=""/>
    <n v="0.21939285714285714"/>
    <s v=""/>
    <m/>
    <m/>
    <m/>
    <m/>
    <m/>
    <m/>
    <m/>
    <m/>
    <m/>
    <m/>
    <m/>
    <m/>
    <m/>
    <n v="0.21939285714285714"/>
    <m/>
    <m/>
    <m/>
    <m/>
    <m/>
    <m/>
    <m/>
    <m/>
    <n v="0.21939285714285714"/>
    <m/>
    <m/>
    <m/>
  </r>
  <r>
    <x v="3"/>
    <x v="18"/>
    <m/>
    <m/>
    <m/>
    <s v="Australia"/>
    <n v="2012"/>
    <s v="Page, G.; Ridoutt, B.; Bellotti, B.,"/>
    <s v="University of Western Sydney, School of Science and Health, Locked Bag 1797, Penrith, NSW 2751, Australia"/>
    <s v="Peer Reviewed Journal"/>
    <s v="Page, G., Ridoutt, B. and Bellotti, B., Carbon and water footprint tradeoffs in fresh tomato production. Journal of Cleaner Production 2012, 32, 219-226."/>
    <m/>
    <m/>
    <m/>
    <m/>
    <m/>
    <m/>
    <m/>
    <m/>
    <m/>
    <m/>
    <m/>
    <m/>
    <m/>
    <m/>
    <m/>
    <m/>
    <m/>
    <m/>
    <s v=""/>
    <s v=""/>
    <n v="0.43"/>
    <s v=""/>
    <m/>
    <m/>
    <m/>
    <m/>
    <m/>
    <m/>
    <m/>
    <m/>
    <m/>
    <m/>
    <m/>
    <m/>
    <m/>
    <n v="0.43"/>
    <m/>
    <m/>
    <m/>
    <n v="0.44"/>
    <m/>
    <n v="0.3"/>
    <m/>
    <m/>
    <n v="0.43"/>
    <n v="1.17"/>
    <m/>
    <m/>
  </r>
  <r>
    <x v="3"/>
    <x v="18"/>
    <m/>
    <m/>
    <m/>
    <s v="Australia"/>
    <n v="2012"/>
    <s v="Page, G.; Ridoutt, B.; Bellotti, B.,"/>
    <s v="University of Western Sydney, School of Science and Health, Locked Bag 1797, Penrith, NSW 2751, Australia"/>
    <s v="Peer Reviewed Journal"/>
    <s v="Page, G., Ridoutt, B. and Bellotti, B., Carbon and water footprint tradeoffs in fresh tomato production. Journal of Cleaner Production 2012, 32, 219-226."/>
    <m/>
    <m/>
    <m/>
    <m/>
    <m/>
    <m/>
    <m/>
    <m/>
    <m/>
    <m/>
    <m/>
    <m/>
    <m/>
    <m/>
    <m/>
    <m/>
    <m/>
    <m/>
    <s v=""/>
    <s v=""/>
    <n v="1.71"/>
    <s v=""/>
    <m/>
    <m/>
    <m/>
    <m/>
    <m/>
    <m/>
    <m/>
    <m/>
    <m/>
    <m/>
    <m/>
    <m/>
    <m/>
    <n v="1.71"/>
    <m/>
    <m/>
    <m/>
    <n v="0.01"/>
    <m/>
    <n v="0.30999999999999983"/>
    <m/>
    <m/>
    <n v="1.71"/>
    <n v="2.0299999999999998"/>
    <m/>
    <m/>
  </r>
  <r>
    <x v="3"/>
    <x v="18"/>
    <m/>
    <m/>
    <m/>
    <s v="Australia"/>
    <n v="2012"/>
    <s v="Page, G.; Ridoutt, B.; Bellotti, B.,"/>
    <s v="University of Western Sydney, School of Science and Health, Locked Bag 1797, Penrith, NSW 2751, Australia"/>
    <s v="Peer Reviewed Journal"/>
    <s v="Page, G., Ridoutt, B. and Bellotti, B., Carbon and water footprint tradeoffs in fresh tomato production. Journal of Cleaner Production 2012, 32, 219-226."/>
    <m/>
    <m/>
    <m/>
    <m/>
    <m/>
    <m/>
    <m/>
    <m/>
    <m/>
    <m/>
    <m/>
    <m/>
    <m/>
    <m/>
    <m/>
    <m/>
    <m/>
    <m/>
    <s v=""/>
    <s v=""/>
    <n v="1.86"/>
    <s v=""/>
    <m/>
    <m/>
    <m/>
    <m/>
    <m/>
    <m/>
    <m/>
    <m/>
    <m/>
    <m/>
    <m/>
    <m/>
    <m/>
    <n v="1.86"/>
    <m/>
    <m/>
    <m/>
    <n v="1.97"/>
    <m/>
    <n v="0.30999999999999983"/>
    <m/>
    <m/>
    <n v="1.86"/>
    <n v="4.1399999999999997"/>
    <m/>
    <m/>
  </r>
  <r>
    <x v="3"/>
    <x v="19"/>
    <m/>
    <s v="open field"/>
    <m/>
    <s v="Australia"/>
    <n v="2012"/>
    <s v="Page, G.; Ridoutt, B.; Bellotti, B.,"/>
    <s v="University of Western Sydney, School of Science and Health, Locked Bag 1797, Penrith, NSW 2751, Australia"/>
    <s v="Peer Reviewed Journal"/>
    <s v="Page, G., Ridoutt, B. and Bellotti, B., Carbon and water footprint tradeoffs in fresh tomato production. Journal of Cleaner Production 2012, 32, 219-226."/>
    <m/>
    <m/>
    <m/>
    <m/>
    <m/>
    <m/>
    <m/>
    <m/>
    <m/>
    <m/>
    <m/>
    <m/>
    <m/>
    <m/>
    <m/>
    <m/>
    <m/>
    <m/>
    <s v=""/>
    <s v=""/>
    <n v="0.3"/>
    <s v=""/>
    <m/>
    <m/>
    <m/>
    <m/>
    <m/>
    <m/>
    <m/>
    <m/>
    <m/>
    <m/>
    <m/>
    <m/>
    <m/>
    <n v="0.3"/>
    <m/>
    <m/>
    <m/>
    <n v="0.36000000000000004"/>
    <m/>
    <n v="0.30999999999999994"/>
    <m/>
    <m/>
    <n v="0.3"/>
    <n v="0.97"/>
    <m/>
    <m/>
  </r>
  <r>
    <x v="3"/>
    <x v="18"/>
    <m/>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m/>
    <m/>
    <m/>
    <m/>
    <m/>
    <m/>
    <m/>
    <m/>
    <m/>
    <m/>
    <m/>
    <m/>
    <m/>
    <m/>
    <m/>
    <m/>
    <m/>
    <m/>
    <s v=""/>
    <s v=""/>
    <n v="2.1"/>
    <s v=""/>
    <m/>
    <m/>
    <m/>
    <m/>
    <m/>
    <m/>
    <m/>
    <m/>
    <m/>
    <m/>
    <m/>
    <m/>
    <m/>
    <n v="2.1"/>
    <m/>
    <m/>
    <m/>
    <n v="0.1"/>
    <m/>
    <m/>
    <m/>
    <m/>
    <n v="2.1"/>
    <m/>
    <m/>
    <m/>
  </r>
  <r>
    <x v="3"/>
    <x v="19"/>
    <m/>
    <s v="protected"/>
    <m/>
    <s v="Spain"/>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m/>
    <m/>
    <m/>
    <m/>
    <m/>
    <m/>
    <m/>
    <m/>
    <m/>
    <m/>
    <m/>
    <m/>
    <m/>
    <m/>
    <m/>
    <m/>
    <m/>
    <m/>
    <s v=""/>
    <s v=""/>
    <n v="0.3"/>
    <s v=""/>
    <m/>
    <m/>
    <m/>
    <m/>
    <m/>
    <m/>
    <m/>
    <m/>
    <m/>
    <m/>
    <m/>
    <m/>
    <m/>
    <n v="0.3"/>
    <m/>
    <m/>
    <m/>
    <n v="0.3"/>
    <m/>
    <m/>
    <m/>
    <m/>
    <n v="0.3"/>
    <n v="0.6"/>
    <m/>
    <m/>
  </r>
  <r>
    <x v="3"/>
    <x v="19"/>
    <m/>
    <s v="protected"/>
    <m/>
    <s v="Spain"/>
    <n v="2012"/>
    <s v="Torrellas, M.; Antón, A.; López, J. C.; Baeza, E. J.; Parra, J. P.; Muñoz, P.; Montero, J. I"/>
    <s v="IRTA (Research and Technology Food and Agriculture), Ctra. de Cabrils, km 2, 08348 Cabrils Barcelona, Spain"/>
    <s v="Peer Reviewed Journal"/>
    <s v="Torrellas, M., Antón, A., López, J. C., Baeza, E. J., Parra, J. P., Muñoz, P. and Montero, J. I., LCA of a tomato crop in a multi-tunnel greenhouse in Almeria. The International Journal of Life Cycle Assessment 2012, 17 (7), 863-875."/>
    <m/>
    <m/>
    <m/>
    <m/>
    <m/>
    <m/>
    <m/>
    <m/>
    <m/>
    <m/>
    <m/>
    <m/>
    <m/>
    <m/>
    <m/>
    <m/>
    <m/>
    <m/>
    <s v=""/>
    <s v=""/>
    <n v="0.25"/>
    <s v=""/>
    <m/>
    <m/>
    <m/>
    <m/>
    <m/>
    <m/>
    <m/>
    <m/>
    <m/>
    <m/>
    <m/>
    <m/>
    <m/>
    <n v="0.25"/>
    <m/>
    <m/>
    <m/>
    <m/>
    <m/>
    <m/>
    <m/>
    <m/>
    <n v="0.25"/>
    <m/>
    <m/>
    <m/>
  </r>
  <r>
    <x v="3"/>
    <x v="19"/>
    <m/>
    <s v="protected"/>
    <m/>
    <s v="Morocco"/>
    <n v="2015"/>
    <s v="Payen, S.; Basset-Mens, C.; Perret, S.,"/>
    <s v="ADEME, (Agence de l'Environnement et de la Maîtrise de l'Energie), 20 avenue du Gr_x0001_esill_x0001_e e BP 90406, 49004 Angers, France"/>
    <s v="Peer Reviewed Journal"/>
    <s v="Payen, S., Basset-Mens, C. and Perret, S., LCA of local and imported tomato: an energy and water trade-off. Journal of Cleaner Production 2015, 87, 139-148."/>
    <m/>
    <m/>
    <m/>
    <m/>
    <m/>
    <m/>
    <m/>
    <m/>
    <m/>
    <m/>
    <m/>
    <m/>
    <m/>
    <m/>
    <m/>
    <m/>
    <m/>
    <m/>
    <s v=""/>
    <s v=""/>
    <n v="0.21500000000000002"/>
    <s v=""/>
    <m/>
    <m/>
    <m/>
    <m/>
    <m/>
    <m/>
    <m/>
    <m/>
    <m/>
    <m/>
    <m/>
    <m/>
    <m/>
    <n v="0.21500000000000002"/>
    <m/>
    <m/>
    <n v="9.0999999999999998E-2"/>
    <n v="0.24"/>
    <m/>
    <m/>
    <m/>
    <m/>
    <n v="0.21500000000000002"/>
    <n v="0.54600000000000004"/>
    <m/>
    <m/>
  </r>
  <r>
    <x v="3"/>
    <x v="18"/>
    <m/>
    <s v="Fresh Vine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0699999999999998"/>
    <s v=""/>
    <m/>
    <m/>
    <m/>
    <m/>
    <m/>
    <m/>
    <m/>
    <m/>
    <m/>
    <m/>
    <m/>
    <m/>
    <m/>
    <n v="2.0699999999999998"/>
    <m/>
    <m/>
    <m/>
    <m/>
    <m/>
    <m/>
    <m/>
    <m/>
    <n v="2.0699999999999998"/>
    <m/>
    <m/>
    <m/>
  </r>
  <r>
    <x v="3"/>
    <x v="18"/>
    <m/>
    <s v="Fresh Bulk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1.81"/>
    <s v=""/>
    <m/>
    <m/>
    <m/>
    <m/>
    <m/>
    <m/>
    <m/>
    <m/>
    <m/>
    <m/>
    <m/>
    <m/>
    <m/>
    <n v="1.81"/>
    <m/>
    <m/>
    <m/>
    <m/>
    <m/>
    <m/>
    <m/>
    <m/>
    <n v="1.81"/>
    <m/>
    <m/>
    <m/>
  </r>
  <r>
    <x v="3"/>
    <x v="18"/>
    <m/>
    <s v="Fresh Vine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1"/>
    <s v=""/>
    <m/>
    <m/>
    <m/>
    <m/>
    <m/>
    <m/>
    <m/>
    <m/>
    <m/>
    <m/>
    <m/>
    <m/>
    <m/>
    <n v="2.1"/>
    <m/>
    <m/>
    <m/>
    <m/>
    <m/>
    <m/>
    <m/>
    <m/>
    <n v="2.1"/>
    <m/>
    <m/>
    <m/>
  </r>
  <r>
    <x v="3"/>
    <x v="18"/>
    <m/>
    <s v="Fresh Bulk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06"/>
    <s v=""/>
    <m/>
    <m/>
    <m/>
    <m/>
    <m/>
    <m/>
    <m/>
    <m/>
    <m/>
    <m/>
    <m/>
    <m/>
    <m/>
    <n v="2.06"/>
    <m/>
    <m/>
    <m/>
    <m/>
    <m/>
    <m/>
    <m/>
    <m/>
    <n v="2.06"/>
    <m/>
    <m/>
    <m/>
  </r>
  <r>
    <x v="3"/>
    <x v="18"/>
    <m/>
    <s v="Fresh Vine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1.86"/>
    <s v=""/>
    <m/>
    <m/>
    <m/>
    <m/>
    <m/>
    <m/>
    <m/>
    <m/>
    <m/>
    <m/>
    <m/>
    <m/>
    <m/>
    <n v="1.86"/>
    <m/>
    <m/>
    <m/>
    <m/>
    <m/>
    <m/>
    <m/>
    <m/>
    <n v="1.86"/>
    <m/>
    <m/>
    <m/>
  </r>
  <r>
    <x v="3"/>
    <x v="18"/>
    <m/>
    <s v="Fresh Bulk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1.62"/>
    <s v=""/>
    <m/>
    <m/>
    <m/>
    <m/>
    <m/>
    <m/>
    <m/>
    <m/>
    <m/>
    <m/>
    <m/>
    <m/>
    <m/>
    <n v="1.62"/>
    <m/>
    <m/>
    <m/>
    <m/>
    <m/>
    <m/>
    <m/>
    <m/>
    <n v="1.62"/>
    <m/>
    <m/>
    <m/>
  </r>
  <r>
    <x v="3"/>
    <x v="18"/>
    <m/>
    <s v="Fresh Vine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36"/>
    <s v=""/>
    <m/>
    <m/>
    <m/>
    <m/>
    <m/>
    <m/>
    <m/>
    <m/>
    <m/>
    <m/>
    <m/>
    <m/>
    <m/>
    <n v="2.36"/>
    <m/>
    <m/>
    <m/>
    <m/>
    <m/>
    <m/>
    <m/>
    <m/>
    <n v="2.36"/>
    <m/>
    <m/>
    <m/>
  </r>
  <r>
    <x v="3"/>
    <x v="18"/>
    <m/>
    <s v="Fresh Bulk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31"/>
    <s v=""/>
    <m/>
    <m/>
    <m/>
    <m/>
    <m/>
    <m/>
    <m/>
    <m/>
    <m/>
    <m/>
    <m/>
    <m/>
    <m/>
    <n v="2.31"/>
    <m/>
    <m/>
    <m/>
    <m/>
    <m/>
    <m/>
    <m/>
    <m/>
    <n v="2.31"/>
    <m/>
    <m/>
    <m/>
  </r>
  <r>
    <x v="3"/>
    <x v="19"/>
    <m/>
    <s v="Fresh tomatoes, protected"/>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0.50800000000000001"/>
    <s v=""/>
    <m/>
    <m/>
    <m/>
    <m/>
    <m/>
    <m/>
    <m/>
    <m/>
    <m/>
    <m/>
    <m/>
    <m/>
    <m/>
    <n v="0.50800000000000001"/>
    <m/>
    <m/>
    <m/>
    <m/>
    <m/>
    <m/>
    <m/>
    <m/>
    <n v="0.50800000000000001"/>
    <m/>
    <m/>
    <m/>
  </r>
  <r>
    <x v="7"/>
    <x v="225"/>
    <m/>
    <m/>
    <m/>
    <m/>
    <n v="2005"/>
    <s v="Aranda et al. (2005)"/>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3333333333333331"/>
    <n v="0.71972789115646263"/>
    <m/>
    <m/>
    <m/>
    <m/>
    <m/>
    <m/>
    <m/>
    <m/>
    <m/>
    <m/>
    <m/>
    <m/>
    <m/>
    <n v="0.33333333333333331"/>
    <m/>
    <n v="0.38639455782312926"/>
    <s v=""/>
    <n v="0.35374149659863946"/>
    <s v=""/>
    <m/>
    <s v=""/>
    <m/>
    <n v="0.33333333333333331"/>
    <n v="1.073469387755102"/>
    <m/>
    <m/>
  </r>
  <r>
    <x v="7"/>
    <x v="225"/>
    <m/>
    <m/>
    <m/>
    <m/>
    <n v="2006"/>
    <s v="Ardente et al. (2006)"/>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1088435374149658"/>
    <n v="0.69523809523809521"/>
    <m/>
    <m/>
    <m/>
    <m/>
    <m/>
    <m/>
    <m/>
    <m/>
    <m/>
    <m/>
    <m/>
    <m/>
    <m/>
    <n v="0.21088435374149658"/>
    <m/>
    <n v="0.48435374149659866"/>
    <n v="1.361904761904762"/>
    <n v="0.18367346938775511"/>
    <s v=""/>
    <m/>
    <s v=""/>
    <m/>
    <n v="0.21088435374149658"/>
    <n v="2.2408163265306125"/>
    <m/>
    <m/>
  </r>
  <r>
    <x v="7"/>
    <x v="225"/>
    <m/>
    <m/>
    <m/>
    <m/>
    <n v="2011"/>
    <s v="Barry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9.6598639455782315E-2"/>
    <n v="0.23129251700680273"/>
    <m/>
    <m/>
    <m/>
    <m/>
    <m/>
    <m/>
    <m/>
    <m/>
    <m/>
    <m/>
    <m/>
    <m/>
    <m/>
    <n v="9.6598639455782315E-2"/>
    <m/>
    <n v="0.13469387755102041"/>
    <n v="0.92108843537414975"/>
    <n v="0.67210884353741496"/>
    <s v=""/>
    <m/>
    <n v="9.6598639455782315E-2"/>
    <m/>
    <n v="9.6598639455782315E-2"/>
    <n v="1.9183673469387754"/>
    <m/>
    <m/>
  </r>
  <r>
    <x v="7"/>
    <x v="225"/>
    <m/>
    <m/>
    <m/>
    <m/>
    <n v="2011"/>
    <s v="Barry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11700680272108842"/>
    <n v="0.17551020408163262"/>
    <m/>
    <m/>
    <m/>
    <m/>
    <m/>
    <m/>
    <m/>
    <m/>
    <m/>
    <m/>
    <m/>
    <m/>
    <m/>
    <n v="0.11700680272108842"/>
    <m/>
    <n v="5.8503401360544209E-2"/>
    <n v="1.0122448979591838"/>
    <n v="0.64217687074829921"/>
    <s v=""/>
    <m/>
    <n v="0.11700680272108842"/>
    <m/>
    <n v="0.11700680272108842"/>
    <n v="1.9455782312925169"/>
    <m/>
    <m/>
  </r>
  <r>
    <x v="7"/>
    <x v="225"/>
    <m/>
    <m/>
    <m/>
    <m/>
    <n v="2010"/>
    <s v="Benedetto (2010)"/>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96326530612244898"/>
    <n v="0.96734693877551026"/>
    <m/>
    <m/>
    <m/>
    <m/>
    <m/>
    <m/>
    <m/>
    <m/>
    <m/>
    <m/>
    <m/>
    <m/>
    <m/>
    <n v="0.96326530612244898"/>
    <m/>
    <n v="4.081632653061224E-3"/>
    <n v="1.2666666666666668"/>
    <s v=""/>
    <s v=""/>
    <m/>
    <s v=""/>
    <m/>
    <n v="0.96326530612244898"/>
    <n v="2.2340136054421769"/>
    <m/>
    <m/>
  </r>
  <r>
    <x v="7"/>
    <x v="225"/>
    <m/>
    <m/>
    <m/>
    <m/>
    <n v="2011"/>
    <s v="Bosco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4897959183673469"/>
    <n v="0.7482993197278911"/>
    <m/>
    <m/>
    <m/>
    <m/>
    <m/>
    <m/>
    <m/>
    <m/>
    <m/>
    <m/>
    <m/>
    <m/>
    <m/>
    <n v="0.44897959183673469"/>
    <m/>
    <n v="0.29931972789115646"/>
    <n v="0.62585034013605445"/>
    <n v="5.4421768707482998E-2"/>
    <s v=""/>
    <m/>
    <n v="4.0816326530612242E-2"/>
    <m/>
    <n v="0.44897959183673469"/>
    <n v="1.4693877551020409"/>
    <m/>
    <m/>
  </r>
  <r>
    <x v="7"/>
    <x v="225"/>
    <m/>
    <m/>
    <m/>
    <m/>
    <n v="2011"/>
    <s v="Bosco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9931972789115646"/>
    <n v="0.35374149659863946"/>
    <m/>
    <m/>
    <m/>
    <m/>
    <m/>
    <m/>
    <m/>
    <m/>
    <m/>
    <m/>
    <m/>
    <m/>
    <m/>
    <n v="0.29931972789115646"/>
    <m/>
    <n v="5.4421768707482998E-2"/>
    <n v="0.73469387755102045"/>
    <n v="0.59863945578231292"/>
    <s v=""/>
    <m/>
    <n v="4.0816326530612242E-2"/>
    <m/>
    <n v="0.29931972789115646"/>
    <n v="1.7278911564625852"/>
    <m/>
    <m/>
  </r>
  <r>
    <x v="7"/>
    <x v="225"/>
    <m/>
    <m/>
    <m/>
    <m/>
    <n v="2011"/>
    <s v="Bosco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16326530612244899"/>
    <n v="0.2857142857142857"/>
    <m/>
    <m/>
    <m/>
    <m/>
    <m/>
    <m/>
    <m/>
    <m/>
    <m/>
    <m/>
    <m/>
    <m/>
    <m/>
    <n v="0.16326530612244899"/>
    <m/>
    <n v="0.12244897959183673"/>
    <n v="0.43537414965986398"/>
    <n v="0.12244897959183673"/>
    <s v=""/>
    <m/>
    <n v="2.7210884353741499E-2"/>
    <m/>
    <n v="0.16326530612244899"/>
    <n v="0.87074829931972797"/>
    <m/>
    <m/>
  </r>
  <r>
    <x v="7"/>
    <x v="225"/>
    <m/>
    <m/>
    <m/>
    <m/>
    <n v="2011"/>
    <s v="Bosco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5850340136054417"/>
    <n v="0.32653061224489788"/>
    <m/>
    <m/>
    <m/>
    <m/>
    <m/>
    <m/>
    <m/>
    <m/>
    <m/>
    <m/>
    <m/>
    <m/>
    <m/>
    <n v="0.25850340136054417"/>
    <m/>
    <n v="6.8027210884353734E-2"/>
    <n v="0.82993197278911568"/>
    <n v="2.7210884353741499E-2"/>
    <s v=""/>
    <m/>
    <n v="4.0816326530612242E-2"/>
    <m/>
    <n v="0.25850340136054417"/>
    <n v="1.2244897959183676"/>
    <m/>
    <m/>
  </r>
  <r>
    <x v="7"/>
    <x v="225"/>
    <m/>
    <m/>
    <m/>
    <m/>
    <n v="2009"/>
    <s v="Carta (2009), in: Vázquez-Rowe et al. (2013)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7755102040816327"/>
    <n v="0.66802721088435379"/>
    <m/>
    <m/>
    <m/>
    <m/>
    <m/>
    <m/>
    <m/>
    <m/>
    <m/>
    <m/>
    <m/>
    <m/>
    <m/>
    <n v="0.47755102040816327"/>
    <m/>
    <n v="0.19047619047619052"/>
    <n v="0.38095238095238104"/>
    <s v=""/>
    <s v=""/>
    <m/>
    <s v=""/>
    <m/>
    <n v="0.47755102040816327"/>
    <n v="1.0489795918367348"/>
    <m/>
    <m/>
  </r>
  <r>
    <x v="7"/>
    <x v="225"/>
    <m/>
    <m/>
    <m/>
    <m/>
    <n v="2009"/>
    <s v="Carta (2009), in: Vázquez-Rowe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8979591836734697"/>
    <n v="0.69115646258503394"/>
    <m/>
    <m/>
    <m/>
    <m/>
    <m/>
    <m/>
    <m/>
    <m/>
    <m/>
    <m/>
    <m/>
    <m/>
    <m/>
    <n v="0.28979591836734697"/>
    <m/>
    <n v="0.40136054421768702"/>
    <n v="0.45442176870748302"/>
    <s v=""/>
    <s v=""/>
    <m/>
    <s v=""/>
    <m/>
    <n v="0.28979591836734697"/>
    <n v="1.1455782312925169"/>
    <m/>
    <m/>
  </r>
  <r>
    <x v="7"/>
    <x v="225"/>
    <m/>
    <m/>
    <m/>
    <m/>
    <n v="2008"/>
    <s v="CIV (2008)"/>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17687074829932"/>
    <n v="0.57551020408163267"/>
    <m/>
    <m/>
    <m/>
    <m/>
    <m/>
    <m/>
    <m/>
    <m/>
    <m/>
    <m/>
    <m/>
    <m/>
    <m/>
    <n v="0.417687074829932"/>
    <m/>
    <n v="0.15782312925170067"/>
    <n v="0.8013605442176871"/>
    <n v="0.91292517006802731"/>
    <s v=""/>
    <m/>
    <s v=""/>
    <m/>
    <n v="0.417687074829932"/>
    <n v="2.2884353741496599"/>
    <m/>
    <m/>
  </r>
  <r>
    <x v="7"/>
    <x v="225"/>
    <m/>
    <m/>
    <m/>
    <m/>
    <n v="2009"/>
    <s v="Colman and Päster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s v=""/>
    <m/>
    <m/>
    <m/>
    <m/>
    <m/>
    <m/>
    <m/>
    <m/>
    <m/>
    <m/>
    <m/>
    <m/>
    <m/>
    <s v=""/>
    <m/>
    <s v=""/>
    <s v=""/>
    <s v=""/>
    <s v=""/>
    <m/>
    <s v=""/>
    <m/>
    <s v=""/>
    <n v="3.1292517006802716"/>
    <m/>
    <m/>
  </r>
  <r>
    <x v="7"/>
    <x v="225"/>
    <m/>
    <m/>
    <m/>
    <m/>
    <n v="2009"/>
    <s v="Colman and Päster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s v=""/>
    <m/>
    <m/>
    <m/>
    <m/>
    <m/>
    <m/>
    <m/>
    <m/>
    <m/>
    <m/>
    <m/>
    <m/>
    <m/>
    <s v=""/>
    <m/>
    <s v=""/>
    <s v=""/>
    <s v=""/>
    <s v=""/>
    <m/>
    <s v=""/>
    <m/>
    <s v=""/>
    <n v="3.1292517006802716"/>
    <m/>
    <m/>
  </r>
  <r>
    <x v="7"/>
    <x v="225"/>
    <m/>
    <m/>
    <m/>
    <m/>
    <n v="2009"/>
    <s v="Colman and Päster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s v=""/>
    <m/>
    <m/>
    <m/>
    <m/>
    <m/>
    <m/>
    <m/>
    <m/>
    <m/>
    <m/>
    <m/>
    <m/>
    <m/>
    <s v=""/>
    <m/>
    <s v=""/>
    <s v=""/>
    <s v=""/>
    <s v=""/>
    <m/>
    <s v=""/>
    <m/>
    <s v=""/>
    <n v="2.8843537414965992"/>
    <m/>
    <m/>
  </r>
  <r>
    <x v="7"/>
    <x v="225"/>
    <m/>
    <m/>
    <m/>
    <m/>
    <n v="2009"/>
    <s v="Colman and Päster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s v=""/>
    <m/>
    <m/>
    <m/>
    <m/>
    <m/>
    <m/>
    <m/>
    <m/>
    <m/>
    <m/>
    <m/>
    <m/>
    <m/>
    <s v=""/>
    <m/>
    <s v=""/>
    <s v=""/>
    <s v=""/>
    <s v=""/>
    <m/>
    <s v=""/>
    <m/>
    <s v=""/>
    <n v="3.0340136054421771"/>
    <m/>
    <m/>
  </r>
  <r>
    <x v="7"/>
    <x v="225"/>
    <m/>
    <m/>
    <m/>
    <m/>
    <n v="2010"/>
    <s v="Gazulla et al. (2010)"/>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8435374149659867"/>
    <n v="0.83673469387755106"/>
    <m/>
    <m/>
    <m/>
    <m/>
    <m/>
    <m/>
    <m/>
    <m/>
    <m/>
    <m/>
    <m/>
    <m/>
    <m/>
    <n v="0.68435374149659867"/>
    <m/>
    <n v="0.15238095238095239"/>
    <n v="0.43401360544217688"/>
    <n v="0.10340136054421768"/>
    <s v=""/>
    <m/>
    <s v=""/>
    <m/>
    <n v="0.68435374149659867"/>
    <n v="1.3741496598639455"/>
    <m/>
    <m/>
  </r>
  <r>
    <x v="7"/>
    <x v="225"/>
    <m/>
    <m/>
    <m/>
    <m/>
    <n v="2010"/>
    <s v="Gazulla et al. (2010)"/>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8435374149659867"/>
    <n v="0.83673469387755106"/>
    <m/>
    <m/>
    <m/>
    <m/>
    <m/>
    <m/>
    <m/>
    <m/>
    <m/>
    <m/>
    <m/>
    <m/>
    <m/>
    <n v="0.68435374149659867"/>
    <m/>
    <n v="0.15238095238095239"/>
    <n v="0.43401360544217688"/>
    <n v="0.21904761904761905"/>
    <s v=""/>
    <m/>
    <s v=""/>
    <m/>
    <n v="0.68435374149659867"/>
    <n v="1.489795918367347"/>
    <m/>
    <m/>
  </r>
  <r>
    <x v="7"/>
    <x v="225"/>
    <m/>
    <m/>
    <m/>
    <m/>
    <n v="2006"/>
    <s v="Gonzalez et al. (2006)"/>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9782312925170067"/>
    <n v="4.5605442176870747"/>
    <m/>
    <m/>
    <m/>
    <m/>
    <m/>
    <m/>
    <m/>
    <m/>
    <m/>
    <m/>
    <m/>
    <m/>
    <m/>
    <n v="1.9782312925170067"/>
    <m/>
    <n v="2.5823129251700681"/>
    <n v="0.77551020408163263"/>
    <n v="0.80544217687074826"/>
    <s v=""/>
    <m/>
    <s v=""/>
    <m/>
    <n v="1.9782312925170067"/>
    <n v="6.1414965986394563"/>
    <m/>
    <m/>
  </r>
  <r>
    <x v="7"/>
    <x v="225"/>
    <m/>
    <m/>
    <m/>
    <m/>
    <n v="2011"/>
    <s v="Greenhaigh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4421768707482991"/>
    <n v="0.66394557823129252"/>
    <m/>
    <m/>
    <m/>
    <m/>
    <m/>
    <m/>
    <m/>
    <m/>
    <m/>
    <m/>
    <m/>
    <m/>
    <m/>
    <n v="0.34421768707482991"/>
    <m/>
    <n v="0.31972789115646261"/>
    <n v="0.62312925170068034"/>
    <n v="0.36734693877551022"/>
    <n v="3.6734693877551024E-2"/>
    <m/>
    <s v=""/>
    <m/>
    <n v="0.34421768707482991"/>
    <n v="1.6911564625850344"/>
    <m/>
    <m/>
  </r>
  <r>
    <x v="7"/>
    <x v="225"/>
    <m/>
    <m/>
    <m/>
    <m/>
    <n v="2009"/>
    <s v="Kavargiris et al.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8163265306122448"/>
    <s v=""/>
    <m/>
    <m/>
    <m/>
    <m/>
    <m/>
    <m/>
    <m/>
    <m/>
    <m/>
    <m/>
    <m/>
    <m/>
    <m/>
    <n v="0.28163265306122448"/>
    <m/>
    <s v=""/>
    <s v=""/>
    <s v=""/>
    <s v=""/>
    <m/>
    <s v=""/>
    <m/>
    <n v="0.28163265306122448"/>
    <s v=""/>
    <m/>
    <m/>
  </r>
  <r>
    <x v="7"/>
    <x v="225"/>
    <m/>
    <m/>
    <m/>
    <m/>
    <n v="2009"/>
    <s v="Kavargiris et al.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
    <s v=""/>
    <m/>
    <m/>
    <m/>
    <m/>
    <m/>
    <m/>
    <m/>
    <m/>
    <m/>
    <m/>
    <m/>
    <m/>
    <m/>
    <n v="0.2"/>
    <m/>
    <s v=""/>
    <s v=""/>
    <s v=""/>
    <s v=""/>
    <m/>
    <s v=""/>
    <m/>
    <n v="0.2"/>
    <s v=""/>
    <m/>
    <m/>
  </r>
  <r>
    <x v="7"/>
    <x v="225"/>
    <m/>
    <m/>
    <m/>
    <m/>
    <n v="2013"/>
    <s v="Neto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2.7210884353741496"/>
    <n v="3.3197278911564627"/>
    <m/>
    <m/>
    <m/>
    <m/>
    <m/>
    <m/>
    <m/>
    <m/>
    <m/>
    <m/>
    <m/>
    <m/>
    <m/>
    <n v="2.7210884353741496"/>
    <m/>
    <n v="0.59863945578231292"/>
    <n v="0.32653061224489793"/>
    <n v="0.31564625850340133"/>
    <s v=""/>
    <m/>
    <s v=""/>
    <m/>
    <n v="2.7210884353741496"/>
    <n v="3.961904761904762"/>
    <m/>
    <m/>
  </r>
  <r>
    <x v="7"/>
    <x v="225"/>
    <m/>
    <m/>
    <m/>
    <m/>
    <n v="2012"/>
    <s v="Pattara et al.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6.1224489795918366E-2"/>
    <n v="8.8435374149659865E-2"/>
    <m/>
    <m/>
    <m/>
    <m/>
    <m/>
    <m/>
    <m/>
    <m/>
    <m/>
    <m/>
    <m/>
    <m/>
    <m/>
    <n v="6.1224489795918366E-2"/>
    <m/>
    <n v="2.7210884353741499E-2"/>
    <n v="1.5482993197278909"/>
    <n v="0.11700680272108842"/>
    <s v=""/>
    <m/>
    <s v=""/>
    <m/>
    <n v="6.1224489795918366E-2"/>
    <n v="1.7537414965986393"/>
    <m/>
    <m/>
  </r>
  <r>
    <x v="7"/>
    <x v="225"/>
    <m/>
    <m/>
    <m/>
    <m/>
    <n v="2006"/>
    <s v="Petti et al. (2006)"/>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8.0272108843537401E-2"/>
    <s v=""/>
    <m/>
    <m/>
    <m/>
    <m/>
    <m/>
    <m/>
    <m/>
    <m/>
    <m/>
    <m/>
    <m/>
    <m/>
    <m/>
    <n v="8.0272108843537401E-2"/>
    <m/>
    <s v=""/>
    <n v="1.0721088435374151"/>
    <n v="0.4285714285714286"/>
    <s v=""/>
    <m/>
    <s v=""/>
    <m/>
    <n v="8.0272108843537401E-2"/>
    <n v="1.5809523809523811"/>
    <m/>
    <m/>
  </r>
  <r>
    <x v="7"/>
    <x v="225"/>
    <m/>
    <m/>
    <m/>
    <m/>
    <n v="2008"/>
    <s v="Pizzigallo et al. (2008)"/>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9.6598639455782315E-2"/>
    <n v="0.13605442176870747"/>
    <m/>
    <m/>
    <m/>
    <m/>
    <m/>
    <m/>
    <m/>
    <m/>
    <m/>
    <m/>
    <m/>
    <m/>
    <m/>
    <n v="9.6598639455782315E-2"/>
    <m/>
    <n v="3.9455782312925167E-2"/>
    <n v="0.33877551020408164"/>
    <s v=""/>
    <s v=""/>
    <m/>
    <n v="1.6326530612244896E-2"/>
    <m/>
    <n v="9.6598639455782315E-2"/>
    <n v="0.48979591836734693"/>
    <m/>
    <m/>
  </r>
  <r>
    <x v="7"/>
    <x v="225"/>
    <m/>
    <m/>
    <m/>
    <m/>
    <n v="2008"/>
    <s v="Pizzigallo et al. (2008)"/>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2176870748299311"/>
    <n v="0.45986394557823118"/>
    <m/>
    <m/>
    <m/>
    <m/>
    <m/>
    <m/>
    <m/>
    <m/>
    <m/>
    <m/>
    <m/>
    <m/>
    <m/>
    <n v="0.42176870748299311"/>
    <m/>
    <n v="3.8095238095238099E-2"/>
    <n v="0.50340136054421769"/>
    <s v=""/>
    <s v=""/>
    <m/>
    <n v="2.4489795918367346E-2"/>
    <m/>
    <n v="0.42176870748299311"/>
    <n v="0.9877551020408164"/>
    <m/>
    <m/>
  </r>
  <r>
    <x v="7"/>
    <x v="225"/>
    <m/>
    <m/>
    <m/>
    <m/>
    <n v="2012"/>
    <s v="Point et al.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1170068027210884"/>
    <n v="1.5755102040816327"/>
    <m/>
    <m/>
    <m/>
    <m/>
    <m/>
    <m/>
    <m/>
    <m/>
    <m/>
    <m/>
    <m/>
    <m/>
    <m/>
    <n v="1.1170068027210884"/>
    <m/>
    <n v="0.45850340136054429"/>
    <n v="0.59047619047619049"/>
    <n v="0.53605442176870755"/>
    <n v="1.6367346938775513"/>
    <m/>
    <n v="5.1700680272108841E-2"/>
    <m/>
    <n v="1.1170068027210884"/>
    <n v="4.389115646258503"/>
    <m/>
    <m/>
  </r>
  <r>
    <x v="7"/>
    <x v="225"/>
    <m/>
    <m/>
    <m/>
    <m/>
    <n v="2009"/>
    <s v="Rugani et al.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2585034013605434"/>
    <n v="0.68979591836734688"/>
    <m/>
    <m/>
    <m/>
    <m/>
    <m/>
    <m/>
    <m/>
    <m/>
    <m/>
    <m/>
    <m/>
    <m/>
    <m/>
    <n v="0.62585034013605434"/>
    <m/>
    <n v="6.3945578231292516E-2"/>
    <n v="0.36870748299319733"/>
    <s v=""/>
    <s v=""/>
    <m/>
    <s v=""/>
    <m/>
    <n v="0.62585034013605434"/>
    <n v="1.0598639455782313"/>
    <m/>
    <m/>
  </r>
  <r>
    <x v="7"/>
    <x v="225"/>
    <m/>
    <m/>
    <m/>
    <m/>
    <n v="2004"/>
    <s v="SAWIA (2004)"/>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1904761904761905"/>
    <n v="0.472108843537415"/>
    <m/>
    <m/>
    <m/>
    <m/>
    <m/>
    <m/>
    <m/>
    <m/>
    <m/>
    <m/>
    <m/>
    <m/>
    <m/>
    <n v="0.21904761904761905"/>
    <m/>
    <n v="0.25306122448979596"/>
    <n v="7.6190476190476197E-2"/>
    <s v=""/>
    <s v=""/>
    <m/>
    <s v=""/>
    <m/>
    <n v="0.21904761904761905"/>
    <n v="0.5496598639455782"/>
    <m/>
    <m/>
  </r>
  <r>
    <x v="7"/>
    <x v="225"/>
    <m/>
    <m/>
    <m/>
    <m/>
    <n v="2010"/>
    <s v="Soja et al. (2010)"/>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2789115646258506"/>
    <n v="1.1265306122448979"/>
    <m/>
    <m/>
    <m/>
    <m/>
    <m/>
    <m/>
    <m/>
    <m/>
    <m/>
    <m/>
    <m/>
    <m/>
    <m/>
    <n v="0.72789115646258506"/>
    <m/>
    <n v="0.39863945578231291"/>
    <n v="0.91564625850340153"/>
    <n v="0.28163265306122448"/>
    <s v=""/>
    <m/>
    <n v="2.3129251700680271E-2"/>
    <m/>
    <n v="0.72789115646258506"/>
    <n v="2.3469387755102042"/>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1768707482993201"/>
    <s v=""/>
    <m/>
    <m/>
    <m/>
    <m/>
    <m/>
    <m/>
    <m/>
    <m/>
    <m/>
    <m/>
    <m/>
    <m/>
    <m/>
    <n v="0.61768707482993201"/>
    <m/>
    <s v=""/>
    <s v=""/>
    <s v=""/>
    <s v=""/>
    <m/>
    <s v=""/>
    <m/>
    <n v="0.61768707482993201"/>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0666666666666667"/>
    <s v=""/>
    <m/>
    <m/>
    <m/>
    <m/>
    <m/>
    <m/>
    <m/>
    <m/>
    <m/>
    <m/>
    <m/>
    <m/>
    <m/>
    <n v="1.0666666666666667"/>
    <m/>
    <s v=""/>
    <s v=""/>
    <s v=""/>
    <s v=""/>
    <m/>
    <s v=""/>
    <m/>
    <n v="1.0666666666666667"/>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0993197278911564"/>
    <s v=""/>
    <m/>
    <m/>
    <m/>
    <m/>
    <m/>
    <m/>
    <m/>
    <m/>
    <m/>
    <m/>
    <m/>
    <m/>
    <m/>
    <n v="1.0993197278911564"/>
    <m/>
    <s v=""/>
    <s v=""/>
    <s v=""/>
    <s v=""/>
    <m/>
    <s v=""/>
    <m/>
    <n v="1.0993197278911564"/>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3265306122448982"/>
    <s v=""/>
    <m/>
    <m/>
    <m/>
    <m/>
    <m/>
    <m/>
    <m/>
    <m/>
    <m/>
    <m/>
    <m/>
    <m/>
    <m/>
    <n v="0.43265306122448982"/>
    <m/>
    <s v=""/>
    <s v=""/>
    <s v=""/>
    <s v=""/>
    <m/>
    <s v=""/>
    <m/>
    <n v="0.43265306122448982"/>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2108843537414979"/>
    <s v=""/>
    <m/>
    <m/>
    <m/>
    <m/>
    <m/>
    <m/>
    <m/>
    <m/>
    <m/>
    <m/>
    <m/>
    <m/>
    <m/>
    <n v="0.72108843537414979"/>
    <m/>
    <s v=""/>
    <s v=""/>
    <s v=""/>
    <s v=""/>
    <m/>
    <s v=""/>
    <m/>
    <n v="0.72108843537414979"/>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6870748299319724"/>
    <s v=""/>
    <m/>
    <m/>
    <m/>
    <m/>
    <m/>
    <m/>
    <m/>
    <m/>
    <m/>
    <m/>
    <m/>
    <m/>
    <m/>
    <n v="0.76870748299319724"/>
    <m/>
    <s v=""/>
    <s v=""/>
    <s v=""/>
    <s v=""/>
    <m/>
    <s v=""/>
    <m/>
    <n v="0.76870748299319724"/>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6598639455782314"/>
    <s v=""/>
    <m/>
    <m/>
    <m/>
    <m/>
    <m/>
    <m/>
    <m/>
    <m/>
    <m/>
    <m/>
    <m/>
    <m/>
    <m/>
    <n v="0.76598639455782314"/>
    <m/>
    <s v=""/>
    <s v=""/>
    <s v=""/>
    <s v=""/>
    <m/>
    <s v=""/>
    <m/>
    <n v="0.76598639455782314"/>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9251700680272121"/>
    <s v=""/>
    <m/>
    <m/>
    <m/>
    <m/>
    <m/>
    <m/>
    <m/>
    <m/>
    <m/>
    <m/>
    <m/>
    <m/>
    <m/>
    <n v="0.69251700680272121"/>
    <m/>
    <s v=""/>
    <s v=""/>
    <s v=""/>
    <s v=""/>
    <m/>
    <s v=""/>
    <m/>
    <n v="0.69251700680272121"/>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0612244897959187"/>
    <s v=""/>
    <m/>
    <m/>
    <m/>
    <m/>
    <m/>
    <m/>
    <m/>
    <m/>
    <m/>
    <m/>
    <m/>
    <m/>
    <m/>
    <n v="0.70612244897959187"/>
    <m/>
    <s v=""/>
    <s v=""/>
    <s v=""/>
    <s v=""/>
    <m/>
    <s v=""/>
    <m/>
    <n v="0.70612244897959187"/>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2040816326530612"/>
    <s v=""/>
    <m/>
    <m/>
    <m/>
    <m/>
    <m/>
    <m/>
    <m/>
    <m/>
    <m/>
    <m/>
    <m/>
    <m/>
    <m/>
    <n v="0.62040816326530612"/>
    <m/>
    <s v=""/>
    <s v=""/>
    <s v=""/>
    <s v=""/>
    <m/>
    <s v=""/>
    <m/>
    <n v="0.62040816326530612"/>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2176870748299317"/>
    <s v=""/>
    <m/>
    <m/>
    <m/>
    <m/>
    <m/>
    <m/>
    <m/>
    <m/>
    <m/>
    <m/>
    <m/>
    <m/>
    <m/>
    <n v="0.42176870748299317"/>
    <m/>
    <s v=""/>
    <s v=""/>
    <s v=""/>
    <s v=""/>
    <m/>
    <s v=""/>
    <m/>
    <n v="0.42176870748299317"/>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5578231292517013"/>
    <s v=""/>
    <m/>
    <m/>
    <m/>
    <m/>
    <m/>
    <m/>
    <m/>
    <m/>
    <m/>
    <m/>
    <m/>
    <m/>
    <m/>
    <n v="0.45578231292517013"/>
    <m/>
    <s v=""/>
    <s v=""/>
    <s v=""/>
    <s v=""/>
    <m/>
    <s v=""/>
    <m/>
    <n v="0.45578231292517013"/>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3265306122448983"/>
    <s v=""/>
    <m/>
    <m/>
    <m/>
    <m/>
    <m/>
    <m/>
    <m/>
    <m/>
    <m/>
    <m/>
    <m/>
    <m/>
    <m/>
    <n v="0.63265306122448983"/>
    <m/>
    <s v=""/>
    <s v=""/>
    <s v=""/>
    <s v=""/>
    <m/>
    <s v=""/>
    <m/>
    <n v="0.63265306122448983"/>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2040816326530611"/>
    <s v=""/>
    <m/>
    <m/>
    <m/>
    <m/>
    <m/>
    <m/>
    <m/>
    <m/>
    <m/>
    <m/>
    <m/>
    <m/>
    <m/>
    <n v="0.42040816326530611"/>
    <m/>
    <s v=""/>
    <s v=""/>
    <s v=""/>
    <s v=""/>
    <m/>
    <s v=""/>
    <m/>
    <n v="0.42040816326530611"/>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6462585034013606"/>
    <s v=""/>
    <m/>
    <m/>
    <m/>
    <m/>
    <m/>
    <m/>
    <m/>
    <m/>
    <m/>
    <m/>
    <m/>
    <m/>
    <m/>
    <n v="0.36462585034013606"/>
    <m/>
    <s v=""/>
    <s v=""/>
    <s v=""/>
    <s v=""/>
    <m/>
    <s v=""/>
    <m/>
    <n v="0.36462585034013606"/>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8843537414965986"/>
    <s v=""/>
    <m/>
    <m/>
    <m/>
    <m/>
    <m/>
    <m/>
    <m/>
    <m/>
    <m/>
    <m/>
    <m/>
    <m/>
    <m/>
    <n v="0.28843537414965986"/>
    <m/>
    <s v=""/>
    <s v=""/>
    <s v=""/>
    <s v=""/>
    <m/>
    <s v=""/>
    <m/>
    <n v="0.28843537414965986"/>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2380952380952381"/>
    <s v=""/>
    <m/>
    <m/>
    <m/>
    <m/>
    <m/>
    <m/>
    <m/>
    <m/>
    <m/>
    <m/>
    <m/>
    <m/>
    <m/>
    <n v="1.2380952380952381"/>
    <m/>
    <s v=""/>
    <s v=""/>
    <s v=""/>
    <s v=""/>
    <m/>
    <s v=""/>
    <m/>
    <n v="1.2380952380952381"/>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3877551020408172"/>
    <s v=""/>
    <m/>
    <m/>
    <m/>
    <m/>
    <m/>
    <m/>
    <m/>
    <m/>
    <m/>
    <m/>
    <m/>
    <m/>
    <m/>
    <n v="0.73877551020408172"/>
    <m/>
    <s v=""/>
    <s v=""/>
    <s v=""/>
    <s v=""/>
    <m/>
    <s v=""/>
    <m/>
    <n v="0.73877551020408172"/>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0857142857142859"/>
    <s v=""/>
    <m/>
    <m/>
    <m/>
    <m/>
    <m/>
    <m/>
    <m/>
    <m/>
    <m/>
    <m/>
    <m/>
    <m/>
    <m/>
    <n v="1.0857142857142859"/>
    <m/>
    <s v=""/>
    <s v=""/>
    <s v=""/>
    <s v=""/>
    <m/>
    <s v=""/>
    <m/>
    <n v="1.0857142857142859"/>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92925170068027207"/>
    <s v=""/>
    <m/>
    <m/>
    <m/>
    <m/>
    <m/>
    <m/>
    <m/>
    <m/>
    <m/>
    <m/>
    <m/>
    <m/>
    <m/>
    <n v="0.92925170068027207"/>
    <m/>
    <s v=""/>
    <s v=""/>
    <s v=""/>
    <s v=""/>
    <m/>
    <s v=""/>
    <m/>
    <n v="0.92925170068027207"/>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5918367346938773"/>
    <s v=""/>
    <m/>
    <m/>
    <m/>
    <m/>
    <m/>
    <m/>
    <m/>
    <m/>
    <m/>
    <m/>
    <m/>
    <m/>
    <m/>
    <n v="0.35918367346938773"/>
    <m/>
    <s v=""/>
    <s v=""/>
    <s v=""/>
    <s v=""/>
    <m/>
    <s v=""/>
    <m/>
    <n v="0.35918367346938773"/>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50884353741496602"/>
    <s v=""/>
    <m/>
    <m/>
    <m/>
    <m/>
    <m/>
    <m/>
    <m/>
    <m/>
    <m/>
    <m/>
    <m/>
    <m/>
    <m/>
    <n v="0.50884353741496602"/>
    <m/>
    <s v=""/>
    <s v=""/>
    <s v=""/>
    <s v=""/>
    <m/>
    <s v=""/>
    <m/>
    <n v="0.50884353741496602"/>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84761904761904761"/>
    <s v=""/>
    <m/>
    <m/>
    <m/>
    <m/>
    <m/>
    <m/>
    <m/>
    <m/>
    <m/>
    <m/>
    <m/>
    <m/>
    <m/>
    <n v="0.84761904761904761"/>
    <m/>
    <s v=""/>
    <s v=""/>
    <s v=""/>
    <s v=""/>
    <m/>
    <s v=""/>
    <m/>
    <n v="0.84761904761904761"/>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0612244897959187"/>
    <s v=""/>
    <m/>
    <m/>
    <m/>
    <m/>
    <m/>
    <m/>
    <m/>
    <m/>
    <m/>
    <m/>
    <m/>
    <m/>
    <m/>
    <n v="0.70612244897959187"/>
    <m/>
    <s v=""/>
    <s v=""/>
    <s v=""/>
    <s v=""/>
    <m/>
    <s v=""/>
    <m/>
    <n v="0.70612244897959187"/>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1632653061224491"/>
    <s v=""/>
    <m/>
    <m/>
    <m/>
    <m/>
    <m/>
    <m/>
    <m/>
    <m/>
    <m/>
    <m/>
    <m/>
    <m/>
    <m/>
    <n v="0.21632653061224491"/>
    <m/>
    <s v=""/>
    <s v=""/>
    <s v=""/>
    <s v=""/>
    <m/>
    <s v=""/>
    <m/>
    <n v="0.21632653061224491"/>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8666666666666667"/>
    <s v=""/>
    <m/>
    <m/>
    <m/>
    <m/>
    <m/>
    <m/>
    <m/>
    <m/>
    <m/>
    <m/>
    <m/>
    <m/>
    <m/>
    <n v="0.8666666666666667"/>
    <m/>
    <s v=""/>
    <s v=""/>
    <s v=""/>
    <s v=""/>
    <m/>
    <s v=""/>
    <m/>
    <n v="0.8666666666666667"/>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88163265306122462"/>
    <s v=""/>
    <m/>
    <m/>
    <m/>
    <m/>
    <m/>
    <m/>
    <m/>
    <m/>
    <m/>
    <m/>
    <m/>
    <m/>
    <m/>
    <n v="0.88163265306122462"/>
    <m/>
    <s v=""/>
    <s v=""/>
    <s v=""/>
    <s v=""/>
    <m/>
    <s v=""/>
    <m/>
    <n v="0.88163265306122462"/>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2435374149659866"/>
    <s v=""/>
    <m/>
    <m/>
    <m/>
    <m/>
    <m/>
    <m/>
    <m/>
    <m/>
    <m/>
    <m/>
    <m/>
    <m/>
    <m/>
    <n v="1.2435374149659866"/>
    <m/>
    <s v=""/>
    <s v=""/>
    <s v=""/>
    <s v=""/>
    <m/>
    <s v=""/>
    <m/>
    <n v="1.2435374149659866"/>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1292517006802725"/>
    <s v=""/>
    <m/>
    <m/>
    <m/>
    <m/>
    <m/>
    <m/>
    <m/>
    <m/>
    <m/>
    <m/>
    <m/>
    <m/>
    <m/>
    <n v="0.71292517006802725"/>
    <m/>
    <s v=""/>
    <s v=""/>
    <s v=""/>
    <s v=""/>
    <m/>
    <s v=""/>
    <m/>
    <n v="0.71292517006802725"/>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1972789115646261"/>
    <s v=""/>
    <m/>
    <m/>
    <m/>
    <m/>
    <m/>
    <m/>
    <m/>
    <m/>
    <m/>
    <m/>
    <m/>
    <m/>
    <m/>
    <n v="0.31972789115646261"/>
    <m/>
    <s v=""/>
    <s v=""/>
    <s v=""/>
    <s v=""/>
    <m/>
    <s v=""/>
    <m/>
    <n v="0.31972789115646261"/>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4829931972789119"/>
    <s v=""/>
    <m/>
    <m/>
    <m/>
    <m/>
    <m/>
    <m/>
    <m/>
    <m/>
    <m/>
    <m/>
    <m/>
    <m/>
    <m/>
    <n v="0.34829931972789119"/>
    <m/>
    <s v=""/>
    <s v=""/>
    <s v=""/>
    <s v=""/>
    <m/>
    <s v=""/>
    <m/>
    <n v="0.34829931972789119"/>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6258503401360546"/>
    <s v=""/>
    <m/>
    <m/>
    <m/>
    <m/>
    <m/>
    <m/>
    <m/>
    <m/>
    <m/>
    <m/>
    <m/>
    <m/>
    <m/>
    <n v="0.46258503401360546"/>
    <m/>
    <s v=""/>
    <s v=""/>
    <s v=""/>
    <s v=""/>
    <m/>
    <s v=""/>
    <m/>
    <n v="0.46258503401360546"/>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0884353741496609"/>
    <s v=""/>
    <m/>
    <m/>
    <m/>
    <m/>
    <m/>
    <m/>
    <m/>
    <m/>
    <m/>
    <m/>
    <m/>
    <m/>
    <m/>
    <n v="0.70884353741496609"/>
    <m/>
    <s v=""/>
    <s v=""/>
    <s v=""/>
    <s v=""/>
    <m/>
    <s v=""/>
    <m/>
    <n v="0.70884353741496609"/>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836734693877551"/>
    <s v=""/>
    <m/>
    <m/>
    <m/>
    <m/>
    <m/>
    <m/>
    <m/>
    <m/>
    <m/>
    <m/>
    <m/>
    <m/>
    <m/>
    <n v="0.3836734693877551"/>
    <m/>
    <s v=""/>
    <s v=""/>
    <s v=""/>
    <s v=""/>
    <m/>
    <s v=""/>
    <m/>
    <n v="0.3836734693877551"/>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8163265306122449"/>
    <s v=""/>
    <m/>
    <m/>
    <m/>
    <m/>
    <m/>
    <m/>
    <m/>
    <m/>
    <m/>
    <m/>
    <m/>
    <m/>
    <m/>
    <n v="0.48163265306122449"/>
    <m/>
    <s v=""/>
    <s v=""/>
    <s v=""/>
    <s v=""/>
    <m/>
    <s v=""/>
    <m/>
    <n v="0.48163265306122449"/>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4761904761904764"/>
    <s v=""/>
    <m/>
    <m/>
    <m/>
    <m/>
    <m/>
    <m/>
    <m/>
    <m/>
    <m/>
    <m/>
    <m/>
    <m/>
    <m/>
    <n v="0.44761904761904764"/>
    <m/>
    <s v=""/>
    <s v=""/>
    <s v=""/>
    <s v=""/>
    <m/>
    <s v=""/>
    <m/>
    <n v="0.44761904761904764"/>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6122448979591834"/>
    <s v=""/>
    <m/>
    <m/>
    <m/>
    <m/>
    <m/>
    <m/>
    <m/>
    <m/>
    <m/>
    <m/>
    <m/>
    <m/>
    <m/>
    <n v="0.26122448979591834"/>
    <m/>
    <s v=""/>
    <s v=""/>
    <s v=""/>
    <s v=""/>
    <m/>
    <s v=""/>
    <m/>
    <n v="0.26122448979591834"/>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17687074829932"/>
    <s v=""/>
    <m/>
    <m/>
    <m/>
    <m/>
    <m/>
    <m/>
    <m/>
    <m/>
    <m/>
    <m/>
    <m/>
    <m/>
    <m/>
    <n v="0.417687074829932"/>
    <m/>
    <s v=""/>
    <s v=""/>
    <s v=""/>
    <s v=""/>
    <m/>
    <s v=""/>
    <m/>
    <n v="0.417687074829932"/>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53469387755102049"/>
    <s v=""/>
    <m/>
    <m/>
    <m/>
    <m/>
    <m/>
    <m/>
    <m/>
    <m/>
    <m/>
    <m/>
    <m/>
    <m/>
    <m/>
    <n v="0.53469387755102049"/>
    <m/>
    <s v=""/>
    <s v=""/>
    <s v=""/>
    <s v=""/>
    <m/>
    <s v=""/>
    <m/>
    <n v="0.53469387755102049"/>
    <s v=""/>
    <m/>
    <m/>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0272108843537413"/>
    <s v=""/>
    <m/>
    <m/>
    <m/>
    <m/>
    <m/>
    <m/>
    <m/>
    <m/>
    <m/>
    <m/>
    <m/>
    <m/>
    <m/>
    <n v="0.40272108843537413"/>
    <m/>
    <s v=""/>
    <s v=""/>
    <s v=""/>
    <s v=""/>
    <m/>
    <s v=""/>
    <m/>
    <n v="0.40272108843537413"/>
    <s v=""/>
    <m/>
    <m/>
  </r>
  <r>
    <x v="7"/>
    <x v="225"/>
    <m/>
    <m/>
    <m/>
    <m/>
    <n v="2013"/>
    <s v="Vázquez-Rowe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n v="0.44217687074829937"/>
    <m/>
    <m/>
    <m/>
    <m/>
    <m/>
    <m/>
    <m/>
    <m/>
    <m/>
    <m/>
    <m/>
    <m/>
    <m/>
    <s v=""/>
    <m/>
    <n v="0.44217687074829937"/>
    <n v="0.23401360544217684"/>
    <s v=""/>
    <s v=""/>
    <m/>
    <s v=""/>
    <m/>
    <s v=""/>
    <n v="0.67619047619047612"/>
    <m/>
    <m/>
  </r>
  <r>
    <x v="7"/>
    <x v="225"/>
    <m/>
    <m/>
    <m/>
    <m/>
    <n v="2013"/>
    <s v="Vázquez-Rowe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n v="1.5782312925170066"/>
    <m/>
    <m/>
    <m/>
    <m/>
    <m/>
    <m/>
    <m/>
    <m/>
    <m/>
    <m/>
    <m/>
    <m/>
    <m/>
    <s v=""/>
    <m/>
    <n v="1.5782312925170066"/>
    <n v="0.23401360544217684"/>
    <s v=""/>
    <s v=""/>
    <m/>
    <s v=""/>
    <m/>
    <s v=""/>
    <n v="1.8122448979591836"/>
    <m/>
    <m/>
  </r>
  <r>
    <x v="7"/>
    <x v="225"/>
    <m/>
    <m/>
    <m/>
    <m/>
    <n v="2013"/>
    <s v="Vázquez-Rowe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n v="0.16462585034013605"/>
    <m/>
    <m/>
    <m/>
    <m/>
    <m/>
    <m/>
    <m/>
    <m/>
    <m/>
    <m/>
    <m/>
    <m/>
    <m/>
    <s v=""/>
    <m/>
    <n v="0.16462585034013605"/>
    <n v="0.23401360544217684"/>
    <s v=""/>
    <s v=""/>
    <m/>
    <s v=""/>
    <m/>
    <s v=""/>
    <n v="0.39863945578231291"/>
    <m/>
    <m/>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9863945578231291"/>
    <s v=""/>
    <m/>
    <m/>
    <m/>
    <m/>
    <m/>
    <m/>
    <m/>
    <m/>
    <m/>
    <m/>
    <m/>
    <m/>
    <m/>
    <n v="0.39863945578231291"/>
    <m/>
    <s v=""/>
    <s v=""/>
    <s v=""/>
    <s v=""/>
    <m/>
    <s v=""/>
    <m/>
    <n v="0.39863945578231291"/>
    <s v=""/>
    <m/>
    <m/>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7.4829931972789115E-2"/>
    <s v=""/>
    <m/>
    <m/>
    <m/>
    <m/>
    <m/>
    <m/>
    <m/>
    <m/>
    <m/>
    <m/>
    <m/>
    <m/>
    <m/>
    <n v="7.4829931972789115E-2"/>
    <m/>
    <s v=""/>
    <s v=""/>
    <s v=""/>
    <s v=""/>
    <m/>
    <s v=""/>
    <m/>
    <n v="7.4829931972789115E-2"/>
    <s v=""/>
    <m/>
    <m/>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4489795918367347"/>
    <s v=""/>
    <m/>
    <m/>
    <m/>
    <m/>
    <m/>
    <m/>
    <m/>
    <m/>
    <m/>
    <m/>
    <m/>
    <m/>
    <m/>
    <n v="0.44489795918367347"/>
    <m/>
    <s v=""/>
    <s v=""/>
    <s v=""/>
    <s v=""/>
    <m/>
    <s v=""/>
    <m/>
    <n v="0.44489795918367347"/>
    <s v=""/>
    <m/>
    <m/>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965986394557823"/>
    <s v=""/>
    <m/>
    <m/>
    <m/>
    <m/>
    <m/>
    <m/>
    <m/>
    <m/>
    <m/>
    <m/>
    <m/>
    <m/>
    <m/>
    <n v="0.2965986394557823"/>
    <m/>
    <s v=""/>
    <s v=""/>
    <s v=""/>
    <s v=""/>
    <m/>
    <s v=""/>
    <m/>
    <n v="0.2965986394557823"/>
    <s v=""/>
    <m/>
    <m/>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9251700680272108"/>
    <s v=""/>
    <m/>
    <m/>
    <m/>
    <m/>
    <m/>
    <m/>
    <m/>
    <m/>
    <m/>
    <m/>
    <m/>
    <m/>
    <m/>
    <n v="0.29251700680272108"/>
    <m/>
    <s v=""/>
    <s v=""/>
    <s v=""/>
    <s v=""/>
    <m/>
    <s v=""/>
    <m/>
    <n v="0.29251700680272108"/>
    <s v=""/>
    <m/>
    <m/>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401360544217687"/>
    <s v=""/>
    <m/>
    <m/>
    <m/>
    <m/>
    <m/>
    <m/>
    <m/>
    <m/>
    <m/>
    <m/>
    <m/>
    <m/>
    <m/>
    <n v="0.3401360544217687"/>
    <m/>
    <s v=""/>
    <s v=""/>
    <s v=""/>
    <s v=""/>
    <m/>
    <s v=""/>
    <m/>
    <n v="0.3401360544217687"/>
    <s v=""/>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s v=""/>
    <n v="0.36598639455782317"/>
    <n v="0.47210884353741495"/>
    <m/>
    <s v=""/>
    <m/>
    <n v="0.20816326530612245"/>
    <n v="1.2884353741496599"/>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56462585034013602"/>
    <n v="0.58911564625850343"/>
    <n v="0.47210884353741495"/>
    <m/>
    <s v=""/>
    <m/>
    <n v="0.20816326530612245"/>
    <n v="2.0761904761904764"/>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46530612244897962"/>
    <n v="0.55102040816326525"/>
    <n v="0.47210884353741495"/>
    <m/>
    <s v=""/>
    <m/>
    <n v="0.20816326530612245"/>
    <n v="1.9387755102040818"/>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36734693877551022"/>
    <n v="0.46666666666666673"/>
    <n v="0.47210884353741495"/>
    <m/>
    <s v=""/>
    <m/>
    <n v="0.20816326530612245"/>
    <n v="1.7564625850340134"/>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s v=""/>
    <n v="0.12108843537414966"/>
    <n v="0.47210884353741495"/>
    <m/>
    <s v=""/>
    <m/>
    <n v="0.20816326530612245"/>
    <n v="1.0435374149659864"/>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s v=""/>
    <n v="9.9319727891156465E-2"/>
    <n v="0.47210884353741495"/>
    <m/>
    <s v=""/>
    <m/>
    <n v="0.20816326530612245"/>
    <n v="1.0217687074829931"/>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s v=""/>
    <n v="8.8435374149659865E-2"/>
    <n v="0.47210884353741495"/>
    <m/>
    <s v=""/>
    <m/>
    <n v="0.20816326530612245"/>
    <n v="1.0108843537414964"/>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56462585034013602"/>
    <n v="0.16326530612244897"/>
    <n v="0.47210884353741495"/>
    <m/>
    <s v=""/>
    <m/>
    <n v="0.20816326530612245"/>
    <n v="1.6503401360544221"/>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56462585034013602"/>
    <n v="0.13605442176870747"/>
    <n v="0.47210884353741495"/>
    <m/>
    <s v=""/>
    <m/>
    <n v="0.20816326530612245"/>
    <n v="1.6231292517006803"/>
    <m/>
    <m/>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56462585034013602"/>
    <n v="0.1183673469387755"/>
    <n v="0.47210884353741495"/>
    <m/>
    <s v=""/>
    <m/>
    <n v="0.20816326530612245"/>
    <n v="1.6054421768707481"/>
    <m/>
    <m/>
  </r>
  <r>
    <x v="7"/>
    <x v="225"/>
    <m/>
    <m/>
    <m/>
    <m/>
    <n v="2003"/>
    <s v="Zabalza et al. (200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57959183673469394"/>
    <n v="1.0068027210884354"/>
    <m/>
    <m/>
    <m/>
    <m/>
    <m/>
    <m/>
    <m/>
    <m/>
    <m/>
    <m/>
    <m/>
    <m/>
    <m/>
    <n v="0.57959183673469394"/>
    <m/>
    <n v="0.42721088435374149"/>
    <n v="0.38231292517006804"/>
    <n v="0.13741496598639455"/>
    <s v=""/>
    <m/>
    <s v=""/>
    <m/>
    <n v="0.57959183673469394"/>
    <n v="1.5265306122448981"/>
    <m/>
    <m/>
  </r>
  <r>
    <x v="7"/>
    <x v="225"/>
    <m/>
    <m/>
    <m/>
    <m/>
    <n v="2013"/>
    <s v="Benedetto, G.,"/>
    <m/>
    <s v="Peer Reviewed Journal"/>
    <s v="Benedetto, G., The environmental impact of a Sardinian wine by partial life cycle assessment. Wine Economics and Policy 2013, 2 (1), 33-41."/>
    <m/>
    <m/>
    <m/>
    <m/>
    <m/>
    <m/>
    <m/>
    <m/>
    <m/>
    <m/>
    <m/>
    <m/>
    <m/>
    <m/>
    <m/>
    <m/>
    <m/>
    <m/>
    <s v=""/>
    <s v=""/>
    <n v="0.96326530612244898"/>
    <n v="0.96715646258503407"/>
    <m/>
    <m/>
    <m/>
    <m/>
    <m/>
    <m/>
    <m/>
    <m/>
    <m/>
    <m/>
    <m/>
    <m/>
    <m/>
    <n v="0.96326530612244898"/>
    <m/>
    <n v="3.8911564625850339E-3"/>
    <n v="1.2666666666666668"/>
    <s v=""/>
    <s v=""/>
    <m/>
    <s v=""/>
    <m/>
    <n v="0.96326530612244898"/>
    <n v="2.2338231292517006"/>
    <m/>
    <m/>
  </r>
  <r>
    <x v="7"/>
    <x v="225"/>
    <m/>
    <m/>
    <m/>
    <m/>
    <n v="2014"/>
    <s v="Amienyo, D.; Camilleri, C.; Azapagic, A"/>
    <m/>
    <s v="Peer Reviewed Journal"/>
    <s v="Amienyo, D., Camilleri, C. and Azapagic, A., Environmental impacts of consumption of Australian red wine in the UK. Journal of Cleaner Production 2014, 72, 110-119."/>
    <m/>
    <m/>
    <m/>
    <m/>
    <m/>
    <m/>
    <m/>
    <m/>
    <m/>
    <m/>
    <m/>
    <m/>
    <m/>
    <m/>
    <m/>
    <m/>
    <m/>
    <m/>
    <s v=""/>
    <s v=""/>
    <n v="0.68027210884353739"/>
    <n v="0.7482993197278911"/>
    <m/>
    <m/>
    <m/>
    <m/>
    <m/>
    <m/>
    <m/>
    <m/>
    <m/>
    <m/>
    <m/>
    <m/>
    <m/>
    <n v="0.68027210884353739"/>
    <m/>
    <n v="6.8027210884353734E-2"/>
    <n v="0.68027210884353739"/>
    <n v="0.27210884353741494"/>
    <s v=""/>
    <m/>
    <s v=""/>
    <m/>
    <n v="0.68027210884353739"/>
    <n v="1.7006802721088436"/>
    <m/>
    <m/>
  </r>
  <r>
    <x v="7"/>
    <x v="225"/>
    <m/>
    <m/>
    <m/>
    <m/>
    <n v="2014"/>
    <s v="usi, A.; Guidetti, R.; Benedetto, G., "/>
    <m/>
    <s v="Peer Reviewed Journal"/>
    <s v="Fusi, A., Guidetti, R. and Benedetto, G., Delving into the environmental aspect of a Sardinian white wine: from partial to total life cycle assessment. Science of the Total Environment 2014, 472, 989-1000."/>
    <m/>
    <m/>
    <m/>
    <m/>
    <m/>
    <m/>
    <m/>
    <m/>
    <m/>
    <m/>
    <m/>
    <m/>
    <m/>
    <m/>
    <m/>
    <m/>
    <m/>
    <m/>
    <s v=""/>
    <s v=""/>
    <n v="0.22993197278911567"/>
    <n v="0.6027210884353742"/>
    <m/>
    <m/>
    <m/>
    <m/>
    <m/>
    <m/>
    <m/>
    <m/>
    <m/>
    <m/>
    <m/>
    <m/>
    <m/>
    <n v="0.22993197278911567"/>
    <m/>
    <n v="0.3727891156462585"/>
    <n v="0.76462585034013608"/>
    <s v=""/>
    <s v=""/>
    <m/>
    <s v=""/>
    <m/>
    <n v="0.22993197278911567"/>
    <n v="1.3673469387755104"/>
    <m/>
    <m/>
  </r>
  <r>
    <x v="7"/>
    <x v="225"/>
    <m/>
    <m/>
    <m/>
    <m/>
    <n v="2016"/>
    <s v="Bonamente, E.; Scrucca, F.; Rinaldi, S.; Merico, M. C.; Asdrubali, F.; Lamastra, L.,"/>
    <m/>
    <s v="Peer Reviewed Journal"/>
    <s v="Bonamente, E., Scrucca, F., Rinaldi, S., Merico, M. C., Asdrubali, F. and Lamastra, L., Environmental impact of an Italian wine bottle: Carbon and water footprint assessment. Science of The Total Environment 2016, 560, 274-283."/>
    <m/>
    <m/>
    <m/>
    <m/>
    <m/>
    <m/>
    <m/>
    <m/>
    <m/>
    <m/>
    <m/>
    <m/>
    <m/>
    <m/>
    <m/>
    <m/>
    <m/>
    <m/>
    <s v=""/>
    <s v=""/>
    <n v="1.398639455782313"/>
    <n v="1.4025182312925171"/>
    <m/>
    <m/>
    <m/>
    <m/>
    <m/>
    <m/>
    <m/>
    <m/>
    <m/>
    <m/>
    <m/>
    <m/>
    <m/>
    <n v="1.398639455782313"/>
    <m/>
    <n v="3.8787755102040818E-3"/>
    <s v=""/>
    <n v="0.64414965986394557"/>
    <s v=""/>
    <m/>
    <n v="-0.59278911564625858"/>
    <m/>
    <n v="1.398639455782313"/>
    <n v="1.4538787755102043"/>
    <m/>
    <m/>
  </r>
  <r>
    <x v="7"/>
    <x v="225"/>
    <m/>
    <m/>
    <m/>
    <m/>
    <n v="2012"/>
    <s v="BIER European format"/>
    <m/>
    <s v="Peer Reviewed Journal"/>
    <s v="Beverage Industry Environmental Roundtable, Research on the Carbon Footprint of Wine. 2012, ."/>
    <m/>
    <m/>
    <m/>
    <m/>
    <m/>
    <m/>
    <m/>
    <m/>
    <m/>
    <m/>
    <m/>
    <m/>
    <m/>
    <m/>
    <m/>
    <m/>
    <m/>
    <m/>
    <s v=""/>
    <s v=""/>
    <n v="0.41115646258503408"/>
    <n v="0.53333333333333344"/>
    <m/>
    <m/>
    <m/>
    <m/>
    <m/>
    <m/>
    <m/>
    <m/>
    <m/>
    <m/>
    <m/>
    <m/>
    <m/>
    <n v="0.41115646258503408"/>
    <m/>
    <n v="0.12217687074829936"/>
    <n v="1.1278911564625851"/>
    <n v="9.3605442176870737E-2"/>
    <s v=""/>
    <m/>
    <s v=""/>
    <m/>
    <n v="0.41115646258503408"/>
    <n v="1.7551020408163265"/>
    <m/>
    <m/>
  </r>
  <r>
    <x v="7"/>
    <x v="225"/>
    <m/>
    <m/>
    <m/>
    <m/>
    <n v="2012"/>
    <s v="BIER N. American format"/>
    <m/>
    <s v="Peer Reviewed Journal"/>
    <s v="Beverage Industry Environmental Roundtable, Research on the Carbon Footprint of Wine. 2012, ."/>
    <m/>
    <m/>
    <m/>
    <m/>
    <m/>
    <m/>
    <m/>
    <m/>
    <m/>
    <m/>
    <m/>
    <m/>
    <m/>
    <m/>
    <m/>
    <m/>
    <m/>
    <m/>
    <s v=""/>
    <s v=""/>
    <n v="0.4118367346938776"/>
    <n v="1.1617687074829932"/>
    <m/>
    <m/>
    <m/>
    <m/>
    <m/>
    <m/>
    <m/>
    <m/>
    <m/>
    <m/>
    <m/>
    <m/>
    <m/>
    <n v="0.4118367346938776"/>
    <m/>
    <n v="0.74993197278911561"/>
    <n v="1.1779591836734695"/>
    <n v="9.5918367346938774E-2"/>
    <s v=""/>
    <m/>
    <s v=""/>
    <m/>
    <n v="0.4118367346938776"/>
    <n v="2.435374149659864"/>
    <m/>
    <m/>
  </r>
  <r>
    <x v="7"/>
    <x v="225"/>
    <m/>
    <m/>
    <m/>
    <m/>
    <n v="2013"/>
    <s v="Villanueva-Rey, P.; Vázquez-Rowe, I.; Moreira, M. T.; Feijoo, G."/>
    <m/>
    <s v="Peer Reviewed Journal"/>
    <s v="Villanueva-Rey, P., Vázquez-Rowe, I., Moreira, M. T. and Feijoo, G., Comparative life cycle assessment in the wine sector: biodynamic vs. conventional viticulture activities in NW Spain. Journal of Cleaner Production 2014, 65, 330-341."/>
    <m/>
    <m/>
    <m/>
    <m/>
    <m/>
    <m/>
    <m/>
    <m/>
    <m/>
    <m/>
    <m/>
    <m/>
    <m/>
    <m/>
    <m/>
    <m/>
    <m/>
    <m/>
    <s v=""/>
    <s v=""/>
    <n v="0.13220408163265304"/>
    <s v=""/>
    <m/>
    <m/>
    <m/>
    <m/>
    <m/>
    <m/>
    <m/>
    <m/>
    <m/>
    <m/>
    <m/>
    <m/>
    <m/>
    <n v="0.13220408163265304"/>
    <m/>
    <s v=""/>
    <s v=""/>
    <s v=""/>
    <s v=""/>
    <m/>
    <s v=""/>
    <m/>
    <n v="0.13220408163265304"/>
    <s v=""/>
    <m/>
    <m/>
  </r>
  <r>
    <x v="4"/>
    <x v="80"/>
    <m/>
    <m/>
    <m/>
    <m/>
    <m/>
    <m/>
    <m/>
    <m/>
    <m/>
    <m/>
    <m/>
    <m/>
    <m/>
    <m/>
    <m/>
    <m/>
    <m/>
    <m/>
    <m/>
    <m/>
    <m/>
    <m/>
    <m/>
    <m/>
    <m/>
    <m/>
    <m/>
    <n v="28.264295951765718"/>
    <s v=""/>
    <s v=""/>
    <s v=""/>
    <m/>
    <m/>
    <m/>
    <m/>
    <m/>
    <m/>
    <m/>
    <m/>
    <m/>
    <n v="28.264295951765718"/>
    <m/>
    <m/>
    <s v="grape proxy * mass conv. Factor from FICRCD"/>
    <m/>
    <m/>
    <m/>
    <m/>
    <m/>
    <m/>
    <m/>
    <m/>
    <m/>
    <m/>
    <m/>
    <m/>
    <m/>
  </r>
  <r>
    <x v="4"/>
    <x v="87"/>
    <m/>
    <m/>
    <m/>
    <m/>
    <m/>
    <s v="Ecoinvent 3 process: Grape {GLO}| production | Alloc Def, S"/>
    <m/>
    <m/>
    <s v="Swiss Center for Life Cycle Inventories, Ecoinvent Database version 3.3. 2016, 2016, ."/>
    <m/>
    <m/>
    <m/>
    <m/>
    <m/>
    <m/>
    <m/>
    <m/>
    <m/>
    <m/>
    <m/>
    <m/>
    <m/>
    <m/>
    <m/>
    <m/>
    <m/>
    <m/>
    <n v="2.7020649299999997"/>
    <s v=""/>
    <n v="0.20832000000000001"/>
    <s v=""/>
    <m/>
    <m/>
    <m/>
    <m/>
    <m/>
    <m/>
    <m/>
    <m/>
    <m/>
    <n v="2.7020649299999997"/>
    <m/>
    <m/>
    <m/>
    <m/>
    <m/>
    <m/>
    <m/>
    <m/>
    <m/>
    <m/>
    <m/>
    <m/>
    <n v="0.20832000000000001"/>
    <m/>
    <m/>
    <m/>
  </r>
  <r>
    <x v="9"/>
    <x v="226"/>
    <m/>
    <m/>
    <m/>
    <m/>
    <m/>
    <s v="estimated from processing calculations (see processed foods methods)"/>
    <m/>
    <m/>
    <m/>
    <m/>
    <m/>
    <m/>
    <m/>
    <m/>
    <m/>
    <m/>
    <m/>
    <m/>
    <m/>
    <m/>
    <m/>
    <m/>
    <m/>
    <m/>
    <m/>
    <m/>
    <m/>
    <s v=""/>
    <n v="69.364547771906771"/>
    <s v=""/>
    <n v="6.7544572691172551"/>
    <m/>
    <m/>
    <n v="69.364547771906771"/>
    <m/>
    <m/>
    <m/>
    <m/>
    <m/>
    <m/>
    <m/>
    <m/>
    <m/>
    <m/>
    <m/>
    <m/>
    <n v="6.7544572691172551"/>
    <m/>
    <m/>
    <m/>
    <m/>
    <m/>
    <m/>
    <m/>
    <m/>
    <m/>
    <m/>
  </r>
  <r>
    <x v="1"/>
    <x v="227"/>
    <m/>
    <m/>
    <m/>
    <m/>
    <m/>
    <s v="assumed as average of ONLY processing stage for beef entries"/>
    <m/>
    <m/>
    <m/>
    <m/>
    <m/>
    <m/>
    <m/>
    <m/>
    <m/>
    <m/>
    <m/>
    <m/>
    <m/>
    <m/>
    <m/>
    <m/>
    <m/>
    <m/>
    <m/>
    <m/>
    <m/>
    <s v=""/>
    <n v="8.5"/>
    <s v=""/>
    <n v="0.84"/>
    <m/>
    <m/>
    <n v="8.5"/>
    <m/>
    <m/>
    <m/>
    <m/>
    <m/>
    <m/>
    <m/>
    <m/>
    <m/>
    <m/>
    <m/>
    <m/>
    <n v="0.84"/>
    <m/>
    <m/>
    <m/>
    <m/>
    <m/>
    <m/>
    <m/>
    <m/>
    <m/>
    <m/>
  </r>
  <r>
    <x v="7"/>
    <x v="228"/>
    <m/>
    <s v="Tap best_x000a_37"/>
    <m/>
    <m/>
    <n v="2009"/>
    <s v="Franklin Associates"/>
    <m/>
    <s v="Government Report"/>
    <s v="Franklin Associates, Life Cycle Assessment of Drinking Water Systems: Bottle Water, Tap Water, and Home/Office Delivery Water. 2009,  (09-LQ-104), ."/>
    <m/>
    <m/>
    <m/>
    <m/>
    <m/>
    <m/>
    <m/>
    <m/>
    <m/>
    <m/>
    <m/>
    <m/>
    <m/>
    <m/>
    <m/>
    <m/>
    <m/>
    <m/>
    <s v=""/>
    <n v="4.1807661240187933E-3"/>
    <s v=""/>
    <n v="2.7919572459079257E-4"/>
    <m/>
    <m/>
    <n v="4.1807661240187933E-3"/>
    <n v="3.2888693508947848E-3"/>
    <n v="0"/>
    <m/>
    <n v="1.2821016113657633E-2"/>
    <n v="3.1550848349261826E-5"/>
    <m/>
    <m/>
    <n v="2.0322202436920473E-2"/>
    <m/>
    <m/>
    <m/>
    <m/>
    <n v="2.7919572459079257E-4"/>
    <n v="1.4618831931363383E-4"/>
    <m/>
    <m/>
    <n v="8.2081146499868188E-4"/>
    <n v="8.2200972991108875E-6"/>
    <m/>
    <n v="0"/>
    <n v="1.2544156062022191E-3"/>
    <m/>
    <m/>
  </r>
  <r>
    <x v="4"/>
    <x v="185"/>
    <m/>
    <m/>
    <m/>
    <s v="Tunisia"/>
    <m/>
    <s v="Ecoinvent process: Palm date, conditioned and dried, organic {GLO}| palm date production, conditioned and dried, organic | Alloc Def, S"/>
    <m/>
    <m/>
    <s v="Swiss Center for Life Cycle Inventories, Ecoinvent Database version 3.3. 2016, 2016, ."/>
    <m/>
    <m/>
    <m/>
    <m/>
    <m/>
    <m/>
    <m/>
    <m/>
    <m/>
    <m/>
    <m/>
    <m/>
    <m/>
    <m/>
    <m/>
    <m/>
    <m/>
    <m/>
    <n v="19.814250000000001"/>
    <s v=""/>
    <n v="3.5733000000000001"/>
    <s v=""/>
    <m/>
    <m/>
    <m/>
    <m/>
    <m/>
    <m/>
    <m/>
    <m/>
    <m/>
    <n v="19.814250000000001"/>
    <m/>
    <m/>
    <m/>
    <m/>
    <m/>
    <m/>
    <m/>
    <m/>
    <m/>
    <m/>
    <m/>
    <m/>
    <n v="3.5733000000000001"/>
    <m/>
    <m/>
    <m/>
  </r>
  <r>
    <x v="4"/>
    <x v="185"/>
    <m/>
    <m/>
    <m/>
    <s v="Tunisia"/>
    <m/>
    <s v="Ecoinvent process: Palm date, conditioned and dried {GLO}| palm date production, conditioned and dried | Alloc Def, S"/>
    <m/>
    <m/>
    <s v="Swiss Center for Life Cycle Inventories, Ecoinvent Database version 3.3. 2016, 2016, ."/>
    <m/>
    <m/>
    <m/>
    <m/>
    <m/>
    <m/>
    <m/>
    <m/>
    <m/>
    <m/>
    <m/>
    <m/>
    <m/>
    <m/>
    <m/>
    <m/>
    <m/>
    <m/>
    <n v="18.157867"/>
    <s v=""/>
    <n v="2.5215999999999998"/>
    <s v=""/>
    <m/>
    <m/>
    <m/>
    <m/>
    <m/>
    <m/>
    <m/>
    <m/>
    <m/>
    <n v="18.157867"/>
    <m/>
    <m/>
    <m/>
    <m/>
    <m/>
    <m/>
    <m/>
    <m/>
    <m/>
    <m/>
    <m/>
    <m/>
    <n v="2.5215999999999998"/>
    <m/>
    <m/>
    <m/>
  </r>
  <r>
    <x v="7"/>
    <x v="229"/>
    <m/>
    <s v="PET ref R1"/>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0.52766842839949202"/>
    <m/>
    <m/>
    <n v="2.758971180562483"/>
    <m/>
    <m/>
    <m/>
    <m/>
    <n v="1.0926977736237927E-2"/>
    <n v="0.11726220432813288"/>
    <n v="7.2135547726891458E-3"/>
    <m/>
    <n v="9.3704316150214507E-3"/>
    <n v="-1.0515972871282383E-2"/>
    <m/>
    <n v="0"/>
    <n v="0.13425719558079902"/>
    <m/>
    <m/>
  </r>
  <r>
    <x v="7"/>
    <x v="229"/>
    <m/>
    <s v="PET ref R2"/>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7.8040967648350802E-4"/>
    <m/>
    <m/>
    <n v="3.2874200186384588"/>
    <m/>
    <m/>
    <m/>
    <m/>
    <n v="1.0926977736237927E-2"/>
    <n v="0.11726220432813288"/>
    <n v="7.2135547726891458E-3"/>
    <m/>
    <n v="9.3704316150214507E-3"/>
    <n v="3.2964267740312032E-3"/>
    <m/>
    <n v="0"/>
    <n v="0.1480695952261126"/>
    <m/>
    <m/>
  </r>
  <r>
    <x v="7"/>
    <x v="229"/>
    <m/>
    <s v="PET ref R3"/>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1.040230355204196"/>
    <m/>
    <m/>
    <n v="2.2464092537577791"/>
    <m/>
    <m/>
    <m/>
    <m/>
    <n v="1.0926977736237927E-2"/>
    <n v="0.11726220432813288"/>
    <n v="7.2135547726891458E-3"/>
    <m/>
    <n v="9.3704316150214507E-3"/>
    <n v="-2.7098760994080571E-2"/>
    <m/>
    <n v="0"/>
    <n v="0.11767440745800084"/>
    <m/>
    <m/>
  </r>
  <r>
    <x v="7"/>
    <x v="229"/>
    <m/>
    <s v="PET 1 liter"/>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3.7125203181286892"/>
    <n v="0.10033838697645106"/>
    <m/>
    <n v="6.6892257984300693E-2"/>
    <n v="-0.73187098178365007"/>
    <m/>
    <m/>
    <n v="3.3156680617497449"/>
    <m/>
    <m/>
    <m/>
    <m/>
    <n v="1.0926977736237927E-2"/>
    <n v="0.15299446401610467"/>
    <n v="7.2734680183094884E-3"/>
    <m/>
    <n v="4.7211637548829292E-3"/>
    <n v="-1.4579289189253962E-2"/>
    <m/>
    <n v="0"/>
    <n v="0.16133678433628107"/>
    <m/>
    <m/>
  </r>
  <r>
    <x v="7"/>
    <x v="229"/>
    <m/>
    <s v="PET 8oz"/>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5.6523957996734087"/>
    <n v="0.10312556439246358"/>
    <m/>
    <n v="0.27593056418524042"/>
    <n v="-1.0393663302052321"/>
    <m/>
    <m/>
    <n v="5.1598736784898351"/>
    <m/>
    <m/>
    <m/>
    <m/>
    <n v="1.0926977736237927E-2"/>
    <n v="0.23006686318211231"/>
    <n v="7.4532077551705128E-3"/>
    <m/>
    <n v="1.9771371054712779E-2"/>
    <n v="-2.0789896230258582E-2"/>
    <m/>
    <n v="0"/>
    <n v="0.24742852349797492"/>
    <m/>
    <m/>
  </r>
  <r>
    <x v="7"/>
    <x v="229"/>
    <m/>
    <s v="PET light"/>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2631880618021736"/>
    <n v="0.10033838697645106"/>
    <m/>
    <n v="0.13099733855258888"/>
    <n v="-0.39941645960167549"/>
    <m/>
    <m/>
    <n v="2.2628954081734927"/>
    <m/>
    <m/>
    <m/>
    <m/>
    <n v="1.0926977736237927E-2"/>
    <n v="9.1379682220145239E-2"/>
    <n v="7.1536415270688049E-3"/>
    <m/>
    <n v="9.3704316150214507E-3"/>
    <n v="-7.968461667505455E-3"/>
    <m/>
    <n v="0"/>
    <n v="0.11086227143096797"/>
    <m/>
    <m/>
  </r>
  <r>
    <x v="7"/>
    <x v="229"/>
    <m/>
    <s v="PET light, low mold"/>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243677819890086"/>
    <n v="0.10033838697645106"/>
    <m/>
    <n v="0.13099733855258888"/>
    <n v="-0.39941645960167549"/>
    <m/>
    <m/>
    <n v="2.2433851662614051"/>
    <m/>
    <m/>
    <m/>
    <m/>
    <n v="1.0926977736237927E-2"/>
    <n v="9.0061590816497714E-2"/>
    <n v="7.1536415270688049E-3"/>
    <m/>
    <n v="9.3704316150214507E-3"/>
    <n v="-7.968461667505455E-3"/>
    <m/>
    <n v="0"/>
    <n v="0.10954418002732044"/>
    <m/>
    <m/>
  </r>
  <r>
    <x v="7"/>
    <x v="229"/>
    <m/>
    <s v="25% rPET R1"/>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6784774967880405"/>
    <n v="0.10033838697645106"/>
    <m/>
    <n v="0.13099733855258888"/>
    <n v="-0.4552018155831663"/>
    <m/>
    <m/>
    <n v="2.6223994871778684"/>
    <m/>
    <m/>
    <m/>
    <m/>
    <n v="1.0926977736237927E-2"/>
    <n v="0.11031226783617321"/>
    <n v="7.2135547726891458E-3"/>
    <m/>
    <n v="9.3704316150214507E-3"/>
    <n v="-8.4309919236944912E-3"/>
    <m/>
    <n v="0"/>
    <n v="0.12939224003642724"/>
    <m/>
    <m/>
  </r>
  <r>
    <x v="7"/>
    <x v="229"/>
    <m/>
    <s v="25% rPET R2"/>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4694391905871003"/>
    <n v="0.10033838697645106"/>
    <m/>
    <n v="0.13099733855258888"/>
    <n v="7.8040967648350802E-4"/>
    <m/>
    <m/>
    <n v="2.8693434062365784"/>
    <m/>
    <m/>
    <m/>
    <m/>
    <n v="1.0926977736237927E-2"/>
    <n v="0.10324250485297289"/>
    <n v="7.2135547726891458E-3"/>
    <m/>
    <n v="9.3704316150214507E-3"/>
    <n v="3.2964267740312032E-3"/>
    <m/>
    <n v="0"/>
    <n v="0.13404989575095261"/>
    <m/>
    <m/>
  </r>
  <r>
    <x v="7"/>
    <x v="229"/>
    <m/>
    <s v="25% rPET R3"/>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1.040230355204196"/>
    <m/>
    <m/>
    <n v="2.2464092537577791"/>
    <m/>
    <m/>
    <m/>
    <m/>
    <n v="1.0926977736237927E-2"/>
    <n v="0.11726220432813288"/>
    <n v="7.2135547726891458E-3"/>
    <m/>
    <n v="9.3704316150214507E-3"/>
    <n v="-2.7098760994080571E-2"/>
    <m/>
    <n v="0"/>
    <n v="0.11767440745800084"/>
    <m/>
    <m/>
  </r>
  <r>
    <x v="7"/>
    <x v="229"/>
    <m/>
    <s v="PLA 0 decomp"/>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1795727393217978"/>
    <n v="0.10033838697645106"/>
    <m/>
    <n v="0.13099733855258888"/>
    <n v="-3.2944437057268093E-2"/>
    <m/>
    <m/>
    <n v="2.5457521082375241"/>
    <m/>
    <m/>
    <m/>
    <m/>
    <n v="1.0926977736237927E-2"/>
    <n v="0.12253456994272294"/>
    <n v="7.2135547726891458E-3"/>
    <m/>
    <n v="9.3704316150214507E-3"/>
    <n v="-4.641598964699116E-2"/>
    <m/>
    <n v="0"/>
    <n v="0.10362954441968032"/>
    <m/>
    <m/>
  </r>
  <r>
    <x v="7"/>
    <x v="229"/>
    <m/>
    <s v="PLA 100 decomp"/>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1795727393217978"/>
    <n v="0.10033838697645106"/>
    <m/>
    <n v="0.13099733855258888"/>
    <n v="-0.15697383206982565"/>
    <m/>
    <m/>
    <n v="2.4217227132249666"/>
    <m/>
    <m/>
    <m/>
    <m/>
    <n v="1.0926977736237927E-2"/>
    <n v="0.12253456994272294"/>
    <n v="7.2135547726891458E-3"/>
    <m/>
    <n v="9.3704316150214507E-3"/>
    <n v="6.6939871066695425E-2"/>
    <m/>
    <n v="0"/>
    <n v="0.21698540513336689"/>
    <m/>
    <m/>
  </r>
  <r>
    <x v="7"/>
    <x v="229"/>
    <m/>
    <s v="PLA compost"/>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1795727393217978"/>
    <n v="0.10033838697645106"/>
    <m/>
    <n v="0.13099733855258888"/>
    <n v="-3.7961356406090642E-2"/>
    <m/>
    <m/>
    <n v="2.5407351888887018"/>
    <m/>
    <m/>
    <m/>
    <m/>
    <n v="1.0926977736237927E-2"/>
    <n v="0.12253456994272294"/>
    <n v="7.2135547726891458E-3"/>
    <m/>
    <n v="9.3704316150214507E-3"/>
    <n v="-8.6472184198043444E-20"/>
    <m/>
    <n v="0"/>
    <n v="0.15004553406667148"/>
    <m/>
    <m/>
  </r>
  <r>
    <x v="7"/>
    <x v="229"/>
    <m/>
    <s v="PET nat"/>
    <m/>
    <m/>
    <n v="2009"/>
    <s v="Franklin Associates"/>
    <m/>
    <s v="Government Report"/>
    <s v="Franklin Associates, Life Cycle Assessment of Drinking Water Systems: Bottle Water, Tap Water, and Home/Office Delivery Water. 2009,  (09-LQ-104), ."/>
    <m/>
    <m/>
    <m/>
    <m/>
    <m/>
    <m/>
    <m/>
    <m/>
    <m/>
    <m/>
    <m/>
    <m/>
    <m/>
    <m/>
    <m/>
    <m/>
    <m/>
    <m/>
    <s v=""/>
    <n v="8.4172757963578398E-2"/>
    <s v=""/>
    <n v="5.438924437414624E-3"/>
    <m/>
    <m/>
    <n v="8.4172757963578398E-2"/>
    <n v="2.8875158029889807"/>
    <n v="0.26199467710517776"/>
    <m/>
    <n v="0.13099733855258888"/>
    <n v="-0.52819799210853446"/>
    <m/>
    <m/>
    <n v="2.8364825845017911"/>
    <m/>
    <m/>
    <m/>
    <m/>
    <n v="5.438924437414624E-3"/>
    <n v="0.11726220432813288"/>
    <n v="1.8692932633546624E-2"/>
    <m/>
    <n v="9.3704316150214507E-3"/>
    <n v="-1.0551920818654588E-2"/>
    <m/>
    <n v="0"/>
    <n v="0.14021257219546102"/>
    <m/>
    <m/>
  </r>
  <r>
    <x v="7"/>
    <x v="229"/>
    <m/>
    <s v="PET Maine nat"/>
    <m/>
    <m/>
    <n v="2009"/>
    <s v="Franklin Associates"/>
    <m/>
    <s v="Government Report"/>
    <s v="Franklin Associates, Life Cycle Assessment of Drinking Water Systems: Bottle Water, Tap Water, and Home/Office Delivery Water. 2009,  (09-LQ-104), ."/>
    <m/>
    <m/>
    <m/>
    <m/>
    <m/>
    <m/>
    <m/>
    <m/>
    <m/>
    <m/>
    <m/>
    <m/>
    <m/>
    <m/>
    <m/>
    <m/>
    <m/>
    <m/>
    <s v=""/>
    <n v="0.10842120148288739"/>
    <s v=""/>
    <n v="7.5107244709660412E-3"/>
    <m/>
    <m/>
    <n v="0.10842120148288739"/>
    <n v="2.9655567706373311"/>
    <n v="6.6334822501098181"/>
    <m/>
    <n v="0.13099733855258888"/>
    <n v="-0.52819799210853446"/>
    <m/>
    <m/>
    <n v="9.3102595686740912"/>
    <m/>
    <m/>
    <m/>
    <m/>
    <n v="7.5107244709660412E-3"/>
    <n v="0.12421214082009251"/>
    <n v="0.47127759004960817"/>
    <m/>
    <n v="9.3704316150214507E-3"/>
    <n v="-1.0551920818654588E-2"/>
    <m/>
    <n v="0"/>
    <n v="0.60181896613703356"/>
    <m/>
    <m/>
  </r>
  <r>
    <x v="7"/>
    <x v="229"/>
    <m/>
    <s v="PET Fiji nat"/>
    <m/>
    <m/>
    <n v="2009"/>
    <s v="Franklin Associates"/>
    <m/>
    <s v="Government Report"/>
    <s v="Franklin Associates, Life Cycle Assessment of Drinking Water Systems: Bottle Water, Tap Water, and Home/Office Delivery Water. 2009,  (09-LQ-104), ."/>
    <m/>
    <m/>
    <m/>
    <m/>
    <m/>
    <m/>
    <m/>
    <m/>
    <m/>
    <m/>
    <m/>
    <m/>
    <m/>
    <m/>
    <m/>
    <m/>
    <m/>
    <m/>
    <s v=""/>
    <n v="8.2305349094849989E-3"/>
    <s v=""/>
    <n v="5.7121288374433821E-4"/>
    <m/>
    <m/>
    <n v="8.2305349094849989E-3"/>
    <n v="5.6022266061851838"/>
    <n v="3.8741766082574158"/>
    <m/>
    <n v="0.13099733855258888"/>
    <n v="-1.044020916489973"/>
    <m/>
    <m/>
    <n v="8.5716101714147008"/>
    <m/>
    <m/>
    <m/>
    <m/>
    <n v="5.7121288374433821E-4"/>
    <n v="0.23797541160399741"/>
    <n v="0.28542670213530807"/>
    <m/>
    <n v="9.3704316150214507E-3"/>
    <n v="-2.0571812016200536E-2"/>
    <m/>
    <n v="0"/>
    <n v="0.51277194622187083"/>
    <m/>
    <m/>
  </r>
  <r>
    <x v="7"/>
    <x v="229"/>
    <m/>
    <s v="PET Fiji free sea"/>
    <m/>
    <m/>
    <n v="2009"/>
    <s v="Franklin Associates"/>
    <m/>
    <s v="Government Report"/>
    <s v="Franklin Associates, Life Cycle Assessment of Drinking Water Systems: Bottle Water, Tap Water, and Home/Office Delivery Water. 2009,  (09-LQ-104), ."/>
    <m/>
    <m/>
    <m/>
    <m/>
    <m/>
    <m/>
    <m/>
    <m/>
    <m/>
    <m/>
    <m/>
    <m/>
    <m/>
    <m/>
    <m/>
    <m/>
    <m/>
    <m/>
    <s v=""/>
    <n v="8.2305349094849989E-3"/>
    <s v=""/>
    <n v="5.7121288374433821E-4"/>
    <m/>
    <m/>
    <n v="8.2305349094849989E-3"/>
    <n v="5.6022266061851838"/>
    <n v="1.9231524170486451"/>
    <m/>
    <n v="0.13099733855258888"/>
    <n v="-1.044020916489973"/>
    <m/>
    <m/>
    <n v="6.620585980205929"/>
    <m/>
    <m/>
    <m/>
    <m/>
    <n v="5.7121288374433821E-4"/>
    <n v="0.23797541160399741"/>
    <n v="0.13684185299686055"/>
    <m/>
    <n v="9.3704316150214507E-3"/>
    <n v="-2.0571812016200536E-2"/>
    <m/>
    <n v="0"/>
    <n v="0.36418709708342323"/>
    <m/>
    <m/>
  </r>
  <r>
    <x v="7"/>
    <x v="229"/>
    <m/>
    <s v="PET 500 mi empty"/>
    <m/>
    <m/>
    <n v="2009"/>
    <s v="Franklin Associates"/>
    <m/>
    <s v="Government Report"/>
    <s v="Franklin Associates, Life Cycle Assessment of Drinking Water Systems: Bottle Water, Tap Water, and Home/Office Delivery Water. 2009,  (09-LQ-104), ."/>
    <m/>
    <m/>
    <m/>
    <m/>
    <m/>
    <m/>
    <m/>
    <m/>
    <m/>
    <m/>
    <m/>
    <m/>
    <m/>
    <m/>
    <m/>
    <m/>
    <m/>
    <m/>
    <s v=""/>
    <n v="0.16778808044395427"/>
    <s v=""/>
    <n v="4.8170249478754765E-3"/>
    <m/>
    <m/>
    <n v="0.16778808044395427"/>
    <n v="3.1160643511020067"/>
    <n v="0.10033838697645106"/>
    <m/>
    <n v="0.13099733855258888"/>
    <n v="-0.52766842839949202"/>
    <m/>
    <m/>
    <n v="2.9875197286755091"/>
    <m/>
    <m/>
    <m/>
    <m/>
    <n v="4.8170249478754765E-3"/>
    <n v="0.64933975603326377"/>
    <n v="0.85148704675629694"/>
    <m/>
    <n v="1.3061087545234501E-2"/>
    <n v="-0.16448582452608623"/>
    <m/>
    <n v="0"/>
    <n v="1.3542190907565845"/>
    <m/>
    <m/>
  </r>
  <r>
    <x v="7"/>
    <x v="229"/>
    <m/>
    <s v="PET 100% store trip"/>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3.2609975767346593"/>
    <n v="-0.52766842839949202"/>
    <m/>
    <m/>
    <n v="5.8889714187445534"/>
    <m/>
    <m/>
    <m/>
    <m/>
    <n v="1.0926977736237927E-2"/>
    <n v="0.13355860713686579"/>
    <n v="7.2135547726891458E-3"/>
    <m/>
    <n v="9.3704316150214507E-3"/>
    <n v="-1.0515972871282383E-2"/>
    <m/>
    <n v="0"/>
    <n v="0.15055359838953195"/>
    <m/>
    <m/>
  </r>
  <r>
    <x v="7"/>
    <x v="229"/>
    <m/>
    <s v="PET refrig"/>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22297419328100232"/>
    <n v="-0.52766842839949202"/>
    <m/>
    <m/>
    <n v="2.8509480352908962"/>
    <m/>
    <m/>
    <m/>
    <m/>
    <n v="1.0926977736237927E-2"/>
    <n v="0.10432094327413906"/>
    <n v="7.2135547726891458E-3"/>
    <m/>
    <n v="0.23270304598940733"/>
    <n v="-1.0515972871282383E-2"/>
    <m/>
    <n v="0"/>
    <n v="0.34464854890119112"/>
    <m/>
    <m/>
  </r>
  <r>
    <x v="7"/>
    <x v="229"/>
    <m/>
    <s v="PET 37%R"/>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0.3269916544465899"/>
    <m/>
    <m/>
    <n v="2.9596479545153853"/>
    <m/>
    <m/>
    <m/>
    <m/>
    <n v="1.0926977736237927E-2"/>
    <n v="0.11726220432813288"/>
    <n v="7.2135547726891458E-3"/>
    <m/>
    <n v="1.5241929685814943E-2"/>
    <n v="-1.0515972871282383E-2"/>
    <m/>
    <n v="0"/>
    <n v="0.1401286936515925"/>
    <m/>
    <m/>
  </r>
  <r>
    <x v="7"/>
    <x v="229"/>
    <m/>
    <s v="PET best"/>
    <m/>
    <m/>
    <n v="2009"/>
    <s v="Franklin Associates"/>
    <m/>
    <s v="Government Report"/>
    <s v="Franklin Associates, Life Cycle Assessment of Drinking Water Systems: Bottle Water, Tap Water, and Home/Office Delivery Water. 2009,  (09-LQ-104), ."/>
    <m/>
    <m/>
    <m/>
    <m/>
    <m/>
    <m/>
    <m/>
    <m/>
    <m/>
    <m/>
    <m/>
    <m/>
    <m/>
    <m/>
    <m/>
    <m/>
    <m/>
    <m/>
    <s v=""/>
    <n v="6.2488517667000911E-3"/>
    <s v=""/>
    <n v="1.0926977736237927E-2"/>
    <m/>
    <m/>
    <n v="6.2488517667000911E-3"/>
    <n v="2.1433394329136344"/>
    <n v="3.902048382417541E-2"/>
    <m/>
    <n v="8.9189677312400935E-4"/>
    <n v="-1.144791315965906"/>
    <m/>
    <m/>
    <n v="1.0447093493117277"/>
    <m/>
    <m/>
    <m/>
    <m/>
    <n v="1.0926977736237927E-2"/>
    <n v="0.11726220432813288"/>
    <n v="7.2135547726891458E-3"/>
    <m/>
    <n v="9.3704316150214507E-3"/>
    <n v="-4.5605962566204142E-3"/>
    <m/>
    <n v="0"/>
    <n v="0.14021257219546099"/>
    <m/>
    <m/>
  </r>
  <r>
    <x v="7"/>
    <x v="229"/>
    <m/>
    <s v="PET worst"/>
    <m/>
    <m/>
    <n v="2009"/>
    <s v="Franklin Associates"/>
    <m/>
    <s v="Government Report"/>
    <s v="Franklin Associates, Life Cycle Assessment of Drinking Water Systems: Bottle Water, Tap Water, and Home/Office Delivery Water. 2009,  (09-LQ-104), ."/>
    <m/>
    <m/>
    <m/>
    <m/>
    <m/>
    <m/>
    <m/>
    <m/>
    <m/>
    <m/>
    <m/>
    <m/>
    <m/>
    <m/>
    <m/>
    <m/>
    <m/>
    <m/>
    <s v=""/>
    <n v="0.11956991114693753"/>
    <s v=""/>
    <n v="4.1376087425408015E-4"/>
    <m/>
    <m/>
    <n v="0.11956991114693753"/>
    <n v="6.1122800733154756"/>
    <n v="6.8564564433908215"/>
    <m/>
    <n v="7.2661715235446636"/>
    <n v="-8.6660035089627968E-2"/>
    <m/>
    <m/>
    <n v="20.267817916308267"/>
    <m/>
    <m/>
    <m/>
    <m/>
    <n v="4.1376087425408015E-4"/>
    <n v="8.4238023342200485E-2"/>
    <n v="2.8518704915282676E-3"/>
    <m/>
    <n v="6.230977544515541E-5"/>
    <n v="-2.9761305629448561E-2"/>
    <m/>
    <n v="0"/>
    <n v="5.7804658853979424E-2"/>
    <m/>
    <m/>
  </r>
  <r>
    <x v="7"/>
    <x v="229"/>
    <m/>
    <s v="PLA best"/>
    <m/>
    <m/>
    <n v="2009"/>
    <s v="Franklin Associates"/>
    <m/>
    <s v="Government Report"/>
    <s v="Franklin Associates, Life Cycle Assessment of Drinking Water Systems: Bottle Water, Tap Water, and Home/Office Delivery Water. 2009,  (09-LQ-104), ."/>
    <m/>
    <m/>
    <m/>
    <m/>
    <m/>
    <m/>
    <m/>
    <m/>
    <m/>
    <m/>
    <m/>
    <m/>
    <m/>
    <m/>
    <m/>
    <m/>
    <m/>
    <m/>
    <s v=""/>
    <n v="6.2488517667000911E-3"/>
    <s v=""/>
    <n v="8.2895966640304849E-3"/>
    <m/>
    <m/>
    <n v="6.2488517667000911E-3"/>
    <n v="1.6221372561192919"/>
    <n v="3.902048382417541E-2"/>
    <m/>
    <n v="8.9189677312400935E-4"/>
    <n v="7.1491100720721375E-3"/>
    <m/>
    <m/>
    <n v="1.6754475985553636"/>
    <m/>
    <m/>
    <m/>
    <m/>
    <n v="8.2895966640304849E-3"/>
    <n v="0.26265966879957825"/>
    <n v="0.48817312531454454"/>
    <m/>
    <n v="0.51621252426486453"/>
    <n v="7.9099863397800001E-3"/>
    <m/>
    <n v="0"/>
    <n v="1.2832449013827978"/>
    <m/>
    <m/>
  </r>
  <r>
    <x v="7"/>
    <x v="228"/>
    <m/>
    <s v="Tap Al ref_x000a_26"/>
    <m/>
    <m/>
    <n v="2009"/>
    <s v="Franklin Associates"/>
    <m/>
    <s v="Government Report"/>
    <s v="Franklin Associates, Life Cycle Assessment of Drinking Water Systems: Bottle Water, Tap Water, and Home/Office Delivery Water. 2009,  (09-LQ-104), ."/>
    <m/>
    <m/>
    <m/>
    <m/>
    <m/>
    <m/>
    <m/>
    <m/>
    <m/>
    <m/>
    <m/>
    <m/>
    <m/>
    <m/>
    <m/>
    <m/>
    <m/>
    <m/>
    <s v=""/>
    <n v="7.8040967648350824E-3"/>
    <s v=""/>
    <n v="5.0087473338605696E-4"/>
    <m/>
    <m/>
    <n v="7.8040967648350824E-3"/>
    <n v="0.10033838697645107"/>
    <n v="0"/>
    <m/>
    <n v="0.51562782196231782"/>
    <n v="2.0848087071773718E-3"/>
    <m/>
    <m/>
    <n v="0.62585511441078134"/>
    <m/>
    <m/>
    <m/>
    <m/>
    <n v="5.0087473338605696E-4"/>
    <n v="6.967910465645745E-3"/>
    <m/>
    <m/>
    <n v="3.3072111582428648E-2"/>
    <n v="1.5577443861288854E-4"/>
    <m/>
    <n v="0"/>
    <n v="4.0696671220073338E-2"/>
    <m/>
    <m/>
  </r>
  <r>
    <x v="7"/>
    <x v="228"/>
    <m/>
    <s v="Tap PET_x000a_27"/>
    <m/>
    <m/>
    <n v="2009"/>
    <s v="Franklin Associates"/>
    <m/>
    <s v="Government Report"/>
    <s v="Franklin Associates, Life Cycle Assessment of Drinking Water Systems: Bottle Water, Tap Water, and Home/Office Delivery Water. 2009,  (09-LQ-104), ."/>
    <m/>
    <m/>
    <m/>
    <m/>
    <m/>
    <m/>
    <m/>
    <m/>
    <m/>
    <m/>
    <m/>
    <m/>
    <m/>
    <m/>
    <m/>
    <m/>
    <m/>
    <m/>
    <s v=""/>
    <n v="6.4105080568288165E-3"/>
    <s v=""/>
    <n v="4.1699618951757854E-4"/>
    <m/>
    <m/>
    <n v="6.4105080568288165E-3"/>
    <n v="3.2888693508947846E-2"/>
    <n v="0"/>
    <m/>
    <n v="0.32331258025745341"/>
    <n v="1.1823206598725151E-3"/>
    <m/>
    <m/>
    <n v="0.36379410248310257"/>
    <m/>
    <m/>
    <m/>
    <m/>
    <n v="4.1699618951757854E-4"/>
    <n v="1.4582883983991182E-3"/>
    <m/>
    <m/>
    <n v="2.061015649339756E-2"/>
    <n v="1.4091595369904378E-4"/>
    <m/>
    <n v="0"/>
    <n v="2.2626357035013301E-2"/>
    <m/>
    <m/>
  </r>
  <r>
    <x v="7"/>
    <x v="228"/>
    <m/>
    <s v="Tap steel_x000a_28"/>
    <m/>
    <m/>
    <n v="2009"/>
    <s v="Franklin Associates"/>
    <m/>
    <s v="Government Report"/>
    <s v="Franklin Associates, Life Cycle Assessment of Drinking Water Systems: Bottle Water, Tap Water, and Home/Office Delivery Water. 2009,  (09-LQ-104), ."/>
    <m/>
    <m/>
    <m/>
    <m/>
    <m/>
    <m/>
    <m/>
    <m/>
    <m/>
    <m/>
    <m/>
    <m/>
    <m/>
    <m/>
    <m/>
    <m/>
    <m/>
    <m/>
    <s v=""/>
    <n v="6.9679435400313225E-3"/>
    <s v=""/>
    <n v="4.4215975267812211E-4"/>
    <m/>
    <m/>
    <n v="6.9679435400313225E-3"/>
    <n v="4.8496887038618007E-2"/>
    <n v="0"/>
    <m/>
    <n v="0.38184330599371652"/>
    <n v="1.7439369091990389E-3"/>
    <m/>
    <m/>
    <n v="0.43905207348156489"/>
    <m/>
    <m/>
    <m/>
    <m/>
    <n v="4.4215975267812211E-4"/>
    <n v="4.7714908812040166E-3"/>
    <m/>
    <m/>
    <n v="2.4444604213099432E-2"/>
    <n v="1.4858484913844754E-4"/>
    <m/>
    <n v="0"/>
    <n v="2.9806839696120017E-2"/>
    <m/>
    <m/>
  </r>
  <r>
    <x v="7"/>
    <x v="228"/>
    <m/>
    <s v="Tap glass_x000a_29"/>
    <m/>
    <m/>
    <n v="2009"/>
    <s v="Franklin Associates"/>
    <m/>
    <s v="Government Report"/>
    <s v="Franklin Associates, Life Cycle Assessment of Drinking Water Systems: Bottle Water, Tap Water, and Home/Office Delivery Water. 2009,  (09-LQ-104), ."/>
    <m/>
    <m/>
    <m/>
    <m/>
    <m/>
    <m/>
    <m/>
    <m/>
    <m/>
    <m/>
    <m/>
    <m/>
    <m/>
    <m/>
    <m/>
    <m/>
    <m/>
    <m/>
    <s v=""/>
    <n v="8.6402499896388405E-3"/>
    <s v=""/>
    <n v="5.5719318426917836E-4"/>
    <m/>
    <m/>
    <n v="8.6402499896388405E-3"/>
    <n v="1.4493322563265151E-2"/>
    <n v="0"/>
    <m/>
    <n v="0.64662516051490682"/>
    <n v="2.4805879002511508E-3"/>
    <m/>
    <m/>
    <n v="0.67223932096806194"/>
    <m/>
    <m/>
    <m/>
    <m/>
    <n v="5.5719318426917836E-4"/>
    <n v="1.1203776931003905E-3"/>
    <m/>
    <m/>
    <n v="4.1340139478035796E-2"/>
    <n v="1.6895535264936371E-4"/>
    <m/>
    <n v="0"/>
    <n v="4.3186665708054732E-2"/>
    <m/>
    <m/>
  </r>
  <r>
    <x v="7"/>
    <x v="228"/>
    <m/>
    <s v="Tap Al 5 yr_x000a_30"/>
    <m/>
    <m/>
    <n v="2009"/>
    <s v="Franklin Associates"/>
    <m/>
    <s v="Government Report"/>
    <s v="Franklin Associates, Life Cycle Assessment of Drinking Water Systems: Bottle Water, Tap Water, and Home/Office Delivery Water. 2009,  (09-LQ-104), ."/>
    <m/>
    <m/>
    <m/>
    <m/>
    <m/>
    <m/>
    <m/>
    <m/>
    <m/>
    <m/>
    <m/>
    <m/>
    <m/>
    <m/>
    <m/>
    <m/>
    <m/>
    <m/>
    <s v=""/>
    <n v="7.8040967648350824E-3"/>
    <s v=""/>
    <n v="5.0087473338605696E-4"/>
    <m/>
    <m/>
    <n v="7.8040967648350824E-3"/>
    <n v="2.0067677395290213E-2"/>
    <n v="0"/>
    <m/>
    <n v="0.51562782196231782"/>
    <n v="1.8022167889678612E-3"/>
    <m/>
    <m/>
    <n v="0.545301812911411"/>
    <m/>
    <m/>
    <m/>
    <m/>
    <n v="5.0087473338605696E-4"/>
    <n v="1.3959786229539627E-3"/>
    <m/>
    <m/>
    <n v="3.3072111582428648E-2"/>
    <n v="1.2414024492534811E-4"/>
    <m/>
    <n v="0"/>
    <n v="3.5093105183694011E-2"/>
    <m/>
    <m/>
  </r>
  <r>
    <x v="7"/>
    <x v="228"/>
    <m/>
    <s v="100%R_x000a_31"/>
    <m/>
    <m/>
    <n v="2009"/>
    <s v="Franklin Associates"/>
    <m/>
    <s v="Government Report"/>
    <s v="Franklin Associates, Life Cycle Assessment of Drinking Water Systems: Bottle Water, Tap Water, and Home/Office Delivery Water. 2009,  (09-LQ-104), ."/>
    <m/>
    <m/>
    <m/>
    <m/>
    <m/>
    <m/>
    <m/>
    <m/>
    <m/>
    <m/>
    <m/>
    <m/>
    <m/>
    <m/>
    <m/>
    <m/>
    <m/>
    <m/>
    <s v=""/>
    <n v="7.8040967648350824E-3"/>
    <s v=""/>
    <n v="5.0087473338605696E-4"/>
    <m/>
    <m/>
    <n v="7.8040967648350824E-3"/>
    <n v="0.10033838697645107"/>
    <n v="0"/>
    <m/>
    <n v="0.51562782196231782"/>
    <n v="-3.8134161405883424E-2"/>
    <m/>
    <m/>
    <n v="0.58563614429772048"/>
    <m/>
    <m/>
    <m/>
    <m/>
    <n v="5.0087473338605696E-4"/>
    <n v="6.967910465645745E-3"/>
    <m/>
    <m/>
    <n v="3.3072111582428648E-2"/>
    <n v="-2.8183190739808762E-3"/>
    <m/>
    <n v="0"/>
    <n v="3.7722577707479575E-2"/>
    <m/>
    <m/>
  </r>
  <r>
    <x v="7"/>
    <x v="228"/>
    <m/>
    <s v="fill_x000a_32"/>
    <m/>
    <m/>
    <n v="2009"/>
    <s v="Franklin Associates"/>
    <m/>
    <s v="Government Report"/>
    <s v="Franklin Associates, Life Cycle Assessment of Drinking Water Systems: Bottle Water, Tap Water, and Home/Office Delivery Water. 2009,  (09-LQ-104), ."/>
    <m/>
    <m/>
    <m/>
    <m/>
    <m/>
    <m/>
    <m/>
    <m/>
    <m/>
    <m/>
    <m/>
    <m/>
    <m/>
    <m/>
    <m/>
    <m/>
    <m/>
    <m/>
    <s v=""/>
    <n v="6.1317903152275635E-3"/>
    <s v=""/>
    <n v="3.8823783161981456E-4"/>
    <m/>
    <m/>
    <n v="6.1317903152275635E-3"/>
    <n v="5.0169193488225537E-2"/>
    <n v="0"/>
    <m/>
    <n v="0.25920749968916518"/>
    <n v="1.0480344519690312E-3"/>
    <m/>
    <m/>
    <n v="0.31655651794458733"/>
    <m/>
    <m/>
    <m/>
    <m/>
    <n v="3.8823783161981456E-4"/>
    <n v="3.4833561003666685E-3"/>
    <m/>
    <m/>
    <n v="1.6536055791214324E-2"/>
    <n v="7.8246698780166322E-5"/>
    <m/>
    <n v="0"/>
    <n v="2.0485896421980974E-2"/>
    <m/>
    <m/>
  </r>
  <r>
    <x v="7"/>
    <x v="228"/>
    <m/>
    <s v="wash_x000a_33"/>
    <m/>
    <m/>
    <n v="2009"/>
    <s v="Franklin Associates"/>
    <m/>
    <s v="Government Report"/>
    <s v="Franklin Associates, Life Cycle Assessment of Drinking Water Systems: Bottle Water, Tap Water, and Home/Office Delivery Water. 2009,  (09-LQ-104), ."/>
    <m/>
    <m/>
    <m/>
    <m/>
    <m/>
    <m/>
    <m/>
    <m/>
    <m/>
    <m/>
    <m/>
    <m/>
    <m/>
    <m/>
    <m/>
    <m/>
    <m/>
    <m/>
    <s v=""/>
    <n v="4.7382016072213002E-3"/>
    <s v=""/>
    <n v="3.0795408248855655E-4"/>
    <m/>
    <m/>
    <n v="4.7382016072213002E-3"/>
    <n v="0.10033838697645107"/>
    <n v="0"/>
    <m/>
    <n v="7.2466612816325743E-2"/>
    <n v="6.0481749927471891E-4"/>
    <m/>
    <m/>
    <n v="0.17814801889927284"/>
    <m/>
    <m/>
    <m/>
    <m/>
    <n v="3.0795408248855655E-4"/>
    <n v="6.967910465645745E-3"/>
    <m/>
    <m/>
    <n v="4.7211637548829292E-3"/>
    <n v="5.631845088312125E-5"/>
    <m/>
    <n v="0"/>
    <n v="1.2053346753900351E-2"/>
    <m/>
    <m/>
  </r>
  <r>
    <x v="7"/>
    <x v="228"/>
    <m/>
    <s v="wash_x000a_34"/>
    <m/>
    <m/>
    <n v="2009"/>
    <s v="Franklin Associates"/>
    <m/>
    <s v="Government Report"/>
    <s v="Franklin Associates, Life Cycle Assessment of Drinking Water Systems: Bottle Water, Tap Water, and Home/Office Delivery Water. 2009,  (09-LQ-104), ."/>
    <m/>
    <m/>
    <m/>
    <m/>
    <m/>
    <m/>
    <m/>
    <m/>
    <m/>
    <m/>
    <m/>
    <m/>
    <m/>
    <m/>
    <m/>
    <m/>
    <m/>
    <m/>
    <s v=""/>
    <n v="5.2956370904238053E-3"/>
    <s v=""/>
    <n v="3.4030723512354106E-4"/>
    <m/>
    <m/>
    <n v="5.2956370904238053E-3"/>
    <n v="0.10033838697645107"/>
    <n v="0"/>
    <m/>
    <n v="0.28707927384929049"/>
    <n v="8.5845064413185893E-4"/>
    <m/>
    <m/>
    <n v="0.39357174856029725"/>
    <m/>
    <m/>
    <m/>
    <m/>
    <n v="3.4030723512354106E-4"/>
    <n v="6.967910465645745E-3"/>
    <m/>
    <m/>
    <n v="1.8333453159824573E-2"/>
    <n v="7.3094159656816944E-5"/>
    <m/>
    <n v="0"/>
    <n v="2.5714765020250677E-2"/>
    <m/>
    <m/>
  </r>
  <r>
    <x v="7"/>
    <x v="228"/>
    <m/>
    <s v="wash_x000a_35"/>
    <m/>
    <m/>
    <n v="2009"/>
    <s v="Franklin Associates"/>
    <m/>
    <s v="Government Report"/>
    <s v="Franklin Associates, Life Cycle Assessment of Drinking Water Systems: Bottle Water, Tap Water, and Home/Office Delivery Water. 2009,  (09-LQ-104), ."/>
    <m/>
    <m/>
    <m/>
    <m/>
    <m/>
    <m/>
    <m/>
    <m/>
    <m/>
    <m/>
    <m/>
    <m/>
    <m/>
    <m/>
    <m/>
    <m/>
    <m/>
    <m/>
    <s v=""/>
    <n v="1.1148709664050117E-2"/>
    <s v=""/>
    <n v="7.2495027200613509E-4"/>
    <m/>
    <m/>
    <n v="1.1148709664050117E-2"/>
    <n v="0.10033838697645107"/>
    <n v="0"/>
    <m/>
    <n v="1.0340428213406483"/>
    <n v="3.7013716084646387E-3"/>
    <m/>
    <m/>
    <n v="1.1492312895896142"/>
    <m/>
    <m/>
    <m/>
    <m/>
    <n v="7.2495027200613509E-4"/>
    <n v="6.967910465645745E-3"/>
    <m/>
    <m/>
    <n v="6.6024396673616606E-2"/>
    <n v="2.7200613511635152E-4"/>
    <m/>
    <n v="0"/>
    <n v="7.398926354638484E-2"/>
    <m/>
    <m/>
  </r>
  <r>
    <x v="7"/>
    <x v="228"/>
    <m/>
    <s v="Tap Al ice_x000a_36"/>
    <m/>
    <m/>
    <n v="2009"/>
    <s v="Franklin Associates"/>
    <m/>
    <s v="Government Report"/>
    <s v="Franklin Associates, Life Cycle Assessment of Drinking Water Systems: Bottle Water, Tap Water, and Home/Office Delivery Water. 2009,  (09-LQ-104), ."/>
    <m/>
    <m/>
    <m/>
    <m/>
    <m/>
    <m/>
    <m/>
    <m/>
    <m/>
    <m/>
    <m/>
    <m/>
    <m/>
    <m/>
    <m/>
    <m/>
    <m/>
    <m/>
    <s v=""/>
    <n v="9.7551209560438525E-3"/>
    <s v=""/>
    <n v="6.3867519831284293E-4"/>
    <m/>
    <m/>
    <n v="9.7551209560438525E-3"/>
    <n v="0.10033838697645107"/>
    <n v="0"/>
    <m/>
    <n v="0.51562782196231782"/>
    <n v="2.0848087071773718E-3"/>
    <m/>
    <m/>
    <n v="0.62780613860199019"/>
    <m/>
    <m/>
    <m/>
    <m/>
    <n v="6.3867519831284293E-4"/>
    <n v="6.967910465645745E-3"/>
    <m/>
    <m/>
    <n v="3.3072111582428648E-2"/>
    <n v="1.5577443861288854E-4"/>
    <m/>
    <n v="0"/>
    <n v="4.0834471685000123E-2"/>
    <m/>
    <m/>
  </r>
  <r>
    <x v="1"/>
    <x v="25"/>
    <s v="Fresh or Not Specified"/>
    <s v="Dutch beef from dairy cows"/>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Yes"/>
    <s v="Yes"/>
    <s v="No"/>
    <s v="No"/>
    <s v="No"/>
    <s v="No"/>
    <s v="No"/>
    <s v="no"/>
    <s v="Cradle to Packaging"/>
    <s v="No"/>
    <s v="Yes"/>
    <s v="kg meat at supermarket"/>
    <s v="N/A"/>
    <s v=""/>
    <s v=""/>
    <n v="8.2319999999999993"/>
    <n v="8.5809999999999995"/>
    <m/>
    <m/>
    <m/>
    <m/>
    <m/>
    <m/>
    <m/>
    <m/>
    <m/>
    <m/>
    <m/>
    <m/>
    <m/>
    <n v="8.2319999999999993"/>
    <n v="0.34899999999999998"/>
    <m/>
    <n v="0.186"/>
    <n v="2.3E-2"/>
    <n v="0.11600000000000001"/>
    <m/>
    <m/>
    <m/>
    <n v="8.2319999999999993"/>
    <n v="8.9059999999999988"/>
    <m/>
    <m/>
  </r>
  <r>
    <x v="1"/>
    <x v="3"/>
    <s v="Fresh or Not Specified"/>
    <s v="Dutch Beef"/>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No"/>
    <s v="No"/>
    <s v="No"/>
    <s v="No"/>
    <s v="No"/>
    <s v="No"/>
    <s v="no"/>
    <s v="Cradle to Packaging"/>
    <s v="No"/>
    <s v="Yes"/>
    <s v="kg meat at supermarket"/>
    <s v="N/A"/>
    <s v=""/>
    <s v=""/>
    <n v="15.56"/>
    <n v="16.77"/>
    <m/>
    <m/>
    <m/>
    <m/>
    <m/>
    <m/>
    <m/>
    <m/>
    <m/>
    <m/>
    <m/>
    <m/>
    <m/>
    <n v="15.56"/>
    <n v="1.21"/>
    <m/>
    <n v="0.24"/>
    <m/>
    <m/>
    <m/>
    <m/>
    <m/>
    <n v="15.56"/>
    <n v="17.009999999999998"/>
    <m/>
    <m/>
  </r>
  <r>
    <x v="1"/>
    <x v="3"/>
    <s v="Fresh or Not Specified"/>
    <s v="Irish Beef"/>
    <s v="No"/>
    <s v="Ireland"/>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No"/>
    <s v="No"/>
    <s v="No"/>
    <s v="No"/>
    <s v="No"/>
    <s v="No"/>
    <s v="no"/>
    <s v="Cradle to Packaging"/>
    <s v="No"/>
    <s v="Yes"/>
    <s v="kg meat at supermarket"/>
    <s v="N/A"/>
    <s v=""/>
    <s v=""/>
    <n v="37.74"/>
    <n v="37.79"/>
    <m/>
    <m/>
    <m/>
    <m/>
    <m/>
    <m/>
    <m/>
    <m/>
    <m/>
    <m/>
    <m/>
    <m/>
    <m/>
    <n v="37.74"/>
    <n v="0.05"/>
    <m/>
    <n v="0.08"/>
    <m/>
    <m/>
    <m/>
    <m/>
    <m/>
    <n v="37.74"/>
    <n v="37.869999999999997"/>
    <m/>
    <m/>
  </r>
  <r>
    <x v="1"/>
    <x v="3"/>
    <s v="Fresh or Not Specified"/>
    <s v="Brazilian Beef"/>
    <s v="No"/>
    <s v="Brazil"/>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No"/>
    <s v="No"/>
    <s v="No"/>
    <s v="No"/>
    <s v="No"/>
    <s v="No"/>
    <s v="no"/>
    <s v="Cradle to Packaging"/>
    <s v="No"/>
    <s v="Yes"/>
    <s v="kg food at supermarket"/>
    <s v="N/A"/>
    <s v=""/>
    <s v=""/>
    <n v="58.39"/>
    <n v="58.44"/>
    <m/>
    <m/>
    <m/>
    <m/>
    <m/>
    <m/>
    <m/>
    <m/>
    <m/>
    <m/>
    <m/>
    <m/>
    <m/>
    <n v="58.39"/>
    <n v="0.05"/>
    <m/>
    <n v="0.08"/>
    <m/>
    <m/>
    <m/>
    <m/>
    <m/>
    <n v="58.39"/>
    <n v="58.519999999999996"/>
    <m/>
    <m/>
  </r>
  <r>
    <x v="1"/>
    <x v="24"/>
    <s v="Fresh or Not Specified"/>
    <s v="Brazilian Chicken"/>
    <s v="No"/>
    <s v="Brazil"/>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Yes"/>
    <s v="Yes"/>
    <s v="No"/>
    <s v="No"/>
    <s v="No"/>
    <s v="No"/>
    <s v="No"/>
    <s v="no"/>
    <m/>
    <m/>
    <s v="Yes"/>
    <s v="kg food at supermarket"/>
    <m/>
    <s v=""/>
    <s v=""/>
    <n v="2.44"/>
    <n v="2.4859999999999998"/>
    <m/>
    <m/>
    <m/>
    <m/>
    <m/>
    <m/>
    <m/>
    <m/>
    <m/>
    <m/>
    <m/>
    <m/>
    <m/>
    <n v="2.44"/>
    <n v="4.5999999999999999E-2"/>
    <m/>
    <n v="0.186"/>
    <n v="0.11600000000000001"/>
    <n v="0.11600000000000001"/>
    <m/>
    <m/>
    <m/>
    <n v="2.44"/>
    <n v="2.9039999999999999"/>
    <m/>
    <m/>
  </r>
  <r>
    <x v="1"/>
    <x v="24"/>
    <s v="Fresh or Not Specified"/>
    <s v="Dutch Chicken"/>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Yes"/>
    <s v="Yes"/>
    <s v="No"/>
    <s v="No"/>
    <s v="No"/>
    <s v="No"/>
    <s v="No"/>
    <s v="no"/>
    <m/>
    <m/>
    <s v="Yes"/>
    <s v="kg food at supermarket"/>
    <m/>
    <s v=""/>
    <s v=""/>
    <n v="2.72"/>
    <n v="2.7670000000000003"/>
    <m/>
    <m/>
    <m/>
    <m/>
    <m/>
    <m/>
    <m/>
    <m/>
    <m/>
    <m/>
    <m/>
    <m/>
    <m/>
    <n v="2.72"/>
    <n v="4.7E-2"/>
    <m/>
    <n v="0.186"/>
    <n v="2.3E-2"/>
    <n v="0.11600000000000001"/>
    <m/>
    <m/>
    <m/>
    <n v="2.72"/>
    <n v="3.0920000000000005"/>
    <m/>
    <m/>
  </r>
  <r>
    <x v="1"/>
    <x v="23"/>
    <s v="Fresh or Not Specified"/>
    <s v="Pork "/>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Yes"/>
    <s v="No"/>
    <s v="No"/>
    <s v="No"/>
    <s v="No"/>
    <s v="No"/>
    <s v="no"/>
    <m/>
    <m/>
    <s v="Yes"/>
    <s v="kg food at supermarket"/>
    <m/>
    <s v=""/>
    <s v=""/>
    <n v="3.907"/>
    <n v="4.2089999999999996"/>
    <m/>
    <m/>
    <m/>
    <m/>
    <m/>
    <m/>
    <m/>
    <m/>
    <m/>
    <m/>
    <m/>
    <m/>
    <m/>
    <n v="3.907"/>
    <n v="0.30199999999999999"/>
    <m/>
    <n v="0.20899999999999999"/>
    <m/>
    <n v="0.11600000000000001"/>
    <m/>
    <m/>
    <m/>
    <n v="3.907"/>
    <n v="4.5339999999999989"/>
    <m/>
    <m/>
  </r>
  <r>
    <x v="1"/>
    <x v="32"/>
    <s v="Fresh or Not Specified"/>
    <s v="Veal"/>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Yes"/>
    <s v="No"/>
    <s v="No"/>
    <s v="No"/>
    <s v="No"/>
    <s v="No"/>
    <s v="no"/>
    <m/>
    <m/>
    <s v="Yes"/>
    <s v="kg food at supermarket"/>
    <m/>
    <s v=""/>
    <s v=""/>
    <n v="5.7670000000000003"/>
    <n v="5.9300000000000006"/>
    <m/>
    <m/>
    <m/>
    <m/>
    <m/>
    <m/>
    <m/>
    <m/>
    <m/>
    <m/>
    <m/>
    <m/>
    <m/>
    <n v="5.7670000000000003"/>
    <n v="0.16300000000000001"/>
    <m/>
    <n v="0.20899999999999999"/>
    <m/>
    <n v="0.112"/>
    <m/>
    <m/>
    <m/>
    <n v="5.7670000000000003"/>
    <n v="6.2510000000000003"/>
    <m/>
    <m/>
  </r>
  <r>
    <x v="1"/>
    <x v="1"/>
    <s v="Fresh or Not Specified"/>
    <s v="Lamb"/>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Yes"/>
    <s v="No"/>
    <s v="No"/>
    <s v="No"/>
    <s v="No"/>
    <s v="No"/>
    <s v="no"/>
    <m/>
    <m/>
    <s v="Yes"/>
    <s v="kg food at supermarket"/>
    <m/>
    <s v=""/>
    <s v=""/>
    <n v="15.93"/>
    <n v="16"/>
    <m/>
    <m/>
    <m/>
    <m/>
    <m/>
    <m/>
    <m/>
    <m/>
    <m/>
    <m/>
    <m/>
    <m/>
    <m/>
    <n v="15.93"/>
    <n v="7.0000000000000007E-2"/>
    <m/>
    <n v="0.186"/>
    <m/>
    <n v="0.11600000000000001"/>
    <m/>
    <m/>
    <m/>
    <n v="15.93"/>
    <n v="16.302"/>
    <m/>
    <m/>
  </r>
  <r>
    <x v="6"/>
    <x v="230"/>
    <s v="Fresh or Not Specified"/>
    <s v="Tempeh"/>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0.45300000000000001"/>
    <n v="0.77300000000000002"/>
    <m/>
    <m/>
    <m/>
    <m/>
    <m/>
    <m/>
    <m/>
    <m/>
    <m/>
    <m/>
    <m/>
    <m/>
    <m/>
    <n v="0.45300000000000001"/>
    <n v="0.08"/>
    <n v="0.24"/>
    <n v="0.2"/>
    <n v="2.7E-2"/>
    <n v="9.2999999999999999E-2"/>
    <m/>
    <m/>
    <m/>
    <n v="0.45300000000000001"/>
    <n v="1.093"/>
    <m/>
    <m/>
  </r>
  <r>
    <x v="6"/>
    <x v="38"/>
    <s v="Fresh or Not Specified"/>
    <s v="Tofu"/>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0.61"/>
    <n v="1.6639999999999999"/>
    <m/>
    <m/>
    <m/>
    <m/>
    <m/>
    <m/>
    <m/>
    <m/>
    <m/>
    <m/>
    <m/>
    <m/>
    <m/>
    <n v="0.61"/>
    <n v="0.107"/>
    <n v="0.94699999999999995"/>
    <n v="0.2"/>
    <n v="2.7E-2"/>
    <n v="9.2999999999999999E-2"/>
    <m/>
    <m/>
    <m/>
    <n v="0.61"/>
    <n v="1.9839999999999998"/>
    <m/>
    <m/>
  </r>
  <r>
    <x v="11"/>
    <x v="83"/>
    <s v="Fresh or Not Specified"/>
    <s v="Walnut"/>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No"/>
    <s v="No"/>
    <s v="No"/>
    <s v="No"/>
    <s v="No"/>
    <s v="No"/>
    <s v="no"/>
    <m/>
    <m/>
    <s v="Yes"/>
    <s v="kg food at supermarket"/>
    <m/>
    <s v=""/>
    <s v=""/>
    <n v="1.53"/>
    <n v="1.903"/>
    <m/>
    <m/>
    <m/>
    <m/>
    <m/>
    <m/>
    <m/>
    <m/>
    <m/>
    <m/>
    <m/>
    <m/>
    <m/>
    <n v="1.53"/>
    <n v="9.2999999999999999E-2"/>
    <n v="0.28000000000000003"/>
    <n v="0.21299999999999999"/>
    <n v="1.2999999999999999E-2"/>
    <m/>
    <m/>
    <m/>
    <m/>
    <n v="1.53"/>
    <n v="2.129"/>
    <m/>
    <m/>
  </r>
  <r>
    <x v="2"/>
    <x v="2"/>
    <s v="Fresh or Not Specified"/>
    <s v="Egg"/>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No"/>
    <s v="No"/>
    <s v="No"/>
    <s v="No"/>
    <s v="No"/>
    <s v="No"/>
    <s v="no"/>
    <m/>
    <m/>
    <s v="Yes"/>
    <s v="kg food at supermarket"/>
    <m/>
    <s v=""/>
    <s v=""/>
    <n v="1.7729999999999999"/>
    <n v="2.0529999999999999"/>
    <m/>
    <m/>
    <m/>
    <m/>
    <m/>
    <m/>
    <m/>
    <m/>
    <m/>
    <m/>
    <m/>
    <m/>
    <m/>
    <n v="1.7729999999999999"/>
    <n v="0.14699999999999999"/>
    <n v="0.13300000000000001"/>
    <n v="0.2"/>
    <n v="1.2999999999999999E-2"/>
    <m/>
    <m/>
    <m/>
    <m/>
    <n v="1.7729999999999999"/>
    <n v="2.266"/>
    <m/>
    <m/>
  </r>
  <r>
    <x v="11"/>
    <x v="116"/>
    <s v="Fresh or Not Specified"/>
    <s v="Cashew"/>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No"/>
    <s v="No"/>
    <s v="No"/>
    <s v="No"/>
    <s v="No"/>
    <s v="No"/>
    <s v="no"/>
    <m/>
    <m/>
    <s v="Yes"/>
    <s v="kg food at supermarket"/>
    <m/>
    <s v=""/>
    <s v=""/>
    <n v="1.867"/>
    <n v="2.053666666666667"/>
    <m/>
    <m/>
    <m/>
    <m/>
    <m/>
    <m/>
    <m/>
    <m/>
    <m/>
    <m/>
    <m/>
    <m/>
    <m/>
    <n v="1.867"/>
    <n v="0.12"/>
    <n v="6.6666666666666666E-2"/>
    <n v="0.2"/>
    <n v="2.6666666666666668E-2"/>
    <m/>
    <m/>
    <m/>
    <m/>
    <n v="1.867"/>
    <n v="2.280333333333334"/>
    <m/>
    <m/>
  </r>
  <r>
    <x v="6"/>
    <x v="39"/>
    <s v="Fresh or Not Specified"/>
    <s v="Valess"/>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3.573"/>
    <n v="5.9063333333333325"/>
    <m/>
    <m/>
    <m/>
    <m/>
    <m/>
    <m/>
    <m/>
    <m/>
    <m/>
    <m/>
    <m/>
    <m/>
    <m/>
    <n v="3.573"/>
    <n v="5.3333333333333337E-2"/>
    <n v="2.2799999999999998"/>
    <n v="0.2"/>
    <n v="1.3333333333333334E-2"/>
    <n v="0.10666666666666667"/>
    <m/>
    <m/>
    <m/>
    <n v="3.573"/>
    <n v="6.2263333333333328"/>
    <m/>
    <m/>
  </r>
  <r>
    <x v="0"/>
    <x v="4"/>
    <s v="Fresh or Not Specified"/>
    <s v="Cheese"/>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8.16"/>
    <n v="8.6533333333333342"/>
    <m/>
    <m/>
    <m/>
    <m/>
    <m/>
    <m/>
    <m/>
    <m/>
    <m/>
    <m/>
    <m/>
    <m/>
    <m/>
    <n v="8.16"/>
    <n v="9.3333333333333338E-2"/>
    <n v="0.4"/>
    <n v="0.18666666666666668"/>
    <n v="2.6666666666666668E-2"/>
    <n v="9.3333333333333338E-2"/>
    <m/>
    <m/>
    <m/>
    <n v="8.16"/>
    <n v="8.9600000000000026"/>
    <m/>
    <m/>
  </r>
  <r>
    <x v="7"/>
    <x v="40"/>
    <s v="Fresh or Not Specified"/>
    <s v="Soymilk"/>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9.2999999999999999E-2"/>
    <n v="0.45300000000000001"/>
    <m/>
    <m/>
    <m/>
    <m/>
    <m/>
    <m/>
    <m/>
    <m/>
    <m/>
    <m/>
    <m/>
    <m/>
    <m/>
    <n v="9.2999999999999999E-2"/>
    <n v="0.10666666666666667"/>
    <n v="0.25333333333333335"/>
    <n v="5.3333333333333337E-2"/>
    <n v="2.6666666666666668E-2"/>
    <n v="9.3333333333333338E-2"/>
    <m/>
    <m/>
    <m/>
    <n v="9.2999999999999999E-2"/>
    <n v="0.6263333333333333"/>
    <m/>
    <m/>
  </r>
  <r>
    <x v="0"/>
    <x v="0"/>
    <s v="Fresh or Not Specified"/>
    <s v="Milk"/>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0.21299999999999999"/>
    <n v="1.0263333333333333"/>
    <m/>
    <m/>
    <m/>
    <m/>
    <m/>
    <m/>
    <m/>
    <m/>
    <m/>
    <m/>
    <m/>
    <m/>
    <m/>
    <n v="0.21299999999999999"/>
    <n v="2.6666666666666668E-2"/>
    <n v="0.78666666666666663"/>
    <n v="6.6666666666666666E-2"/>
    <n v="2.6666666666666668E-2"/>
    <n v="9.3333333333333338E-2"/>
    <m/>
    <m/>
    <m/>
    <n v="0.21299999999999999"/>
    <n v="1.2129999999999999"/>
    <m/>
    <m/>
  </r>
  <r>
    <x v="12"/>
    <x v="104"/>
    <s v="Fresh or Not Specified"/>
    <s v="Mackerel"/>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0.62903225806451613"/>
    <m/>
    <m/>
    <m/>
    <m/>
    <m/>
    <m/>
    <m/>
    <m/>
    <m/>
    <m/>
    <m/>
    <m/>
    <m/>
    <m/>
    <n v="3.2258064516129031E-2"/>
    <n v="0.59677419354838712"/>
    <n v="0.17741935483870969"/>
    <n v="1.6129032258064516E-2"/>
    <n v="0.11290322580645161"/>
    <m/>
    <m/>
    <m/>
    <n v="0"/>
    <n v="0.93548387096774188"/>
    <m/>
    <m/>
  </r>
  <r>
    <x v="12"/>
    <x v="104"/>
    <s v="Fresh or Not Specified"/>
    <s v="Herring"/>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0.75806451612903225"/>
    <m/>
    <m/>
    <m/>
    <m/>
    <m/>
    <m/>
    <m/>
    <m/>
    <m/>
    <m/>
    <m/>
    <m/>
    <m/>
    <m/>
    <n v="1.6129032258064516E-2"/>
    <n v="0.74193548387096775"/>
    <n v="0.19354838709677419"/>
    <n v="1.6129032258064516E-2"/>
    <n v="0.11290322580645161"/>
    <m/>
    <m/>
    <m/>
    <n v="0"/>
    <n v="1.0806451612903225"/>
    <m/>
    <m/>
  </r>
  <r>
    <x v="12"/>
    <x v="104"/>
    <s v="Fresh or Not Specified"/>
    <s v="Pollock"/>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1.2741935483870968"/>
    <m/>
    <m/>
    <m/>
    <m/>
    <m/>
    <m/>
    <m/>
    <m/>
    <m/>
    <m/>
    <m/>
    <m/>
    <m/>
    <m/>
    <n v="3.2258064516129031E-2"/>
    <n v="1.2419354838709677"/>
    <n v="0.19354838709677419"/>
    <n v="1.6129032258064516E-2"/>
    <n v="0.12903225806451613"/>
    <m/>
    <m/>
    <m/>
    <n v="0"/>
    <n v="1.6129032258064515"/>
    <m/>
    <m/>
  </r>
  <r>
    <x v="12"/>
    <x v="103"/>
    <s v="Fresh or Not Specified"/>
    <s v="Mussel"/>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1.6129032258064515"/>
    <m/>
    <m/>
    <m/>
    <m/>
    <m/>
    <m/>
    <m/>
    <m/>
    <m/>
    <m/>
    <m/>
    <m/>
    <m/>
    <m/>
    <n v="4.8387096774193547E-2"/>
    <n v="1.564516129032258"/>
    <n v="0.19354838709677419"/>
    <n v="1.6129032258064516E-2"/>
    <n v="0.11290322580645161"/>
    <m/>
    <m/>
    <m/>
    <n v="0"/>
    <n v="1.9354838709677418"/>
    <m/>
    <m/>
  </r>
  <r>
    <x v="12"/>
    <x v="104"/>
    <s v="Fresh or Not Specified"/>
    <s v="Salmon (Aquaculture)"/>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0.37096774193548387"/>
    <n v="1.7580645161290325"/>
    <m/>
    <m/>
    <m/>
    <m/>
    <m/>
    <m/>
    <m/>
    <m/>
    <m/>
    <m/>
    <m/>
    <m/>
    <m/>
    <n v="0.37096774193548387"/>
    <n v="0.22580645161290322"/>
    <n v="1.1612903225806452"/>
    <n v="0.19354838709677419"/>
    <n v="1.6129032258064516E-2"/>
    <n v="9.6774193548387094E-2"/>
    <m/>
    <m/>
    <m/>
    <n v="0.37096774193548387"/>
    <n v="2.0645161290322585"/>
    <m/>
    <m/>
  </r>
  <r>
    <x v="12"/>
    <x v="104"/>
    <s v="Fresh or Not Specified"/>
    <s v="Cod"/>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3.0806451612903225"/>
    <m/>
    <m/>
    <m/>
    <m/>
    <m/>
    <m/>
    <m/>
    <m/>
    <m/>
    <m/>
    <m/>
    <m/>
    <m/>
    <m/>
    <n v="3.2258064516129031E-2"/>
    <n v="3.0483870967741935"/>
    <n v="0.19354838709677419"/>
    <n v="1.6129032258064516E-2"/>
    <n v="9.6774193548387094E-2"/>
    <m/>
    <m/>
    <m/>
    <n v="0"/>
    <n v="3.387096774193548"/>
    <m/>
    <m/>
  </r>
  <r>
    <x v="12"/>
    <x v="111"/>
    <s v="Fresh or Not Specified"/>
    <s v="Prawn"/>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6.096774193548387"/>
    <m/>
    <m/>
    <m/>
    <m/>
    <m/>
    <m/>
    <m/>
    <m/>
    <m/>
    <m/>
    <m/>
    <m/>
    <m/>
    <m/>
    <n v="3.2258064516129031E-2"/>
    <n v="6.064516129032258"/>
    <n v="0.19354838709677419"/>
    <n v="1.6129032258064516E-2"/>
    <n v="9.6774193548387094E-2"/>
    <m/>
    <m/>
    <m/>
    <n v="0"/>
    <n v="6.403225806451613"/>
    <m/>
    <m/>
  </r>
  <r>
    <x v="12"/>
    <x v="111"/>
    <s v="Fresh or Not Specified"/>
    <s v="Shrimp"/>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9.5161290322580641"/>
    <m/>
    <m/>
    <m/>
    <m/>
    <m/>
    <m/>
    <m/>
    <m/>
    <m/>
    <m/>
    <m/>
    <m/>
    <m/>
    <m/>
    <n v="1.6129032258064516E-2"/>
    <n v="9.5"/>
    <n v="0.20967741935483872"/>
    <n v="1.6129032258064516E-2"/>
    <n v="0.11290322580645161"/>
    <m/>
    <m/>
    <m/>
    <n v="0"/>
    <n v="9.8548387096774182"/>
    <m/>
    <m/>
  </r>
  <r>
    <x v="11"/>
    <x v="201"/>
    <s v="Fresh or Not Specified"/>
    <s v="Gigantes (conventional)"/>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247"/>
    <s v=""/>
    <m/>
    <m/>
    <m/>
    <m/>
    <m/>
    <m/>
    <m/>
    <m/>
    <m/>
    <m/>
    <m/>
    <m/>
    <m/>
    <n v="0.247"/>
    <m/>
    <m/>
    <m/>
    <m/>
    <m/>
    <m/>
    <m/>
    <m/>
    <n v="0.247"/>
    <m/>
    <m/>
    <m/>
  </r>
  <r>
    <x v="11"/>
    <x v="201"/>
    <s v="Fresh or Not Specified"/>
    <s v="Gigantes (integrated)"/>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127"/>
    <s v=""/>
    <m/>
    <m/>
    <m/>
    <m/>
    <m/>
    <m/>
    <m/>
    <m/>
    <m/>
    <m/>
    <m/>
    <m/>
    <m/>
    <n v="0.127"/>
    <m/>
    <m/>
    <m/>
    <m/>
    <m/>
    <m/>
    <m/>
    <m/>
    <n v="0.127"/>
    <m/>
    <m/>
    <m/>
  </r>
  <r>
    <x v="11"/>
    <x v="201"/>
    <s v="Fresh or Not Specified"/>
    <s v="Gigantes (organic)"/>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30299999999999999"/>
    <s v=""/>
    <m/>
    <m/>
    <m/>
    <m/>
    <m/>
    <m/>
    <m/>
    <m/>
    <m/>
    <m/>
    <m/>
    <m/>
    <m/>
    <n v="0.30299999999999999"/>
    <m/>
    <m/>
    <m/>
    <m/>
    <m/>
    <m/>
    <m/>
    <m/>
    <n v="0.30299999999999999"/>
    <m/>
    <m/>
    <m/>
  </r>
  <r>
    <x v="11"/>
    <x v="201"/>
    <s v="Fresh or Not Specified"/>
    <s v="Plake (Conventional) -large, white greek bean"/>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30199999999999999"/>
    <s v=""/>
    <m/>
    <m/>
    <m/>
    <m/>
    <m/>
    <m/>
    <m/>
    <m/>
    <m/>
    <m/>
    <m/>
    <m/>
    <m/>
    <n v="0.30199999999999999"/>
    <m/>
    <m/>
    <m/>
    <m/>
    <m/>
    <m/>
    <m/>
    <m/>
    <n v="0.30199999999999999"/>
    <m/>
    <m/>
    <m/>
  </r>
  <r>
    <x v="11"/>
    <x v="201"/>
    <s v="Fresh or Not Specified"/>
    <s v="Plake (integrated) -large, white greek bean"/>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11799999999999999"/>
    <s v=""/>
    <m/>
    <m/>
    <m/>
    <m/>
    <m/>
    <m/>
    <m/>
    <m/>
    <m/>
    <m/>
    <m/>
    <m/>
    <m/>
    <n v="0.11799999999999999"/>
    <m/>
    <m/>
    <m/>
    <m/>
    <m/>
    <m/>
    <m/>
    <m/>
    <n v="0.11799999999999999"/>
    <m/>
    <m/>
    <m/>
  </r>
  <r>
    <x v="11"/>
    <x v="201"/>
    <s v="Fresh or Not Specified"/>
    <s v="Plake (organic) - -large, white greek bean"/>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438"/>
    <s v=""/>
    <m/>
    <m/>
    <m/>
    <m/>
    <m/>
    <m/>
    <m/>
    <m/>
    <m/>
    <m/>
    <m/>
    <m/>
    <m/>
    <n v="0.438"/>
    <m/>
    <m/>
    <m/>
    <m/>
    <m/>
    <m/>
    <m/>
    <m/>
    <n v="0.438"/>
    <m/>
    <m/>
    <m/>
  </r>
  <r>
    <x v="11"/>
    <x v="201"/>
    <s v="Fresh or Not Specified"/>
    <s v="Elefantes (integrated)"/>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8.6599999999999996E-2"/>
    <s v=""/>
    <m/>
    <m/>
    <m/>
    <m/>
    <m/>
    <m/>
    <m/>
    <m/>
    <m/>
    <m/>
    <m/>
    <m/>
    <m/>
    <n v="8.6599999999999996E-2"/>
    <m/>
    <m/>
    <m/>
    <m/>
    <m/>
    <m/>
    <m/>
    <m/>
    <n v="8.6599999999999996E-2"/>
    <m/>
    <m/>
    <m/>
  </r>
  <r>
    <x v="1"/>
    <x v="24"/>
    <s v="Fresh or Not Specified"/>
    <s v="Roast Chicken (Conventional)"/>
    <s v="Yes"/>
    <s v="Australia"/>
    <n v="2012"/>
    <s v="Bengtsson, Jonas (a); Seddon, Julia (b)"/>
    <s v="(a) aDirector Edge Environment Pty Ltd, 501/39 East Esplanade, Manly, NSW 2095, Australia; (b) Group Environment Manager, Inghams Enterprises Pty Ltd, Australia"/>
    <s v="Peer Reviewed Journal"/>
    <s v="Bengtsson, J. and Seddon, J., Cradle to retailer or quick service restaurant gate life cycle assessment of chicken products in Australia. Journal of Cleaner Production 2013, 41, 291-300."/>
    <s v="Yes"/>
    <s v="No"/>
    <s v="No"/>
    <s v="No"/>
    <s v="No"/>
    <s v="No"/>
    <s v="No"/>
    <s v="No"/>
    <s v="No"/>
    <s v="No"/>
    <s v="No"/>
    <s v="No"/>
    <s v="no"/>
    <m/>
    <m/>
    <s v="Yes"/>
    <s v="kg CO2/tonne"/>
    <s v="/1000"/>
    <s v=""/>
    <s v=""/>
    <n v="3.7069999999999999"/>
    <s v=""/>
    <m/>
    <m/>
    <m/>
    <m/>
    <m/>
    <m/>
    <m/>
    <m/>
    <m/>
    <m/>
    <m/>
    <m/>
    <m/>
    <n v="3.7069999999999999"/>
    <m/>
    <m/>
    <m/>
    <m/>
    <m/>
    <m/>
    <m/>
    <m/>
    <n v="3.7069999999999999"/>
    <m/>
    <m/>
    <m/>
  </r>
  <r>
    <x v="1"/>
    <x v="24"/>
    <s v="Fresh or Not Specified"/>
    <s v="Roast Chicken (Free Range)"/>
    <s v="Yes"/>
    <s v="Australia"/>
    <n v="2012"/>
    <s v="Bengtsson, Jonas (a); Seddon, Julia (b)"/>
    <s v="(a) aDirector Edge Environment Pty Ltd, 501/39 East Esplanade, Manly, NSW 2095, Australia; (b) Group Environment Manager, Inghams Enterprises Pty Ltd, Australia"/>
    <s v="Peer Reviewed Journal"/>
    <s v="Bengtsson, J. and Seddon, J., Cradle to retailer or quick service restaurant gate life cycle assessment of chicken products in Australia. Journal of Cleaner Production 2013, 41, 291-300."/>
    <s v="Yes"/>
    <s v="No"/>
    <s v="No"/>
    <s v="No"/>
    <s v="No"/>
    <s v="No"/>
    <s v="No"/>
    <s v="No"/>
    <s v="No"/>
    <s v="No"/>
    <s v="No"/>
    <s v="No"/>
    <s v="no"/>
    <m/>
    <m/>
    <s v="Yes"/>
    <s v="kg CO2/tonne"/>
    <s v="/1000"/>
    <s v=""/>
    <s v=""/>
    <n v="3.4460000000000002"/>
    <s v=""/>
    <m/>
    <m/>
    <m/>
    <m/>
    <m/>
    <m/>
    <m/>
    <m/>
    <m/>
    <m/>
    <m/>
    <m/>
    <m/>
    <n v="3.4460000000000002"/>
    <m/>
    <m/>
    <m/>
    <m/>
    <m/>
    <m/>
    <m/>
    <m/>
    <n v="3.4460000000000002"/>
    <m/>
    <m/>
    <m/>
  </r>
  <r>
    <x v="1"/>
    <x v="24"/>
    <s v="Fresh or Not Specified"/>
    <s v="Breast Fillet (Conventional)"/>
    <s v="Yes"/>
    <s v="Australia"/>
    <n v="2012"/>
    <s v="Bengtsson, Jonas (a); Seddon, Julia (b)"/>
    <s v="(a) aDirector Edge Environment Pty Ltd, 501/39 East Esplanade, Manly, NSW 2095, Australia; (b) Group Environment Manager, Inghams Enterprises Pty Ltd, Australia"/>
    <s v="Peer Reviewed Journal"/>
    <s v="Bengtsson, J. and Seddon, J., Cradle to retailer or quick service restaurant gate life cycle assessment of chicken products in Australia. Journal of Cleaner Production 2013, 41, 291-300."/>
    <s v="Yes"/>
    <s v="No"/>
    <s v="No"/>
    <s v="No"/>
    <s v="No"/>
    <s v="No"/>
    <s v="No"/>
    <s v="No"/>
    <s v="No"/>
    <s v="No"/>
    <s v="No"/>
    <s v="No"/>
    <s v="no"/>
    <m/>
    <m/>
    <s v="Yes"/>
    <s v="kg CO2/tonne"/>
    <s v="/1000"/>
    <s v=""/>
    <s v=""/>
    <n v="9.9809999999999999"/>
    <s v=""/>
    <m/>
    <m/>
    <m/>
    <m/>
    <m/>
    <m/>
    <m/>
    <m/>
    <m/>
    <m/>
    <m/>
    <m/>
    <m/>
    <n v="9.9809999999999999"/>
    <m/>
    <m/>
    <m/>
    <m/>
    <m/>
    <m/>
    <m/>
    <m/>
    <n v="9.9809999999999999"/>
    <m/>
    <m/>
    <m/>
  </r>
  <r>
    <x v="1"/>
    <x v="24"/>
    <s v="Fresh or Not Specified"/>
    <s v="Breast Fillet (Free Range)"/>
    <s v="Yes"/>
    <s v="Australia"/>
    <n v="2012"/>
    <s v="Bengtsson, Jonas (a); Seddon, Julia (b)"/>
    <s v="(a) aDirector Edge Environment Pty Ltd, 501/39 East Esplanade, Manly, NSW 2095, Australia; (b) Group Environment Manager, Inghams Enterprises Pty Ltd, Australia"/>
    <s v="Peer Reviewed Journal"/>
    <s v="Bengtsson, J. and Seddon, J., Cradle to retailer or quick service restaurant gate life cycle assessment of chicken products in Australia. Journal of Cleaner Production 2013, 41, 291-300."/>
    <s v="Yes"/>
    <s v="No"/>
    <s v="No"/>
    <s v="No"/>
    <s v="No"/>
    <s v="No"/>
    <s v="No"/>
    <s v="No"/>
    <s v="No"/>
    <s v="No"/>
    <s v="No"/>
    <s v="No"/>
    <s v="no"/>
    <m/>
    <m/>
    <s v="Yes"/>
    <s v="kg CO2/tonne"/>
    <s v="/1000"/>
    <s v=""/>
    <s v=""/>
    <n v="10.657"/>
    <s v=""/>
    <m/>
    <m/>
    <m/>
    <m/>
    <m/>
    <m/>
    <m/>
    <m/>
    <m/>
    <m/>
    <m/>
    <m/>
    <m/>
    <n v="10.657"/>
    <m/>
    <m/>
    <m/>
    <m/>
    <m/>
    <m/>
    <m/>
    <m/>
    <n v="10.657"/>
    <m/>
    <m/>
    <m/>
  </r>
  <r>
    <x v="7"/>
    <x v="225"/>
    <s v="Fresh or Not Specified"/>
    <s v="Wine"/>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No"/>
    <s v="Yes"/>
    <s v="No"/>
    <s v="No"/>
    <s v="No"/>
    <s v="No"/>
    <s v="No"/>
    <s v="no"/>
    <m/>
    <m/>
    <s v="Yes"/>
    <s v="kg CO2/kg product"/>
    <s v="none"/>
    <s v=""/>
    <s v=""/>
    <n v="0.5"/>
    <s v=""/>
    <m/>
    <m/>
    <m/>
    <m/>
    <m/>
    <m/>
    <m/>
    <m/>
    <m/>
    <m/>
    <m/>
    <m/>
    <m/>
    <n v="0.5"/>
    <m/>
    <m/>
    <n v="0.55000000000000004"/>
    <m/>
    <n v="0.45"/>
    <m/>
    <m/>
    <m/>
    <n v="0.5"/>
    <n v="1.5"/>
    <m/>
    <s v="IPCC, 2007"/>
  </r>
  <r>
    <x v="7"/>
    <x v="141"/>
    <s v="Fresh or Not Specified"/>
    <s v="Beer and Cider"/>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No"/>
    <s v="Yes"/>
    <s v="No"/>
    <s v="No"/>
    <s v="No"/>
    <s v="No"/>
    <s v="No"/>
    <s v="no"/>
    <m/>
    <m/>
    <s v="Yes"/>
    <s v="kg CO2/kg product"/>
    <s v="none"/>
    <s v=""/>
    <s v=""/>
    <n v="0.25"/>
    <s v=""/>
    <m/>
    <m/>
    <m/>
    <m/>
    <m/>
    <m/>
    <m/>
    <m/>
    <m/>
    <m/>
    <m/>
    <m/>
    <m/>
    <n v="0.25"/>
    <m/>
    <m/>
    <n v="0.67500000000000004"/>
    <m/>
    <n v="0.25"/>
    <m/>
    <m/>
    <m/>
    <n v="0.25"/>
    <n v="1.175"/>
    <m/>
    <s v="IPCC, 2007"/>
  </r>
  <r>
    <x v="7"/>
    <x v="169"/>
    <s v="Fresh or Not Specified"/>
    <s v="Spirits and Liqueur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67500000000000004"/>
    <s v=""/>
    <m/>
    <m/>
    <m/>
    <m/>
    <m/>
    <m/>
    <m/>
    <m/>
    <m/>
    <m/>
    <m/>
    <m/>
    <m/>
    <n v="0.67500000000000004"/>
    <m/>
    <m/>
    <n v="0.57999999999999996"/>
    <n v="0.18"/>
    <n v="0.81"/>
    <m/>
    <m/>
    <m/>
    <n v="0.67500000000000004"/>
    <n v="2.2450000000000001"/>
    <m/>
    <s v="IPCC, 2007"/>
  </r>
  <r>
    <x v="3"/>
    <x v="44"/>
    <s v="Fresh or Not Specified"/>
    <s v="Potatoe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21"/>
    <s v=""/>
    <m/>
    <m/>
    <m/>
    <m/>
    <m/>
    <m/>
    <m/>
    <m/>
    <m/>
    <m/>
    <m/>
    <m/>
    <m/>
    <n v="0.21"/>
    <m/>
    <m/>
    <n v="0.03"/>
    <n v="0.08"/>
    <n v="0.08"/>
    <m/>
    <m/>
    <m/>
    <n v="0.21"/>
    <n v="0.4"/>
    <m/>
    <s v="IPCC, 2007"/>
  </r>
  <r>
    <x v="3"/>
    <x v="19"/>
    <s v="Fresh or Not Specified"/>
    <s v="Tomatoe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5.59"/>
    <s v=""/>
    <m/>
    <m/>
    <m/>
    <m/>
    <m/>
    <m/>
    <m/>
    <m/>
    <m/>
    <m/>
    <m/>
    <m/>
    <m/>
    <n v="5.59"/>
    <m/>
    <m/>
    <n v="0.22"/>
    <n v="0.125"/>
    <n v="0.22"/>
    <m/>
    <m/>
    <m/>
    <n v="5.59"/>
    <n v="6.1549999999999994"/>
    <m/>
    <s v="IPCC, 2007"/>
  </r>
  <r>
    <x v="4"/>
    <x v="66"/>
    <s v="Fresh or Not Specified"/>
    <s v="Apple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23"/>
    <s v=""/>
    <m/>
    <m/>
    <m/>
    <m/>
    <m/>
    <m/>
    <m/>
    <m/>
    <m/>
    <m/>
    <m/>
    <m/>
    <m/>
    <n v="0.23"/>
    <m/>
    <m/>
    <n v="0.02"/>
    <n v="0.13500000000000001"/>
    <n v="0.09"/>
    <m/>
    <m/>
    <m/>
    <n v="0.23"/>
    <n v="0.47499999999999998"/>
    <m/>
    <s v="IPCC, 2007"/>
  </r>
  <r>
    <x v="4"/>
    <x v="20"/>
    <s v="Fresh or Not Specified"/>
    <s v="Banana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31"/>
    <s v=""/>
    <m/>
    <m/>
    <m/>
    <m/>
    <m/>
    <m/>
    <m/>
    <m/>
    <m/>
    <m/>
    <m/>
    <m/>
    <m/>
    <n v="0.31"/>
    <m/>
    <m/>
    <m/>
    <n v="0.09"/>
    <n v="0.09"/>
    <m/>
    <m/>
    <m/>
    <n v="0.31"/>
    <n v="0.49"/>
    <m/>
    <s v="IPCC, 2007"/>
  </r>
  <r>
    <x v="4"/>
    <x v="69"/>
    <s v="Fresh or Not Specified"/>
    <s v="Citrus Fruit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11"/>
    <s v=""/>
    <m/>
    <m/>
    <m/>
    <m/>
    <m/>
    <m/>
    <m/>
    <m/>
    <m/>
    <m/>
    <m/>
    <m/>
    <m/>
    <n v="0.11"/>
    <m/>
    <m/>
    <n v="0.02"/>
    <n v="0.17"/>
    <n v="0.21"/>
    <m/>
    <m/>
    <m/>
    <n v="0.11"/>
    <n v="0.51"/>
    <m/>
    <s v="IPCC, 2007"/>
  </r>
  <r>
    <x v="0"/>
    <x v="7"/>
    <s v="Fresh or Not Specified"/>
    <s v="Butter"/>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2.2599999999999998"/>
    <n v="2.3499999999999996"/>
    <m/>
    <m/>
    <m/>
    <m/>
    <m/>
    <m/>
    <m/>
    <m/>
    <m/>
    <m/>
    <m/>
    <m/>
    <m/>
    <n v="2.2599999999999998"/>
    <m/>
    <n v="0.09"/>
    <n v="0.11"/>
    <n v="0.19"/>
    <n v="0.72"/>
    <m/>
    <m/>
    <m/>
    <n v="2.2599999999999998"/>
    <n v="3.3699999999999992"/>
    <m/>
    <s v="IPCC, 2007"/>
  </r>
  <r>
    <x v="0"/>
    <x v="5"/>
    <s v="Fresh or Not Specified"/>
    <s v="Yogurt"/>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95"/>
    <n v="1.05"/>
    <m/>
    <m/>
    <m/>
    <m/>
    <m/>
    <m/>
    <m/>
    <m/>
    <m/>
    <m/>
    <m/>
    <m/>
    <m/>
    <n v="0.95"/>
    <m/>
    <n v="0.1"/>
    <n v="0.14000000000000001"/>
    <n v="0.125"/>
    <n v="0.67"/>
    <m/>
    <m/>
    <m/>
    <n v="0.95"/>
    <n v="1.9849999999999999"/>
    <m/>
    <s v="IPCC, 2007"/>
  </r>
  <r>
    <x v="0"/>
    <x v="4"/>
    <s v="Fresh or Not Specified"/>
    <s v="Cheese"/>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12.12"/>
    <n v="12.35"/>
    <m/>
    <m/>
    <m/>
    <m/>
    <m/>
    <m/>
    <m/>
    <m/>
    <m/>
    <m/>
    <m/>
    <m/>
    <m/>
    <n v="12.12"/>
    <m/>
    <n v="0.23"/>
    <n v="0.17"/>
    <n v="0.15"/>
    <n v="1.44"/>
    <m/>
    <m/>
    <m/>
    <n v="12.12"/>
    <n v="14.11"/>
    <m/>
    <s v="IPCC, 2007"/>
  </r>
  <r>
    <x v="5"/>
    <x v="22"/>
    <s v="Fresh or Not Specified"/>
    <s v="Bread"/>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72"/>
    <n v="0.91999999999999993"/>
    <m/>
    <m/>
    <m/>
    <m/>
    <m/>
    <m/>
    <m/>
    <m/>
    <m/>
    <m/>
    <m/>
    <m/>
    <m/>
    <n v="0.72"/>
    <m/>
    <n v="0.2"/>
    <n v="0.03"/>
    <n v="0.16"/>
    <n v="0.14000000000000001"/>
    <m/>
    <m/>
    <m/>
    <n v="0.72"/>
    <n v="1.25"/>
    <m/>
    <s v="IPCC, 2007"/>
  </r>
  <r>
    <x v="10"/>
    <x v="231"/>
    <s v="Fresh or Not Specified"/>
    <s v="Herbs and Spice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No"/>
    <s v="Yes"/>
    <s v="No"/>
    <s v="No"/>
    <s v="No"/>
    <s v="No"/>
    <s v="No"/>
    <s v="no"/>
    <m/>
    <m/>
    <s v="Yes"/>
    <s v="kg CO2/kg product"/>
    <s v="none"/>
    <s v=""/>
    <s v=""/>
    <n v="0.375"/>
    <s v=""/>
    <m/>
    <m/>
    <m/>
    <m/>
    <m/>
    <m/>
    <m/>
    <m/>
    <m/>
    <m/>
    <m/>
    <m/>
    <m/>
    <n v="0.375"/>
    <m/>
    <m/>
    <n v="0.09"/>
    <m/>
    <n v="0.2"/>
    <m/>
    <m/>
    <m/>
    <n v="0.375"/>
    <n v="0.66500000000000004"/>
    <m/>
    <s v="IPCC, 2007"/>
  </r>
  <r>
    <x v="5"/>
    <x v="129"/>
    <s v="Fresh or Not Specified"/>
    <s v="Rice"/>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m/>
    <s v=""/>
    <s v=""/>
    <n v="4.58"/>
    <n v="4.76"/>
    <m/>
    <m/>
    <m/>
    <m/>
    <m/>
    <m/>
    <m/>
    <m/>
    <m/>
    <m/>
    <m/>
    <m/>
    <m/>
    <n v="4.58"/>
    <m/>
    <n v="0.18"/>
    <n v="0.375"/>
    <n v="1.23"/>
    <n v="0.25"/>
    <m/>
    <m/>
    <m/>
    <n v="4.58"/>
    <n v="6.6150000000000002"/>
    <m/>
    <m/>
  </r>
  <r>
    <x v="2"/>
    <x v="2"/>
    <s v="Fresh or Not Specified"/>
    <s v="Egg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m/>
    <s v=""/>
    <s v=""/>
    <n v="4.25"/>
    <s v=""/>
    <m/>
    <m/>
    <m/>
    <m/>
    <m/>
    <m/>
    <m/>
    <m/>
    <m/>
    <m/>
    <m/>
    <m/>
    <m/>
    <n v="4.25"/>
    <m/>
    <m/>
    <n v="0.23"/>
    <n v="0.04"/>
    <n v="0.21"/>
    <m/>
    <m/>
    <m/>
    <n v="4.25"/>
    <n v="4.7300000000000004"/>
    <m/>
    <m/>
  </r>
  <r>
    <x v="0"/>
    <x v="4"/>
    <s v="Fresh or Not Specified"/>
    <s v="Cheddar Cheese - U.S. Total"/>
    <s v="No"/>
    <s v="United States"/>
    <n v="2011"/>
    <s v="Aguirre-Villegas, H., S. Kraatz, F. Milani, A. Newenhouse, T. Passos-Fonseca and D. Reinemann "/>
    <s v="University of Wisconsin"/>
    <s v="Other (specify)"/>
    <s v="Aguirre-Villegas H, Kraatz S, Milani F, Newenhouse A, Passos-Fonseca T, Reinemann D. Understand the Carbon Footprint of Cheese: University of Wisconsin Extension; 2011."/>
    <s v="Yes"/>
    <s v="No"/>
    <s v="Yes"/>
    <s v="Yes"/>
    <s v="No"/>
    <s v="Yes"/>
    <s v="No"/>
    <s v="No"/>
    <s v="No"/>
    <s v="No"/>
    <s v="No"/>
    <s v="No"/>
    <s v="no"/>
    <m/>
    <m/>
    <s v="Yes"/>
    <s v="kg CO2 / kg FPCM"/>
    <m/>
    <s v=""/>
    <s v=""/>
    <n v="1.2"/>
    <n v="8.3000000000000007"/>
    <m/>
    <m/>
    <m/>
    <m/>
    <m/>
    <m/>
    <m/>
    <m/>
    <m/>
    <m/>
    <m/>
    <m/>
    <m/>
    <n v="1.2"/>
    <n v="3.0000000000000001E-3"/>
    <n v="7.0970000000000004"/>
    <m/>
    <n v="7.6999999999999999E-2"/>
    <m/>
    <m/>
    <m/>
    <m/>
    <n v="1.2"/>
    <n v="8.3770000000000007"/>
    <m/>
    <m/>
  </r>
  <r>
    <x v="0"/>
    <x v="0"/>
    <s v="Fresh or Not Specified"/>
    <s v="Milk, Highlands of Peru"/>
    <s v="No"/>
    <s v="Peru"/>
    <n v="2011"/>
    <s v="Bartl, Karin (a); Gomez, Carlos A (b); Nemecek, Thomas (c) "/>
    <s v="(a) ETH Zurich, Institute of Agricultural Sciences - Animal Nutrition, Universitätstrasse 2, CH-8092 Zurich, Switzerland; (b) Universidad Nacional de Agraria La Molina, Av. La Molina s/n, La Molina, Ap.456 Lima, Peru; (c) Agroscope Reckenholz-Tänikon Research Station ART, Reckenholzstrasse 191, 8046 Zurich, Switzerland"/>
    <s v="Peer Reviewed Journal"/>
    <s v="Bartl K, Gómez CA, Nemecek T. Life cycle assessment of milk produced in two smallholder dairy systems in the highlands and the coast of Peru. J Cleaner Prod 2011, 19(13): 1494-1505."/>
    <s v="Yes"/>
    <s v="No"/>
    <s v="No"/>
    <s v="No"/>
    <s v="No"/>
    <s v="No"/>
    <s v="No"/>
    <s v="No"/>
    <s v="No"/>
    <s v="No"/>
    <s v="No"/>
    <s v="No"/>
    <s v="no"/>
    <m/>
    <m/>
    <s v="No"/>
    <s v="kg CO2 / kg ECM"/>
    <m/>
    <s v=""/>
    <s v=""/>
    <n v="13.78"/>
    <s v=""/>
    <m/>
    <m/>
    <m/>
    <m/>
    <m/>
    <m/>
    <m/>
    <m/>
    <m/>
    <m/>
    <m/>
    <m/>
    <m/>
    <n v="13.78"/>
    <m/>
    <m/>
    <m/>
    <m/>
    <m/>
    <m/>
    <m/>
    <m/>
    <n v="13.78"/>
    <m/>
    <m/>
    <m/>
  </r>
  <r>
    <x v="0"/>
    <x v="0"/>
    <s v="Fresh or Not Specified"/>
    <s v="Milk, Coastal Peru"/>
    <s v="No"/>
    <s v="Peru"/>
    <n v="2011"/>
    <s v="Bartl, Karin (a); Gomez, Carlos A (b); Nemecek, Thomas (c) "/>
    <s v="(a) ETH Zurich, Institute of Agricultural Sciences - Animal Nutrition, Universitätstrasse 2, CH-8092 Zurich, Switzerland; (b) Universidad Nacional de Agraria La Molina, Av. La Molina s/n, La Molina, Ap.456 Lima, Peru; (c) Agroscope Reckenholz-Tänikon Research Station ART, Reckenholzstrasse 191, 8046 Zurich, Switzerland"/>
    <s v="Peer Reviewed Journal"/>
    <s v="Bartl K, Gómez CA, Nemecek T. Life cycle assessment of milk produced in two smallholder dairy systems in the highlands and the coast of Peru. J Cleaner Prod 2011, 19(13): 1494-1505."/>
    <s v="Yes"/>
    <s v="No"/>
    <s v="No"/>
    <s v="No"/>
    <s v="No"/>
    <s v="No"/>
    <s v="No"/>
    <s v="No"/>
    <s v="No"/>
    <s v="No"/>
    <s v="No"/>
    <s v="No"/>
    <s v="no"/>
    <m/>
    <m/>
    <s v="No"/>
    <s v="kg CO2 / kg ECM"/>
    <m/>
    <s v=""/>
    <s v=""/>
    <n v="3.18"/>
    <s v=""/>
    <m/>
    <m/>
    <m/>
    <m/>
    <m/>
    <m/>
    <m/>
    <m/>
    <m/>
    <m/>
    <m/>
    <m/>
    <m/>
    <n v="3.18"/>
    <m/>
    <m/>
    <m/>
    <m/>
    <m/>
    <m/>
    <m/>
    <m/>
    <n v="3.18"/>
    <m/>
    <m/>
    <m/>
  </r>
  <r>
    <x v="0"/>
    <x v="0"/>
    <s v="Fresh or Not Specified"/>
    <s v="Milk, New Zealand Average"/>
    <s v="No"/>
    <s v="New Zealand"/>
    <n v="2009"/>
    <s v="Basset-Mens, Claudine; Ledgard, Stewart; Boyes, Mark"/>
    <s v="AgResearch Limited, Ruakura Research Centre, East Street, Private Bag 3123, Hamilton, New Zealand"/>
    <s v="Peer Reviewed Journal"/>
    <s v="Basset-Mens C, Ledgard S, Boyes M. Eco-efficiency of intensification scenarios for milk production in New Zealand. Ecol Econ 2009, 68(6): 1615-1625."/>
    <s v="Yes"/>
    <s v="No"/>
    <s v="No"/>
    <s v="No"/>
    <s v="No"/>
    <s v="No"/>
    <s v="No"/>
    <s v="No"/>
    <s v="No"/>
    <s v="No"/>
    <s v="No"/>
    <s v="No"/>
    <s v="no"/>
    <m/>
    <m/>
    <s v="No"/>
    <s v="kg CO2 / kg Milk"/>
    <m/>
    <n v="1.51"/>
    <s v=""/>
    <n v="0.93300000000000005"/>
    <s v=""/>
    <n v="1.51"/>
    <m/>
    <m/>
    <m/>
    <m/>
    <m/>
    <m/>
    <m/>
    <m/>
    <n v="1.51"/>
    <m/>
    <m/>
    <m/>
    <n v="0.93300000000000005"/>
    <m/>
    <m/>
    <m/>
    <m/>
    <m/>
    <m/>
    <m/>
    <m/>
    <n v="0.93300000000000005"/>
    <m/>
    <m/>
    <m/>
  </r>
  <r>
    <x v="0"/>
    <x v="0"/>
    <s v="Fresh or Not Specified"/>
    <s v="Milk, Low Inputs"/>
    <s v="No"/>
    <s v="New Zealand"/>
    <n v="2009"/>
    <s v="Basset-Mens, Claudine; Ledgard, Stewart; Boyes, Mark"/>
    <s v="AgResearch Limited, Ruakura Research Centre, East Street, Private Bag 3123, Hamilton, New Zealand"/>
    <s v="Peer Reviewed Journal"/>
    <s v="Basset-Mens C, Ledgard S, Boyes M. Eco-efficiency of intensification scenarios for milk production in New Zealand. Ecol Econ 2009, 68(6): 1615-1625."/>
    <s v="Yes"/>
    <s v="No"/>
    <s v="No"/>
    <s v="No"/>
    <s v="No"/>
    <s v="No"/>
    <s v="No"/>
    <s v="No"/>
    <s v="No"/>
    <s v="No"/>
    <s v="No"/>
    <s v="No"/>
    <s v="no"/>
    <m/>
    <m/>
    <s v="No"/>
    <s v="kg CO2 / kg Milk"/>
    <m/>
    <n v="0.55000000000000004"/>
    <s v=""/>
    <n v="0.64600000000000002"/>
    <s v=""/>
    <n v="0.55000000000000004"/>
    <m/>
    <m/>
    <m/>
    <m/>
    <m/>
    <m/>
    <m/>
    <m/>
    <n v="0.55000000000000004"/>
    <m/>
    <m/>
    <m/>
    <n v="0.64600000000000002"/>
    <m/>
    <m/>
    <m/>
    <m/>
    <m/>
    <m/>
    <m/>
    <m/>
    <n v="0.64600000000000002"/>
    <m/>
    <m/>
    <m/>
  </r>
  <r>
    <x v="0"/>
    <x v="0"/>
    <s v="Fresh or Not Specified"/>
    <s v="Milk, Nitrogen fertilizer"/>
    <s v="No"/>
    <s v="New Zealand"/>
    <n v="2009"/>
    <s v="Basset-Mens, Claudine; Ledgard, Stewart; Boyes, Mark"/>
    <s v="AgResearch Limited, Ruakura Research Centre, East Street, Private Bag 3123, Hamilton, New Zealand"/>
    <s v="Peer Reviewed Journal"/>
    <s v="Basset-Mens C, Ledgard S, Boyes M. Eco-efficiency of intensification scenarios for milk production in New Zealand. Ecol Econ 2009, 68(6): 1615-1625."/>
    <s v="Yes"/>
    <s v="No"/>
    <s v="No"/>
    <s v="No"/>
    <s v="No"/>
    <s v="No"/>
    <s v="No"/>
    <s v="No"/>
    <s v="No"/>
    <s v="No"/>
    <s v="No"/>
    <s v="No"/>
    <s v="no"/>
    <m/>
    <m/>
    <s v="No"/>
    <s v="kg CO2 / kg Milk"/>
    <m/>
    <n v="1.1299999999999999"/>
    <s v=""/>
    <n v="0.76200000000000001"/>
    <s v=""/>
    <n v="1.1299999999999999"/>
    <m/>
    <m/>
    <m/>
    <m/>
    <m/>
    <m/>
    <m/>
    <m/>
    <n v="1.1299999999999999"/>
    <m/>
    <m/>
    <m/>
    <n v="0.76200000000000001"/>
    <m/>
    <m/>
    <m/>
    <m/>
    <m/>
    <m/>
    <m/>
    <m/>
    <n v="0.76200000000000001"/>
    <m/>
    <m/>
    <m/>
  </r>
  <r>
    <x v="0"/>
    <x v="0"/>
    <s v="Fresh or Not Specified"/>
    <s v="Milk, N fertilizer plus maize silage"/>
    <s v="No"/>
    <s v="New Zealand"/>
    <n v="2009"/>
    <s v="Basset-Mens, Claudine; Ledgard, Stewart; Boyes, Mark"/>
    <s v="AgResearch Limited, Ruakura Research Centre, East Street, Private Bag 3123, Hamilton, New Zealand"/>
    <s v="Peer Reviewed Journal"/>
    <s v="Basset-Mens C, Ledgard S, Boyes M. Eco-efficiency of intensification scenarios for milk production in New Zealand. Ecol Econ 2009, 68(6): 1615-1625."/>
    <s v="Yes"/>
    <s v="No"/>
    <s v="No"/>
    <s v="No"/>
    <s v="No"/>
    <s v="No"/>
    <s v="No"/>
    <s v="No"/>
    <s v="No"/>
    <s v="No"/>
    <s v="No"/>
    <s v="No"/>
    <s v="no"/>
    <m/>
    <m/>
    <s v="No"/>
    <s v="kg CO2 / kg Milk"/>
    <m/>
    <n v="1.55"/>
    <s v=""/>
    <n v="0.754"/>
    <s v=""/>
    <n v="1.55"/>
    <m/>
    <m/>
    <m/>
    <m/>
    <m/>
    <m/>
    <m/>
    <m/>
    <n v="1.55"/>
    <m/>
    <m/>
    <m/>
    <n v="0.754"/>
    <m/>
    <m/>
    <m/>
    <m/>
    <m/>
    <m/>
    <m/>
    <m/>
    <n v="0.754"/>
    <m/>
    <m/>
    <m/>
  </r>
  <r>
    <x v="3"/>
    <x v="206"/>
    <s v="Fresh or Not Specified"/>
    <s v="integrated production"/>
    <s v="Yes"/>
    <s v="Germany"/>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3.5799999999999998E-2"/>
    <s v=""/>
    <m/>
    <m/>
    <m/>
    <m/>
    <m/>
    <m/>
    <m/>
    <m/>
    <m/>
    <m/>
    <m/>
    <m/>
    <m/>
    <n v="3.5799999999999998E-2"/>
    <m/>
    <m/>
    <m/>
    <m/>
    <m/>
    <m/>
    <m/>
    <m/>
    <n v="3.5799999999999998E-2"/>
    <n v="0.68100000000000005"/>
    <m/>
    <m/>
  </r>
  <r>
    <x v="3"/>
    <x v="206"/>
    <s v="Fresh or Not Specified"/>
    <s v="organi DEMETER"/>
    <s v="Yes"/>
    <s v="Germany"/>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4.1300000000000003E-2"/>
    <s v=""/>
    <m/>
    <m/>
    <m/>
    <m/>
    <m/>
    <m/>
    <m/>
    <m/>
    <m/>
    <m/>
    <m/>
    <m/>
    <m/>
    <n v="4.1300000000000003E-2"/>
    <m/>
    <m/>
    <m/>
    <m/>
    <m/>
    <m/>
    <m/>
    <m/>
    <n v="4.1300000000000003E-2"/>
    <n v="0.68600000000000005"/>
    <m/>
    <m/>
  </r>
  <r>
    <x v="3"/>
    <x v="206"/>
    <s v="Fresh or Not Specified"/>
    <s v="large farm business"/>
    <s v="Yes"/>
    <s v="Germany"/>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1.46E-2"/>
    <s v=""/>
    <m/>
    <m/>
    <m/>
    <m/>
    <m/>
    <m/>
    <m/>
    <m/>
    <m/>
    <m/>
    <m/>
    <m/>
    <m/>
    <n v="1.46E-2"/>
    <m/>
    <m/>
    <m/>
    <m/>
    <m/>
    <m/>
    <m/>
    <m/>
    <n v="1.46E-2"/>
    <n v="0.104"/>
    <m/>
    <m/>
  </r>
  <r>
    <x v="3"/>
    <x v="206"/>
    <s v="Fresh or Not Specified"/>
    <s v="Argentinian organic"/>
    <s v="Yes"/>
    <s v="Argentina"/>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4.1300000000000003E-2"/>
    <s v=""/>
    <m/>
    <m/>
    <m/>
    <m/>
    <m/>
    <m/>
    <m/>
    <m/>
    <m/>
    <m/>
    <m/>
    <m/>
    <m/>
    <n v="4.1300000000000003E-2"/>
    <m/>
    <m/>
    <m/>
    <m/>
    <m/>
    <m/>
    <m/>
    <m/>
    <n v="4.1300000000000003E-2"/>
    <n v="0.20499999999999999"/>
    <m/>
    <m/>
  </r>
  <r>
    <x v="3"/>
    <x v="139"/>
    <s v="Fresh or Not Specified"/>
    <m/>
    <m/>
    <s v="germany"/>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0.315"/>
    <n v="0.40100000000000002"/>
    <m/>
    <m/>
    <m/>
    <m/>
    <m/>
    <m/>
    <m/>
    <m/>
    <m/>
    <m/>
    <m/>
    <m/>
    <m/>
    <n v="0.315"/>
    <m/>
    <n v="8.5999999999999993E-2"/>
    <m/>
    <n v="9.6000000000000002E-2"/>
    <m/>
    <n v="0.30399999999999999"/>
    <m/>
    <m/>
    <n v="0.315"/>
    <n v="0.80099999999999993"/>
    <m/>
    <m/>
  </r>
  <r>
    <x v="4"/>
    <x v="81"/>
    <s v="Fresh or Not Specified"/>
    <s v="Spain produced, imported to UK"/>
    <m/>
    <s v="Spain"/>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8.3000000000000007"/>
    <s v=""/>
    <n v="0.3"/>
    <s v=""/>
    <n v="8.3000000000000007"/>
    <m/>
    <m/>
    <m/>
    <n v="3"/>
    <m/>
    <m/>
    <m/>
    <m/>
    <n v="8.3000000000000007"/>
    <n v="13.3"/>
    <m/>
    <m/>
    <n v="0.3"/>
    <m/>
    <m/>
    <m/>
    <n v="0.3"/>
    <m/>
    <m/>
    <m/>
    <m/>
    <n v="0.3"/>
    <n v="0.9"/>
    <m/>
    <m/>
  </r>
  <r>
    <x v="4"/>
    <x v="81"/>
    <s v="Fresh or Not Specified"/>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m/>
    <m/>
    <m/>
    <m/>
    <m/>
    <m/>
    <m/>
    <m/>
    <m/>
    <m/>
    <m/>
    <m/>
    <m/>
    <m/>
    <m/>
    <m/>
    <s v="per tonne"/>
    <m/>
    <n v="12.9"/>
    <s v=""/>
    <n v="0.8"/>
    <s v=""/>
    <n v="12.9"/>
    <m/>
    <m/>
    <m/>
    <m/>
    <m/>
    <m/>
    <m/>
    <m/>
    <n v="12.9"/>
    <n v="14.6"/>
    <m/>
    <m/>
    <n v="0.8"/>
    <m/>
    <m/>
    <m/>
    <m/>
    <m/>
    <m/>
    <m/>
    <m/>
    <n v="0.8"/>
    <n v="1"/>
    <m/>
    <m/>
  </r>
  <r>
    <x v="3"/>
    <x v="44"/>
    <s v="Fresh or Not Specified"/>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1.5"/>
    <s v=""/>
    <n v="0.2"/>
    <s v=""/>
    <n v="1.5"/>
    <m/>
    <m/>
    <m/>
    <m/>
    <m/>
    <m/>
    <m/>
    <m/>
    <n v="1.5"/>
    <n v="2.8"/>
    <m/>
    <m/>
    <n v="0.2"/>
    <m/>
    <m/>
    <m/>
    <m/>
    <m/>
    <m/>
    <m/>
    <m/>
    <n v="0.2"/>
    <n v="0.3"/>
    <m/>
    <m/>
  </r>
  <r>
    <x v="3"/>
    <x v="44"/>
    <s v="Fresh or Not Specified"/>
    <s v="imported to UK"/>
    <m/>
    <s v="Israel"/>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1.9"/>
    <s v=""/>
    <n v="0.2"/>
    <s v=""/>
    <n v="1.9"/>
    <m/>
    <m/>
    <m/>
    <n v="8.6"/>
    <m/>
    <m/>
    <m/>
    <m/>
    <n v="1.9"/>
    <n v="10.5"/>
    <m/>
    <m/>
    <n v="0.2"/>
    <m/>
    <m/>
    <m/>
    <n v="0.3"/>
    <m/>
    <m/>
    <m/>
    <m/>
    <n v="0.2"/>
    <n v="0.5"/>
    <m/>
    <m/>
  </r>
  <r>
    <x v="4"/>
    <x v="66"/>
    <s v="Fresh or Not Specified"/>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2.1"/>
    <s v=""/>
    <n v="0.2"/>
    <s v=""/>
    <n v="2.1"/>
    <m/>
    <m/>
    <m/>
    <m/>
    <m/>
    <m/>
    <m/>
    <m/>
    <n v="2.1"/>
    <n v="5.0999999999999996"/>
    <m/>
    <m/>
    <n v="0.2"/>
    <m/>
    <m/>
    <m/>
    <m/>
    <m/>
    <m/>
    <m/>
    <m/>
    <n v="0.2"/>
    <n v="0.4"/>
    <m/>
    <m/>
  </r>
  <r>
    <x v="4"/>
    <x v="66"/>
    <s v="Fresh or Not Specified"/>
    <s v="imported to UK"/>
    <m/>
    <s v="New Zealand"/>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1.2"/>
    <s v=""/>
    <n v="0.1"/>
    <s v=""/>
    <n v="1.2"/>
    <m/>
    <m/>
    <m/>
    <n v="7.5"/>
    <m/>
    <m/>
    <m/>
    <m/>
    <n v="1.2"/>
    <n v="11.2"/>
    <m/>
    <m/>
    <n v="0.1"/>
    <m/>
    <m/>
    <m/>
    <n v="0.7"/>
    <m/>
    <m/>
    <m/>
    <m/>
    <n v="0.1"/>
    <n v="0.9"/>
    <m/>
    <m/>
  </r>
  <r>
    <x v="1"/>
    <x v="1"/>
    <s v="Frozen"/>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17.899999999999999"/>
    <s v=""/>
    <n v="13.5"/>
    <s v=""/>
    <n v="17.899999999999999"/>
    <m/>
    <m/>
    <m/>
    <m/>
    <m/>
    <m/>
    <m/>
    <m/>
    <n v="17.899999999999999"/>
    <n v="30.7"/>
    <m/>
    <m/>
    <n v="13.5"/>
    <m/>
    <m/>
    <m/>
    <m/>
    <m/>
    <m/>
    <m/>
    <m/>
    <n v="13.5"/>
    <n v="14.1"/>
    <m/>
    <m/>
  </r>
  <r>
    <x v="1"/>
    <x v="1"/>
    <s v="Frozen"/>
    <s v="imported to UK"/>
    <m/>
    <s v="New Zealand"/>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12.2"/>
    <s v=""/>
    <n v="9.6999999999999993"/>
    <s v=""/>
    <n v="12.2"/>
    <m/>
    <m/>
    <m/>
    <n v="7.5"/>
    <m/>
    <m/>
    <m/>
    <m/>
    <n v="12.2"/>
    <n v="37"/>
    <m/>
    <m/>
    <n v="9.6999999999999993"/>
    <m/>
    <m/>
    <m/>
    <n v="0.6"/>
    <m/>
    <m/>
    <m/>
    <m/>
    <n v="9.6999999999999993"/>
    <n v="11.6"/>
    <m/>
    <m/>
  </r>
  <r>
    <x v="1"/>
    <x v="30"/>
    <s v="Frozen"/>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15.9"/>
    <s v=""/>
    <n v="2.5"/>
    <s v=""/>
    <n v="15.9"/>
    <m/>
    <m/>
    <m/>
    <m/>
    <m/>
    <m/>
    <m/>
    <m/>
    <n v="15.9"/>
    <n v="21.1"/>
    <m/>
    <m/>
    <n v="2.5"/>
    <m/>
    <m/>
    <m/>
    <m/>
    <m/>
    <m/>
    <m/>
    <m/>
    <n v="2.5"/>
    <n v="2.8"/>
    <m/>
    <m/>
  </r>
  <r>
    <x v="1"/>
    <x v="30"/>
    <s v="Frozen"/>
    <s v="imported to UK"/>
    <m/>
    <s v="Brazil"/>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12.2"/>
    <s v=""/>
    <n v="2.1"/>
    <s v=""/>
    <n v="12.2"/>
    <m/>
    <m/>
    <m/>
    <n v="4.0999999999999996"/>
    <m/>
    <m/>
    <m/>
    <m/>
    <n v="12.2"/>
    <n v="24.7"/>
    <m/>
    <m/>
    <n v="2.1"/>
    <m/>
    <m/>
    <m/>
    <n v="0.4"/>
    <m/>
    <m/>
    <m/>
    <m/>
    <n v="2.1"/>
    <n v="2.6"/>
    <m/>
    <m/>
  </r>
  <r>
    <x v="1"/>
    <x v="3"/>
    <s v="Frozen"/>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41.3"/>
    <s v=""/>
    <n v="23.8"/>
    <s v=""/>
    <n v="41.3"/>
    <m/>
    <m/>
    <m/>
    <m/>
    <m/>
    <m/>
    <m/>
    <m/>
    <n v="41.3"/>
    <n v="44.4"/>
    <m/>
    <m/>
    <n v="23.8"/>
    <m/>
    <m/>
    <m/>
    <m/>
    <m/>
    <m/>
    <m/>
    <m/>
    <n v="23.8"/>
    <n v="24"/>
    <m/>
    <m/>
  </r>
  <r>
    <x v="1"/>
    <x v="3"/>
    <s v="Frozen"/>
    <s v="imported to UK"/>
    <m/>
    <s v="Brazil"/>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7.8"/>
    <s v=""/>
    <n v="31.7"/>
    <s v=""/>
    <n v="7.8"/>
    <m/>
    <m/>
    <m/>
    <n v="4"/>
    <m/>
    <m/>
    <m/>
    <m/>
    <n v="7.8"/>
    <n v="17.100000000000001"/>
    <m/>
    <m/>
    <n v="31.7"/>
    <m/>
    <m/>
    <m/>
    <n v="0.3"/>
    <m/>
    <m/>
    <m/>
    <m/>
    <n v="31.7"/>
    <n v="32.200000000000003"/>
    <m/>
    <m/>
  </r>
  <r>
    <x v="3"/>
    <x v="187"/>
    <s v="Fresh or Not Specified"/>
    <m/>
    <m/>
    <s v="Sicily"/>
    <n v="2014"/>
    <s v="Lo Giudice, A., Mbohwa, C, Clasadonte, M.T and Ingrao, C"/>
    <m/>
    <s v="Peer Reviewed Journal"/>
    <s v="Lo Giudice, A., Mbohwa, C., Clasadonte, M. and Ingrao, C., Life cycle assessment interpretation and improvement of the Sicilian artichokes production. International Journal of Environmental Research 2014, 8 (2), 305-316."/>
    <s v="Yes"/>
    <m/>
    <m/>
    <m/>
    <m/>
    <m/>
    <m/>
    <m/>
    <m/>
    <m/>
    <m/>
    <m/>
    <m/>
    <m/>
    <m/>
    <m/>
    <s v="per ha, @12.5 tonnes/ha"/>
    <m/>
    <n v="6.77"/>
    <s v=""/>
    <n v="0.1968"/>
    <s v=""/>
    <n v="6.77"/>
    <m/>
    <m/>
    <m/>
    <m/>
    <m/>
    <m/>
    <m/>
    <m/>
    <n v="6.77"/>
    <m/>
    <m/>
    <m/>
    <n v="0.1968"/>
    <m/>
    <m/>
    <m/>
    <m/>
    <m/>
    <m/>
    <m/>
    <m/>
    <n v="0.1968"/>
    <m/>
    <m/>
    <m/>
  </r>
  <r>
    <x v="3"/>
    <x v="92"/>
    <s v="Fresh or Not Specified"/>
    <s v="conventional production"/>
    <s v="Yes"/>
    <s v="Belgium"/>
    <n v="2009"/>
    <s v="Eline de Backer, Joris Aertsens, Sofie Vergucht and Walter Steurbaut"/>
    <m/>
    <s v="Peer Reviewed Journal"/>
    <s v="Backer, E. D., Aertsens, J., Vergucht, S. and Steurbaut, W., Assessing the ecological soundness of organic and conventional agriculture by means of life cycle assessment (LCA): A case study of leek production. British Food Journal 2009, 111 (10), 1028-1061."/>
    <s v="Yes"/>
    <m/>
    <m/>
    <m/>
    <m/>
    <m/>
    <m/>
    <m/>
    <m/>
    <m/>
    <m/>
    <m/>
    <m/>
    <m/>
    <m/>
    <m/>
    <s v="/kg leek"/>
    <m/>
    <s v=""/>
    <s v=""/>
    <n v="9.4E-2"/>
    <s v=""/>
    <m/>
    <m/>
    <m/>
    <m/>
    <m/>
    <m/>
    <m/>
    <m/>
    <m/>
    <m/>
    <m/>
    <m/>
    <m/>
    <n v="9.4E-2"/>
    <m/>
    <m/>
    <m/>
    <m/>
    <m/>
    <m/>
    <m/>
    <m/>
    <n v="9.4E-2"/>
    <m/>
    <m/>
    <m/>
  </r>
  <r>
    <x v="3"/>
    <x v="92"/>
    <s v="Fresh or Not Specified"/>
    <s v="organic production"/>
    <s v="Yes"/>
    <s v="Belgium"/>
    <n v="2009"/>
    <s v="Eline de Backer, Joris Aertsens, Sofie Vergucht and Walter Steurbaut"/>
    <m/>
    <s v="Peer Reviewed Journal"/>
    <s v="Backer, E. D., Aertsens, J., Vergucht, S. and Steurbaut, W., Assessing the ecological soundness of organic and conventional agriculture by means of life cycle assessment (LCA): A case study of leek production. British Food Journal 2009, 111 (10), 1028-1061."/>
    <s v="Yes"/>
    <m/>
    <m/>
    <m/>
    <m/>
    <m/>
    <m/>
    <m/>
    <m/>
    <m/>
    <m/>
    <m/>
    <m/>
    <m/>
    <m/>
    <m/>
    <s v="/kg leek"/>
    <m/>
    <s v=""/>
    <s v=""/>
    <n v="4.3999999999999997E-2"/>
    <s v=""/>
    <m/>
    <m/>
    <m/>
    <m/>
    <m/>
    <m/>
    <m/>
    <m/>
    <m/>
    <m/>
    <m/>
    <m/>
    <m/>
    <n v="4.3999999999999997E-2"/>
    <m/>
    <m/>
    <m/>
    <m/>
    <m/>
    <m/>
    <m/>
    <m/>
    <n v="4.3999999999999997E-2"/>
    <m/>
    <m/>
    <m/>
  </r>
  <r>
    <x v="3"/>
    <x v="77"/>
    <s v="Fresh or Not Specified"/>
    <s v="open field 2008"/>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13600000000000001"/>
    <s v=""/>
    <m/>
    <m/>
    <m/>
    <m/>
    <m/>
    <m/>
    <m/>
    <m/>
    <m/>
    <m/>
    <m/>
    <m/>
    <m/>
    <n v="0.13600000000000001"/>
    <m/>
    <m/>
    <m/>
    <m/>
    <m/>
    <m/>
    <m/>
    <m/>
    <n v="0.13600000000000001"/>
    <m/>
    <m/>
    <m/>
  </r>
  <r>
    <x v="3"/>
    <x v="77"/>
    <s v="Fresh or Not Specified"/>
    <s v="open field 2009"/>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35599999999999998"/>
    <s v=""/>
    <m/>
    <m/>
    <m/>
    <m/>
    <m/>
    <m/>
    <m/>
    <m/>
    <m/>
    <m/>
    <m/>
    <m/>
    <m/>
    <n v="0.35599999999999998"/>
    <m/>
    <m/>
    <m/>
    <m/>
    <m/>
    <m/>
    <m/>
    <m/>
    <n v="0.35599999999999998"/>
    <m/>
    <m/>
    <m/>
  </r>
  <r>
    <x v="3"/>
    <x v="77"/>
    <s v="Fresh or Not Specified"/>
    <s v="screenhouse 2008"/>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10199999999999999"/>
    <s v=""/>
    <m/>
    <m/>
    <m/>
    <m/>
    <m/>
    <m/>
    <m/>
    <m/>
    <m/>
    <m/>
    <m/>
    <m/>
    <m/>
    <n v="0.10199999999999999"/>
    <m/>
    <m/>
    <m/>
    <m/>
    <m/>
    <m/>
    <m/>
    <m/>
    <n v="0.10199999999999999"/>
    <m/>
    <m/>
    <m/>
  </r>
  <r>
    <x v="3"/>
    <x v="77"/>
    <s v="Fresh or Not Specified"/>
    <s v="screenhouse 2009"/>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16900000000000001"/>
    <s v=""/>
    <m/>
    <m/>
    <m/>
    <m/>
    <m/>
    <m/>
    <m/>
    <m/>
    <m/>
    <m/>
    <m/>
    <m/>
    <m/>
    <n v="0.16900000000000001"/>
    <m/>
    <m/>
    <m/>
    <m/>
    <m/>
    <m/>
    <m/>
    <m/>
    <n v="0.16900000000000001"/>
    <m/>
    <m/>
    <m/>
  </r>
  <r>
    <x v="3"/>
    <x v="77"/>
    <s v="Fresh or Not Specified"/>
    <s v="screenhouse w mist 2008"/>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10100000000000001"/>
    <s v=""/>
    <m/>
    <m/>
    <m/>
    <m/>
    <m/>
    <m/>
    <m/>
    <m/>
    <m/>
    <m/>
    <m/>
    <m/>
    <m/>
    <n v="0.10100000000000001"/>
    <m/>
    <m/>
    <m/>
    <m/>
    <m/>
    <m/>
    <m/>
    <m/>
    <n v="0.10100000000000001"/>
    <m/>
    <m/>
    <m/>
  </r>
  <r>
    <x v="3"/>
    <x v="77"/>
    <s v="Fresh or Not Specified"/>
    <s v="screenhouse w mist 2009"/>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2.89"/>
    <s v=""/>
    <m/>
    <m/>
    <m/>
    <m/>
    <m/>
    <m/>
    <m/>
    <m/>
    <m/>
    <m/>
    <m/>
    <m/>
    <m/>
    <n v="2.89"/>
    <m/>
    <m/>
    <m/>
    <m/>
    <m/>
    <m/>
    <m/>
    <m/>
    <n v="2.89"/>
    <m/>
    <m/>
    <m/>
  </r>
  <r>
    <x v="5"/>
    <x v="67"/>
    <s v="Fresh or Not Specified"/>
    <m/>
    <m/>
    <s v="US"/>
    <n v="2014"/>
    <s v="Kelly Twomey Sanders, Michael E Webber"/>
    <m/>
    <s v="Peer Reviewed Journal"/>
    <s v="Sanders, K. T. and Webber, M. E., A comparative analysis of the greenhouse gas emissions intensity of wheat and beef in the United States. Environmental Research Letters 2014, 9 (4), 044011."/>
    <s v="Yes"/>
    <m/>
    <m/>
    <s v="Yes"/>
    <s v="Yes"/>
    <s v="Yes"/>
    <s v="Yes"/>
    <s v="Yes"/>
    <s v="Yes"/>
    <s v="Yes"/>
    <s v="No"/>
    <s v="No"/>
    <m/>
    <m/>
    <m/>
    <m/>
    <m/>
    <m/>
    <s v=""/>
    <s v=""/>
    <n v="0.3"/>
    <n v="0.52"/>
    <m/>
    <m/>
    <m/>
    <m/>
    <m/>
    <m/>
    <m/>
    <m/>
    <m/>
    <m/>
    <m/>
    <m/>
    <m/>
    <n v="0.3"/>
    <m/>
    <n v="0.22"/>
    <n v="0.17"/>
    <n v="4.2999999999999997E-2"/>
    <n v="4.3999999999999997E-2"/>
    <n v="0.28400000000000003"/>
    <m/>
    <m/>
    <n v="0.3"/>
    <n v="1.0610000000000002"/>
    <s v="+-0.13"/>
    <m/>
  </r>
  <r>
    <x v="1"/>
    <x v="3"/>
    <s v="Fresh or Not Specified"/>
    <m/>
    <m/>
    <s v="US"/>
    <n v="2014"/>
    <s v="Kelly Twomey Sanders, Michael E Webber"/>
    <m/>
    <s v="Peer Reviewed Journal"/>
    <s v="Sanders, K. T. and Webber, M. E., A comparative analysis of the greenhouse gas emissions intensity of wheat and beef in the United States. Environmental Research Letters 2014, 9 (4), 044011."/>
    <s v="Yes"/>
    <m/>
    <m/>
    <s v="Yes"/>
    <s v="Yes"/>
    <s v="Yes"/>
    <s v="Yes"/>
    <s v="Yes"/>
    <s v="Yes"/>
    <s v="Yes"/>
    <s v="No"/>
    <s v="No"/>
    <m/>
    <m/>
    <m/>
    <m/>
    <s v="carcass weight, includes bones"/>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7.037037037037038"/>
    <n v="37.338820301783265"/>
    <m/>
    <m/>
    <m/>
    <m/>
    <m/>
    <m/>
    <m/>
    <m/>
    <m/>
    <m/>
    <m/>
    <m/>
    <m/>
    <n v="37.037037037037038"/>
    <m/>
    <n v="0.30178326474622774"/>
    <n v="0.23319615912208508"/>
    <n v="1.2757201646090537"/>
    <n v="0.46639231824417016"/>
    <n v="2.9629629629629632"/>
    <m/>
    <m/>
    <n v="37.037037037037038"/>
    <n v="42.277091906721537"/>
    <s v="+-11.1"/>
    <m/>
  </r>
  <r>
    <x v="11"/>
    <x v="178"/>
    <s v="Fresh or Not Specified"/>
    <s v="fresh"/>
    <m/>
    <s v="Portugal"/>
    <n v="2015"/>
    <s v="Diana Rosa, Filipa Figueiredo, Érica G. Castanheira, Manuel Feliciano, Filipe Maia, José Santos, Ana Paula Silva, Henrique Trindade, and Fausto Freire"/>
    <m/>
    <s v="Conference Proceedings"/>
    <s v="Rosa, D., Figueiredo, F., Castanheira, É., Feliciano, M., Maia, F., Santos, J., Silva, A., Trindade, H. and Freire, F., Life-cycle greenhouse gas assessment of Portuguese chestnut. Energy for Sustainability 2015 Conference: Sustainable Cities–Designing for People and the Planet 2015, ."/>
    <s v="Yes"/>
    <s v="No"/>
    <s v="Yes"/>
    <s v="Yes"/>
    <s v="No"/>
    <s v="No"/>
    <s v="No"/>
    <s v="No"/>
    <s v="No"/>
    <s v="No"/>
    <s v="No"/>
    <s v="No"/>
    <m/>
    <m/>
    <m/>
    <m/>
    <s v="per kg harvested chestnut"/>
    <m/>
    <s v=""/>
    <s v=""/>
    <n v="1.32"/>
    <n v="1.37"/>
    <m/>
    <m/>
    <m/>
    <m/>
    <m/>
    <m/>
    <m/>
    <m/>
    <m/>
    <m/>
    <m/>
    <m/>
    <m/>
    <n v="1.32"/>
    <m/>
    <n v="0.05"/>
    <m/>
    <m/>
    <m/>
    <m/>
    <m/>
    <m/>
    <n v="1.32"/>
    <n v="1.37"/>
    <m/>
    <m/>
  </r>
  <r>
    <x v="11"/>
    <x v="178"/>
    <s v="Frozen"/>
    <s v="frozen"/>
    <m/>
    <s v="Portugal"/>
    <n v="2015"/>
    <s v="Diana Rosa, Filipa Figueiredo, Érica G. Castanheira, Manuel Feliciano, Filipe Maia, José Santos, Ana Paula Silva, Henrique Trindade, and Fausto Freire"/>
    <m/>
    <s v="Conference Proceedings"/>
    <s v="Rosa, D., Figueiredo, F., Castanheira, É., Feliciano, M., Maia, F., Santos, J., Silva, A., Trindade, H. and Freire, F., Life-cycle greenhouse gas assessment of Portuguese chestnut. Energy for Sustainability 2015 Conference: Sustainable Cities–Designing for People and the Planet 2015, ."/>
    <s v="Yes"/>
    <s v="No"/>
    <s v="Yes"/>
    <s v="Yes"/>
    <s v="No"/>
    <s v="No"/>
    <s v="No"/>
    <s v="No"/>
    <s v="No"/>
    <s v="No"/>
    <s v="No"/>
    <s v="No"/>
    <m/>
    <m/>
    <m/>
    <m/>
    <s v="per kg harvested chestnut"/>
    <m/>
    <s v=""/>
    <s v=""/>
    <n v="1.32"/>
    <n v="1.55"/>
    <m/>
    <m/>
    <m/>
    <m/>
    <m/>
    <m/>
    <m/>
    <m/>
    <m/>
    <m/>
    <m/>
    <m/>
    <m/>
    <n v="1.32"/>
    <m/>
    <n v="0.23"/>
    <m/>
    <m/>
    <m/>
    <m/>
    <m/>
    <m/>
    <n v="1.32"/>
    <n v="1.55"/>
    <m/>
    <m/>
  </r>
  <r>
    <x v="4"/>
    <x v="136"/>
    <s v="Fresh or Not Specified"/>
    <s v="groundwater, gravity,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2799310938845826"/>
    <s v=""/>
    <m/>
    <m/>
    <m/>
    <m/>
    <m/>
    <m/>
    <m/>
    <m/>
    <m/>
    <m/>
    <m/>
    <m/>
    <m/>
    <n v="0.22799310938845826"/>
    <m/>
    <m/>
    <m/>
    <m/>
    <m/>
    <m/>
    <m/>
    <m/>
    <n v="0.22799310938845826"/>
    <m/>
    <m/>
    <m/>
  </r>
  <r>
    <x v="4"/>
    <x v="136"/>
    <s v="Fresh or Not Specified"/>
    <s v="groundwater, drip,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7168389319552111"/>
    <s v=""/>
    <m/>
    <m/>
    <m/>
    <m/>
    <m/>
    <m/>
    <m/>
    <m/>
    <m/>
    <m/>
    <m/>
    <m/>
    <m/>
    <n v="0.27168389319552111"/>
    <m/>
    <m/>
    <m/>
    <m/>
    <m/>
    <m/>
    <m/>
    <m/>
    <n v="0.27168389319552111"/>
    <m/>
    <m/>
    <m/>
  </r>
  <r>
    <x v="4"/>
    <x v="136"/>
    <s v="Fresh or Not Specified"/>
    <s v="surface, gravity,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2198535745047376"/>
    <s v=""/>
    <m/>
    <m/>
    <m/>
    <m/>
    <m/>
    <m/>
    <m/>
    <m/>
    <m/>
    <m/>
    <m/>
    <m/>
    <m/>
    <n v="0.22198535745047376"/>
    <m/>
    <m/>
    <m/>
    <m/>
    <m/>
    <m/>
    <m/>
    <m/>
    <n v="0.22198535745047376"/>
    <m/>
    <m/>
    <m/>
  </r>
  <r>
    <x v="4"/>
    <x v="136"/>
    <s v="Fresh or Not Specified"/>
    <s v="surface, drip,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6401808785529723"/>
    <s v=""/>
    <m/>
    <m/>
    <m/>
    <m/>
    <m/>
    <m/>
    <m/>
    <m/>
    <m/>
    <m/>
    <m/>
    <m/>
    <m/>
    <n v="0.26401808785529723"/>
    <m/>
    <m/>
    <m/>
    <m/>
    <m/>
    <m/>
    <m/>
    <m/>
    <n v="0.26401808785529723"/>
    <m/>
    <m/>
    <m/>
  </r>
  <r>
    <x v="4"/>
    <x v="136"/>
    <s v="Fresh or Not Specified"/>
    <s v="groundwater, gravity, no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4414298018949185"/>
    <s v=""/>
    <m/>
    <m/>
    <m/>
    <m/>
    <m/>
    <m/>
    <m/>
    <m/>
    <m/>
    <m/>
    <m/>
    <m/>
    <m/>
    <n v="0.24414298018949185"/>
    <m/>
    <m/>
    <m/>
    <m/>
    <m/>
    <m/>
    <m/>
    <m/>
    <n v="0.24414298018949185"/>
    <m/>
    <m/>
    <m/>
  </r>
  <r>
    <x v="4"/>
    <x v="136"/>
    <s v="Fresh or Not Specified"/>
    <s v="groundwater, drip, no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8847975882859606"/>
    <s v=""/>
    <m/>
    <m/>
    <m/>
    <m/>
    <m/>
    <m/>
    <m/>
    <m/>
    <m/>
    <m/>
    <m/>
    <m/>
    <m/>
    <n v="0.28847975882859606"/>
    <m/>
    <m/>
    <m/>
    <m/>
    <m/>
    <m/>
    <m/>
    <m/>
    <n v="0.28847975882859606"/>
    <m/>
    <m/>
    <m/>
  </r>
  <r>
    <x v="4"/>
    <x v="136"/>
    <s v="Fresh or Not Specified"/>
    <s v="surface, gravity,no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3858742463393631"/>
    <s v=""/>
    <m/>
    <m/>
    <m/>
    <m/>
    <m/>
    <m/>
    <m/>
    <m/>
    <m/>
    <m/>
    <m/>
    <m/>
    <m/>
    <n v="0.23858742463393631"/>
    <m/>
    <m/>
    <m/>
    <m/>
    <m/>
    <m/>
    <m/>
    <m/>
    <n v="0.23858742463393631"/>
    <m/>
    <m/>
    <m/>
  </r>
  <r>
    <x v="4"/>
    <x v="136"/>
    <s v="Fresh or Not Specified"/>
    <s v="surface, drip, no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8277347114556417"/>
    <s v=""/>
    <m/>
    <m/>
    <m/>
    <m/>
    <m/>
    <m/>
    <m/>
    <m/>
    <m/>
    <m/>
    <m/>
    <m/>
    <m/>
    <n v="0.28277347114556417"/>
    <m/>
    <m/>
    <m/>
    <m/>
    <m/>
    <m/>
    <m/>
    <m/>
    <n v="0.28277347114556417"/>
    <m/>
    <m/>
    <m/>
  </r>
  <r>
    <x v="1"/>
    <x v="3"/>
    <m/>
    <s v="based on conceptual model, MITERRA-Europe"/>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s v="No"/>
    <m/>
    <m/>
    <m/>
    <m/>
    <m/>
    <m/>
    <m/>
    <m/>
    <m/>
    <m/>
    <m/>
    <s v="farm gate"/>
    <m/>
    <m/>
    <s v="per kg edible meat"/>
    <m/>
    <s v=""/>
    <s v=""/>
    <n v="22.6"/>
    <s v=""/>
    <m/>
    <m/>
    <m/>
    <m/>
    <m/>
    <m/>
    <m/>
    <m/>
    <m/>
    <m/>
    <m/>
    <m/>
    <m/>
    <n v="22.6"/>
    <m/>
    <m/>
    <m/>
    <m/>
    <m/>
    <m/>
    <m/>
    <m/>
    <n v="22.6"/>
    <m/>
    <m/>
    <m/>
  </r>
  <r>
    <x v="1"/>
    <x v="30"/>
    <m/>
    <s v="based on conceptual model, MITERRA-Europe"/>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s v="No"/>
    <m/>
    <m/>
    <m/>
    <m/>
    <m/>
    <m/>
    <m/>
    <m/>
    <m/>
    <m/>
    <m/>
    <s v="farm gate"/>
    <m/>
    <m/>
    <s v="per kg edible meat"/>
    <m/>
    <s v=""/>
    <s v=""/>
    <n v="1.6"/>
    <s v=""/>
    <m/>
    <m/>
    <m/>
    <m/>
    <m/>
    <m/>
    <m/>
    <m/>
    <m/>
    <m/>
    <m/>
    <m/>
    <m/>
    <n v="1.6"/>
    <m/>
    <m/>
    <m/>
    <m/>
    <m/>
    <m/>
    <m/>
    <m/>
    <n v="1.6"/>
    <m/>
    <m/>
    <m/>
  </r>
  <r>
    <x v="2"/>
    <x v="2"/>
    <m/>
    <s v="based on conceptual model, MITERRA-Europe"/>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s v="No"/>
    <m/>
    <m/>
    <m/>
    <m/>
    <m/>
    <m/>
    <m/>
    <m/>
    <m/>
    <m/>
    <m/>
    <s v="farm gate"/>
    <m/>
    <m/>
    <s v="per kg eggs in shell"/>
    <m/>
    <s v=""/>
    <s v=""/>
    <n v="1.7"/>
    <s v=""/>
    <m/>
    <m/>
    <m/>
    <m/>
    <m/>
    <m/>
    <m/>
    <m/>
    <m/>
    <m/>
    <m/>
    <m/>
    <m/>
    <n v="1.7"/>
    <m/>
    <m/>
    <m/>
    <m/>
    <m/>
    <m/>
    <m/>
    <m/>
    <n v="1.7"/>
    <m/>
    <m/>
    <m/>
  </r>
  <r>
    <x v="0"/>
    <x v="0"/>
    <m/>
    <s v="based on conceptual model, MITERRA-Europe"/>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s v="No"/>
    <m/>
    <m/>
    <m/>
    <m/>
    <m/>
    <m/>
    <m/>
    <m/>
    <m/>
    <m/>
    <m/>
    <s v="farm gate"/>
    <m/>
    <m/>
    <s v="per kg whole fresh cows milk"/>
    <m/>
    <s v=""/>
    <s v=""/>
    <n v="14.3"/>
    <s v=""/>
    <m/>
    <m/>
    <m/>
    <m/>
    <m/>
    <m/>
    <m/>
    <m/>
    <m/>
    <m/>
    <m/>
    <m/>
    <m/>
    <n v="14.3"/>
    <m/>
    <m/>
    <m/>
    <m/>
    <m/>
    <m/>
    <m/>
    <m/>
    <n v="14.3"/>
    <m/>
    <m/>
    <m/>
  </r>
  <r>
    <x v="0"/>
    <x v="0"/>
    <m/>
    <s v="based on 8 Dutch organic dairy farms, year 2000"/>
    <m/>
    <s v="Netherlands"/>
    <n v="2005"/>
    <s v="Thomassen, M. A._x000a_de Boer, I. J. M."/>
    <s v="Wageningen Inst."/>
    <s v="Peer Reviewed Journal"/>
    <s v="Thomassen, M. A. and De Boer, I. J. M., Evaluation of indicators to assess the environmental impact of dairy production systems. Agriculture, Ecosystems &amp; Environment 2005, 111 (1–4), 185-199."/>
    <s v="Yes"/>
    <s v="No"/>
    <m/>
    <m/>
    <m/>
    <m/>
    <m/>
    <m/>
    <m/>
    <m/>
    <m/>
    <m/>
    <m/>
    <s v="farm gate"/>
    <m/>
    <m/>
    <s v="kg FPCM"/>
    <m/>
    <n v="2.48"/>
    <s v=""/>
    <n v="1.81"/>
    <s v=""/>
    <n v="2.48"/>
    <m/>
    <m/>
    <m/>
    <m/>
    <m/>
    <m/>
    <m/>
    <m/>
    <n v="2.48"/>
    <m/>
    <m/>
    <s v="SD=0.91; CV=37%"/>
    <n v="1.81"/>
    <m/>
    <m/>
    <m/>
    <m/>
    <m/>
    <m/>
    <m/>
    <m/>
    <n v="1.81"/>
    <m/>
    <s v="SD=0.86; CV=48%"/>
    <m/>
  </r>
  <r>
    <x v="1"/>
    <x v="3"/>
    <m/>
    <s v="typical Irish beef-suckler system, supplement 1"/>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8.04245717672725"/>
    <s v=""/>
    <m/>
    <m/>
    <m/>
    <m/>
    <m/>
    <m/>
    <m/>
    <m/>
    <m/>
    <m/>
    <m/>
    <m/>
    <m/>
    <n v="28.04245717672725"/>
    <m/>
    <m/>
    <m/>
    <m/>
    <m/>
    <m/>
    <m/>
    <m/>
    <n v="28.04245717672725"/>
    <m/>
    <m/>
    <m/>
  </r>
  <r>
    <x v="1"/>
    <x v="3"/>
    <m/>
    <s v="typical Irish beef-suckler system, supplement 2"/>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7.718698790139815"/>
    <s v=""/>
    <m/>
    <m/>
    <m/>
    <m/>
    <m/>
    <m/>
    <m/>
    <m/>
    <m/>
    <m/>
    <m/>
    <m/>
    <m/>
    <n v="27.718698790139815"/>
    <m/>
    <m/>
    <m/>
    <m/>
    <m/>
    <m/>
    <m/>
    <m/>
    <n v="27.718698790139815"/>
    <m/>
    <m/>
    <m/>
  </r>
  <r>
    <x v="1"/>
    <x v="3"/>
    <m/>
    <s v="typical Irish beef-suckler system, supplement 3"/>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7.4945583686562"/>
    <s v=""/>
    <m/>
    <m/>
    <m/>
    <m/>
    <m/>
    <m/>
    <m/>
    <m/>
    <m/>
    <m/>
    <m/>
    <m/>
    <m/>
    <n v="27.4945583686562"/>
    <m/>
    <m/>
    <m/>
    <m/>
    <m/>
    <m/>
    <m/>
    <m/>
    <n v="27.4945583686562"/>
    <m/>
    <m/>
    <m/>
  </r>
  <r>
    <x v="1"/>
    <x v="3"/>
    <m/>
    <s v="shorter life scenario, harvesting younger animals"/>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5.925575418270931"/>
    <s v=""/>
    <m/>
    <m/>
    <m/>
    <m/>
    <m/>
    <m/>
    <m/>
    <m/>
    <m/>
    <m/>
    <m/>
    <m/>
    <m/>
    <n v="25.925575418270931"/>
    <m/>
    <m/>
    <m/>
    <m/>
    <m/>
    <m/>
    <m/>
    <m/>
    <n v="25.925575418270931"/>
    <m/>
    <m/>
    <m/>
  </r>
  <r>
    <x v="1"/>
    <x v="3"/>
    <m/>
    <s v="non-castrated males in intensive indoor feedlot"/>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6.99646854313707"/>
    <s v=""/>
    <m/>
    <m/>
    <m/>
    <m/>
    <m/>
    <m/>
    <m/>
    <m/>
    <m/>
    <m/>
    <m/>
    <m/>
    <m/>
    <n v="26.99646854313707"/>
    <m/>
    <m/>
    <m/>
    <m/>
    <m/>
    <m/>
    <m/>
    <m/>
    <n v="26.99646854313707"/>
    <m/>
    <m/>
    <m/>
  </r>
  <r>
    <x v="1"/>
    <x v="3"/>
    <m/>
    <s v="same management as scenario 1 but using dairy-bred beef, spplement 1"/>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4.281878994057788"/>
    <s v=""/>
    <m/>
    <m/>
    <m/>
    <m/>
    <m/>
    <m/>
    <m/>
    <m/>
    <m/>
    <m/>
    <m/>
    <m/>
    <m/>
    <n v="24.281878994057788"/>
    <m/>
    <m/>
    <m/>
    <m/>
    <m/>
    <m/>
    <m/>
    <m/>
    <n v="24.281878994057788"/>
    <m/>
    <m/>
    <m/>
  </r>
  <r>
    <x v="1"/>
    <x v="3"/>
    <m/>
    <s v="same management as scenario 1 but using dairy-bred beef, spplement 2"/>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2.787609517500389"/>
    <s v=""/>
    <m/>
    <m/>
    <m/>
    <m/>
    <m/>
    <m/>
    <m/>
    <m/>
    <m/>
    <m/>
    <m/>
    <m/>
    <m/>
    <n v="22.787609517500389"/>
    <m/>
    <m/>
    <m/>
    <m/>
    <m/>
    <m/>
    <m/>
    <m/>
    <n v="22.787609517500389"/>
    <m/>
    <m/>
    <m/>
  </r>
  <r>
    <x v="1"/>
    <x v="3"/>
    <m/>
    <s v="same management as scenario 1 but using dairy-bred beef, spplement 3"/>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2.563469096016778"/>
    <s v=""/>
    <m/>
    <m/>
    <m/>
    <m/>
    <m/>
    <m/>
    <m/>
    <m/>
    <m/>
    <m/>
    <m/>
    <m/>
    <m/>
    <n v="22.563469096016778"/>
    <m/>
    <m/>
    <m/>
    <m/>
    <m/>
    <m/>
    <m/>
    <m/>
    <n v="22.563469096016778"/>
    <m/>
    <m/>
    <m/>
  </r>
  <r>
    <x v="1"/>
    <x v="3"/>
    <m/>
    <s v="same as scenario 2, with dairy-bred animals"/>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7.85652024486096"/>
    <s v=""/>
    <m/>
    <m/>
    <m/>
    <m/>
    <m/>
    <m/>
    <m/>
    <m/>
    <m/>
    <m/>
    <m/>
    <m/>
    <m/>
    <n v="17.85652024486096"/>
    <m/>
    <m/>
    <m/>
    <m/>
    <m/>
    <m/>
    <m/>
    <m/>
    <n v="17.85652024486096"/>
    <m/>
    <m/>
    <m/>
  </r>
  <r>
    <x v="1"/>
    <x v="3"/>
    <m/>
    <s v="same as scenario 3, but using dairy-bred animals"/>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8.82779540462327"/>
    <s v=""/>
    <m/>
    <m/>
    <m/>
    <m/>
    <m/>
    <m/>
    <m/>
    <m/>
    <m/>
    <m/>
    <m/>
    <m/>
    <m/>
    <n v="18.82779540462327"/>
    <m/>
    <m/>
    <m/>
    <m/>
    <m/>
    <m/>
    <m/>
    <m/>
    <n v="18.82779540462327"/>
    <m/>
    <m/>
    <m/>
  </r>
  <r>
    <x v="3"/>
    <x v="94"/>
    <s v="Fresh or Not Specified"/>
    <m/>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0.223"/>
    <s v=""/>
    <n v="1.7999999999999999E-2"/>
    <s v=""/>
    <n v="0.223"/>
    <m/>
    <m/>
    <n v="2.16"/>
    <n v="0.26"/>
    <m/>
    <m/>
    <m/>
    <m/>
    <n v="0.223"/>
    <n v="2.6429999999999998"/>
    <m/>
    <m/>
    <n v="1.7999999999999999E-2"/>
    <m/>
    <m/>
    <n v="3.2000000000000001E-2"/>
    <n v="1.9E-2"/>
    <m/>
    <m/>
    <m/>
    <m/>
    <n v="1.7999999999999999E-2"/>
    <n v="6.9000000000000006E-2"/>
    <m/>
    <m/>
  </r>
  <r>
    <x v="3"/>
    <x v="232"/>
    <s v="Frozen"/>
    <s v="frozen, cut carrots at wholesaler"/>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0.59000000000000008"/>
    <n v="6.8900000000000006"/>
    <n v="2.3E-2"/>
    <n v="0.218"/>
    <n v="0.59000000000000008"/>
    <m/>
    <n v="6.3000000000000007"/>
    <m/>
    <n v="0.67"/>
    <m/>
    <m/>
    <m/>
    <m/>
    <n v="0.59000000000000008"/>
    <n v="7.5600000000000005"/>
    <m/>
    <m/>
    <n v="2.3E-2"/>
    <m/>
    <n v="0.19500000000000001"/>
    <m/>
    <n v="4.9000000000000002E-2"/>
    <m/>
    <m/>
    <m/>
    <m/>
    <n v="2.3E-2"/>
    <n v="0.26700000000000002"/>
    <m/>
    <m/>
  </r>
  <r>
    <x v="3"/>
    <x v="94"/>
    <s v="Fresh or Not Specified"/>
    <m/>
    <m/>
    <s v="Netherlands"/>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1.216"/>
    <s v=""/>
    <n v="0.04"/>
    <s v=""/>
    <n v="1.216"/>
    <m/>
    <m/>
    <n v="1.88"/>
    <n v="0.98"/>
    <m/>
    <m/>
    <m/>
    <m/>
    <n v="1.216"/>
    <n v="4.0760000000000005"/>
    <m/>
    <m/>
    <n v="0.04"/>
    <m/>
    <m/>
    <n v="4.3999999999999997E-2"/>
    <n v="7.0999999999999994E-2"/>
    <m/>
    <m/>
    <m/>
    <m/>
    <n v="0.04"/>
    <n v="0.15499999999999997"/>
    <m/>
    <m/>
  </r>
  <r>
    <x v="3"/>
    <x v="233"/>
    <s v="Fresh or Not Specified"/>
    <m/>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1.131"/>
    <s v=""/>
    <n v="3.9E-2"/>
    <s v=""/>
    <n v="1.131"/>
    <m/>
    <m/>
    <n v="0.52"/>
    <n v="0.26"/>
    <m/>
    <m/>
    <m/>
    <m/>
    <n v="1.131"/>
    <n v="1.911"/>
    <m/>
    <m/>
    <n v="3.9E-2"/>
    <m/>
    <m/>
    <n v="1.0999999999999999E-2"/>
    <n v="1.9E-2"/>
    <m/>
    <m/>
    <m/>
    <m/>
    <n v="3.9E-2"/>
    <n v="6.9000000000000006E-2"/>
    <m/>
    <m/>
  </r>
  <r>
    <x v="3"/>
    <x v="233"/>
    <s v="Fresh or Not Specified"/>
    <m/>
    <m/>
    <s v="Denmark"/>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1.49"/>
    <s v=""/>
    <n v="4.5999999999999999E-2"/>
    <s v=""/>
    <n v="1.49"/>
    <m/>
    <m/>
    <n v="0.98"/>
    <n v="0.55000000000000004"/>
    <m/>
    <m/>
    <m/>
    <m/>
    <n v="1.49"/>
    <n v="3.0199999999999996"/>
    <m/>
    <m/>
    <n v="4.5999999999999999E-2"/>
    <m/>
    <m/>
    <n v="5.8999999999999997E-2"/>
    <n v="0.04"/>
    <m/>
    <m/>
    <m/>
    <m/>
    <n v="4.5999999999999999E-2"/>
    <n v="0.14499999999999999"/>
    <m/>
    <m/>
  </r>
  <r>
    <x v="3"/>
    <x v="18"/>
    <s v="Fresh or Not Specified"/>
    <m/>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51"/>
    <s v=""/>
    <n v="2.694"/>
    <s v=""/>
    <n v="51"/>
    <m/>
    <m/>
    <m/>
    <n v="0.41"/>
    <m/>
    <m/>
    <m/>
    <m/>
    <n v="51"/>
    <n v="51.41"/>
    <m/>
    <m/>
    <n v="2.694"/>
    <m/>
    <m/>
    <m/>
    <n v="0.03"/>
    <m/>
    <m/>
    <m/>
    <m/>
    <n v="2.694"/>
    <n v="2.7239999999999998"/>
    <m/>
    <m/>
  </r>
  <r>
    <x v="3"/>
    <x v="18"/>
    <s v="Fresh or Not Specified"/>
    <m/>
    <m/>
    <s v="Netherlands"/>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52.4"/>
    <s v=""/>
    <n v="2.8330000000000002"/>
    <s v=""/>
    <n v="52.4"/>
    <m/>
    <m/>
    <m/>
    <n v="1.1000000000000001"/>
    <m/>
    <m/>
    <m/>
    <m/>
    <n v="52.4"/>
    <n v="53.5"/>
    <m/>
    <m/>
    <n v="2.8330000000000002"/>
    <m/>
    <m/>
    <m/>
    <n v="7.3999999999999996E-2"/>
    <m/>
    <m/>
    <m/>
    <m/>
    <n v="2.8330000000000002"/>
    <n v="2.907"/>
    <m/>
    <m/>
  </r>
  <r>
    <x v="3"/>
    <x v="18"/>
    <s v="Fresh or Not Specified"/>
    <m/>
    <m/>
    <s v="Denmark"/>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60.91"/>
    <s v=""/>
    <n v="3.62"/>
    <s v=""/>
    <n v="60.91"/>
    <m/>
    <m/>
    <m/>
    <n v="0.55000000000000004"/>
    <m/>
    <m/>
    <m/>
    <m/>
    <n v="60.91"/>
    <n v="61.459999999999994"/>
    <m/>
    <m/>
    <n v="3.62"/>
    <m/>
    <m/>
    <m/>
    <n v="3.7999999999999999E-2"/>
    <m/>
    <m/>
    <m/>
    <m/>
    <n v="3.62"/>
    <n v="3.6579999999999999"/>
    <m/>
    <m/>
  </r>
  <r>
    <x v="3"/>
    <x v="75"/>
    <s v="Frozen"/>
    <s v="possible Sweish production"/>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n v="7.4509090909090903"/>
    <n v="12.212727272727271"/>
    <n v="0.61181818181818182"/>
    <n v="0.66723636363636363"/>
    <n v="7.4509090909090903"/>
    <m/>
    <n v="4.7618181818181817"/>
    <n v="0.49454545454545457"/>
    <n v="7.5545454545454547"/>
    <m/>
    <n v="7.045454545454545"/>
    <m/>
    <m/>
    <n v="7.4509090909090903"/>
    <n v="27.307272727272725"/>
    <m/>
    <m/>
    <n v="0.61181818181818182"/>
    <m/>
    <n v="5.5418181818181811E-2"/>
    <n v="1.5090909090909091E-2"/>
    <n v="0.15999999999999998"/>
    <m/>
    <n v="4.4272727272727269E-2"/>
    <m/>
    <m/>
    <n v="0.61181818181818182"/>
    <n v="0.88659999999999983"/>
    <m/>
    <m/>
  </r>
  <r>
    <x v="3"/>
    <x v="75"/>
    <s v="Frozen"/>
    <s v="South Europe case 1"/>
    <m/>
    <s v="S. Europe"/>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n v="3.6636363636363636"/>
    <n v="9.6818181818181817"/>
    <n v="0.36363636363636365"/>
    <n v="0.41905454545454546"/>
    <n v="3.6636363636363636"/>
    <m/>
    <n v="6.0181818181818176"/>
    <n v="0.49454545454545457"/>
    <n v="9.9"/>
    <m/>
    <n v="7.2363636363636354"/>
    <m/>
    <m/>
    <n v="3.6636363636363636"/>
    <n v="27.312727272727273"/>
    <m/>
    <m/>
    <n v="0.36363636363636365"/>
    <m/>
    <n v="5.5418181818181811E-2"/>
    <n v="1.5090909090909091E-2"/>
    <n v="0.32454545454545453"/>
    <m/>
    <n v="4.4272727272727269E-2"/>
    <m/>
    <m/>
    <n v="0.36363636363636365"/>
    <n v="0.80296363636363632"/>
    <m/>
    <m/>
  </r>
  <r>
    <x v="3"/>
    <x v="75"/>
    <s v="Frozen"/>
    <s v="South Europe case 2"/>
    <m/>
    <s v="S. Europe"/>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n v="3.3626363636363634"/>
    <n v="9.5899090909090905"/>
    <n v="0.33909090909090905"/>
    <n v="0.70045454545454544"/>
    <n v="3.3626363636363634"/>
    <m/>
    <n v="6.2272727272727266"/>
    <n v="0.49454545454545457"/>
    <n v="6.540909090909091"/>
    <m/>
    <n v="7.045454545454545"/>
    <m/>
    <m/>
    <n v="3.3626363636363634"/>
    <n v="23.670818181818184"/>
    <m/>
    <m/>
    <n v="0.33909090909090905"/>
    <m/>
    <n v="0.36136363636363633"/>
    <n v="1.5090909090909091E-2"/>
    <n v="0.18772727272727271"/>
    <m/>
    <n v="4.4272727272727269E-2"/>
    <m/>
    <m/>
    <n v="0.33909090909090905"/>
    <n v="0.94754545454545447"/>
    <m/>
    <m/>
  </r>
  <r>
    <x v="3"/>
    <x v="75"/>
    <s v="Frozen"/>
    <s v="S and C American case 1"/>
    <m/>
    <s v="S&amp;C America"/>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n v="3.0909090909090904"/>
    <n v="7.3818181818181809"/>
    <n v="0.57390909090909081"/>
    <n v="0.7827272727272726"/>
    <n v="3.0909090909090904"/>
    <m/>
    <n v="4.2909090909090901"/>
    <n v="0.49454545454545457"/>
    <n v="8.0272727272727273"/>
    <m/>
    <n v="7.2363636363636354"/>
    <m/>
    <m/>
    <n v="3.0909090909090904"/>
    <n v="23.139999999999997"/>
    <m/>
    <m/>
    <n v="0.57390909090909081"/>
    <m/>
    <n v="0.20881818181818179"/>
    <n v="1.5090909090909091E-2"/>
    <n v="0.34909090909090906"/>
    <m/>
    <n v="4.4272727272727269E-2"/>
    <m/>
    <m/>
    <n v="0.57390909090909081"/>
    <n v="1.1911818181818179"/>
    <m/>
    <m/>
  </r>
  <r>
    <x v="3"/>
    <x v="75"/>
    <s v="Frozen"/>
    <s v="S and C American case 2"/>
    <m/>
    <s v="S&amp;C America"/>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s v=""/>
    <n v="5.1090909090909085"/>
    <n v="0.21636363636363634"/>
    <n v="0.53818181818181809"/>
    <n v="0"/>
    <m/>
    <n v="5.1090909090909085"/>
    <n v="0.49454545454545457"/>
    <n v="7.8090909090909086"/>
    <m/>
    <n v="7.045454545454545"/>
    <m/>
    <m/>
    <n v="0"/>
    <n v="20.458181818181814"/>
    <m/>
    <m/>
    <n v="0.21636363636363634"/>
    <m/>
    <n v="0.32181818181818178"/>
    <n v="1.5090909090909091E-2"/>
    <n v="0.30727272727272725"/>
    <m/>
    <n v="4.4272727272727269E-2"/>
    <m/>
    <m/>
    <n v="0.21636363636363634"/>
    <n v="0.90481818181818163"/>
    <m/>
    <m/>
  </r>
  <r>
    <x v="3"/>
    <x v="75"/>
    <s v="Fresh or Not Specified"/>
    <s v="possible Swedish production"/>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per kg"/>
    <m/>
    <n v="7.5"/>
    <n v="8.11"/>
    <n v="0.629"/>
    <n v="0.64370000000000005"/>
    <n v="7.5"/>
    <m/>
    <n v="0.61"/>
    <n v="0.90500000000000003"/>
    <n v="2.79"/>
    <m/>
    <n v="6.61"/>
    <m/>
    <m/>
    <n v="7.5"/>
    <n v="18.414999999999999"/>
    <m/>
    <m/>
    <n v="0.629"/>
    <m/>
    <n v="1.47E-2"/>
    <n v="1.66E-2"/>
    <n v="0.17499999999999999"/>
    <m/>
    <n v="0.159"/>
    <m/>
    <m/>
    <n v="0.629"/>
    <n v="0.99429999999999996"/>
    <m/>
    <m/>
  </r>
  <r>
    <x v="3"/>
    <x v="75"/>
    <s v="Fresh or Not Specified"/>
    <s v="South Europe case 1, fresh"/>
    <m/>
    <s v="S. Europe"/>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per kg"/>
    <m/>
    <n v="3.95"/>
    <n v="4.452"/>
    <n v="0.39700000000000002"/>
    <n v="0.41170000000000001"/>
    <n v="3.95"/>
    <m/>
    <n v="0.502"/>
    <n v="1.1200000000000001"/>
    <n v="4.95"/>
    <m/>
    <n v="6.3440000000000003"/>
    <m/>
    <m/>
    <n v="3.95"/>
    <n v="16.866"/>
    <m/>
    <m/>
    <n v="0.39700000000000002"/>
    <m/>
    <n v="1.47E-2"/>
    <n v="1.66E-2"/>
    <n v="0.246"/>
    <m/>
    <n v="0.16400000000000001"/>
    <m/>
    <m/>
    <n v="0.39700000000000002"/>
    <n v="0.83830000000000005"/>
    <m/>
    <m/>
  </r>
  <r>
    <x v="3"/>
    <x v="75"/>
    <s v="Fresh or Not Specified"/>
    <s v="South Europe case 2, fresh"/>
    <m/>
    <s v="S. Europe"/>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per kg"/>
    <m/>
    <n v="3.99"/>
    <n v="4.492"/>
    <n v="0.42699999999999999"/>
    <n v="0.46179999999999999"/>
    <n v="3.99"/>
    <m/>
    <n v="0.502"/>
    <n v="1.1200000000000001"/>
    <n v="5.22"/>
    <m/>
    <n v="6.3440000000000003"/>
    <m/>
    <m/>
    <n v="3.99"/>
    <n v="17.176000000000002"/>
    <m/>
    <m/>
    <n v="0.42699999999999999"/>
    <m/>
    <n v="3.4799999999999998E-2"/>
    <n v="3.6600000000000001E-2"/>
    <n v="0.27600000000000002"/>
    <m/>
    <n v="0.14899999999999999"/>
    <m/>
    <m/>
    <n v="0.42699999999999999"/>
    <n v="0.9234"/>
    <m/>
    <m/>
  </r>
  <r>
    <x v="12"/>
    <x v="101"/>
    <s v="Fresh or Not Specified"/>
    <s v="albacore tuna in Atlantic via purse seiners"/>
    <m/>
    <s v="Atlantic"/>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7.388303448275867"/>
    <s v=""/>
    <n v="1.8279310344827588"/>
    <s v=""/>
    <n v="27.388303448275867"/>
    <m/>
    <m/>
    <m/>
    <m/>
    <m/>
    <m/>
    <m/>
    <m/>
    <n v="27.388303448275867"/>
    <m/>
    <m/>
    <m/>
    <n v="1.8279310344827588"/>
    <m/>
    <m/>
    <m/>
    <m/>
    <m/>
    <m/>
    <m/>
    <m/>
    <n v="1.8279310344827588"/>
    <m/>
    <m/>
    <m/>
  </r>
  <r>
    <x v="12"/>
    <x v="101"/>
    <s v="Fresh or Not Specified"/>
    <s v="bigeye  tuna in Atlantic via purse seiners"/>
    <m/>
    <s v="Atlantic"/>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5.156331034482761"/>
    <s v=""/>
    <n v="2.3463793103448278"/>
    <s v=""/>
    <n v="35.156331034482761"/>
    <m/>
    <m/>
    <m/>
    <m/>
    <m/>
    <m/>
    <m/>
    <m/>
    <n v="35.156331034482761"/>
    <m/>
    <m/>
    <m/>
    <n v="2.3463793103448278"/>
    <m/>
    <m/>
    <m/>
    <m/>
    <m/>
    <m/>
    <m/>
    <m/>
    <n v="2.3463793103448278"/>
    <m/>
    <m/>
    <m/>
  </r>
  <r>
    <x v="12"/>
    <x v="101"/>
    <s v="Fresh or Not Specified"/>
    <s v="skipjack  tuna in Atlantic via purse seiners"/>
    <m/>
    <s v="Atlantic"/>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5.636827586206898"/>
    <s v=""/>
    <n v="2.3784482758620693"/>
    <s v=""/>
    <n v="35.636827586206898"/>
    <m/>
    <m/>
    <m/>
    <m/>
    <m/>
    <m/>
    <m/>
    <m/>
    <n v="35.636827586206898"/>
    <m/>
    <m/>
    <m/>
    <n v="2.3784482758620693"/>
    <m/>
    <m/>
    <m/>
    <m/>
    <m/>
    <m/>
    <m/>
    <m/>
    <n v="2.3784482758620693"/>
    <m/>
    <m/>
    <m/>
  </r>
  <r>
    <x v="12"/>
    <x v="101"/>
    <s v="Fresh or Not Specified"/>
    <s v="yellowfin tuna in Atlantic via purse seiners"/>
    <m/>
    <s v="Atlantic"/>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3.875006896551724"/>
    <s v=""/>
    <n v="2.2608620689655172"/>
    <s v=""/>
    <n v="33.875006896551724"/>
    <m/>
    <m/>
    <m/>
    <m/>
    <m/>
    <m/>
    <m/>
    <m/>
    <n v="33.875006896551724"/>
    <m/>
    <m/>
    <m/>
    <n v="2.2608620689655172"/>
    <m/>
    <m/>
    <m/>
    <m/>
    <m/>
    <m/>
    <m/>
    <m/>
    <n v="2.2608620689655172"/>
    <m/>
    <m/>
    <m/>
  </r>
  <r>
    <x v="12"/>
    <x v="101"/>
    <s v="Fresh or Not Specified"/>
    <s v="albacore tuna in Indian Ocean via purse seiners"/>
    <m/>
    <s v="Indian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4.104910344827587"/>
    <s v=""/>
    <n v="1.6087931034482761"/>
    <s v=""/>
    <n v="24.104910344827587"/>
    <m/>
    <m/>
    <m/>
    <m/>
    <m/>
    <m/>
    <m/>
    <m/>
    <n v="24.104910344827587"/>
    <m/>
    <m/>
    <m/>
    <n v="1.6087931034482761"/>
    <m/>
    <m/>
    <m/>
    <m/>
    <m/>
    <m/>
    <m/>
    <m/>
    <n v="1.6087931034482761"/>
    <m/>
    <m/>
    <m/>
  </r>
  <r>
    <x v="12"/>
    <x v="101"/>
    <s v="Fresh or Not Specified"/>
    <s v="bigeye  tuna in Indian Ocean via purse seiners"/>
    <m/>
    <s v="Indian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7.318565517241389"/>
    <s v=""/>
    <n v="2.4906896551724143"/>
    <s v=""/>
    <n v="37.318565517241389"/>
    <m/>
    <m/>
    <m/>
    <m/>
    <m/>
    <m/>
    <m/>
    <m/>
    <n v="37.318565517241389"/>
    <m/>
    <m/>
    <m/>
    <n v="2.4906896551724143"/>
    <m/>
    <m/>
    <m/>
    <m/>
    <m/>
    <m/>
    <m/>
    <m/>
    <n v="2.4906896551724143"/>
    <m/>
    <m/>
    <m/>
  </r>
  <r>
    <x v="12"/>
    <x v="101"/>
    <s v="Fresh or Not Specified"/>
    <s v="skipjack  tuna in Indian Ocean via purse seiners"/>
    <m/>
    <s v="Indian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6.757986206896561"/>
    <s v=""/>
    <n v="2.4532758620689656"/>
    <s v=""/>
    <n v="36.757986206896561"/>
    <m/>
    <m/>
    <m/>
    <m/>
    <m/>
    <m/>
    <m/>
    <m/>
    <n v="36.757986206896561"/>
    <m/>
    <m/>
    <m/>
    <n v="2.4532758620689656"/>
    <m/>
    <m/>
    <m/>
    <m/>
    <m/>
    <m/>
    <m/>
    <m/>
    <n v="2.4532758620689656"/>
    <m/>
    <m/>
    <m/>
  </r>
  <r>
    <x v="12"/>
    <x v="101"/>
    <s v="Fresh or Not Specified"/>
    <s v="yellowfin tuna in Indian Ocean via purse seiners"/>
    <m/>
    <s v="Indian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5.396579310344826"/>
    <s v=""/>
    <n v="2.3624137931034488"/>
    <s v=""/>
    <n v="35.396579310344826"/>
    <m/>
    <m/>
    <m/>
    <m/>
    <m/>
    <m/>
    <m/>
    <m/>
    <n v="35.396579310344826"/>
    <m/>
    <m/>
    <m/>
    <n v="2.3624137931034488"/>
    <m/>
    <m/>
    <m/>
    <m/>
    <m/>
    <m/>
    <m/>
    <m/>
    <n v="2.3624137931034488"/>
    <m/>
    <m/>
    <m/>
  </r>
  <r>
    <x v="12"/>
    <x v="101"/>
    <s v="Fresh or Not Specified"/>
    <s v="albacore tuna in Pacific Ocean via purse seiners"/>
    <m/>
    <s v="Pacific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5.866731034482761"/>
    <s v=""/>
    <n v="1.7263793103448279"/>
    <s v=""/>
    <n v="25.866731034482761"/>
    <m/>
    <m/>
    <m/>
    <m/>
    <m/>
    <m/>
    <m/>
    <m/>
    <n v="25.866731034482761"/>
    <m/>
    <m/>
    <m/>
    <n v="1.7263793103448279"/>
    <m/>
    <m/>
    <m/>
    <m/>
    <m/>
    <m/>
    <m/>
    <m/>
    <n v="1.7263793103448279"/>
    <m/>
    <m/>
    <m/>
  </r>
  <r>
    <x v="12"/>
    <x v="101"/>
    <s v="Fresh or Not Specified"/>
    <s v="bigeye  tuna in Pacific Ocean via purse seiners"/>
    <m/>
    <s v="Pacific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7.718979310344828"/>
    <s v=""/>
    <n v="2.5174137931034481"/>
    <s v=""/>
    <n v="37.718979310344828"/>
    <m/>
    <m/>
    <m/>
    <m/>
    <m/>
    <m/>
    <m/>
    <m/>
    <n v="37.718979310344828"/>
    <m/>
    <m/>
    <m/>
    <n v="2.5174137931034481"/>
    <m/>
    <m/>
    <m/>
    <m/>
    <m/>
    <m/>
    <m/>
    <m/>
    <n v="2.5174137931034481"/>
    <m/>
    <m/>
    <m/>
  </r>
  <r>
    <x v="12"/>
    <x v="101"/>
    <s v="Fresh or Not Specified"/>
    <s v="skipjack  tuna in Pacific Ocean via purse seiners"/>
    <m/>
    <s v="Pacific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7.948882758620691"/>
    <s v=""/>
    <n v="1.8653448275862068"/>
    <s v=""/>
    <n v="27.948882758620691"/>
    <m/>
    <m/>
    <m/>
    <m/>
    <m/>
    <m/>
    <m/>
    <m/>
    <n v="27.948882758620691"/>
    <m/>
    <m/>
    <m/>
    <n v="1.8653448275862068"/>
    <m/>
    <m/>
    <m/>
    <m/>
    <m/>
    <m/>
    <m/>
    <m/>
    <n v="1.8653448275862068"/>
    <m/>
    <m/>
    <m/>
  </r>
  <r>
    <x v="12"/>
    <x v="101"/>
    <s v="Fresh or Not Specified"/>
    <s v="yellowfin tuna inPacific Ocean via purse seiners"/>
    <m/>
    <s v="Pacific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8.989958620689656"/>
    <s v=""/>
    <n v="1.9348275862068969"/>
    <s v=""/>
    <n v="28.989958620689656"/>
    <m/>
    <m/>
    <m/>
    <m/>
    <m/>
    <m/>
    <m/>
    <m/>
    <n v="28.989958620689656"/>
    <m/>
    <m/>
    <m/>
    <n v="1.9348275862068969"/>
    <m/>
    <m/>
    <m/>
    <m/>
    <m/>
    <m/>
    <m/>
    <m/>
    <n v="1.9348275862068969"/>
    <m/>
    <m/>
    <m/>
  </r>
  <r>
    <x v="12"/>
    <x v="111"/>
    <s v="Fresh or Not Specified"/>
    <s v="mangrove shrimp farms, organic"/>
    <m/>
    <s v="Vietnam"/>
    <n v="2015"/>
    <s v="Jonell, Malin_x000a_Henriksson, Patrik John Gustav"/>
    <m/>
    <s v="Peer Reviewed Journal"/>
    <s v="Jonell, M. and Henriksson, P. J. G., Mangrove–shrimp farms in Vietnam—Comparing organic and conventional systems using life cycle assessment. Aquaculture 2015, 447, 66-75."/>
    <s v="Yes"/>
    <s v="Yes"/>
    <m/>
    <m/>
    <m/>
    <m/>
    <m/>
    <m/>
    <m/>
    <m/>
    <m/>
    <m/>
    <m/>
    <m/>
    <m/>
    <m/>
    <s v="1000 kg live weight shrimp at farm"/>
    <s v="live:boneless ratio 1:0.57"/>
    <s v=""/>
    <s v=""/>
    <n v="34.736842105263165"/>
    <s v=""/>
    <m/>
    <m/>
    <m/>
    <m/>
    <m/>
    <m/>
    <m/>
    <m/>
    <m/>
    <m/>
    <m/>
    <m/>
    <m/>
    <n v="34.736842105263165"/>
    <m/>
    <m/>
    <m/>
    <m/>
    <m/>
    <m/>
    <m/>
    <m/>
    <n v="34.736842105263165"/>
    <m/>
    <m/>
    <m/>
  </r>
  <r>
    <x v="12"/>
    <x v="111"/>
    <s v="Fresh or Not Specified"/>
    <s v="mangrove shrimp farms, non-organic"/>
    <m/>
    <s v="Vietnam"/>
    <n v="2015"/>
    <s v="Jonell, Malin_x000a_Henriksson, Patrik John Gustav"/>
    <m/>
    <s v="Peer Reviewed Journal"/>
    <s v="Jonell, M. and Henriksson, P. J. G., Mangrove–shrimp farms in Vietnam—Comparing organic and conventional systems using life cycle assessment. Aquaculture 2015, 447, 66-75."/>
    <s v="Yes"/>
    <s v="Yes"/>
    <m/>
    <m/>
    <m/>
    <m/>
    <m/>
    <m/>
    <m/>
    <m/>
    <m/>
    <m/>
    <m/>
    <m/>
    <m/>
    <m/>
    <s v="1000 kg live weight shrimp at farm"/>
    <s v="live:boneless ratio 1:0.57"/>
    <s v=""/>
    <s v=""/>
    <n v="54.736842105263165"/>
    <s v=""/>
    <m/>
    <m/>
    <m/>
    <m/>
    <m/>
    <m/>
    <m/>
    <m/>
    <m/>
    <m/>
    <m/>
    <m/>
    <m/>
    <n v="54.736842105263165"/>
    <m/>
    <m/>
    <m/>
    <m/>
    <m/>
    <m/>
    <m/>
    <m/>
    <n v="54.736842105263165"/>
    <m/>
    <m/>
    <m/>
  </r>
  <r>
    <x v="12"/>
    <x v="111"/>
    <s v="Fresh or Not Specified"/>
    <s v="wild-caught banana prawn from Northern Prawn Fishery"/>
    <m/>
    <s v="Australia"/>
    <n v="2015"/>
    <s v="Farmery, A._x000a_Gardner, C._x000a_Green, B. S._x000a_Jennings, S._x000a_Watson, R."/>
    <m/>
    <s v="Peer Reviewed Journal"/>
    <s v="Farmery, A., Gardner, C., Green, B. S., Jennings, S. and Watson, R., Life cycle assessment of wild capture prawns: expanding sustainability considerations in the Australian Northern Prawn Fishery. Journal of Cleaner Production 2015, 87, 96-104."/>
    <s v="Yes"/>
    <m/>
    <s v="Yes"/>
    <s v="Yes"/>
    <m/>
    <s v="Yes"/>
    <s v="No"/>
    <s v="No"/>
    <s v="No"/>
    <s v="No"/>
    <s v="No"/>
    <s v="No"/>
    <s v="no"/>
    <m/>
    <m/>
    <m/>
    <s v="1 kg of frozen prawn at the processor gate"/>
    <s v="paper reports = to 550 g prawn meat;   /.550"/>
    <n v="114.6"/>
    <n v="182.6181818181818"/>
    <n v="7.8"/>
    <n v="12.6"/>
    <n v="114.6"/>
    <m/>
    <n v="68.018181818181802"/>
    <m/>
    <n v="7.1999999999999993"/>
    <m/>
    <m/>
    <m/>
    <m/>
    <n v="114.6"/>
    <n v="189.81818181818178"/>
    <m/>
    <m/>
    <n v="7.8"/>
    <m/>
    <n v="4.8"/>
    <m/>
    <n v="0.49090909090909091"/>
    <m/>
    <m/>
    <m/>
    <m/>
    <n v="7.8"/>
    <n v="13.09090909090909"/>
    <m/>
    <m/>
  </r>
  <r>
    <x v="12"/>
    <x v="111"/>
    <s v="Fresh or Not Specified"/>
    <s v="wild-caught Tiger prawn from Northern Prawn Fishery"/>
    <m/>
    <s v="Australia"/>
    <n v="2015"/>
    <s v="Farmery, A._x000a_Gardner, C._x000a_Green, B. S._x000a_Jennings, S._x000a_Watson, R."/>
    <m/>
    <s v="Peer Reviewed Journal"/>
    <s v="Farmery, A., Gardner, C., Green, B. S., Jennings, S. and Watson, R., Life cycle assessment of wild capture prawns: expanding sustainability considerations in the Australian Northern Prawn Fishery. Journal of Cleaner Production 2015, 87, 96-104."/>
    <s v="Yes"/>
    <m/>
    <s v="Yes"/>
    <s v="Yes"/>
    <m/>
    <s v="Yes"/>
    <s v="No"/>
    <s v="No"/>
    <s v="No"/>
    <s v="No"/>
    <s v="No"/>
    <s v="No"/>
    <s v="no"/>
    <m/>
    <m/>
    <m/>
    <s v="1 kg of frozen prawn at the processor gate"/>
    <s v="paper reports = to 550 g prawn meat;   /.550"/>
    <s v=""/>
    <s v=""/>
    <n v="58.18181818181818"/>
    <s v=""/>
    <m/>
    <m/>
    <m/>
    <m/>
    <m/>
    <m/>
    <m/>
    <m/>
    <m/>
    <m/>
    <m/>
    <m/>
    <m/>
    <n v="58.18181818181818"/>
    <m/>
    <m/>
    <m/>
    <m/>
    <m/>
    <m/>
    <m/>
    <m/>
    <n v="58.18181818181818"/>
    <m/>
    <m/>
    <m/>
  </r>
  <r>
    <x v="1"/>
    <x v="23"/>
    <s v="Fresh or Not Specified"/>
    <m/>
    <m/>
    <s v="Brazil"/>
    <n v="2015"/>
    <s v="Cherubini, Edivan_x000a_Zanghelini, Guilherme Marcelo_x000a_Alvarenga, Rodrigo Augusto Freitas_x000a_Franco, Davide_x000a_Soares, Sebastião Roberto"/>
    <m/>
    <s v="Peer Reviewed Journal"/>
    <s v="Cherubini, E., Zanghelini, G. M., Alvarenga, R. a. F., Franco, D. and Soares, S. R., Life cycle assessment of swine production in Brazil: a comparison of four manure management systems. Journal of Cleaner Production 2015, 87, 68-77."/>
    <s v="Yes"/>
    <s v="Yes"/>
    <s v="Yes"/>
    <s v="Yes"/>
    <s v="No"/>
    <s v="No"/>
    <s v="No"/>
    <s v="No"/>
    <s v="No"/>
    <s v="No"/>
    <s v="No"/>
    <s v="No"/>
    <s v="no"/>
    <m/>
    <m/>
    <m/>
    <s v="1000 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31.918106995884774"/>
    <n v="33.595061728395059"/>
    <n v="4.9883401920438954"/>
    <n v="5.0553635116598077"/>
    <n v="31.918106995884774"/>
    <m/>
    <n v="1.676954732510288"/>
    <m/>
    <m/>
    <m/>
    <m/>
    <n v="-4.0733882030178332"/>
    <m/>
    <n v="31.918106995884774"/>
    <n v="29.521673525377224"/>
    <m/>
    <m/>
    <n v="4.9883401920438954"/>
    <m/>
    <n v="6.7023319615912208E-2"/>
    <m/>
    <m/>
    <m/>
    <m/>
    <n v="-0.2496570644718793"/>
    <m/>
    <n v="4.9883401920438954"/>
    <n v="4.8057064471879283"/>
    <m/>
    <m/>
  </r>
  <r>
    <x v="0"/>
    <x v="0"/>
    <s v="Fresh or Not Specified"/>
    <s v="paper looks at coproduction of milk and energy via AD; only including base case without energy here"/>
    <m/>
    <s v="USA (Wisconcin)"/>
    <n v="2015"/>
    <s v="Aguirre-Villegas, Horacio A_x000a_Passos-Fonseca, Thaís H_x000a_Reinemann, Douglas J_x000a_Armentano, Louis E_x000a_Wattiaux, Michel A_x000a_Cabrera, Victor E_x000a_Norman, John M_x000a_Larson, R"/>
    <m/>
    <s v="Peer Reviewed Journal"/>
    <s v="Aguirre-Villegas, H. A., Passos-Fonseca, T. H., Reinemann, D. J., Armentano, L. E., Wattiaux, M. A., Cabrera, V. E., Norman, J. M. and Larson, R., Green cheese: Partial life cycle assessment of greenhouse gas emissions and energy intensity of integrated dairy production and bioenergy systems. Journal of dairy science 2015, 98 (3), 1571-1592."/>
    <s v="Yes"/>
    <s v="No"/>
    <s v="No"/>
    <s v="No"/>
    <s v="No"/>
    <s v="No"/>
    <s v="No"/>
    <s v="No"/>
    <s v="No"/>
    <s v="No"/>
    <s v="No"/>
    <s v="No"/>
    <s v="no"/>
    <s v="farm gate"/>
    <m/>
    <m/>
    <s v="kg FPCM"/>
    <m/>
    <n v="3.9"/>
    <s v=""/>
    <n v="1.03"/>
    <s v=""/>
    <n v="3.9"/>
    <m/>
    <m/>
    <m/>
    <m/>
    <m/>
    <m/>
    <m/>
    <m/>
    <n v="3.9"/>
    <m/>
    <m/>
    <m/>
    <n v="1.03"/>
    <m/>
    <m/>
    <m/>
    <m/>
    <m/>
    <m/>
    <m/>
    <m/>
    <n v="1.03"/>
    <m/>
    <m/>
    <m/>
  </r>
  <r>
    <x v="5"/>
    <x v="122"/>
    <s v="Dried"/>
    <s v="rain-fed paddy rice"/>
    <s v="Yes"/>
    <s v="Thailand"/>
    <n v="2014"/>
    <s v="Thanawong, Kwansirinapa_x000a_Perret, SR_x000a_Basset-Mens, Claudine"/>
    <m/>
    <s v="Peer Reviewed Journal"/>
    <s v="Thanawong, K., Perret, S. and Basset-Mens, C., Eco-efficiency of paddy rice production in Northeastern Thailand: a comparison of rain-fed and irrigated cropping systems. Journal of Cleaner Production 2014, 73, 204-217."/>
    <s v="Yes"/>
    <s v="No"/>
    <s v="No"/>
    <s v="No"/>
    <s v="No"/>
    <s v="No"/>
    <s v="No"/>
    <s v="No"/>
    <s v="No"/>
    <s v="No"/>
    <s v="No"/>
    <s v="No"/>
    <s v="no"/>
    <s v="farm gate"/>
    <s v="No"/>
    <s v="No"/>
    <s v="kg paddy rice"/>
    <m/>
    <n v="7.25"/>
    <s v=""/>
    <n v="2.97"/>
    <s v=""/>
    <n v="7.25"/>
    <m/>
    <m/>
    <m/>
    <m/>
    <m/>
    <m/>
    <m/>
    <m/>
    <n v="7.25"/>
    <m/>
    <m/>
    <m/>
    <n v="2.97"/>
    <m/>
    <m/>
    <m/>
    <m/>
    <m/>
    <m/>
    <m/>
    <m/>
    <n v="2.97"/>
    <m/>
    <s v="2.84-3.45"/>
    <m/>
  </r>
  <r>
    <x v="5"/>
    <x v="122"/>
    <s v="Dried"/>
    <s v="wet-season irrigated rice"/>
    <s v="Yes"/>
    <s v="Thailand"/>
    <n v="2014"/>
    <s v="Thanawong, Kwansirinapa_x000a_Perret, SR_x000a_Basset-Mens, Claudine"/>
    <m/>
    <s v="Peer Reviewed Journal"/>
    <s v="Thanawong, K., Perret, S. and Basset-Mens, C., Eco-efficiency of paddy rice production in Northeastern Thailand: a comparison of rain-fed and irrigated cropping systems. Journal of Cleaner Production 2014, 73, 204-217."/>
    <s v="Yes"/>
    <s v="No"/>
    <s v="No"/>
    <s v="No"/>
    <s v="No"/>
    <s v="No"/>
    <s v="No"/>
    <s v="No"/>
    <s v="No"/>
    <s v="No"/>
    <s v="No"/>
    <s v="No"/>
    <s v="no"/>
    <s v="farm gate"/>
    <s v="No"/>
    <s v="No"/>
    <s v="kg paddy rice"/>
    <m/>
    <n v="7.44"/>
    <s v=""/>
    <n v="4.87"/>
    <s v=""/>
    <n v="7.44"/>
    <m/>
    <m/>
    <m/>
    <m/>
    <m/>
    <m/>
    <m/>
    <m/>
    <n v="7.44"/>
    <m/>
    <m/>
    <m/>
    <n v="4.87"/>
    <m/>
    <m/>
    <m/>
    <m/>
    <m/>
    <m/>
    <m/>
    <m/>
    <n v="4.87"/>
    <m/>
    <s v="4.51-5.12"/>
    <m/>
  </r>
  <r>
    <x v="5"/>
    <x v="122"/>
    <s v="Dried"/>
    <s v="dry-season irrigated rice"/>
    <s v="Yes"/>
    <s v="Thailand"/>
    <n v="2014"/>
    <s v="Thanawong, Kwansirinapa_x000a_Perret, SR_x000a_Basset-Mens, Claudine"/>
    <m/>
    <s v="Peer Reviewed Journal"/>
    <s v="Thanawong, K., Perret, S. and Basset-Mens, C., Eco-efficiency of paddy rice production in Northeastern Thailand: a comparison of rain-fed and irrigated cropping systems. Journal of Cleaner Production 2014, 73, 204-217."/>
    <s v="Yes"/>
    <s v="No"/>
    <s v="No"/>
    <s v="No"/>
    <s v="No"/>
    <s v="No"/>
    <s v="No"/>
    <s v="No"/>
    <s v="No"/>
    <s v="No"/>
    <s v="No"/>
    <s v="No"/>
    <s v="no"/>
    <s v="farm gate"/>
    <s v="No"/>
    <s v="No"/>
    <s v="kg paddy rice"/>
    <m/>
    <n v="9.5299999999999994"/>
    <s v=""/>
    <n v="5.55"/>
    <s v=""/>
    <n v="9.5299999999999994"/>
    <m/>
    <m/>
    <m/>
    <m/>
    <m/>
    <m/>
    <m/>
    <m/>
    <n v="9.5299999999999994"/>
    <m/>
    <m/>
    <m/>
    <n v="5.55"/>
    <m/>
    <m/>
    <m/>
    <m/>
    <m/>
    <m/>
    <m/>
    <m/>
    <n v="5.55"/>
    <m/>
    <s v="5.06-6.20"/>
    <m/>
  </r>
  <r>
    <x v="1"/>
    <x v="24"/>
    <s v="Fresh or Not Specified"/>
    <s v="standard French production"/>
    <m/>
    <s v="France"/>
    <n v="2014"/>
    <s v="Da Silva, Vamilson Prudêncio_x000a_van der Werf, Hayo MG_x000a_Soares, Sebastião Roberto_x000a_Corson, Michael S"/>
    <m/>
    <s v="Peer Reviewed Journal"/>
    <s v="Da Silva, V. P., Van Der Werf, H. M., Soares, S. R. and Corson, M. S., Environmental impacts of French and Brazilian broiler chicken production scenarios: An LCA approach. Journal of environmental management 2014, 133, 222-231."/>
    <s v="Yes"/>
    <s v="No"/>
    <s v="Yes"/>
    <s v="Yes"/>
    <s v="Yes"/>
    <s v="No"/>
    <s v="No"/>
    <s v="No"/>
    <s v="No"/>
    <s v="No"/>
    <s v="No"/>
    <s v="No"/>
    <m/>
    <s v="cooled &amp; packaged chicken at slaughterhouse gate"/>
    <m/>
    <m/>
    <s v="1 tonne cooled &amp; packaged chicken at slaughterhouse"/>
    <s v="/1000/.77"/>
    <n v="34.753246753246749"/>
    <n v="38.961038961038959"/>
    <n v="4.0348831168831172"/>
    <n v="4.1298701298701301"/>
    <n v="34.753246753246749"/>
    <m/>
    <n v="4.2077922077922079"/>
    <m/>
    <m/>
    <m/>
    <m/>
    <m/>
    <m/>
    <n v="34.753246753246749"/>
    <n v="38.961038961038959"/>
    <m/>
    <m/>
    <n v="4.0348831168831172"/>
    <m/>
    <n v="9.4987012987012995E-2"/>
    <m/>
    <m/>
    <m/>
    <m/>
    <m/>
    <m/>
    <n v="4.0348831168831172"/>
    <m/>
    <m/>
    <m/>
  </r>
  <r>
    <x v="1"/>
    <x v="24"/>
    <s v="Fresh or Not Specified"/>
    <s v="Label Rouge, France (Southwest"/>
    <m/>
    <s v="France"/>
    <n v="2014"/>
    <s v="Da Silva, Vamilson Prudêncio_x000a_van der Werf, Hayo MG_x000a_Soares, Sebastião Roberto_x000a_Corson, Michael S"/>
    <m/>
    <s v="Peer Reviewed Journal"/>
    <s v="Da Silva, V. P., Van Der Werf, H. M., Soares, S. R. and Corson, M. S., Environmental impacts of French and Brazilian broiler chicken production scenarios: An LCA approach. Journal of environmental management 2014, 133, 222-231."/>
    <s v="Yes"/>
    <s v="No"/>
    <s v="Yes"/>
    <s v="Yes"/>
    <s v="Yes"/>
    <s v="No"/>
    <s v="No"/>
    <s v="No"/>
    <s v="No"/>
    <s v="No"/>
    <s v="No"/>
    <s v="No"/>
    <m/>
    <s v="cooled &amp; packaged chicken at slaughterhouse gate"/>
    <m/>
    <m/>
    <s v="1 tonne cooled &amp; packaged chicken at slaughterhouse"/>
    <s v="/1000/.77"/>
    <n v="56.041558441558436"/>
    <n v="60.259740259740255"/>
    <n v="5.1268051948051943"/>
    <n v="5.2207792207792201"/>
    <n v="56.041558441558436"/>
    <m/>
    <n v="4.2181818181818178"/>
    <m/>
    <m/>
    <m/>
    <m/>
    <m/>
    <m/>
    <n v="56.041558441558436"/>
    <n v="60.259740259740255"/>
    <m/>
    <m/>
    <n v="5.1268051948051943"/>
    <m/>
    <n v="9.397402597402596E-2"/>
    <m/>
    <m/>
    <m/>
    <m/>
    <m/>
    <m/>
    <n v="5.1268051948051943"/>
    <m/>
    <m/>
    <m/>
  </r>
  <r>
    <x v="1"/>
    <x v="24"/>
    <s v="Fresh or Not Specified"/>
    <s v="Center-West Brazil"/>
    <m/>
    <s v="Brazil"/>
    <n v="2014"/>
    <s v="Da Silva, Vamilson Prudêncio_x000a_van der Werf, Hayo MG_x000a_Soares, Sebastião Roberto_x000a_Corson, Michael S"/>
    <m/>
    <s v="Peer Reviewed Journal"/>
    <s v="Da Silva, V. P., Van Der Werf, H. M., Soares, S. R. and Corson, M. S., Environmental impacts of French and Brazilian broiler chicken production scenarios: An LCA approach. Journal of environmental management 2014, 133, 222-231."/>
    <s v="Yes"/>
    <s v="Yes"/>
    <s v="Yes"/>
    <s v="Yes"/>
    <s v="Yes"/>
    <s v="No"/>
    <s v="No"/>
    <s v="No"/>
    <s v="No"/>
    <s v="No"/>
    <s v="No"/>
    <s v="No"/>
    <m/>
    <s v="cooled &amp; packaged chicken at slaughterhouse gate"/>
    <m/>
    <m/>
    <s v="1 tonne cooled &amp; packaged chicken at slaughterhouse"/>
    <s v="/1000/.77"/>
    <n v="30.647272727272732"/>
    <n v="39.090909090909093"/>
    <n v="3.5142857142857138"/>
    <n v="3.5714285714285707"/>
    <n v="30.647272727272732"/>
    <m/>
    <n v="8.4436363636363634"/>
    <m/>
    <m/>
    <m/>
    <m/>
    <m/>
    <m/>
    <n v="30.647272727272732"/>
    <n v="39.090909090909093"/>
    <m/>
    <m/>
    <n v="3.5142857142857138"/>
    <m/>
    <n v="5.7142857142857141E-2"/>
    <m/>
    <m/>
    <m/>
    <m/>
    <m/>
    <m/>
    <n v="3.5142857142857138"/>
    <m/>
    <m/>
    <m/>
  </r>
  <r>
    <x v="1"/>
    <x v="24"/>
    <s v="Fresh or Not Specified"/>
    <s v="South Brazil"/>
    <m/>
    <s v="Brazil"/>
    <n v="2014"/>
    <s v="Da Silva, Vamilson Prudêncio_x000a_van der Werf, Hayo MG_x000a_Soares, Sebastião Roberto_x000a_Corson, Michael S"/>
    <m/>
    <s v="Peer Reviewed Journal"/>
    <s v="Da Silva, V. P., Van Der Werf, H. M., Soares, S. R. and Corson, M. S., Environmental impacts of French and Brazilian broiler chicken production scenarios: An LCA approach. Journal of environmental management 2014, 133, 222-231."/>
    <s v="Yes"/>
    <s v="No"/>
    <s v="Yes"/>
    <s v="Yes"/>
    <s v="Yes"/>
    <s v="No"/>
    <s v="No"/>
    <s v="No"/>
    <s v="No"/>
    <s v="No"/>
    <s v="No"/>
    <s v="No"/>
    <m/>
    <s v="cooled &amp; packaged chicken at slaughterhouse gate"/>
    <m/>
    <m/>
    <s v="1 tonne cooled &amp; packaged chicken at slaughterhouse"/>
    <s v="/1000/.77"/>
    <n v="32.68805194805195"/>
    <n v="41.168831168831169"/>
    <n v="2.4742207792207789"/>
    <n v="2.5324675324675323"/>
    <n v="32.68805194805195"/>
    <m/>
    <n v="8.4807792207792208"/>
    <m/>
    <m/>
    <m/>
    <m/>
    <m/>
    <m/>
    <n v="32.68805194805195"/>
    <n v="41.168831168831169"/>
    <m/>
    <m/>
    <n v="2.4742207792207789"/>
    <m/>
    <n v="5.8246753246753241E-2"/>
    <m/>
    <m/>
    <m/>
    <m/>
    <m/>
    <m/>
    <n v="2.4742207792207789"/>
    <m/>
    <m/>
    <m/>
  </r>
  <r>
    <x v="5"/>
    <x v="234"/>
    <s v="Dried"/>
    <s v="bulk quinoa from AlterEco 2012 emissions report"/>
    <m/>
    <s v="Bolivia"/>
    <n v="2012"/>
    <s v="ALTER ECO"/>
    <m/>
    <s v="Industry Based Report"/>
    <s v="Alter Eco. 2012 Emissions Report &amp; Impact Assessment; 2012."/>
    <m/>
    <m/>
    <m/>
    <m/>
    <m/>
    <m/>
    <m/>
    <m/>
    <m/>
    <m/>
    <m/>
    <m/>
    <m/>
    <s v="does not provide details on methods"/>
    <m/>
    <m/>
    <s v="kg bulk quinoa"/>
    <m/>
    <s v=""/>
    <s v=""/>
    <n v="0.91971728887277993"/>
    <n v="1.134650235592606"/>
    <m/>
    <m/>
    <m/>
    <m/>
    <m/>
    <m/>
    <m/>
    <m/>
    <m/>
    <m/>
    <m/>
    <m/>
    <m/>
    <n v="0.91971728887277993"/>
    <n v="0.21493294671982602"/>
    <m/>
    <n v="3.0808263863718738E-2"/>
    <n v="4.603117071402682E-2"/>
    <m/>
    <n v="6.6147154766219643E-2"/>
    <m/>
    <m/>
    <n v="0.91971728887277993"/>
    <n v="1.2776368249365713"/>
    <m/>
    <m/>
  </r>
  <r>
    <x v="0"/>
    <x v="26"/>
    <s v="Fresh or Not Specified"/>
    <s v="average of 6 Italian buffalo farms"/>
    <m/>
    <s v="Italy"/>
    <n v="2014"/>
    <s v="Prilo"/>
    <s v="Pirlo, G_x000a_Terzano, G_x000a_Pacelli, C_x000a_Abeni, F_x000a_Care, S"/>
    <s v="Peer Reviewed Journal"/>
    <s v="Pirlo, G., Terzano, G., Pacelli, C., Abeni, F. and Care, S., Carbon footprint of milk produced at Italian buffalo farms. Livestock Science 2014, 161, 176-184."/>
    <s v="Yes"/>
    <s v="No"/>
    <s v="No"/>
    <s v="No"/>
    <s v="No"/>
    <s v="No"/>
    <s v="No"/>
    <s v="No"/>
    <s v="No"/>
    <s v="No"/>
    <s v="No"/>
    <s v="No"/>
    <s v="no"/>
    <m/>
    <m/>
    <m/>
    <s v="kg FPCM"/>
    <m/>
    <s v=""/>
    <s v=""/>
    <n v="3.75"/>
    <s v=""/>
    <m/>
    <m/>
    <m/>
    <m/>
    <m/>
    <m/>
    <m/>
    <m/>
    <m/>
    <m/>
    <m/>
    <m/>
    <m/>
    <n v="3.75"/>
    <m/>
    <m/>
    <m/>
    <m/>
    <m/>
    <m/>
    <m/>
    <m/>
    <n v="3.75"/>
    <m/>
    <m/>
    <m/>
  </r>
  <r>
    <x v="0"/>
    <x v="0"/>
    <s v="Fresh or Not Specified"/>
    <s v="Irish pasture based dairy"/>
    <m/>
    <s v="Ireland"/>
    <n v="2014"/>
    <s v="O’Brien, D_x000a_Capper, JL_x000a_Garnsworthy, PC_x000a_Grainger, C_x000a_Shalloo, L"/>
    <m/>
    <s v="Peer Reviewed Journal"/>
    <s v="O’brien, D., Capper, J., Garnsworthy, P., Grainger, C. and Shalloo, L., A case study of the carbon footprint of milk from high-performing confinement and grass-based dairy farms. Journal of dairy science 2014, 97 (3), 1835-1851."/>
    <s v="Yes"/>
    <s v="No"/>
    <s v="No"/>
    <s v="No"/>
    <s v="No"/>
    <s v="No"/>
    <s v="No"/>
    <s v="No"/>
    <s v="No"/>
    <s v="No"/>
    <s v="No"/>
    <s v="No"/>
    <s v="no"/>
    <s v="using values that exclude on-farm carbon sequestration"/>
    <m/>
    <m/>
    <s v="kg ECM"/>
    <m/>
    <s v=""/>
    <s v=""/>
    <n v="0.91400000000000003"/>
    <s v=""/>
    <m/>
    <m/>
    <m/>
    <m/>
    <m/>
    <m/>
    <m/>
    <m/>
    <m/>
    <m/>
    <m/>
    <m/>
    <m/>
    <n v="0.91400000000000003"/>
    <m/>
    <m/>
    <m/>
    <m/>
    <m/>
    <m/>
    <m/>
    <m/>
    <n v="0.91400000000000003"/>
    <m/>
    <m/>
    <m/>
  </r>
  <r>
    <x v="0"/>
    <x v="0"/>
    <s v="Fresh or Not Specified"/>
    <s v="UK confinement dairy"/>
    <m/>
    <s v="UK"/>
    <n v="2014"/>
    <s v="O’Brien, D_x000a_Capper, JL_x000a_Garnsworthy, PC_x000a_Grainger, C_x000a_Shalloo, L"/>
    <m/>
    <s v="Peer Reviewed Journal"/>
    <s v="O’brien, D., Capper, J., Garnsworthy, P., Grainger, C. and Shalloo, L., A case study of the carbon footprint of milk from high-performing confinement and grass-based dairy farms. Journal of dairy science 2014, 97 (3), 1835-1851."/>
    <s v="Yes"/>
    <s v="No"/>
    <s v="No"/>
    <s v="No"/>
    <s v="No"/>
    <s v="No"/>
    <s v="No"/>
    <s v="No"/>
    <s v="No"/>
    <s v="No"/>
    <s v="No"/>
    <s v="No"/>
    <s v="no"/>
    <s v="using values that exclude on-farm carbon sequestration"/>
    <m/>
    <m/>
    <m/>
    <m/>
    <s v=""/>
    <s v=""/>
    <n v="0.89500000000000002"/>
    <s v=""/>
    <m/>
    <m/>
    <m/>
    <m/>
    <m/>
    <m/>
    <m/>
    <m/>
    <m/>
    <m/>
    <m/>
    <m/>
    <m/>
    <n v="0.89500000000000002"/>
    <m/>
    <m/>
    <m/>
    <m/>
    <m/>
    <m/>
    <m/>
    <m/>
    <n v="0.89500000000000002"/>
    <m/>
    <m/>
    <m/>
  </r>
  <r>
    <x v="0"/>
    <x v="0"/>
    <s v="Fresh or Not Specified"/>
    <s v="US confinement dairy"/>
    <m/>
    <s v="USA"/>
    <n v="2014"/>
    <s v="O’Brien, D_x000a_Capper, JL_x000a_Garnsworthy, PC_x000a_Grainger, C_x000a_Shalloo, L"/>
    <m/>
    <s v="Peer Reviewed Journal"/>
    <s v="O’brien, D., Capper, J., Garnsworthy, P., Grainger, C. and Shalloo, L., A case study of the carbon footprint of milk from high-performing confinement and grass-based dairy farms. Journal of dairy science 2014, 97 (3), 1835-1851."/>
    <s v="Yes"/>
    <s v="No"/>
    <s v="No"/>
    <s v="No"/>
    <s v="No"/>
    <s v="No"/>
    <s v="No"/>
    <s v="No"/>
    <s v="No"/>
    <s v="No"/>
    <s v="No"/>
    <s v="No"/>
    <s v="no"/>
    <s v="using values that exclude on-farm carbon sequestration"/>
    <m/>
    <m/>
    <m/>
    <m/>
    <s v=""/>
    <s v=""/>
    <n v="0.89800000000000002"/>
    <s v=""/>
    <m/>
    <m/>
    <m/>
    <m/>
    <m/>
    <m/>
    <m/>
    <m/>
    <m/>
    <m/>
    <m/>
    <m/>
    <m/>
    <n v="0.89800000000000002"/>
    <m/>
    <m/>
    <m/>
    <m/>
    <m/>
    <m/>
    <m/>
    <m/>
    <n v="0.89800000000000002"/>
    <m/>
    <m/>
    <m/>
  </r>
  <r>
    <x v="4"/>
    <x v="20"/>
    <s v="Fresh or Not Specified"/>
    <s v="premium quality export bananas, 2009 season"/>
    <m/>
    <s v="Ecuador"/>
    <n v="2014"/>
    <s v="Iriarte, Alfredo_x000a_Almeida, Maria Gabriela_x000a_Villalobos, Pablo"/>
    <m/>
    <s v="Peer Reviewed Journal"/>
    <s v="Iriarte, A., Almeida, M. G. and Villalobos, P., Carbon footprint of premium quality export bananas: Case study in Ecuador, the world's largest exporter. Science of The Total Environment 2014, 472, 1082-1088."/>
    <s v="Yes"/>
    <m/>
    <s v="Yes"/>
    <s v="Yes"/>
    <s v="Yes"/>
    <s v="Yes"/>
    <s v="No"/>
    <s v="No"/>
    <s v="No"/>
    <s v="No"/>
    <s v="No"/>
    <s v="No"/>
    <m/>
    <s v="cradle to delivery at port in Hamburg"/>
    <m/>
    <m/>
    <s v="kg export quality premium banana"/>
    <m/>
    <s v=""/>
    <s v=""/>
    <n v="0.21"/>
    <n v="0.219"/>
    <m/>
    <m/>
    <m/>
    <m/>
    <m/>
    <m/>
    <m/>
    <m/>
    <m/>
    <m/>
    <m/>
    <m/>
    <m/>
    <n v="0.21"/>
    <n v="8.0000000000000002E-3"/>
    <n v="1E-3"/>
    <n v="0.08"/>
    <n v="0.12"/>
    <m/>
    <m/>
    <m/>
    <m/>
    <n v="0.21"/>
    <n v="0.41899999999999998"/>
    <m/>
    <s v="distribution represents best case scenario: worst case scenario is 0.71"/>
  </r>
  <r>
    <x v="4"/>
    <x v="20"/>
    <s v="Fresh or Not Specified"/>
    <s v="premium quality export bananas, 2010 season"/>
    <m/>
    <s v="Ecuador"/>
    <n v="2014"/>
    <s v="Iriarte, Alfredo_x000a_Almeida, Maria Gabriela_x000a_Villalobos, Pablo"/>
    <m/>
    <s v="Peer Reviewed Journal"/>
    <s v="Iriarte, A., Almeida, M. G. and Villalobos, P., Carbon footprint of premium quality export bananas: Case study in Ecuador, the world's largest exporter. Science of The Total Environment 2014, 472, 1082-1088."/>
    <s v="Yes"/>
    <m/>
    <s v="Yes"/>
    <s v="Yes"/>
    <s v="Yes"/>
    <s v="Yes"/>
    <s v="No"/>
    <s v="No"/>
    <s v="No"/>
    <s v="No"/>
    <s v="No"/>
    <s v="No"/>
    <m/>
    <s v="cradle to delivery at port in Hamburg"/>
    <m/>
    <m/>
    <s v="kg export quality premium banana"/>
    <m/>
    <s v=""/>
    <s v=""/>
    <n v="0.24"/>
    <n v="0.249"/>
    <m/>
    <m/>
    <m/>
    <m/>
    <m/>
    <m/>
    <m/>
    <m/>
    <m/>
    <m/>
    <m/>
    <m/>
    <m/>
    <n v="0.24"/>
    <n v="8.0000000000000002E-3"/>
    <n v="1E-3"/>
    <n v="0.09"/>
    <n v="0.12"/>
    <m/>
    <m/>
    <m/>
    <m/>
    <n v="0.24"/>
    <n v="0.45899999999999996"/>
    <m/>
    <s v="distribution represents best case scenario: worst case scenario is 0.70"/>
  </r>
  <r>
    <x v="4"/>
    <x v="20"/>
    <s v="Fresh or Not Specified"/>
    <s v="premium quality export bananas, 2011 season"/>
    <m/>
    <s v="Ecuador"/>
    <n v="2014"/>
    <s v="Iriarte, Alfredo_x000a_Almeida, Maria Gabriela_x000a_Villalobos, Pablo"/>
    <m/>
    <s v="Peer Reviewed Journal"/>
    <s v="Iriarte, A., Almeida, M. G. and Villalobos, P., Carbon footprint of premium quality export bananas: Case study in Ecuador, the world's largest exporter. Science of The Total Environment 2014, 472, 1082-1088."/>
    <s v="Yes"/>
    <m/>
    <s v="Yes"/>
    <s v="Yes"/>
    <s v="Yes"/>
    <s v="Yes"/>
    <s v="No"/>
    <s v="No"/>
    <s v="No"/>
    <s v="No"/>
    <s v="No"/>
    <s v="No"/>
    <m/>
    <s v="cradle to delivery at port in Hamburg"/>
    <m/>
    <m/>
    <s v="kg export quality premium banana"/>
    <m/>
    <s v=""/>
    <s v=""/>
    <n v="0.26"/>
    <n v="0.27300000000000002"/>
    <m/>
    <m/>
    <m/>
    <m/>
    <m/>
    <m/>
    <m/>
    <m/>
    <m/>
    <m/>
    <m/>
    <m/>
    <m/>
    <n v="0.26"/>
    <n v="8.0000000000000002E-3"/>
    <n v="5.0000000000000001E-3"/>
    <n v="0.09"/>
    <n v="0.12"/>
    <m/>
    <m/>
    <m/>
    <m/>
    <n v="0.26"/>
    <n v="0.48299999999999998"/>
    <m/>
    <s v="distribution represents best case scenario: worst case scenario is 0.70"/>
  </r>
  <r>
    <x v="1"/>
    <x v="3"/>
    <s v="Fresh or Not Specified"/>
    <s v="culled cows from milk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0"/>
    <s v=""/>
    <m/>
    <m/>
    <m/>
    <m/>
    <m/>
    <m/>
    <m/>
    <m/>
    <m/>
    <m/>
    <m/>
    <m/>
    <m/>
    <n v="20"/>
    <m/>
    <m/>
    <m/>
    <m/>
    <m/>
    <m/>
    <m/>
    <m/>
    <n v="20"/>
    <m/>
    <m/>
    <m/>
  </r>
  <r>
    <x v="1"/>
    <x v="3"/>
    <s v="Fresh or Not Specified"/>
    <s v="bulls from milk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2"/>
    <s v=""/>
    <m/>
    <m/>
    <m/>
    <m/>
    <m/>
    <m/>
    <m/>
    <m/>
    <m/>
    <m/>
    <m/>
    <m/>
    <m/>
    <n v="22"/>
    <m/>
    <m/>
    <m/>
    <m/>
    <m/>
    <m/>
    <m/>
    <m/>
    <n v="22"/>
    <m/>
    <m/>
    <m/>
  </r>
  <r>
    <x v="1"/>
    <x v="3"/>
    <s v="Fresh or Not Specified"/>
    <s v="steers from milk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8"/>
    <s v=""/>
    <m/>
    <m/>
    <m/>
    <m/>
    <m/>
    <m/>
    <m/>
    <m/>
    <m/>
    <m/>
    <m/>
    <m/>
    <m/>
    <n v="28"/>
    <m/>
    <m/>
    <m/>
    <m/>
    <m/>
    <m/>
    <m/>
    <m/>
    <n v="28"/>
    <m/>
    <m/>
    <m/>
  </r>
  <r>
    <x v="1"/>
    <x v="3"/>
    <s v="Fresh or Not Specified"/>
    <s v="heifers from milk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31"/>
    <s v=""/>
    <m/>
    <m/>
    <m/>
    <m/>
    <m/>
    <m/>
    <m/>
    <m/>
    <m/>
    <m/>
    <m/>
    <m/>
    <m/>
    <n v="31"/>
    <m/>
    <m/>
    <m/>
    <m/>
    <m/>
    <m/>
    <m/>
    <m/>
    <n v="31"/>
    <m/>
    <m/>
    <m/>
  </r>
  <r>
    <x v="1"/>
    <x v="3"/>
    <s v="Fresh or Not Specified"/>
    <s v="suckler production (cows and off-spring)"/>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31"/>
    <s v=""/>
    <m/>
    <m/>
    <m/>
    <m/>
    <m/>
    <m/>
    <m/>
    <m/>
    <m/>
    <m/>
    <m/>
    <m/>
    <m/>
    <n v="31"/>
    <m/>
    <m/>
    <m/>
    <m/>
    <m/>
    <m/>
    <m/>
    <m/>
    <n v="31"/>
    <m/>
    <m/>
    <m/>
  </r>
  <r>
    <x v="1"/>
    <x v="3"/>
    <s v="Fresh or Not Specified"/>
    <s v="suckler production (cows and off-spring)"/>
    <m/>
    <s v="Ireland"/>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31"/>
    <s v=""/>
    <m/>
    <m/>
    <m/>
    <m/>
    <m/>
    <m/>
    <m/>
    <m/>
    <m/>
    <m/>
    <m/>
    <m/>
    <m/>
    <n v="31"/>
    <m/>
    <m/>
    <m/>
    <m/>
    <m/>
    <m/>
    <m/>
    <m/>
    <n v="31"/>
    <m/>
    <m/>
    <m/>
  </r>
  <r>
    <x v="1"/>
    <x v="3"/>
    <s v="Fresh or Not Specified"/>
    <s v="bulls from milk production"/>
    <m/>
    <s v="Germany, Poland and Denmark"/>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1"/>
    <s v=""/>
    <m/>
    <m/>
    <m/>
    <m/>
    <m/>
    <m/>
    <m/>
    <m/>
    <m/>
    <m/>
    <m/>
    <m/>
    <m/>
    <n v="21"/>
    <m/>
    <m/>
    <m/>
    <m/>
    <m/>
    <m/>
    <m/>
    <m/>
    <n v="21"/>
    <m/>
    <m/>
    <m/>
  </r>
  <r>
    <x v="1"/>
    <x v="3"/>
    <s v="Fresh or Not Specified"/>
    <s v="suckler production (cows and off-spring)"/>
    <m/>
    <s v="Uruguay"/>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31"/>
    <s v=""/>
    <m/>
    <m/>
    <m/>
    <m/>
    <m/>
    <m/>
    <m/>
    <m/>
    <m/>
    <m/>
    <m/>
    <m/>
    <m/>
    <n v="31"/>
    <m/>
    <m/>
    <m/>
    <m/>
    <m/>
    <m/>
    <m/>
    <m/>
    <n v="31"/>
    <m/>
    <m/>
    <m/>
  </r>
  <r>
    <x v="1"/>
    <x v="3"/>
    <s v="Fresh or Not Specified"/>
    <s v="Extensive suckler production"/>
    <m/>
    <s v="Brazil"/>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41"/>
    <s v=""/>
    <m/>
    <m/>
    <m/>
    <m/>
    <m/>
    <m/>
    <m/>
    <m/>
    <m/>
    <m/>
    <m/>
    <m/>
    <m/>
    <n v="41"/>
    <m/>
    <m/>
    <m/>
    <m/>
    <m/>
    <m/>
    <m/>
    <m/>
    <n v="41"/>
    <m/>
    <m/>
    <m/>
  </r>
  <r>
    <x v="1"/>
    <x v="3"/>
    <s v="Fresh or Not Specified"/>
    <s v="calves from milk production, extensive"/>
    <m/>
    <s v="other imported"/>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5"/>
    <s v=""/>
    <m/>
    <m/>
    <m/>
    <m/>
    <m/>
    <m/>
    <m/>
    <m/>
    <m/>
    <m/>
    <m/>
    <m/>
    <m/>
    <n v="25"/>
    <m/>
    <m/>
    <m/>
    <m/>
    <m/>
    <m/>
    <m/>
    <m/>
    <n v="25"/>
    <m/>
    <m/>
    <m/>
  </r>
  <r>
    <x v="1"/>
    <x v="23"/>
    <s v="Fresh or Not Specified"/>
    <s v="intensive indoor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5.5"/>
    <s v=""/>
    <m/>
    <m/>
    <m/>
    <m/>
    <m/>
    <m/>
    <m/>
    <m/>
    <m/>
    <m/>
    <m/>
    <m/>
    <m/>
    <n v="5.5"/>
    <m/>
    <m/>
    <m/>
    <m/>
    <m/>
    <m/>
    <m/>
    <m/>
    <n v="5.5"/>
    <m/>
    <m/>
    <m/>
  </r>
  <r>
    <x v="1"/>
    <x v="23"/>
    <s v="Fresh or Not Specified"/>
    <s v="intensive indoor production"/>
    <m/>
    <s v="Imported"/>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5.5"/>
    <s v=""/>
    <m/>
    <m/>
    <m/>
    <m/>
    <m/>
    <m/>
    <m/>
    <m/>
    <m/>
    <m/>
    <m/>
    <m/>
    <m/>
    <n v="5.5"/>
    <m/>
    <m/>
    <m/>
    <m/>
    <m/>
    <m/>
    <m/>
    <m/>
    <n v="5.5"/>
    <m/>
    <m/>
    <m/>
  </r>
  <r>
    <x v="1"/>
    <x v="24"/>
    <s v="Fresh or Not Specified"/>
    <s v="intensive indoor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6"/>
    <s v=""/>
    <m/>
    <m/>
    <m/>
    <m/>
    <m/>
    <m/>
    <m/>
    <m/>
    <m/>
    <m/>
    <m/>
    <m/>
    <m/>
    <n v="2.6"/>
    <m/>
    <m/>
    <m/>
    <m/>
    <m/>
    <m/>
    <m/>
    <m/>
    <n v="2.6"/>
    <m/>
    <m/>
    <m/>
  </r>
  <r>
    <x v="1"/>
    <x v="24"/>
    <s v="Fresh or Not Specified"/>
    <s v="intensive indoor production"/>
    <m/>
    <s v="Imported"/>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6"/>
    <s v=""/>
    <m/>
    <m/>
    <m/>
    <m/>
    <m/>
    <m/>
    <m/>
    <m/>
    <m/>
    <m/>
    <m/>
    <m/>
    <m/>
    <n v="2.6"/>
    <m/>
    <m/>
    <m/>
    <m/>
    <m/>
    <m/>
    <m/>
    <m/>
    <n v="2.6"/>
    <m/>
    <m/>
    <m/>
  </r>
  <r>
    <x v="1"/>
    <x v="24"/>
    <s v="Fresh or Not Specified"/>
    <m/>
    <m/>
    <s v="Portugal"/>
    <n v="2014"/>
    <s v="González-García, Sara_x000a_Gomez-Fernández, Zaira_x000a_Dias, Ana Cláudia_x000a_Feijoo, Gumersindo_x000a_Moreira, Mª Teresa_x000a_Arroja, Luis"/>
    <m/>
    <s v="Peer Reviewed Journal"/>
    <s v="González-García, S., Gomez-Fernández, Z., Dias, A. C., Feijoo, G., Moreira, M. T. and Arroja, L., Life Cycle Assessment of broiler chicken production: a Portuguese case study. Journal of Cleaner Production 2014, 74, 125-134."/>
    <s v="Yes"/>
    <s v="No"/>
    <s v="Yes"/>
    <s v="Yes"/>
    <s v="Yes"/>
    <s v="No"/>
    <s v="No"/>
    <s v="No"/>
    <s v="No"/>
    <s v="No"/>
    <s v="No"/>
    <s v="No"/>
    <m/>
    <s v="cradle to processor gate"/>
    <m/>
    <m/>
    <s v="1.2 kg broilder chicken meat ready to be distributed"/>
    <s v="/1.2"/>
    <n v="15.500000000000002"/>
    <n v="17.333333333333336"/>
    <n v="2.2500000000000004"/>
    <n v="2.3775000000000004"/>
    <n v="15.500000000000002"/>
    <m/>
    <n v="1.8333333333333335"/>
    <n v="1.1666666666666667"/>
    <m/>
    <m/>
    <m/>
    <m/>
    <m/>
    <n v="15.500000000000002"/>
    <n v="18.500000000000004"/>
    <m/>
    <m/>
    <n v="2.2500000000000004"/>
    <m/>
    <n v="0.12750000000000003"/>
    <n v="3.9166666666666669E-2"/>
    <m/>
    <m/>
    <m/>
    <m/>
    <m/>
    <n v="2.2500000000000004"/>
    <n v="2.416666666666667"/>
    <m/>
    <m/>
  </r>
  <r>
    <x v="0"/>
    <x v="0"/>
    <s v="Fresh or Not Specified"/>
    <m/>
    <m/>
    <s v="Australia"/>
    <n v="2014"/>
    <s v="Gollnow, Sebastian_x000a_Lundie, Sven_x000a_Moore, Andrew D._x000a_McLaren, Jake_x000a_van Buuren, Neil_x000a_Stahle, Peter_x000a_Christie, Karen_x000a_Thylmann, Daniel_x000a_Rehl, Torsten"/>
    <m/>
    <s v="Peer Reviewed Journal"/>
    <s v="Gollnow, S., Lundie, S., Moore, A. D., Mclaren, J., Van Buuren, N., Stahle, P., Christie, K., Thylmann, D. and Rehl, T., Carbon footprint of milk production from dairy cows in Australia. International Dairy Journal 2014, 37 (1), 31-38."/>
    <s v="Yes"/>
    <s v="Yes"/>
    <s v="No"/>
    <s v="No"/>
    <s v="No"/>
    <s v="No"/>
    <s v="No"/>
    <s v="No"/>
    <s v="No"/>
    <s v="No"/>
    <s v="No"/>
    <s v="No"/>
    <m/>
    <s v="cradle to farm gate"/>
    <m/>
    <m/>
    <s v="1 kg FPCM"/>
    <m/>
    <s v=""/>
    <s v=""/>
    <n v="1.1100000000000001"/>
    <s v=""/>
    <m/>
    <m/>
    <m/>
    <m/>
    <m/>
    <m/>
    <m/>
    <m/>
    <m/>
    <m/>
    <m/>
    <m/>
    <m/>
    <n v="1.1100000000000001"/>
    <m/>
    <m/>
    <m/>
    <m/>
    <m/>
    <m/>
    <m/>
    <m/>
    <n v="1.1100000000000001"/>
    <m/>
    <m/>
    <m/>
  </r>
  <r>
    <x v="1"/>
    <x v="1"/>
    <s v="Fresh or Not Specified"/>
    <s v="East Canada"/>
    <m/>
    <s v="Canada"/>
    <n v="2014"/>
    <s v="Dyer, James A_x000a_Vergé, Xavier PC_x000a_Desjardins, Raymond L_x000a_Worth, Devon E"/>
    <m/>
    <s v="Peer Reviewed Journal"/>
    <s v="Dyer, J. A., Vergé, X. P., Desjardins, R. L. and Worth, D. E., A comparison of the greenhouse gas emissions from the sheep industry with beef production in Canada. Sustainable Agriculture Research 2014, 3 (3), 65-75."/>
    <s v="Yes"/>
    <s v="No"/>
    <s v="No"/>
    <s v="No"/>
    <s v="No"/>
    <s v="No"/>
    <s v="No"/>
    <s v="No"/>
    <s v="No"/>
    <s v="No"/>
    <s v="No"/>
    <s v="No"/>
    <m/>
    <m/>
    <m/>
    <m/>
    <s v="per kg LW"/>
    <s v="dressing yield=50.8%, 65.8% boneless meat"/>
    <s v=""/>
    <s v=""/>
    <n v="42.481391953665359"/>
    <s v=""/>
    <m/>
    <m/>
    <m/>
    <m/>
    <m/>
    <m/>
    <m/>
    <m/>
    <m/>
    <m/>
    <m/>
    <m/>
    <m/>
    <n v="42.481391953665359"/>
    <m/>
    <m/>
    <m/>
    <m/>
    <m/>
    <m/>
    <m/>
    <m/>
    <n v="42.481391953665359"/>
    <m/>
    <m/>
    <m/>
  </r>
  <r>
    <x v="1"/>
    <x v="1"/>
    <s v="Fresh or Not Specified"/>
    <s v="West Canada"/>
    <m/>
    <s v="Canada"/>
    <n v="2014"/>
    <s v="Dyer, James A_x000a_Vergé, Xavier PC_x000a_Desjardins, Raymond L_x000a_Worth, Devon E"/>
    <m/>
    <s v="Peer Reviewed Journal"/>
    <s v="Dyer, J. A., Vergé, X. P., Desjardins, R. L. and Worth, D. E., A comparison of the greenhouse gas emissions from the sheep industry with beef production in Canada. Sustainable Agriculture Research 2014, 3 (3), 65-75."/>
    <s v="Yes"/>
    <s v="No"/>
    <s v="No"/>
    <s v="No"/>
    <s v="No"/>
    <s v="No"/>
    <s v="No"/>
    <s v="No"/>
    <s v="No"/>
    <s v="No"/>
    <s v="No"/>
    <s v="No"/>
    <m/>
    <m/>
    <m/>
    <m/>
    <s v="per kg LW"/>
    <s v="dressing yield=50.8%, 65.8% boneless meat"/>
    <s v=""/>
    <s v=""/>
    <n v="39.489744632984703"/>
    <s v=""/>
    <m/>
    <m/>
    <m/>
    <m/>
    <m/>
    <m/>
    <m/>
    <m/>
    <m/>
    <m/>
    <m/>
    <m/>
    <m/>
    <n v="39.489744632984703"/>
    <m/>
    <m/>
    <m/>
    <m/>
    <m/>
    <m/>
    <m/>
    <m/>
    <n v="39.489744632984703"/>
    <m/>
    <m/>
    <m/>
  </r>
  <r>
    <x v="1"/>
    <x v="3"/>
    <s v="Fresh or Not Specified"/>
    <s v="East Canada"/>
    <m/>
    <s v="Canada"/>
    <n v="2014"/>
    <s v="Dyer, James A_x000a_Vergé, Xavier PC_x000a_Desjardins, Raymond L_x000a_Worth, Devon E"/>
    <m/>
    <s v="Peer Reviewed Journal"/>
    <s v="Dyer, J. A., Vergé, X. P., Desjardins, R. L. and Worth, D. E., A comparison of the greenhouse gas emissions from the sheep industry with beef production in Canada. Sustainable Agriculture Research 2014, 3 (3), 65-75."/>
    <s v="Yes"/>
    <s v="No"/>
    <s v="No"/>
    <s v="No"/>
    <s v="No"/>
    <s v="No"/>
    <s v="No"/>
    <s v="No"/>
    <s v="No"/>
    <s v="No"/>
    <s v="No"/>
    <s v="No"/>
    <m/>
    <m/>
    <m/>
    <m/>
    <s v="per kg LW"/>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5.115332699098957"/>
    <s v=""/>
    <m/>
    <m/>
    <m/>
    <m/>
    <m/>
    <m/>
    <m/>
    <m/>
    <m/>
    <m/>
    <m/>
    <m/>
    <m/>
    <n v="35.115332699098957"/>
    <m/>
    <m/>
    <m/>
    <m/>
    <m/>
    <m/>
    <m/>
    <m/>
    <n v="35.115332699098957"/>
    <m/>
    <m/>
    <m/>
  </r>
  <r>
    <x v="1"/>
    <x v="3"/>
    <s v="Fresh or Not Specified"/>
    <s v="West Canada"/>
    <m/>
    <s v="Canada"/>
    <n v="2014"/>
    <s v="Dyer, James A_x000a_Vergé, Xavier PC_x000a_Desjardins, Raymond L_x000a_Worth, Devon E"/>
    <m/>
    <s v="Peer Reviewed Journal"/>
    <s v="Dyer, J. A., Vergé, X. P., Desjardins, R. L. and Worth, D. E., A comparison of the greenhouse gas emissions from the sheep industry with beef production in Canada. Sustainable Agriculture Research 2014, 3 (3), 65-75."/>
    <s v="Yes"/>
    <s v="No"/>
    <s v="No"/>
    <s v="No"/>
    <s v="No"/>
    <s v="No"/>
    <s v="No"/>
    <s v="No"/>
    <s v="No"/>
    <s v="No"/>
    <s v="No"/>
    <s v="No"/>
    <m/>
    <m/>
    <m/>
    <m/>
    <s v="per kg LW"/>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5.90067092699497"/>
    <s v=""/>
    <m/>
    <m/>
    <m/>
    <m/>
    <m/>
    <m/>
    <m/>
    <m/>
    <m/>
    <m/>
    <m/>
    <m/>
    <m/>
    <n v="25.90067092699497"/>
    <m/>
    <m/>
    <m/>
    <m/>
    <m/>
    <m/>
    <m/>
    <m/>
    <n v="25.90067092699497"/>
    <m/>
    <m/>
    <m/>
  </r>
  <r>
    <x v="12"/>
    <x v="235"/>
    <s v="Frozen"/>
    <s v="based on Patagonian grenadier fishery"/>
    <m/>
    <s v="Spain"/>
    <n v="2013"/>
    <s v="Vázquez-Rowe, Ian_x000a_Villanueva-Rey, Pedro_x000a_Mallo, Juan_x000a_De la Cerda, Juan José_x000a_Moreira, Ma Teresa_x000a_Feijoo, Gumersindo"/>
    <m/>
    <s v="Peer Reviewed Journal"/>
    <s v="Vázquez-Rowe, I., Villanueva-Rey, P., Mallo, J., De La Cerda, J. J., Moreira, M. T. and Feijoo, G., Carbon footprint of a multi-ingredient seafood product from a business-to-business perspective. Journal of Cleaner Production 2013, 44, 200-210."/>
    <s v="Yes"/>
    <s v="No"/>
    <s v="Yes"/>
    <s v="Yes"/>
    <s v="Yes"/>
    <s v="No"/>
    <s v="No"/>
    <s v="No"/>
    <s v="No"/>
    <s v="No"/>
    <s v="No"/>
    <s v="No"/>
    <m/>
    <m/>
    <m/>
    <m/>
    <s v="1 package - 320g  edible product"/>
    <s v="/.32"/>
    <s v=""/>
    <s v=""/>
    <n v="1.98084375"/>
    <n v="2.1531562499999999"/>
    <m/>
    <m/>
    <m/>
    <m/>
    <m/>
    <m/>
    <m/>
    <m/>
    <m/>
    <m/>
    <m/>
    <m/>
    <m/>
    <n v="1.98084375"/>
    <m/>
    <n v="0.17231250000000001"/>
    <n v="5.7999999999999996E-2"/>
    <m/>
    <m/>
    <m/>
    <m/>
    <m/>
    <n v="1.98084375"/>
    <n v="2.2111562499999997"/>
    <m/>
    <m/>
  </r>
  <r>
    <x v="1"/>
    <x v="24"/>
    <s v="Fresh or Not Specified"/>
    <m/>
    <m/>
    <s v="Reunion Island (Indian Ocean)"/>
    <n v="2013"/>
    <s v="Thévenot, Alexandre_x000a_Aubin, Joël_x000a_Tillard, Emmanuel_x000a_Vayssières, Jonathan"/>
    <m/>
    <s v="Peer Reviewed Journal"/>
    <s v="Thévenot, A., Aubin, J., Tillard, E. and Vayssières, J., Accounting for farm diversity in Life Cycle Assessment studies – the case of poultry production in a tropical island. Journal of Cleaner Production 2013, 57, 280-292."/>
    <s v="Yes"/>
    <s v="No"/>
    <s v="Yes"/>
    <s v="Yes"/>
    <s v="Yes"/>
    <s v="No"/>
    <s v="No"/>
    <s v="No"/>
    <s v="No"/>
    <s v="No"/>
    <s v="No"/>
    <s v="No"/>
    <m/>
    <m/>
    <m/>
    <m/>
    <s v="1 tonne bone-in chicken ready for retail"/>
    <m/>
    <n v="30.509999999999998"/>
    <n v="33.866250000000001"/>
    <n v="2.2311000000000001"/>
    <n v="2.4469799999999999"/>
    <n v="30.509999999999998"/>
    <m/>
    <n v="3.3562499999999997"/>
    <n v="1.1187499999999999"/>
    <m/>
    <m/>
    <m/>
    <m/>
    <m/>
    <n v="30.509999999999998"/>
    <n v="34.984999999999999"/>
    <m/>
    <m/>
    <n v="2.2311000000000001"/>
    <m/>
    <n v="0.21587999999999999"/>
    <n v="4.1120000000000004E-2"/>
    <m/>
    <m/>
    <m/>
    <m/>
    <m/>
    <n v="2.2311000000000001"/>
    <n v="2.4880999999999998"/>
    <m/>
    <m/>
  </r>
  <r>
    <x v="0"/>
    <x v="0"/>
    <s v="Fresh or Not Specified"/>
    <s v="Central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ECM"/>
    <m/>
    <n v="4.6619999999999999"/>
    <s v=""/>
    <n v="1.59"/>
    <s v=""/>
    <n v="4.6619999999999999"/>
    <m/>
    <m/>
    <m/>
    <m/>
    <m/>
    <m/>
    <m/>
    <m/>
    <n v="4.6619999999999999"/>
    <m/>
    <m/>
    <m/>
    <n v="1.59"/>
    <m/>
    <m/>
    <m/>
    <m/>
    <m/>
    <m/>
    <m/>
    <m/>
    <n v="1.59"/>
    <m/>
    <m/>
    <m/>
  </r>
  <r>
    <x v="0"/>
    <x v="0"/>
    <s v="Fresh or Not Specified"/>
    <s v="Central southeast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ECM"/>
    <m/>
    <n v="3.9438"/>
    <s v=""/>
    <n v="1.54"/>
    <s v=""/>
    <n v="3.9438"/>
    <m/>
    <m/>
    <m/>
    <m/>
    <m/>
    <m/>
    <m/>
    <m/>
    <n v="3.9438"/>
    <m/>
    <m/>
    <m/>
    <n v="1.54"/>
    <m/>
    <m/>
    <m/>
    <m/>
    <m/>
    <m/>
    <m/>
    <m/>
    <n v="1.54"/>
    <m/>
    <m/>
    <m/>
  </r>
  <r>
    <x v="0"/>
    <x v="0"/>
    <s v="Fresh or Not Specified"/>
    <s v="Southwest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ECM"/>
    <m/>
    <n v="3.7506000000000004"/>
    <s v=""/>
    <n v="1.47"/>
    <s v=""/>
    <n v="3.7506000000000004"/>
    <m/>
    <m/>
    <m/>
    <m/>
    <m/>
    <m/>
    <m/>
    <m/>
    <n v="3.7506000000000004"/>
    <m/>
    <m/>
    <m/>
    <n v="1.47"/>
    <m/>
    <m/>
    <m/>
    <m/>
    <m/>
    <m/>
    <m/>
    <m/>
    <n v="1.47"/>
    <m/>
    <m/>
    <m/>
  </r>
  <r>
    <x v="1"/>
    <x v="25"/>
    <s v="Fresh or Not Specified"/>
    <s v="Central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carcass (live weight*.5)"/>
    <s v="/.667"/>
    <n v="80.599700149925027"/>
    <s v=""/>
    <n v="27.586206896551719"/>
    <s v=""/>
    <n v="80.599700149925027"/>
    <m/>
    <m/>
    <m/>
    <m/>
    <m/>
    <m/>
    <m/>
    <m/>
    <n v="80.599700149925027"/>
    <m/>
    <m/>
    <m/>
    <n v="27.586206896551719"/>
    <m/>
    <m/>
    <m/>
    <m/>
    <m/>
    <m/>
    <m/>
    <m/>
    <n v="27.586206896551719"/>
    <m/>
    <m/>
    <m/>
  </r>
  <r>
    <x v="1"/>
    <x v="25"/>
    <s v="Fresh or Not Specified"/>
    <s v="Central southeast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carcass (live weight*.5)"/>
    <s v="/.667"/>
    <n v="71.784107946026978"/>
    <s v=""/>
    <n v="26.536731634182907"/>
    <s v=""/>
    <n v="71.784107946026978"/>
    <m/>
    <m/>
    <m/>
    <m/>
    <m/>
    <m/>
    <m/>
    <m/>
    <n v="71.784107946026978"/>
    <m/>
    <m/>
    <m/>
    <n v="26.536731634182907"/>
    <m/>
    <m/>
    <m/>
    <m/>
    <m/>
    <m/>
    <m/>
    <m/>
    <n v="26.536731634182907"/>
    <m/>
    <m/>
    <m/>
  </r>
  <r>
    <x v="1"/>
    <x v="25"/>
    <s v="Fresh or Not Specified"/>
    <s v="Southwest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carcass (live weight*.5)"/>
    <s v="/.667"/>
    <n v="73.673163418290855"/>
    <s v=""/>
    <n v="27.286356821589202"/>
    <s v=""/>
    <n v="73.673163418290855"/>
    <m/>
    <m/>
    <m/>
    <m/>
    <m/>
    <m/>
    <m/>
    <m/>
    <n v="73.673163418290855"/>
    <m/>
    <m/>
    <m/>
    <n v="27.286356821589202"/>
    <m/>
    <m/>
    <m/>
    <m/>
    <m/>
    <m/>
    <m/>
    <m/>
    <n v="27.286356821589202"/>
    <m/>
    <m/>
    <m/>
  </r>
  <r>
    <x v="1"/>
    <x v="1"/>
    <s v="Fresh or Not Specified"/>
    <s v="pasture based"/>
    <s v="Yes"/>
    <s v="Spain"/>
    <n v="2013"/>
    <s v="Ripoll-Bosch, R._x000a_de Boer, I. J. M._x000a_Bernués, A._x000a_Vellinga, T. V."/>
    <m/>
    <s v="Peer Reviewed Journal"/>
    <s v="Ripoll-Bosch, R., De Boer, I. J. M., Bernués, A. and Vellinga, T. V., Accounting for multi-functionality of sheep farming in the carbon footprint of lamb: A comparison of three contrasting Mediterranean systems. Agricultural Systems 2013, 116, 60-68."/>
    <s v="Yes"/>
    <s v="No"/>
    <s v="No"/>
    <s v="No"/>
    <s v="No"/>
    <s v="No"/>
    <s v="No"/>
    <s v="No"/>
    <s v="No"/>
    <s v="No"/>
    <s v="No"/>
    <s v="No"/>
    <m/>
    <m/>
    <m/>
    <m/>
    <s v="1 kg live weight, but also reports per kg lamb meat"/>
    <m/>
    <s v=""/>
    <s v=""/>
    <n v="51.7"/>
    <s v=""/>
    <m/>
    <m/>
    <m/>
    <m/>
    <m/>
    <m/>
    <m/>
    <m/>
    <m/>
    <m/>
    <m/>
    <m/>
    <m/>
    <n v="51.7"/>
    <m/>
    <m/>
    <m/>
    <m/>
    <m/>
    <m/>
    <m/>
    <m/>
    <n v="51.7"/>
    <m/>
    <m/>
    <m/>
  </r>
  <r>
    <x v="1"/>
    <x v="1"/>
    <s v="Fresh or Not Specified"/>
    <s v="mixed pasture &amp; concentrated feed"/>
    <s v="Yes"/>
    <s v="Spain"/>
    <n v="2013"/>
    <s v="Ripoll-Bosch, R._x000a_de Boer, I. J. M._x000a_Bernués, A._x000a_Vellinga, T. V."/>
    <m/>
    <s v="Peer Reviewed Journal"/>
    <s v="Ripoll-Bosch, R., De Boer, I. J. M., Bernués, A. and Vellinga, T. V., Accounting for multi-functionality of sheep farming in the carbon footprint of lamb: A comparison of three contrasting Mediterranean systems. Agricultural Systems 2013, 116, 60-68."/>
    <s v="Yes"/>
    <s v="No"/>
    <s v="No"/>
    <s v="No"/>
    <s v="No"/>
    <s v="No"/>
    <s v="No"/>
    <s v="No"/>
    <s v="No"/>
    <s v="No"/>
    <s v="No"/>
    <s v="No"/>
    <m/>
    <m/>
    <m/>
    <m/>
    <s v="1 kg live weight, but also reports per kg lamb meat"/>
    <m/>
    <s v=""/>
    <s v=""/>
    <n v="47.9"/>
    <s v=""/>
    <m/>
    <m/>
    <m/>
    <m/>
    <m/>
    <m/>
    <m/>
    <m/>
    <m/>
    <m/>
    <m/>
    <m/>
    <m/>
    <n v="47.9"/>
    <m/>
    <m/>
    <m/>
    <m/>
    <m/>
    <m/>
    <m/>
    <m/>
    <n v="47.9"/>
    <m/>
    <m/>
    <m/>
  </r>
  <r>
    <x v="1"/>
    <x v="1"/>
    <s v="Fresh or Not Specified"/>
    <s v="zero grazing (all concentrated feed)"/>
    <s v="Yes"/>
    <s v="Spain"/>
    <n v="2013"/>
    <s v="Ripoll-Bosch, R._x000a_de Boer, I. J. M._x000a_Bernués, A._x000a_Vellinga, T. V."/>
    <m/>
    <s v="Peer Reviewed Journal"/>
    <s v="Ripoll-Bosch, R., De Boer, I. J. M., Bernués, A. and Vellinga, T. V., Accounting for multi-functionality of sheep farming in the carbon footprint of lamb: A comparison of three contrasting Mediterranean systems. Agricultural Systems 2013, 116, 60-68."/>
    <s v="Yes"/>
    <s v="No"/>
    <s v="No"/>
    <s v="No"/>
    <s v="No"/>
    <s v="No"/>
    <s v="No"/>
    <s v="No"/>
    <s v="No"/>
    <s v="No"/>
    <s v="No"/>
    <s v="No"/>
    <m/>
    <m/>
    <m/>
    <m/>
    <s v="1 kg live weight, but also reports per kg lamb meat"/>
    <m/>
    <s v=""/>
    <s v=""/>
    <n v="38.9"/>
    <s v=""/>
    <m/>
    <m/>
    <m/>
    <m/>
    <m/>
    <m/>
    <m/>
    <m/>
    <m/>
    <m/>
    <m/>
    <m/>
    <m/>
    <n v="38.9"/>
    <m/>
    <m/>
    <m/>
    <m/>
    <m/>
    <m/>
    <m/>
    <m/>
    <n v="38.9"/>
    <m/>
    <m/>
    <m/>
  </r>
  <r>
    <x v="1"/>
    <x v="3"/>
    <s v="Fresh or Not Specified"/>
    <s v="Japanese ox-grassfed steers (Scone)"/>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5.402581101475839"/>
    <s v=""/>
    <m/>
    <m/>
    <m/>
    <m/>
    <m/>
    <m/>
    <m/>
    <m/>
    <m/>
    <m/>
    <m/>
    <m/>
    <m/>
    <n v="25.402581101475839"/>
    <m/>
    <m/>
    <m/>
    <m/>
    <m/>
    <m/>
    <m/>
    <m/>
    <n v="25.402581101475839"/>
    <m/>
    <m/>
    <m/>
  </r>
  <r>
    <x v="1"/>
    <x v="3"/>
    <s v="Fresh or Not Specified"/>
    <s v="EU Cattle (Parkes)"/>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6.896850578033245"/>
    <s v=""/>
    <m/>
    <m/>
    <m/>
    <m/>
    <m/>
    <m/>
    <m/>
    <m/>
    <m/>
    <m/>
    <m/>
    <m/>
    <m/>
    <n v="26.896850578033245"/>
    <m/>
    <m/>
    <m/>
    <m/>
    <m/>
    <m/>
    <m/>
    <m/>
    <n v="26.896850578033245"/>
    <m/>
    <m/>
    <m/>
  </r>
  <r>
    <x v="1"/>
    <x v="3"/>
    <s v="Fresh or Not Specified"/>
    <s v="Inland weaners, grass fattened and feedlot finished (Walgett, Gunnedah, Quirindi)"/>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5.15353618871627"/>
    <s v=""/>
    <m/>
    <m/>
    <m/>
    <m/>
    <m/>
    <m/>
    <m/>
    <m/>
    <m/>
    <m/>
    <m/>
    <m/>
    <m/>
    <n v="25.15353618871627"/>
    <m/>
    <m/>
    <m/>
    <m/>
    <m/>
    <m/>
    <m/>
    <m/>
    <n v="25.15353618871627"/>
    <m/>
    <m/>
    <m/>
  </r>
  <r>
    <x v="1"/>
    <x v="3"/>
    <s v="Fresh or Not Specified"/>
    <s v="North coast weanters, grass fattened and feedlot finished (Casino, Glen Innes, Rangers Valley)"/>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31.628703920465011"/>
    <s v=""/>
    <m/>
    <m/>
    <m/>
    <m/>
    <m/>
    <m/>
    <m/>
    <m/>
    <m/>
    <m/>
    <m/>
    <m/>
    <m/>
    <n v="31.628703920465011"/>
    <m/>
    <m/>
    <m/>
    <m/>
    <m/>
    <m/>
    <m/>
    <m/>
    <n v="31.628703920465011"/>
    <m/>
    <m/>
    <m/>
  </r>
  <r>
    <x v="1"/>
    <x v="3"/>
    <s v="Fresh or Not Specified"/>
    <s v="Yearling (Gundagai)"/>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5.900670926994973"/>
    <s v=""/>
    <m/>
    <m/>
    <m/>
    <m/>
    <m/>
    <m/>
    <m/>
    <m/>
    <m/>
    <m/>
    <m/>
    <m/>
    <m/>
    <n v="25.900670926994973"/>
    <m/>
    <m/>
    <m/>
    <m/>
    <m/>
    <m/>
    <m/>
    <m/>
    <n v="25.900670926994973"/>
    <m/>
    <m/>
    <m/>
  </r>
  <r>
    <x v="1"/>
    <x v="3"/>
    <s v="Fresh or Not Specified"/>
    <s v="Yearling (Bathurst)"/>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6.398760752514107"/>
    <s v=""/>
    <m/>
    <m/>
    <m/>
    <m/>
    <m/>
    <m/>
    <m/>
    <m/>
    <m/>
    <m/>
    <m/>
    <m/>
    <m/>
    <n v="26.398760752514107"/>
    <m/>
    <m/>
    <m/>
    <m/>
    <m/>
    <m/>
    <m/>
    <m/>
    <n v="26.398760752514107"/>
    <m/>
    <m/>
    <m/>
  </r>
  <r>
    <x v="4"/>
    <x v="73"/>
    <s v="Fresh or Not Specified"/>
    <s v="conventional system"/>
    <m/>
    <s v="Italy"/>
    <n v="2013"/>
    <s v="Pergola, Maria_x000a_Favia, Mariafara_x000a_Palese, Assunta Maria_x000a_Perretti, Biagio_x000a_Xiloyannis, Cristos_x000a_Celano, Giuseppe"/>
    <m/>
    <s v="Peer Reviewed Journal"/>
    <s v="Pergola, M., Favia, M., Palese, A. M., Perretti, B., Xiloyannis, C. and Celano, G., Alternative management for olive orchards grown in semi-arid environments: An energy, economic and environmental analysis. Scientia Horticulturae 2013, 162, 380-386."/>
    <s v="Yes"/>
    <s v="No"/>
    <s v="No"/>
    <s v="No"/>
    <s v="No"/>
    <s v="No"/>
    <s v="No"/>
    <s v="No"/>
    <s v="No"/>
    <s v="No"/>
    <s v="No"/>
    <s v="No"/>
    <m/>
    <s v="cradle to farm gate"/>
    <m/>
    <m/>
    <s v="kg olives"/>
    <m/>
    <n v="2.8"/>
    <s v=""/>
    <n v="0.11"/>
    <s v=""/>
    <n v="2.8"/>
    <m/>
    <m/>
    <m/>
    <m/>
    <m/>
    <m/>
    <m/>
    <m/>
    <n v="2.8"/>
    <m/>
    <m/>
    <m/>
    <n v="0.11"/>
    <m/>
    <m/>
    <m/>
    <m/>
    <m/>
    <m/>
    <m/>
    <m/>
    <n v="0.11"/>
    <m/>
    <m/>
    <m/>
  </r>
  <r>
    <x v="4"/>
    <x v="73"/>
    <s v="Fresh or Not Specified"/>
    <s v="sustainable system"/>
    <m/>
    <s v="Italy"/>
    <n v="2013"/>
    <s v="Pergola, Maria_x000a_Favia, Mariafara_x000a_Palese, Assunta Maria_x000a_Perretti, Biagio_x000a_Xiloyannis, Cristos_x000a_Celano, Giuseppe"/>
    <m/>
    <s v="Peer Reviewed Journal"/>
    <s v="Pergola, M., Favia, M., Palese, A. M., Perretti, B., Xiloyannis, C. and Celano, G., Alternative management for olive orchards grown in semi-arid environments: An energy, economic and environmental analysis. Scientia Horticulturae 2013, 162, 380-386."/>
    <s v="Yes"/>
    <s v="No"/>
    <s v="No"/>
    <s v="No"/>
    <s v="No"/>
    <s v="No"/>
    <s v="No"/>
    <s v="No"/>
    <s v="No"/>
    <s v="No"/>
    <s v="No"/>
    <s v="No"/>
    <m/>
    <s v="cradle to farm gate"/>
    <m/>
    <m/>
    <s v="kg olives"/>
    <m/>
    <n v="4.43"/>
    <s v=""/>
    <n v="0.08"/>
    <s v=""/>
    <n v="4.43"/>
    <m/>
    <m/>
    <m/>
    <m/>
    <m/>
    <m/>
    <m/>
    <m/>
    <n v="4.43"/>
    <m/>
    <m/>
    <m/>
    <n v="0.08"/>
    <m/>
    <m/>
    <m/>
    <m/>
    <m/>
    <m/>
    <m/>
    <m/>
    <n v="0.08"/>
    <m/>
    <m/>
    <m/>
  </r>
  <r>
    <x v="4"/>
    <x v="173"/>
    <s v="Fresh or Not Specified"/>
    <s v="conventional"/>
    <m/>
    <s v="Sicily"/>
    <n v="2013"/>
    <s v="Pergola, M_x000a_D'Amico, M_x000a_Celano, G_x000a_Palese, AM_x000a_Scuderi, A_x000a_Di Vita, G_x000a_Pappalardo, G_x000a_Inglese, P"/>
    <m/>
    <s v="Peer Reviewed Journal"/>
    <s v="Pergola, M., D'amico, M., Celano, G., Palese, A., Scuderi, A., Di Vita, G., Pappalardo, G. and Inglese, P., Sustainability evaluation of Sicily's lemon and orange production: An energy, economic and environmental analysis. Journal of environmental management 2013, 128, 674-682."/>
    <s v="Yes"/>
    <s v="No"/>
    <s v="No"/>
    <s v="No"/>
    <s v="No"/>
    <s v="No"/>
    <s v="No"/>
    <s v="No"/>
    <s v="No"/>
    <s v="No"/>
    <s v="No"/>
    <s v="No"/>
    <m/>
    <s v="cradle to farm gate"/>
    <m/>
    <m/>
    <s v="kg lemons"/>
    <m/>
    <n v="2.85"/>
    <s v=""/>
    <n v="0.12"/>
    <s v=""/>
    <n v="2.85"/>
    <m/>
    <m/>
    <m/>
    <m/>
    <m/>
    <m/>
    <m/>
    <m/>
    <n v="2.85"/>
    <m/>
    <m/>
    <m/>
    <n v="0.12"/>
    <m/>
    <m/>
    <m/>
    <m/>
    <m/>
    <m/>
    <m/>
    <m/>
    <n v="0.12"/>
    <m/>
    <m/>
    <m/>
  </r>
  <r>
    <x v="4"/>
    <x v="173"/>
    <s v="Fresh or Not Specified"/>
    <s v="organic"/>
    <m/>
    <s v="Sicily"/>
    <n v="2013"/>
    <s v="Pergola, M_x000a_D'Amico, M_x000a_Celano, G_x000a_Palese, AM_x000a_Scuderi, A_x000a_Di Vita, G_x000a_Pappalardo, G_x000a_Inglese, P"/>
    <m/>
    <s v="Peer Reviewed Journal"/>
    <s v="Pergola, M., D'amico, M., Celano, G., Palese, A., Scuderi, A., Di Vita, G., Pappalardo, G. and Inglese, P., Sustainability evaluation of Sicily's lemon and orange production: An energy, economic and environmental analysis. Journal of environmental management 2013, 128, 674-682."/>
    <s v="Yes"/>
    <s v="No"/>
    <s v="No"/>
    <s v="No"/>
    <s v="No"/>
    <s v="No"/>
    <s v="No"/>
    <s v="No"/>
    <s v="No"/>
    <s v="No"/>
    <s v="No"/>
    <s v="No"/>
    <m/>
    <s v="cradle to farm gate"/>
    <m/>
    <m/>
    <s v="kg lemons"/>
    <m/>
    <n v="2.1"/>
    <s v=""/>
    <n v="0.04"/>
    <s v=""/>
    <n v="2.1"/>
    <m/>
    <m/>
    <m/>
    <m/>
    <m/>
    <m/>
    <m/>
    <m/>
    <n v="2.1"/>
    <m/>
    <m/>
    <m/>
    <n v="0.04"/>
    <m/>
    <m/>
    <m/>
    <m/>
    <m/>
    <m/>
    <m/>
    <m/>
    <n v="0.04"/>
    <m/>
    <m/>
    <m/>
  </r>
  <r>
    <x v="4"/>
    <x v="136"/>
    <s v="Fresh or Not Specified"/>
    <s v="conventional"/>
    <m/>
    <s v="Sicily"/>
    <n v="2013"/>
    <s v="Pergola, M_x000a_D'Amico, M_x000a_Celano, G_x000a_Palese, AM_x000a_Scuderi, A_x000a_Di Vita, G_x000a_Pappalardo, G_x000a_Inglese, P"/>
    <m/>
    <s v="Peer Reviewed Journal"/>
    <s v="Pergola, M., D'amico, M., Celano, G., Palese, A., Scuderi, A., Di Vita, G., Pappalardo, G. and Inglese, P., Sustainability evaluation of Sicily's lemon and orange production: An energy, economic and environmental analysis. Journal of environmental management 2013, 128, 674-682."/>
    <s v="Yes"/>
    <s v="No"/>
    <s v="No"/>
    <s v="No"/>
    <s v="No"/>
    <s v="No"/>
    <s v="No"/>
    <s v="No"/>
    <s v="No"/>
    <s v="No"/>
    <s v="No"/>
    <s v="No"/>
    <m/>
    <s v="cradle to farm gate"/>
    <m/>
    <m/>
    <s v="kg oranges"/>
    <m/>
    <n v="2.87"/>
    <s v=""/>
    <n v="0.13"/>
    <s v=""/>
    <n v="2.87"/>
    <m/>
    <m/>
    <m/>
    <m/>
    <m/>
    <m/>
    <m/>
    <m/>
    <n v="2.87"/>
    <m/>
    <m/>
    <m/>
    <n v="0.13"/>
    <m/>
    <m/>
    <m/>
    <m/>
    <m/>
    <m/>
    <m/>
    <m/>
    <n v="0.13"/>
    <m/>
    <m/>
    <m/>
  </r>
  <r>
    <x v="4"/>
    <x v="136"/>
    <s v="Fresh or Not Specified"/>
    <s v="organic"/>
    <m/>
    <s v="Sicily"/>
    <n v="2013"/>
    <s v="Pergola, M_x000a_D'Amico, M_x000a_Celano, G_x000a_Palese, AM_x000a_Scuderi, A_x000a_Di Vita, G_x000a_Pappalardo, G_x000a_Inglese, P"/>
    <m/>
    <s v="Peer Reviewed Journal"/>
    <s v="Pergola, M., D'amico, M., Celano, G., Palese, A., Scuderi, A., Di Vita, G., Pappalardo, G. and Inglese, P., Sustainability evaluation of Sicily's lemon and orange production: An energy, economic and environmental analysis. Journal of environmental management 2013, 128, 674-682."/>
    <s v="Yes"/>
    <s v="No"/>
    <s v="No"/>
    <s v="No"/>
    <s v="No"/>
    <s v="No"/>
    <s v="No"/>
    <s v="No"/>
    <s v="No"/>
    <s v="No"/>
    <s v="No"/>
    <s v="No"/>
    <m/>
    <s v="cradle to farm gate"/>
    <m/>
    <m/>
    <s v="kg oranges"/>
    <m/>
    <n v="2.38"/>
    <s v=""/>
    <n v="0.04"/>
    <s v=""/>
    <n v="2.38"/>
    <m/>
    <m/>
    <m/>
    <m/>
    <m/>
    <m/>
    <m/>
    <m/>
    <n v="2.38"/>
    <m/>
    <m/>
    <m/>
    <n v="0.04"/>
    <m/>
    <m/>
    <m/>
    <m/>
    <m/>
    <m/>
    <m/>
    <m/>
    <n v="0.04"/>
    <m/>
    <m/>
    <m/>
  </r>
  <r>
    <x v="0"/>
    <x v="0"/>
    <s v="Fresh or Not Specified"/>
    <s v="grass fed Normande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4.29"/>
    <s v=""/>
    <n v="1.45"/>
    <s v=""/>
    <n v="4.29"/>
    <m/>
    <m/>
    <m/>
    <m/>
    <m/>
    <m/>
    <m/>
    <m/>
    <n v="4.29"/>
    <m/>
    <m/>
    <m/>
    <n v="1.45"/>
    <m/>
    <m/>
    <m/>
    <m/>
    <m/>
    <m/>
    <m/>
    <m/>
    <n v="1.45"/>
    <m/>
    <m/>
    <m/>
  </r>
  <r>
    <x v="0"/>
    <x v="0"/>
    <s v="Fresh or Not Specified"/>
    <s v="Grass fed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97"/>
    <s v=""/>
    <n v="1.33"/>
    <s v=""/>
    <n v="3.97"/>
    <m/>
    <m/>
    <m/>
    <m/>
    <m/>
    <m/>
    <m/>
    <m/>
    <n v="3.97"/>
    <m/>
    <m/>
    <m/>
    <n v="1.33"/>
    <m/>
    <m/>
    <m/>
    <m/>
    <m/>
    <m/>
    <m/>
    <m/>
    <n v="1.33"/>
    <m/>
    <m/>
    <m/>
  </r>
  <r>
    <x v="0"/>
    <x v="0"/>
    <s v="Fresh or Not Specified"/>
    <s v="grass with low proportion of corn silage,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93"/>
    <s v=""/>
    <n v="1.29"/>
    <s v=""/>
    <n v="3.93"/>
    <m/>
    <m/>
    <m/>
    <m/>
    <m/>
    <m/>
    <m/>
    <m/>
    <n v="3.93"/>
    <m/>
    <m/>
    <m/>
    <n v="1.29"/>
    <m/>
    <m/>
    <m/>
    <m/>
    <m/>
    <m/>
    <m/>
    <m/>
    <n v="1.29"/>
    <m/>
    <m/>
    <m/>
  </r>
  <r>
    <x v="0"/>
    <x v="0"/>
    <s v="Fresh or Not Specified"/>
    <s v="grass with high proportion of corn silage,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75"/>
    <s v=""/>
    <n v="1.17"/>
    <s v=""/>
    <n v="3.75"/>
    <m/>
    <m/>
    <m/>
    <m/>
    <m/>
    <m/>
    <m/>
    <m/>
    <n v="3.75"/>
    <m/>
    <m/>
    <m/>
    <n v="1.17"/>
    <m/>
    <m/>
    <m/>
    <m/>
    <m/>
    <m/>
    <m/>
    <m/>
    <n v="1.17"/>
    <m/>
    <m/>
    <m/>
  </r>
  <r>
    <x v="0"/>
    <x v="0"/>
    <s v="Fresh or Not Specified"/>
    <s v="grass with low proportion of corn silage, ration enriched with omega 3 fatty acids,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98"/>
    <s v=""/>
    <n v="1.28"/>
    <s v=""/>
    <n v="3.98"/>
    <m/>
    <m/>
    <m/>
    <m/>
    <m/>
    <m/>
    <m/>
    <m/>
    <n v="3.98"/>
    <m/>
    <m/>
    <m/>
    <n v="1.28"/>
    <m/>
    <m/>
    <m/>
    <m/>
    <m/>
    <m/>
    <m/>
    <m/>
    <n v="1.28"/>
    <m/>
    <m/>
    <m/>
  </r>
  <r>
    <x v="0"/>
    <x v="0"/>
    <s v="Fresh or Not Specified"/>
    <s v="grass with high proportion of corn silage, ration enriched with omega 3 fatty acids,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87"/>
    <s v=""/>
    <n v="1.1599999999999999"/>
    <s v=""/>
    <n v="3.87"/>
    <m/>
    <m/>
    <m/>
    <m/>
    <m/>
    <m/>
    <m/>
    <m/>
    <n v="3.87"/>
    <m/>
    <m/>
    <m/>
    <n v="1.1599999999999999"/>
    <m/>
    <m/>
    <m/>
    <m/>
    <m/>
    <m/>
    <m/>
    <m/>
    <n v="1.1599999999999999"/>
    <m/>
    <m/>
    <m/>
  </r>
  <r>
    <x v="12"/>
    <x v="102"/>
    <s v="Fresh or Not Specified"/>
    <s v="carp and tilapia, feed 2, practice 1 (large farms, high fish stocking density,_x000a_generally appropriate feeding practice or water quality)"/>
    <m/>
    <s v="West Java, Indonesia"/>
    <n v="2013"/>
    <s v="Mungkung, Rattanawan_x000a_Aubin, Joël_x000a_Prihadi, Tri Heru_x000a_Slembrouck, Jacques_x000a_van der Werf, Hayo MG_x000a_Legendre, Marc"/>
    <m/>
    <s v="Peer Reviewed Journal"/>
    <s v="Mungkung, R., Aubin, J., Prihadi, T. H., Slembrouck, J., Van Der Werf, H. M. and Legendre, M., Life Cycle Assessment for environmentally sustainable aquaculture management: a case study of combined aquaculture systems for carp and tilapia. Journal of Cleaner Production 2013, 57, 249-256."/>
    <s v="Yes"/>
    <s v="No"/>
    <s v="No"/>
    <s v="No"/>
    <s v="No"/>
    <s v="No"/>
    <s v="No"/>
    <s v="No"/>
    <s v="No"/>
    <s v="No"/>
    <s v="No"/>
    <s v="No"/>
    <m/>
    <m/>
    <m/>
    <m/>
    <s v="per tonne harvested fish"/>
    <s v="/1000/.37 (FAO Yield and nutritional value of the commercially more important fish species…)"/>
    <n v="77.418918918918919"/>
    <s v=""/>
    <n v="4.6675675675675681"/>
    <s v=""/>
    <n v="77.418918918918919"/>
    <m/>
    <m/>
    <m/>
    <m/>
    <m/>
    <m/>
    <m/>
    <m/>
    <n v="77.418918918918919"/>
    <m/>
    <m/>
    <m/>
    <n v="4.6675675675675681"/>
    <m/>
    <m/>
    <m/>
    <m/>
    <m/>
    <m/>
    <m/>
    <m/>
    <n v="4.6675675675675681"/>
    <m/>
    <m/>
    <m/>
  </r>
  <r>
    <x v="12"/>
    <x v="102"/>
    <s v="Fresh or Not Specified"/>
    <s v="carp and tilapia, feed 2, practice 2 (small farms and relatively lower fish stocking density, feeding efficiency or water quality than for practice 1)"/>
    <m/>
    <s v="West Java, Indonesia"/>
    <n v="2013"/>
    <s v="Mungkung, Rattanawan_x000a_Aubin, Joël_x000a_Prihadi, Tri Heru_x000a_Slembrouck, Jacques_x000a_van der Werf, Hayo MG_x000a_Legendre, Marc"/>
    <m/>
    <s v="Peer Reviewed Journal"/>
    <s v="Mungkung, R., Aubin, J., Prihadi, T. H., Slembrouck, J., Van Der Werf, H. M. and Legendre, M., Life Cycle Assessment for environmentally sustainable aquaculture management: a case study of combined aquaculture systems for carp and tilapia. Journal of Cleaner Production 2013, 57, 249-256."/>
    <s v="Yes"/>
    <s v="No"/>
    <s v="No"/>
    <s v="No"/>
    <s v="No"/>
    <s v="No"/>
    <s v="No"/>
    <s v="No"/>
    <s v="No"/>
    <s v="No"/>
    <s v="No"/>
    <s v="No"/>
    <m/>
    <m/>
    <m/>
    <m/>
    <s v="per tonne harvested fish"/>
    <s v="/1000/.37 (FAO Yield and nutritional value of the commercially more important fish species…)"/>
    <n v="89.040540540540547"/>
    <s v=""/>
    <n v="5.4729729729729728"/>
    <s v=""/>
    <n v="89.040540540540547"/>
    <m/>
    <m/>
    <m/>
    <m/>
    <m/>
    <m/>
    <m/>
    <m/>
    <n v="89.040540540540547"/>
    <m/>
    <m/>
    <m/>
    <n v="5.4729729729729728"/>
    <m/>
    <m/>
    <m/>
    <m/>
    <m/>
    <m/>
    <m/>
    <m/>
    <n v="5.4729729729729728"/>
    <m/>
    <m/>
    <m/>
  </r>
  <r>
    <x v="12"/>
    <x v="102"/>
    <s v="Fresh or Not Specified"/>
    <s v="carp and tilapia, feed 3, practice 1 (large farms, high fish stocking density,_x000a_generally appropriate feeding practice or water quality)"/>
    <m/>
    <s v="West Java, Indonesia"/>
    <n v="2013"/>
    <s v="Mungkung, Rattanawan_x000a_Aubin, Joël_x000a_Prihadi, Tri Heru_x000a_Slembrouck, Jacques_x000a_van der Werf, Hayo MG_x000a_Legendre, Marc"/>
    <m/>
    <s v="Peer Reviewed Journal"/>
    <s v="Mungkung, R., Aubin, J., Prihadi, T. H., Slembrouck, J., Van Der Werf, H. M. and Legendre, M., Life Cycle Assessment for environmentally sustainable aquaculture management: a case study of combined aquaculture systems for carp and tilapia. Journal of Cleaner Production 2013, 57, 249-256."/>
    <s v="Yes"/>
    <s v="No"/>
    <s v="No"/>
    <s v="No"/>
    <s v="No"/>
    <s v="No"/>
    <s v="No"/>
    <s v="No"/>
    <s v="No"/>
    <s v="No"/>
    <s v="No"/>
    <s v="No"/>
    <m/>
    <m/>
    <m/>
    <m/>
    <s v="per tonne harvested fish"/>
    <s v="/1000/.37 (FAO Yield and nutritional value of the commercially more important fish species…)"/>
    <n v="99.086486486486478"/>
    <s v=""/>
    <n v="4.7621621621621619"/>
    <s v=""/>
    <n v="99.086486486486478"/>
    <m/>
    <m/>
    <m/>
    <m/>
    <m/>
    <m/>
    <m/>
    <m/>
    <n v="99.086486486486478"/>
    <m/>
    <m/>
    <m/>
    <n v="4.7621621621621619"/>
    <m/>
    <m/>
    <m/>
    <m/>
    <m/>
    <m/>
    <m/>
    <m/>
    <n v="4.7621621621621619"/>
    <m/>
    <m/>
    <m/>
  </r>
  <r>
    <x v="12"/>
    <x v="102"/>
    <s v="Fresh or Not Specified"/>
    <s v="carp and tilapia, feed 4, practice 1 (large farms, high fish stocking density,_x000a_generally appropriate feeding practice or water quality)"/>
    <m/>
    <s v="West Java, Indonesia"/>
    <n v="2013"/>
    <s v="Mungkung, Rattanawan_x000a_Aubin, Joël_x000a_Prihadi, Tri Heru_x000a_Slembrouck, Jacques_x000a_van der Werf, Hayo MG_x000a_Legendre, Marc"/>
    <m/>
    <s v="Peer Reviewed Journal"/>
    <s v="Mungkung, R., Aubin, J., Prihadi, T. H., Slembrouck, J., Van Der Werf, H. M. and Legendre, M., Life Cycle Assessment for environmentally sustainable aquaculture management: a case study of combined aquaculture systems for carp and tilapia. Journal of Cleaner Production 2013, 57, 249-256."/>
    <s v="Yes"/>
    <s v="No"/>
    <s v="No"/>
    <s v="No"/>
    <s v="No"/>
    <s v="No"/>
    <s v="No"/>
    <s v="No"/>
    <s v="No"/>
    <s v="No"/>
    <s v="No"/>
    <s v="No"/>
    <m/>
    <m/>
    <m/>
    <m/>
    <s v="per tonne harvested fish"/>
    <s v="/1000/.37 (FAO Yield and nutritional value of the commercially more important fish species…)"/>
    <n v="86.994594594594602"/>
    <s v=""/>
    <n v="5.2027027027027026"/>
    <s v=""/>
    <n v="86.994594594594602"/>
    <m/>
    <m/>
    <m/>
    <m/>
    <m/>
    <m/>
    <m/>
    <m/>
    <n v="86.994594594594602"/>
    <m/>
    <m/>
    <m/>
    <n v="5.2027027027027026"/>
    <m/>
    <m/>
    <m/>
    <m/>
    <m/>
    <m/>
    <m/>
    <m/>
    <n v="5.2027027027027026"/>
    <m/>
    <m/>
    <m/>
  </r>
  <r>
    <x v="0"/>
    <x v="0"/>
    <s v="Fresh or Not Specified"/>
    <s v="pedigree milk production index &lt;100kg, 338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103"/>
    <s v=""/>
    <m/>
    <m/>
    <m/>
    <m/>
    <m/>
    <m/>
    <m/>
    <m/>
    <m/>
    <m/>
    <m/>
    <m/>
    <m/>
    <n v="1.103"/>
    <m/>
    <m/>
    <m/>
    <m/>
    <m/>
    <m/>
    <m/>
    <m/>
    <n v="1.103"/>
    <m/>
    <m/>
    <m/>
  </r>
  <r>
    <x v="0"/>
    <x v="0"/>
    <s v="Fresh or Not Specified"/>
    <s v="pedigree milk production index &lt;100kg, 736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840000000000001"/>
    <s v=""/>
    <m/>
    <m/>
    <m/>
    <m/>
    <m/>
    <m/>
    <m/>
    <m/>
    <m/>
    <m/>
    <m/>
    <m/>
    <m/>
    <n v="1.0840000000000001"/>
    <m/>
    <m/>
    <m/>
    <m/>
    <m/>
    <m/>
    <m/>
    <m/>
    <n v="1.0840000000000001"/>
    <m/>
    <m/>
    <m/>
  </r>
  <r>
    <x v="0"/>
    <x v="0"/>
    <s v="Fresh or Not Specified"/>
    <s v="pedigree milk production index &lt;100kg, 1403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409999999999999"/>
    <s v=""/>
    <m/>
    <m/>
    <m/>
    <m/>
    <m/>
    <m/>
    <m/>
    <m/>
    <m/>
    <m/>
    <m/>
    <m/>
    <m/>
    <n v="1.0409999999999999"/>
    <m/>
    <m/>
    <m/>
    <m/>
    <m/>
    <m/>
    <m/>
    <m/>
    <n v="1.0409999999999999"/>
    <m/>
    <m/>
    <m/>
  </r>
  <r>
    <x v="0"/>
    <x v="0"/>
    <s v="Fresh or Not Specified"/>
    <s v="pedigree milk production index 100kg-200kg, 338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145"/>
    <s v=""/>
    <m/>
    <m/>
    <m/>
    <m/>
    <m/>
    <m/>
    <m/>
    <m/>
    <m/>
    <m/>
    <m/>
    <m/>
    <m/>
    <n v="1.145"/>
    <m/>
    <m/>
    <m/>
    <m/>
    <m/>
    <m/>
    <m/>
    <m/>
    <n v="1.145"/>
    <m/>
    <m/>
    <m/>
  </r>
  <r>
    <x v="0"/>
    <x v="0"/>
    <s v="Fresh or Not Specified"/>
    <s v="pedigree milk production index 100kg-200kg, 736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920000000000001"/>
    <s v=""/>
    <m/>
    <m/>
    <m/>
    <m/>
    <m/>
    <m/>
    <m/>
    <m/>
    <m/>
    <m/>
    <m/>
    <m/>
    <m/>
    <n v="1.0920000000000001"/>
    <m/>
    <m/>
    <m/>
    <m/>
    <m/>
    <m/>
    <m/>
    <m/>
    <n v="1.0920000000000001"/>
    <m/>
    <m/>
    <m/>
  </r>
  <r>
    <x v="0"/>
    <x v="0"/>
    <s v="Fresh or Not Specified"/>
    <s v="pedigree milk production index 100kg-200kg, 1403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329999999999999"/>
    <s v=""/>
    <m/>
    <m/>
    <m/>
    <m/>
    <m/>
    <m/>
    <m/>
    <m/>
    <m/>
    <m/>
    <m/>
    <m/>
    <m/>
    <n v="1.0329999999999999"/>
    <m/>
    <m/>
    <m/>
    <m/>
    <m/>
    <m/>
    <m/>
    <m/>
    <n v="1.0329999999999999"/>
    <m/>
    <m/>
    <m/>
  </r>
  <r>
    <x v="0"/>
    <x v="0"/>
    <s v="Fresh or Not Specified"/>
    <s v="pedigree milk production index 200-300kg, 338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2"/>
    <s v=""/>
    <m/>
    <m/>
    <m/>
    <m/>
    <m/>
    <m/>
    <m/>
    <m/>
    <m/>
    <m/>
    <m/>
    <m/>
    <m/>
    <n v="1.2"/>
    <m/>
    <m/>
    <m/>
    <m/>
    <m/>
    <m/>
    <m/>
    <m/>
    <n v="1.2"/>
    <m/>
    <m/>
    <m/>
  </r>
  <r>
    <x v="0"/>
    <x v="0"/>
    <s v="Fresh or Not Specified"/>
    <s v="pedigree milk production index 200-300kg, 736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1319999999999999"/>
    <s v=""/>
    <m/>
    <m/>
    <m/>
    <m/>
    <m/>
    <m/>
    <m/>
    <m/>
    <m/>
    <m/>
    <m/>
    <m/>
    <m/>
    <n v="1.1319999999999999"/>
    <m/>
    <m/>
    <m/>
    <m/>
    <m/>
    <m/>
    <m/>
    <m/>
    <n v="1.1319999999999999"/>
    <m/>
    <m/>
    <m/>
  </r>
  <r>
    <x v="0"/>
    <x v="0"/>
    <s v="Fresh or Not Specified"/>
    <s v="pedigree milk production index 200-300kg, 1403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469999999999999"/>
    <s v=""/>
    <m/>
    <m/>
    <m/>
    <m/>
    <m/>
    <m/>
    <m/>
    <m/>
    <m/>
    <m/>
    <m/>
    <m/>
    <m/>
    <n v="1.0469999999999999"/>
    <m/>
    <m/>
    <m/>
    <m/>
    <m/>
    <m/>
    <m/>
    <m/>
    <n v="1.0469999999999999"/>
    <m/>
    <m/>
    <m/>
  </r>
  <r>
    <x v="4"/>
    <x v="66"/>
    <s v="Fresh or Not Specified"/>
    <s v="braeburn apples, Hawke's Bay site #1"/>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0"/>
    <n v="0.41699999999999998"/>
    <s v=""/>
    <n v="3.9699999999999999E-2"/>
    <s v=""/>
    <n v="0.41699999999999998"/>
    <m/>
    <m/>
    <m/>
    <m/>
    <m/>
    <m/>
    <m/>
    <m/>
    <n v="0.41699999999999998"/>
    <m/>
    <m/>
    <m/>
    <n v="3.9699999999999999E-2"/>
    <m/>
    <m/>
    <m/>
    <m/>
    <m/>
    <m/>
    <m/>
    <m/>
    <n v="3.9699999999999999E-2"/>
    <m/>
    <m/>
    <m/>
  </r>
  <r>
    <x v="4"/>
    <x v="66"/>
    <s v="Fresh or Not Specified"/>
    <s v="braeburn apples, Hawke's Bay site #2"/>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1"/>
    <n v="0.44600000000000001"/>
    <s v=""/>
    <n v="4.0599999999999997E-2"/>
    <s v=""/>
    <n v="0.44600000000000001"/>
    <m/>
    <m/>
    <m/>
    <m/>
    <m/>
    <m/>
    <m/>
    <m/>
    <n v="0.44600000000000001"/>
    <m/>
    <m/>
    <m/>
    <n v="4.0599999999999997E-2"/>
    <m/>
    <m/>
    <m/>
    <m/>
    <m/>
    <m/>
    <m/>
    <m/>
    <n v="4.0599999999999997E-2"/>
    <m/>
    <m/>
    <m/>
  </r>
  <r>
    <x v="4"/>
    <x v="66"/>
    <s v="Fresh or Not Specified"/>
    <s v="braeburn apples, Hawke's Bay site #Ref"/>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2"/>
    <n v="0.71050000000000002"/>
    <s v=""/>
    <n v="9.5500000000000002E-2"/>
    <s v=""/>
    <n v="0.71050000000000002"/>
    <m/>
    <m/>
    <m/>
    <m/>
    <m/>
    <m/>
    <m/>
    <m/>
    <n v="0.71050000000000002"/>
    <m/>
    <m/>
    <m/>
    <n v="9.5500000000000002E-2"/>
    <m/>
    <m/>
    <m/>
    <m/>
    <m/>
    <m/>
    <m/>
    <m/>
    <n v="9.5500000000000002E-2"/>
    <m/>
    <m/>
    <m/>
  </r>
  <r>
    <x v="4"/>
    <x v="66"/>
    <s v="Fresh or Not Specified"/>
    <s v="braeburn apples,Central Otago site #1"/>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3"/>
    <n v="0.54500000000000004"/>
    <s v=""/>
    <n v="6.268E-2"/>
    <s v=""/>
    <n v="0.54500000000000004"/>
    <m/>
    <m/>
    <m/>
    <m/>
    <m/>
    <m/>
    <m/>
    <m/>
    <n v="0.54500000000000004"/>
    <m/>
    <m/>
    <m/>
    <n v="6.268E-2"/>
    <m/>
    <m/>
    <m/>
    <m/>
    <m/>
    <m/>
    <m/>
    <m/>
    <n v="6.268E-2"/>
    <m/>
    <m/>
    <m/>
  </r>
  <r>
    <x v="4"/>
    <x v="66"/>
    <s v="Fresh or Not Specified"/>
    <s v="braeburn apples,Central Otago site #Ref"/>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4"/>
    <n v="0.68300000000000005"/>
    <s v=""/>
    <n v="9.4600000000000004E-2"/>
    <s v=""/>
    <n v="0.68300000000000005"/>
    <m/>
    <m/>
    <m/>
    <m/>
    <m/>
    <m/>
    <m/>
    <m/>
    <n v="0.68300000000000005"/>
    <m/>
    <m/>
    <m/>
    <n v="9.4600000000000004E-2"/>
    <m/>
    <m/>
    <m/>
    <m/>
    <m/>
    <m/>
    <m/>
    <m/>
    <n v="9.4600000000000004E-2"/>
    <m/>
    <m/>
    <m/>
  </r>
  <r>
    <x v="12"/>
    <x v="104"/>
    <s v="Frozen"/>
    <s v="flatfish filet"/>
    <s v="No"/>
    <s v="Denmark"/>
    <n v="2006"/>
    <s v="Thrane, Mikkel"/>
    <m/>
    <s v="Peer Reviewed Journal"/>
    <s v="Thrane, M., LCA of Danish Fish Products. New methods and insights. The International Journal of Life Cycle Assessment 2006, 11 (1), 66-74."/>
    <s v="Yes"/>
    <s v="No"/>
    <s v="Yes"/>
    <s v="Yes"/>
    <s v="No"/>
    <s v="Yes"/>
    <s v="Yes"/>
    <s v="Yes"/>
    <s v="Yes"/>
    <s v="Yes"/>
    <s v="No"/>
    <s v="No"/>
    <m/>
    <m/>
    <s v="Yes"/>
    <m/>
    <s v="1 kg consumed frozen flatfish filet"/>
    <m/>
    <s v=""/>
    <s v=""/>
    <n v="9.8648880000000005"/>
    <n v="10.8784896"/>
    <m/>
    <m/>
    <m/>
    <m/>
    <m/>
    <m/>
    <m/>
    <m/>
    <m/>
    <m/>
    <m/>
    <m/>
    <m/>
    <n v="9.8648880000000005"/>
    <m/>
    <n v="1.0136016000000001"/>
    <m/>
    <n v="0.36299999999999999"/>
    <n v="3.6915119999999999"/>
    <n v="5.9231040000000004"/>
    <m/>
    <m/>
    <n v="9.8648880000000005"/>
    <n v="20.856105599999999"/>
    <m/>
    <m/>
  </r>
  <r>
    <x v="1"/>
    <x v="23"/>
    <s v="Fresh or Not Specified"/>
    <m/>
    <m/>
    <s v="Denmark"/>
    <n v="2007"/>
    <s v="Dalgaard, Randi"/>
    <m/>
    <s v="Other (specify)"/>
    <s v="Dalgaard, R., The environmental impact of pork production from a life cycle perspective. 2007, PhD, ."/>
    <s v="Yes"/>
    <s v="No"/>
    <s v="Yes"/>
    <s v="Yes"/>
    <s v="No"/>
    <s v="Yes"/>
    <s v="No"/>
    <s v="No"/>
    <s v="No"/>
    <s v="No"/>
    <s v="No"/>
    <s v="No"/>
    <m/>
    <m/>
    <m/>
    <m/>
    <s v="1 kg carcass weight"/>
    <s v="/0.729"/>
    <s v=""/>
    <s v=""/>
    <n v="4.9128943758573387"/>
    <n v="5.1197530864197534"/>
    <m/>
    <m/>
    <m/>
    <m/>
    <m/>
    <m/>
    <m/>
    <m/>
    <m/>
    <m/>
    <m/>
    <m/>
    <m/>
    <n v="4.9128943758573387"/>
    <m/>
    <n v="0.20685871056241428"/>
    <m/>
    <n v="5.1714677640603571E-2"/>
    <m/>
    <m/>
    <m/>
    <m/>
    <n v="4.9128943758573387"/>
    <n v="5.171467764060357"/>
    <m/>
    <m/>
  </r>
  <r>
    <x v="1"/>
    <x v="3"/>
    <s v="Fresh or Not Specified"/>
    <s v="Japanese Wagyu beef"/>
    <m/>
    <s v="Japan"/>
    <n v="2007"/>
    <s v="Ogino, Akifumi_x000a_Orito, Hideki_x000a_Shimada, Kazuhiro_x000a_Hirooka, Hiroyuki"/>
    <m/>
    <s v="Peer Reviewed Journal"/>
    <s v="Ogino, A., Orito, H., Shimada, K. and Hirooka, H., Evaluating environmental impacts of the Japanese beef cow–calf system by the life cycle assessment method. Animal Science Journal 2007, 78 (4), 424-432."/>
    <s v="Yes"/>
    <s v="No"/>
    <s v="No"/>
    <s v="No"/>
    <s v="No"/>
    <s v="No"/>
    <s v="No"/>
    <s v="No"/>
    <s v="No"/>
    <s v="No"/>
    <s v="No"/>
    <s v="No"/>
    <s v="no"/>
    <s v="study focuses on cow-calf stage but extrapolates to finished beef"/>
    <m/>
    <m/>
    <s v="presents a value per kg retail beef; assuming this refers to boneless"/>
    <m/>
    <n v="169"/>
    <s v=""/>
    <n v="36.4"/>
    <s v=""/>
    <n v="169"/>
    <m/>
    <m/>
    <m/>
    <m/>
    <m/>
    <m/>
    <m/>
    <m/>
    <n v="169"/>
    <m/>
    <m/>
    <m/>
    <n v="36.4"/>
    <m/>
    <m/>
    <m/>
    <m/>
    <m/>
    <m/>
    <m/>
    <m/>
    <n v="36.4"/>
    <m/>
    <m/>
    <m/>
  </r>
  <r>
    <x v="0"/>
    <x v="0"/>
    <s v="Fresh or Not Specified"/>
    <m/>
    <m/>
    <s v="Sweden"/>
    <n v="2008"/>
    <s v="Berlin, Johanna_x000a_Sonesson, Ulf_x000a_Tillman, Anne‐Marie"/>
    <m/>
    <s v="Peer Reviewed Journal"/>
    <s v="Berlin, J., Sonesson, U. and Tillman, A. M., Product chain actors' potential for greening the product life cycle. Journal of Industrial Ecology 2008, 12 (1), 95-110."/>
    <s v="Yes"/>
    <s v="Yes"/>
    <s v="Yes"/>
    <s v="Yes"/>
    <s v="Yes"/>
    <s v="Yes"/>
    <s v="Yes"/>
    <s v="Yes"/>
    <s v="Yes"/>
    <s v="No"/>
    <s v="No"/>
    <s v="No"/>
    <m/>
    <m/>
    <m/>
    <m/>
    <s v="1 kg"/>
    <m/>
    <s v=""/>
    <s v=""/>
    <s v=""/>
    <s v=""/>
    <m/>
    <m/>
    <m/>
    <m/>
    <m/>
    <m/>
    <m/>
    <m/>
    <m/>
    <m/>
    <n v="5.8"/>
    <m/>
    <m/>
    <m/>
    <m/>
    <m/>
    <m/>
    <m/>
    <m/>
    <m/>
    <m/>
    <m/>
    <m/>
    <n v="1.1399999999999999"/>
    <m/>
    <m/>
  </r>
  <r>
    <x v="0"/>
    <x v="4"/>
    <s v="Fresh or Not Specified"/>
    <m/>
    <m/>
    <s v="Sweden"/>
    <n v="2008"/>
    <s v="Berlin, Johanna_x000a_Sonesson, Ulf_x000a_Tillman, Anne‐Marie"/>
    <m/>
    <s v="Peer Reviewed Journal"/>
    <s v="Berlin, J., Sonesson, U. and Tillman, A. M., Product chain actors' potential for greening the product life cycle. Journal of Industrial Ecology 2008, 12 (1), 95-110."/>
    <s v="Yes"/>
    <s v="Yes"/>
    <s v="Yes"/>
    <s v="Yes"/>
    <s v="Yes"/>
    <s v="Yes"/>
    <s v="Yes"/>
    <s v="Yes"/>
    <s v="Yes"/>
    <s v="No"/>
    <s v="No"/>
    <s v="No"/>
    <m/>
    <m/>
    <m/>
    <m/>
    <s v="1 kg"/>
    <m/>
    <s v=""/>
    <s v=""/>
    <s v=""/>
    <s v=""/>
    <m/>
    <m/>
    <m/>
    <m/>
    <m/>
    <m/>
    <m/>
    <m/>
    <m/>
    <m/>
    <n v="40"/>
    <m/>
    <m/>
    <m/>
    <m/>
    <m/>
    <m/>
    <m/>
    <m/>
    <m/>
    <m/>
    <m/>
    <m/>
    <n v="10.7"/>
    <m/>
    <m/>
  </r>
  <r>
    <x v="0"/>
    <x v="5"/>
    <s v="Fresh or Not Specified"/>
    <m/>
    <m/>
    <s v="Sweden"/>
    <n v="2008"/>
    <s v="Berlin, Johanna_x000a_Sonesson, Ulf_x000a_Tillman, Anne‐Marie"/>
    <m/>
    <s v="Peer Reviewed Journal"/>
    <s v="Berlin, J., Sonesson, U. and Tillman, A. M., Product chain actors' potential for greening the product life cycle. Journal of Industrial Ecology 2008, 12 (1), 95-110."/>
    <s v="Yes"/>
    <s v="Yes"/>
    <s v="Yes"/>
    <s v="Yes"/>
    <s v="Yes"/>
    <s v="Yes"/>
    <s v="Yes"/>
    <s v="Yes"/>
    <s v="Yes"/>
    <s v="No"/>
    <s v="No"/>
    <s v="No"/>
    <m/>
    <m/>
    <m/>
    <m/>
    <s v="1 kg"/>
    <m/>
    <s v=""/>
    <s v=""/>
    <s v=""/>
    <s v=""/>
    <m/>
    <m/>
    <m/>
    <m/>
    <m/>
    <m/>
    <m/>
    <m/>
    <m/>
    <m/>
    <n v="8.9"/>
    <m/>
    <m/>
    <m/>
    <m/>
    <m/>
    <m/>
    <m/>
    <m/>
    <m/>
    <m/>
    <m/>
    <m/>
    <n v="1.45"/>
    <m/>
    <m/>
  </r>
  <r>
    <x v="12"/>
    <x v="102"/>
    <s v="Frozen"/>
    <s v="farmed salmon, filleted, frozen and delivered to consumer in Paris"/>
    <m/>
    <s v="Norway"/>
    <n v="2008"/>
    <s v="Ellingsen, H_x000a_Olaussen, JO_x000a_Utne, IB"/>
    <m/>
    <s v="Peer Reviewed Journal"/>
    <s v="Ellingsen, H., Olaussen, J. and Utne, I., Environmental analysis of the Norwegian fishery and aquaculture industry—A preliminary study focusing on farmed salmon. Marine Policy 2009, 33 (3), 479-488."/>
    <s v="Yes"/>
    <s v="No"/>
    <s v="Yes"/>
    <s v="Yes"/>
    <s v="No"/>
    <s v="Yes"/>
    <s v="No"/>
    <s v="Yes"/>
    <s v="No"/>
    <s v="No"/>
    <s v="No"/>
    <s v="No"/>
    <m/>
    <m/>
    <m/>
    <m/>
    <s v="1 kg salmon fillet"/>
    <m/>
    <s v=""/>
    <s v=""/>
    <n v="2.25"/>
    <n v="2.3311000000000002"/>
    <m/>
    <m/>
    <m/>
    <m/>
    <m/>
    <m/>
    <m/>
    <m/>
    <m/>
    <m/>
    <m/>
    <m/>
    <m/>
    <n v="2.25"/>
    <n v="8.1100000000000005E-2"/>
    <n v="0"/>
    <m/>
    <n v="0.36906800000000001"/>
    <m/>
    <n v="0.33040000000000003"/>
    <m/>
    <m/>
    <n v="2.25"/>
    <n v="3.0305680000000002"/>
    <m/>
    <m/>
  </r>
  <r>
    <x v="3"/>
    <x v="18"/>
    <s v="Fresh or Not Specified"/>
    <s v="low temperature distribution"/>
    <m/>
    <s v="Japan"/>
    <n v="2008"/>
    <s v="Roy, Poritosh_x000a_Nei, Daisuke_x000a_Okadome, Hiroshi_x000a_Nakamura, Nobutaka_x000a_Orikasa, Takahiro_x000a_Shiina, Takeo"/>
    <m/>
    <s v="Peer Reviewed Journal"/>
    <s v="Roy, P., Nei, D., Okadome, H., Nakamura, N., Orikasa, T. and Shiina, T., Life cycle inventory analysis of fresh tomato distribution systems in Japan considering the quality aspect. Journal of Food Engineering 2008, 86 (2), 225-233."/>
    <s v="Yes"/>
    <s v="No"/>
    <s v="Yes"/>
    <s v="No"/>
    <s v="Yes"/>
    <s v="Yes"/>
    <s v="No"/>
    <s v="No"/>
    <s v="No"/>
    <s v="No"/>
    <s v="No"/>
    <s v="No"/>
    <m/>
    <s v="value recorded in processing stage for low temp distribution is for cooling"/>
    <s v="Yes"/>
    <m/>
    <s v="1000 kg"/>
    <s v="/1000"/>
    <s v=""/>
    <s v=""/>
    <n v="0.81"/>
    <n v="0.81742500000000007"/>
    <m/>
    <m/>
    <m/>
    <m/>
    <m/>
    <m/>
    <m/>
    <m/>
    <m/>
    <m/>
    <m/>
    <m/>
    <m/>
    <n v="0.81"/>
    <n v="5.5599999999999998E-3"/>
    <n v="1.8649999999999999E-3"/>
    <n v="5.8799999999999998E-2"/>
    <n v="1.2529999999999998E-4"/>
    <m/>
    <m/>
    <m/>
    <m/>
    <n v="0.81"/>
    <n v="0.87635030000000003"/>
    <m/>
    <m/>
  </r>
  <r>
    <x v="3"/>
    <x v="19"/>
    <s v="Fresh or Not Specified"/>
    <s v="low temperature distribution"/>
    <m/>
    <s v="Japan"/>
    <n v="2008"/>
    <s v="Roy, Poritosh_x000a_Nei, Daisuke_x000a_Okadome, Hiroshi_x000a_Nakamura, Nobutaka_x000a_Orikasa, Takahiro_x000a_Shiina, Takeo"/>
    <m/>
    <s v="Peer Reviewed Journal"/>
    <s v="Roy, P., Nei, D., Okadome, H., Nakamura, N., Orikasa, T. and Shiina, T., Life cycle inventory analysis of fresh tomato distribution systems in Japan considering the quality aspect. Journal of Food Engineering 2008, 86 (2), 225-233."/>
    <s v="Yes"/>
    <s v="No"/>
    <s v="Yes"/>
    <s v="No"/>
    <s v="Yes"/>
    <s v="Yes"/>
    <s v="No"/>
    <s v="No"/>
    <s v="No"/>
    <s v="No"/>
    <s v="No"/>
    <s v="No"/>
    <m/>
    <s v="value recorded in processing stage for low temp distribution is for cooling"/>
    <s v="Yes"/>
    <m/>
    <s v="1000 kg"/>
    <s v="/1000"/>
    <s v=""/>
    <s v=""/>
    <n v="0.20200000000000001"/>
    <n v="0.20942500000000003"/>
    <m/>
    <m/>
    <m/>
    <m/>
    <m/>
    <m/>
    <m/>
    <m/>
    <m/>
    <m/>
    <m/>
    <m/>
    <m/>
    <n v="0.20200000000000001"/>
    <n v="5.5599999999999998E-3"/>
    <n v="1.8649999999999999E-3"/>
    <n v="5.8799999999999998E-2"/>
    <n v="1.2529999999999998E-4"/>
    <m/>
    <m/>
    <m/>
    <m/>
    <n v="0.20200000000000001"/>
    <n v="0.26835030000000004"/>
    <m/>
    <m/>
  </r>
  <r>
    <x v="3"/>
    <x v="18"/>
    <s v="Fresh or Not Specified"/>
    <s v="modified atmosphere packaging distribution"/>
    <m/>
    <s v="Japan"/>
    <n v="2008"/>
    <s v="Roy, Poritosh_x000a_Nei, Daisuke_x000a_Okadome, Hiroshi_x000a_Nakamura, Nobutaka_x000a_Orikasa, Takahiro_x000a_Shiina, Takeo"/>
    <m/>
    <s v="Peer Reviewed Journal"/>
    <s v="Roy, P., Nei, D., Okadome, H., Nakamura, N., Orikasa, T. and Shiina, T., Life cycle inventory analysis of fresh tomato distribution systems in Japan considering the quality aspect. Journal of Food Engineering 2008, 86 (2), 225-233."/>
    <s v="Yes"/>
    <s v="No"/>
    <s v="Yes"/>
    <s v="No"/>
    <s v="Yes"/>
    <s v="Yes"/>
    <s v="No"/>
    <s v="No"/>
    <s v="No"/>
    <s v="No"/>
    <s v="No"/>
    <s v="No"/>
    <m/>
    <s v="value recorded in processing stage for low temp distribution is for cooling"/>
    <s v="Yes"/>
    <m/>
    <s v="1000 kg"/>
    <s v="/1000"/>
    <s v=""/>
    <s v=""/>
    <n v="0.81"/>
    <n v="0.81556000000000006"/>
    <m/>
    <m/>
    <m/>
    <m/>
    <m/>
    <m/>
    <m/>
    <m/>
    <m/>
    <m/>
    <m/>
    <m/>
    <m/>
    <n v="0.81"/>
    <n v="5.5599999999999998E-3"/>
    <m/>
    <n v="7.4190000000000006E-2"/>
    <n v="1.0450000000000001E-4"/>
    <m/>
    <m/>
    <m/>
    <m/>
    <n v="0.81"/>
    <n v="0.88985449999999999"/>
    <m/>
    <m/>
  </r>
  <r>
    <x v="3"/>
    <x v="19"/>
    <s v="Fresh or Not Specified"/>
    <s v="modified atmosphere packaging distribution"/>
    <m/>
    <s v="Japan"/>
    <n v="2008"/>
    <s v="Roy, Poritosh_x000a_Nei, Daisuke_x000a_Okadome, Hiroshi_x000a_Nakamura, Nobutaka_x000a_Orikasa, Takahiro_x000a_Shiina, Takeo"/>
    <m/>
    <s v="Peer Reviewed Journal"/>
    <s v="Roy, P., Nei, D., Okadome, H., Nakamura, N., Orikasa, T. and Shiina, T., Life cycle inventory analysis of fresh tomato distribution systems in Japan considering the quality aspect. Journal of Food Engineering 2008, 86 (2), 225-233."/>
    <s v="Yes"/>
    <s v="No"/>
    <s v="Yes"/>
    <s v="No"/>
    <s v="Yes"/>
    <s v="Yes"/>
    <s v="No"/>
    <s v="No"/>
    <s v="No"/>
    <s v="No"/>
    <s v="No"/>
    <s v="No"/>
    <m/>
    <s v="value recorded in processing stage for low temp distribution is for cooling"/>
    <s v="Yes"/>
    <m/>
    <s v="1000 kg"/>
    <s v="/1000"/>
    <s v=""/>
    <s v=""/>
    <n v="0.20200000000000001"/>
    <n v="0.20756000000000002"/>
    <m/>
    <m/>
    <m/>
    <m/>
    <m/>
    <m/>
    <m/>
    <m/>
    <m/>
    <m/>
    <m/>
    <m/>
    <m/>
    <n v="0.20200000000000001"/>
    <n v="5.5599999999999998E-3"/>
    <m/>
    <n v="7.4190000000000006E-2"/>
    <n v="1.0450000000000001E-4"/>
    <m/>
    <m/>
    <m/>
    <m/>
    <n v="0.20200000000000001"/>
    <n v="0.28185450000000006"/>
    <m/>
    <m/>
  </r>
  <r>
    <x v="0"/>
    <x v="0"/>
    <s v="Fresh or Not Specified"/>
    <s v="mass allocation"/>
    <m/>
    <s v="Netherlands"/>
    <n v="2008"/>
    <s v="Thomassen, Marlies A_x000a_Dalgaard, Randi_x000a_Heijungs, Reinout_x000a_De Boer, Imke"/>
    <m/>
    <s v="Peer Reviewed Journal"/>
    <s v="Thomassen, M. A., Dalgaard, R., Heijungs, R. and De Boer, I., Attributional and consequential LCA of milk production. The International Journal of Life Cycle Assessment 2008, 13 (4), 339-349."/>
    <s v="Yes"/>
    <s v="No"/>
    <s v="No"/>
    <s v="No"/>
    <s v="No"/>
    <s v="No"/>
    <s v="No"/>
    <s v="No"/>
    <s v="No"/>
    <s v="No"/>
    <s v="No"/>
    <s v="No"/>
    <m/>
    <s v="cradle to farm gate (not logging consequestial results)"/>
    <m/>
    <m/>
    <s v="1 kg FPCM"/>
    <m/>
    <n v="5.77"/>
    <s v=""/>
    <n v="1.56"/>
    <s v=""/>
    <n v="5.77"/>
    <m/>
    <m/>
    <m/>
    <m/>
    <m/>
    <m/>
    <m/>
    <m/>
    <n v="5.77"/>
    <m/>
    <m/>
    <m/>
    <n v="1.56"/>
    <m/>
    <m/>
    <m/>
    <m/>
    <m/>
    <m/>
    <m/>
    <m/>
    <n v="1.56"/>
    <m/>
    <m/>
    <m/>
  </r>
  <r>
    <x v="0"/>
    <x v="0"/>
    <s v="Fresh or Not Specified"/>
    <s v="economic allocation"/>
    <m/>
    <s v="Netherlands"/>
    <n v="2008"/>
    <s v="Thomassen, Marlies A_x000a_Dalgaard, Randi_x000a_Heijungs, Reinout_x000a_De Boer, Imke"/>
    <m/>
    <s v="Peer Reviewed Journal"/>
    <s v="Thomassen, M. A., Dalgaard, R., Heijungs, R. and De Boer, I., Attributional and consequential LCA of milk production. The International Journal of Life Cycle Assessment 2008, 13 (4), 339-349."/>
    <s v="Yes"/>
    <s v="No"/>
    <s v="No"/>
    <s v="No"/>
    <s v="No"/>
    <s v="No"/>
    <s v="No"/>
    <s v="No"/>
    <s v="No"/>
    <s v="No"/>
    <s v="No"/>
    <s v="No"/>
    <m/>
    <s v="cradle to farm gate (not logging consequestial results)"/>
    <m/>
    <m/>
    <s v="1 kg FPCM"/>
    <m/>
    <n v="6.91"/>
    <s v=""/>
    <n v="1.61"/>
    <s v=""/>
    <n v="6.91"/>
    <m/>
    <m/>
    <m/>
    <m/>
    <m/>
    <m/>
    <m/>
    <m/>
    <n v="6.91"/>
    <m/>
    <m/>
    <m/>
    <n v="1.61"/>
    <m/>
    <m/>
    <m/>
    <m/>
    <m/>
    <m/>
    <m/>
    <m/>
    <n v="1.61"/>
    <m/>
    <m/>
    <m/>
  </r>
  <r>
    <x v="1"/>
    <x v="3"/>
    <s v="Fresh or Not Specified"/>
    <s v="eastern Canada"/>
    <m/>
    <s v="Canada"/>
    <n v="2008"/>
    <s v="Vergé, X. P. C._x000a_Dyer, J. A._x000a_Desjardins, R. L._x000a_Worth, D."/>
    <m/>
    <s v="Peer Reviewed Journal"/>
    <s v="Vergé, X. P. C., Dyer, J. A., Desjardins, R. L. and Worth, D., Greenhouse gas emissions from the Canadian beef industry. Agricultural Systems 2008, 98 (2), 126-134."/>
    <s v="Yes"/>
    <s v="No"/>
    <s v="No"/>
    <s v="No"/>
    <s v="No"/>
    <s v="No"/>
    <s v="No"/>
    <s v="No"/>
    <s v="No"/>
    <s v="No"/>
    <s v="No"/>
    <s v="No"/>
    <m/>
    <s v="farm gate.  Reporting values from 2001"/>
    <m/>
    <m/>
    <s v="per kg live weight"/>
    <s v="/0.667/0.602"/>
    <s v=""/>
    <s v=""/>
    <n v="30.408383847943142"/>
    <s v=""/>
    <m/>
    <m/>
    <m/>
    <m/>
    <m/>
    <m/>
    <m/>
    <m/>
    <m/>
    <m/>
    <m/>
    <m/>
    <m/>
    <n v="30.408383847943142"/>
    <m/>
    <m/>
    <m/>
    <m/>
    <m/>
    <m/>
    <m/>
    <m/>
    <n v="30.408383847943142"/>
    <m/>
    <m/>
    <m/>
  </r>
  <r>
    <x v="1"/>
    <x v="3"/>
    <s v="Fresh or Not Specified"/>
    <s v="Western Canada"/>
    <m/>
    <s v="Canada"/>
    <n v="2008"/>
    <s v="Vergé, X. P. C._x000a_Dyer, J. A._x000a_Desjardins, R. L._x000a_Worth, D."/>
    <m/>
    <s v="Peer Reviewed Journal"/>
    <s v="Vergé, X. P. C., Dyer, J. A., Desjardins, R. L. and Worth, D., Greenhouse gas emissions from the Canadian beef industry. Agricultural Systems 2008, 98 (2), 126-134."/>
    <s v="Yes"/>
    <s v="No"/>
    <s v="No"/>
    <s v="No"/>
    <s v="No"/>
    <s v="No"/>
    <s v="No"/>
    <s v="No"/>
    <s v="No"/>
    <s v="No"/>
    <s v="No"/>
    <s v="No"/>
    <m/>
    <s v="farm gate.  Reporting values from 2001"/>
    <m/>
    <m/>
    <s v="per kg live weight"/>
    <s v="/0.667/0.602"/>
    <s v=""/>
    <s v=""/>
    <n v="25.053918223612449"/>
    <s v=""/>
    <m/>
    <m/>
    <m/>
    <m/>
    <m/>
    <m/>
    <m/>
    <m/>
    <m/>
    <m/>
    <m/>
    <m/>
    <m/>
    <n v="25.053918223612449"/>
    <m/>
    <m/>
    <m/>
    <m/>
    <m/>
    <m/>
    <m/>
    <m/>
    <n v="25.053918223612449"/>
    <m/>
    <m/>
    <m/>
  </r>
  <r>
    <x v="1"/>
    <x v="3"/>
    <s v="Fresh or Not Specified"/>
    <s v="Canada wide"/>
    <m/>
    <s v="Canada"/>
    <n v="2008"/>
    <s v="Vergé, X. P. C._x000a_Dyer, J. A._x000a_Desjardins, R. L._x000a_Worth, D."/>
    <m/>
    <s v="Peer Reviewed Journal"/>
    <s v="Vergé, X. P. C., Dyer, J. A., Desjardins, R. L. and Worth, D., Greenhouse gas emissions from the Canadian beef industry. Agricultural Systems 2008, 98 (2), 126-134."/>
    <s v="Yes"/>
    <s v="No"/>
    <s v="No"/>
    <s v="No"/>
    <s v="No"/>
    <s v="No"/>
    <s v="No"/>
    <s v="No"/>
    <s v="No"/>
    <s v="No"/>
    <s v="No"/>
    <s v="No"/>
    <m/>
    <s v="farm gate.  Reporting values from 2001"/>
    <m/>
    <m/>
    <s v="per kg live weight"/>
    <s v="/0.667/0.602"/>
    <s v=""/>
    <s v=""/>
    <n v="25.825957453167099"/>
    <s v=""/>
    <m/>
    <m/>
    <m/>
    <m/>
    <m/>
    <m/>
    <m/>
    <m/>
    <m/>
    <m/>
    <m/>
    <m/>
    <m/>
    <n v="25.825957453167099"/>
    <m/>
    <m/>
    <m/>
    <m/>
    <m/>
    <m/>
    <m/>
    <m/>
    <n v="25.825957453167099"/>
    <m/>
    <m/>
    <m/>
  </r>
  <r>
    <x v="12"/>
    <x v="111"/>
    <s v="Fresh or Not Specified"/>
    <s v="Norway Lobster, trawled"/>
    <m/>
    <s v="Sweden"/>
    <n v="2008"/>
    <s v="Ziegler, Friederike_x000a_Valentinsson, Daniel"/>
    <m/>
    <s v="Peer Reviewed Journal"/>
    <s v="Ziegler, F. and Valentinsson, D., Environmental life cycle assessment of Norway lobster (Nephrops norvegicus) caught along the Swedish west coast by creels and conventional trawls—LCA methodology with case study. The International Journal of Life Cycle Assessment 2008, 13 (6), 487."/>
    <s v="Yes"/>
    <s v="No"/>
    <s v="Yes"/>
    <s v="No"/>
    <s v="No"/>
    <s v="Yes"/>
    <s v="Yes"/>
    <s v="Yes"/>
    <s v="Yes"/>
    <s v="Yes"/>
    <s v="No"/>
    <s v="No"/>
    <m/>
    <m/>
    <m/>
    <m/>
    <s v=".3 g edible meat (Norway Lobster tails) corresponding to 1 kg whole boiled lobster"/>
    <s v="/.3"/>
    <n v="1066.6666666666667"/>
    <s v=""/>
    <n v="105.66666666666667"/>
    <s v=""/>
    <n v="1066.6666666666667"/>
    <m/>
    <m/>
    <m/>
    <n v="33.333333333333336"/>
    <m/>
    <n v="83.333333333333343"/>
    <m/>
    <m/>
    <n v="1066.6666666666667"/>
    <n v="1183.3333333333333"/>
    <m/>
    <m/>
    <n v="105.66666666666667"/>
    <m/>
    <m/>
    <m/>
    <n v="1.8293800000000002"/>
    <n v="1.19"/>
    <n v="9.9333333333333336"/>
    <n v="6.1000000000000004E-3"/>
    <m/>
    <n v="105.66666666666667"/>
    <n v="118.62548000000001"/>
    <m/>
    <m/>
  </r>
  <r>
    <x v="12"/>
    <x v="111"/>
    <s v="Fresh or Not Specified"/>
    <s v="Norway Lobster, creeled"/>
    <m/>
    <s v="Sweden"/>
    <n v="2008"/>
    <s v="Ziegler, Friederike_x000a_Valentinsson, Daniel"/>
    <m/>
    <s v="Peer Reviewed Journal"/>
    <s v="Ziegler, F. and Valentinsson, D., Environmental life cycle assessment of Norway lobster (Nephrops norvegicus) caught along the Swedish west coast by creels and conventional trawls—LCA methodology with case study. The International Journal of Life Cycle Assessment 2008, 13 (6), 487."/>
    <s v="Yes"/>
    <s v="No"/>
    <s v="Yes"/>
    <s v="No"/>
    <s v="No"/>
    <s v="Yes"/>
    <s v="Yes"/>
    <s v="Yes"/>
    <s v="Yes"/>
    <s v="Yes"/>
    <s v="No"/>
    <s v="No"/>
    <m/>
    <m/>
    <m/>
    <m/>
    <s v=".3 g edible meat (Norway Lobster tails) corresponding to 1 kg whole boiled lobster"/>
    <s v="/.3"/>
    <n v="250"/>
    <s v=""/>
    <n v="37"/>
    <s v=""/>
    <n v="250"/>
    <m/>
    <m/>
    <m/>
    <n v="33.333333333333336"/>
    <m/>
    <n v="83.333333333333343"/>
    <m/>
    <m/>
    <n v="250"/>
    <n v="366.66666666666663"/>
    <m/>
    <m/>
    <n v="37"/>
    <m/>
    <m/>
    <m/>
    <n v="1.8293800000000002"/>
    <n v="1.19"/>
    <n v="9.9333333333333336"/>
    <n v="6.1000000000000004E-3"/>
    <m/>
    <n v="37"/>
    <n v="49.958813333333339"/>
    <m/>
    <m/>
  </r>
  <r>
    <x v="1"/>
    <x v="1"/>
    <s v="Fresh or Not Specified"/>
    <s v="conventional"/>
    <m/>
    <s v="UK"/>
    <n v="2009"/>
    <s v="Edwards-Jones, G._x000a_Plassmann, K._x000a_Harris, I. M."/>
    <m/>
    <s v="Peer Reviewed Journal"/>
    <s v="Edwards-Jones, G., Plassmann, K. and Harris, I. M., Carbon footprinting of lamb and beef production systems: insights from an empirical analysis of farms in Wales, UK. The Journal of Agricultural Science 2009, 147 (6), 707-719."/>
    <s v="Yes"/>
    <s v="No"/>
    <s v="No"/>
    <s v="No"/>
    <s v="No"/>
    <s v="No"/>
    <s v="No"/>
    <s v="No"/>
    <s v="No"/>
    <s v="No"/>
    <s v="No"/>
    <s v="No"/>
    <m/>
    <m/>
    <m/>
    <m/>
    <s v="/kg dead weight"/>
    <s v="/0.658"/>
    <s v=""/>
    <s v=""/>
    <n v="43.617021276595743"/>
    <s v=""/>
    <m/>
    <m/>
    <m/>
    <m/>
    <m/>
    <m/>
    <m/>
    <m/>
    <m/>
    <m/>
    <m/>
    <m/>
    <m/>
    <n v="43.617021276595743"/>
    <m/>
    <m/>
    <m/>
    <m/>
    <m/>
    <m/>
    <m/>
    <m/>
    <n v="43.617021276595743"/>
    <m/>
    <m/>
    <m/>
  </r>
  <r>
    <x v="1"/>
    <x v="1"/>
    <s v="Fresh or Not Specified"/>
    <s v="conventional, extensive"/>
    <m/>
    <s v="UK"/>
    <n v="2009"/>
    <s v="Edwards-Jones, G._x000a_Plassmann, K._x000a_Harris, I. M."/>
    <m/>
    <s v="Peer Reviewed Journal"/>
    <s v="Edwards-Jones, G., Plassmann, K. and Harris, I. M., Carbon footprinting of lamb and beef production systems: insights from an empirical analysis of farms in Wales, UK. The Journal of Agricultural Science 2009, 147 (6), 707-719."/>
    <s v="Yes"/>
    <s v="No"/>
    <s v="No"/>
    <s v="No"/>
    <s v="No"/>
    <s v="No"/>
    <s v="No"/>
    <s v="No"/>
    <s v="No"/>
    <s v="No"/>
    <s v="No"/>
    <s v="No"/>
    <m/>
    <m/>
    <m/>
    <m/>
    <s v="/kg dead weight"/>
    <s v="/0.658"/>
    <s v=""/>
    <s v=""/>
    <n v="166.71732522796353"/>
    <s v=""/>
    <m/>
    <m/>
    <m/>
    <m/>
    <m/>
    <m/>
    <m/>
    <m/>
    <m/>
    <m/>
    <m/>
    <m/>
    <m/>
    <n v="166.71732522796353"/>
    <m/>
    <m/>
    <m/>
    <m/>
    <m/>
    <m/>
    <m/>
    <m/>
    <n v="166.71732522796353"/>
    <m/>
    <m/>
    <m/>
  </r>
  <r>
    <x v="1"/>
    <x v="3"/>
    <s v="Fresh or Not Specified"/>
    <s v="conventional"/>
    <m/>
    <s v="UK"/>
    <n v="2009"/>
    <s v="Edwards-Jones, G._x000a_Plassmann, K._x000a_Harris, I. M."/>
    <m/>
    <s v="Peer Reviewed Journal"/>
    <s v="Edwards-Jones, G., Plassmann, K. and Harris, I. M., Carbon footprinting of lamb and beef production systems: insights from an empirical analysis of farms in Wales, UK. The Journal of Agricultural Science 2009, 147 (6), 707-719."/>
    <s v="Yes"/>
    <s v="No"/>
    <s v="No"/>
    <s v="No"/>
    <s v="No"/>
    <s v="No"/>
    <s v="No"/>
    <s v="No"/>
    <s v="No"/>
    <s v="No"/>
    <s v="No"/>
    <s v="No"/>
    <m/>
    <m/>
    <m/>
    <m/>
    <s v="/kg live weight"/>
    <s v="/0.667/0.602"/>
    <s v=""/>
    <s v=""/>
    <n v="38.6019614777329"/>
    <s v=""/>
    <m/>
    <m/>
    <m/>
    <m/>
    <m/>
    <m/>
    <m/>
    <m/>
    <m/>
    <m/>
    <m/>
    <m/>
    <m/>
    <n v="38.6019614777329"/>
    <m/>
    <m/>
    <m/>
    <m/>
    <m/>
    <m/>
    <m/>
    <m/>
    <n v="38.6019614777329"/>
    <m/>
    <m/>
    <m/>
  </r>
  <r>
    <x v="1"/>
    <x v="3"/>
    <s v="Fresh or Not Specified"/>
    <s v="extensive"/>
    <m/>
    <s v="UK"/>
    <n v="2009"/>
    <s v="Edwards-Jones, G._x000a_Plassmann, K._x000a_Harris, I. M."/>
    <m/>
    <s v="Peer Reviewed Journal"/>
    <s v="Edwards-Jones, G., Plassmann, K. and Harris, I. M., Carbon footprinting of lamb and beef production systems: insights from an empirical analysis of farms in Wales, UK. The Journal of Agricultural Science 2009, 147 (6), 707-719."/>
    <s v="Yes"/>
    <s v="No"/>
    <s v="No"/>
    <s v="No"/>
    <s v="No"/>
    <s v="No"/>
    <s v="No"/>
    <s v="No"/>
    <s v="No"/>
    <s v="No"/>
    <s v="No"/>
    <s v="No"/>
    <m/>
    <m/>
    <m/>
    <m/>
    <s v="/kg live weight"/>
    <s v="/0.667/0.602"/>
    <s v=""/>
    <s v=""/>
    <n v="118.54537847355391"/>
    <s v=""/>
    <m/>
    <m/>
    <m/>
    <m/>
    <m/>
    <m/>
    <m/>
    <m/>
    <m/>
    <m/>
    <m/>
    <m/>
    <m/>
    <n v="118.54537847355391"/>
    <m/>
    <m/>
    <m/>
    <m/>
    <m/>
    <m/>
    <m/>
    <m/>
    <n v="118.54537847355391"/>
    <m/>
    <m/>
    <m/>
  </r>
  <r>
    <x v="12"/>
    <x v="104"/>
    <s v="Frozen"/>
    <s v="cod, processed, long liner fishing"/>
    <m/>
    <s v="Iceland"/>
    <n v="2009"/>
    <s v="Guttormsdóttir, Aðalbjörg Birna"/>
    <m/>
    <s v="NGO Report"/>
    <s v="Guttormsdóttir, A. B., Life cycle assessment on Icelandic cod product based on two different fishing methods. Univerity of Iceland 2009, ."/>
    <s v="Yes"/>
    <s v="No"/>
    <s v="Yes"/>
    <s v="Yes"/>
    <m/>
    <s v="Yes"/>
    <s v="No"/>
    <s v="No"/>
    <s v="No"/>
    <s v="No"/>
    <s v="No"/>
    <s v="No"/>
    <m/>
    <m/>
    <m/>
    <m/>
    <s v="1 kg of frozen light salted cod fillets caught in Icelandic sea"/>
    <m/>
    <n v="1.19529"/>
    <n v="1.42272"/>
    <n v="1.2008000000000001"/>
    <n v="1.2128080000000001"/>
    <n v="1.19529"/>
    <m/>
    <n v="0.22743000000000002"/>
    <m/>
    <n v="0.38303999999999999"/>
    <m/>
    <m/>
    <m/>
    <m/>
    <n v="1.19529"/>
    <n v="1.71"/>
    <m/>
    <m/>
    <n v="1.2008000000000001"/>
    <m/>
    <n v="1.2008000000000001E-2"/>
    <m/>
    <n v="0.37446000000000002"/>
    <m/>
    <m/>
    <m/>
    <m/>
    <n v="1.2008000000000001"/>
    <n v="1.58"/>
    <m/>
    <m/>
  </r>
  <r>
    <x v="12"/>
    <x v="104"/>
    <s v="Frozen"/>
    <s v="cod, processed, bottom trawler fishing"/>
    <m/>
    <s v="Iceland"/>
    <n v="2009"/>
    <s v="Guttormsdóttir, Aðalbjörg Birna"/>
    <m/>
    <s v="NGO Report"/>
    <s v="Guttormsdóttir, A. B., Life cycle assessment on Icelandic cod product based on two different fishing methods. Univerity of Iceland 2009, ."/>
    <s v="Yes"/>
    <s v="No"/>
    <s v="Yes"/>
    <s v="Yes"/>
    <m/>
    <s v="Yes"/>
    <s v="No"/>
    <s v="No"/>
    <s v="No"/>
    <s v="No"/>
    <s v="No"/>
    <s v="No"/>
    <m/>
    <m/>
    <m/>
    <m/>
    <s v="1 kg of frozen light salted cod fillets caught in Icelandic sea"/>
    <m/>
    <n v="3.4701600000000004"/>
    <n v="7.4121400000000008"/>
    <n v="3.4438"/>
    <n v="4.883"/>
    <n v="3.4701600000000004"/>
    <m/>
    <n v="3.9419800000000005"/>
    <m/>
    <n v="0.23667099999999999"/>
    <m/>
    <m/>
    <m/>
    <m/>
    <n v="3.4701600000000004"/>
    <n v="7.61"/>
    <m/>
    <m/>
    <n v="3.4438"/>
    <m/>
    <n v="1.4392"/>
    <m/>
    <n v="0.25700000000000001"/>
    <m/>
    <m/>
    <m/>
    <m/>
    <n v="3.4438"/>
    <n v="5.14"/>
    <m/>
    <m/>
  </r>
  <r>
    <x v="5"/>
    <x v="122"/>
    <m/>
    <s v="conventional"/>
    <m/>
    <s v="Japan"/>
    <n v="2009"/>
    <s v="Hokazono, S_x000a_Hayashi, K_x000a_Sato, M"/>
    <m/>
    <s v="Peer Reviewed Journal"/>
    <s v="Hokazono, S., Hayashi, K. and Sato, M., Potentialities of organic and sustainable rice production in Japan from a life cycle perspective. Agronomy Research 2009, 7 (1), 257-262."/>
    <s v="Yes"/>
    <s v="No"/>
    <s v="No"/>
    <s v="No"/>
    <s v="No"/>
    <s v="No"/>
    <s v="No"/>
    <s v="No"/>
    <s v="No"/>
    <s v="No"/>
    <s v="No"/>
    <s v="No"/>
    <m/>
    <m/>
    <m/>
    <m/>
    <s v="1 kg brown rice"/>
    <m/>
    <s v=""/>
    <s v=""/>
    <n v="1.5"/>
    <s v=""/>
    <m/>
    <m/>
    <m/>
    <m/>
    <m/>
    <m/>
    <m/>
    <m/>
    <m/>
    <m/>
    <m/>
    <m/>
    <m/>
    <n v="1.5"/>
    <m/>
    <m/>
    <m/>
    <m/>
    <m/>
    <m/>
    <m/>
    <m/>
    <n v="1.5"/>
    <m/>
    <m/>
    <m/>
  </r>
  <r>
    <x v="5"/>
    <x v="122"/>
    <m/>
    <s v="sustainable"/>
    <m/>
    <s v="Japan"/>
    <n v="2009"/>
    <s v="Hokazono, S_x000a_Hayashi, K_x000a_Sato, M"/>
    <m/>
    <s v="Peer Reviewed Journal"/>
    <s v="Hokazono, S., Hayashi, K. and Sato, M., Potentialities of organic and sustainable rice production in Japan from a life cycle perspective. Agronomy Research 2009, 7 (1), 257-262."/>
    <s v="Yes"/>
    <s v="No"/>
    <s v="No"/>
    <s v="No"/>
    <s v="No"/>
    <s v="No"/>
    <s v="No"/>
    <s v="No"/>
    <s v="No"/>
    <s v="No"/>
    <s v="No"/>
    <s v="No"/>
    <m/>
    <m/>
    <m/>
    <m/>
    <s v="1 kg brown rice"/>
    <m/>
    <s v=""/>
    <s v=""/>
    <n v="1.33"/>
    <s v=""/>
    <m/>
    <m/>
    <m/>
    <m/>
    <m/>
    <m/>
    <m/>
    <m/>
    <m/>
    <m/>
    <m/>
    <m/>
    <m/>
    <n v="1.33"/>
    <m/>
    <m/>
    <m/>
    <m/>
    <m/>
    <m/>
    <m/>
    <m/>
    <n v="1.33"/>
    <m/>
    <m/>
    <m/>
  </r>
  <r>
    <x v="5"/>
    <x v="122"/>
    <m/>
    <s v="organic"/>
    <m/>
    <s v="Japan"/>
    <n v="2009"/>
    <s v="Hokazono, S_x000a_Hayashi, K_x000a_Sato, M"/>
    <m/>
    <s v="Peer Reviewed Journal"/>
    <s v="Hokazono, S., Hayashi, K. and Sato, M., Potentialities of organic and sustainable rice production in Japan from a life cycle perspective. Agronomy Research 2009, 7 (1), 257-262."/>
    <s v="Yes"/>
    <s v="No"/>
    <s v="No"/>
    <s v="No"/>
    <s v="No"/>
    <s v="No"/>
    <s v="No"/>
    <s v="No"/>
    <s v="No"/>
    <s v="No"/>
    <s v="No"/>
    <s v="No"/>
    <m/>
    <m/>
    <m/>
    <m/>
    <s v="1 kg brown rice"/>
    <m/>
    <s v=""/>
    <s v=""/>
    <n v="1.62"/>
    <s v=""/>
    <m/>
    <m/>
    <m/>
    <m/>
    <m/>
    <m/>
    <m/>
    <m/>
    <m/>
    <m/>
    <m/>
    <m/>
    <m/>
    <n v="1.62"/>
    <m/>
    <m/>
    <m/>
    <m/>
    <m/>
    <m/>
    <m/>
    <m/>
    <n v="1.62"/>
    <m/>
    <m/>
    <m/>
  </r>
  <r>
    <x v="3"/>
    <x v="57"/>
    <m/>
    <s v="british farms (outdoors)"/>
    <m/>
    <s v="UK"/>
    <n v="2009"/>
    <s v="Hospido, Almudena_x000a_i Canals, Llorenç Milà_x000a_McLaren, Sarah_x000a_Truninger, Monica_x000a_Edwards-Jones, Gareth_x000a_Clift, Roland"/>
    <m/>
    <s v="Peer Reviewed Journal"/>
    <s v="Hospido, A., I Canals, L. M., Mclaren, S., Truninger, M., Edwards-Jones, G. and Clift, R., The role of seasonality in lettuce consumption: a case study of environmental and social aspects. The International Journal of Life Cycle Assessment 2009, 14 (5), 381-391."/>
    <s v="Yes"/>
    <s v="No"/>
    <s v="No"/>
    <s v="Yes"/>
    <s v="No"/>
    <s v="Yes"/>
    <s v="No"/>
    <s v="No"/>
    <s v="No"/>
    <s v="No"/>
    <s v="No"/>
    <s v="Yes"/>
    <m/>
    <m/>
    <m/>
    <m/>
    <s v="1 kg of lettuce delivered to a UK RDC"/>
    <m/>
    <s v=""/>
    <s v=""/>
    <n v="0.23067000000000001"/>
    <n v="0.27423000000000003"/>
    <m/>
    <m/>
    <m/>
    <m/>
    <m/>
    <m/>
    <m/>
    <m/>
    <m/>
    <m/>
    <m/>
    <m/>
    <m/>
    <n v="0.23067000000000001"/>
    <m/>
    <n v="4.3560000000000001E-2"/>
    <m/>
    <n v="5.5770000000000007E-2"/>
    <m/>
    <m/>
    <m/>
    <m/>
    <n v="0.23067000000000001"/>
    <n v="0.33"/>
    <m/>
    <m/>
  </r>
  <r>
    <x v="3"/>
    <x v="57"/>
    <m/>
    <s v="Spanish farms (imported to UK)"/>
    <m/>
    <s v="Spain"/>
    <n v="2009"/>
    <s v="Hospido, Almudena_x000a_i Canals, Llorenç Milà_x000a_McLaren, Sarah_x000a_Truninger, Monica_x000a_Edwards-Jones, Gareth_x000a_Clift, Roland"/>
    <m/>
    <s v="Peer Reviewed Journal"/>
    <s v="Hospido, A., I Canals, L. M., Mclaren, S., Truninger, M., Edwards-Jones, G. and Clift, R., The role of seasonality in lettuce consumption: a case study of environmental and social aspects. The International Journal of Life Cycle Assessment 2009, 14 (5), 381-391."/>
    <s v="Yes"/>
    <s v="No"/>
    <s v="No"/>
    <s v="Yes"/>
    <s v="No"/>
    <s v="Yes"/>
    <s v="No"/>
    <s v="No"/>
    <s v="No"/>
    <s v="No"/>
    <s v="No"/>
    <s v="Yes"/>
    <m/>
    <m/>
    <m/>
    <m/>
    <s v="1 kg of lettuce delivered to a UK RDC"/>
    <m/>
    <s v=""/>
    <s v=""/>
    <n v="0.21042"/>
    <n v="0.24149999999999999"/>
    <m/>
    <m/>
    <m/>
    <m/>
    <m/>
    <m/>
    <m/>
    <m/>
    <m/>
    <m/>
    <m/>
    <m/>
    <m/>
    <n v="0.21042"/>
    <m/>
    <n v="3.1079999999999997E-2"/>
    <m/>
    <n v="0.17849999999999999"/>
    <m/>
    <m/>
    <m/>
    <m/>
    <n v="0.21042"/>
    <n v="0.42"/>
    <m/>
    <m/>
  </r>
  <r>
    <x v="3"/>
    <x v="59"/>
    <m/>
    <s v="British farms (with heating)"/>
    <m/>
    <s v="UK"/>
    <n v="2009"/>
    <s v="Hospido, Almudena_x000a_i Canals, Llorenç Milà_x000a_McLaren, Sarah_x000a_Truninger, Monica_x000a_Edwards-Jones, Gareth_x000a_Clift, Roland"/>
    <m/>
    <s v="Peer Reviewed Journal"/>
    <s v="Hospido, A., I Canals, L. M., Mclaren, S., Truninger, M., Edwards-Jones, G. and Clift, R., The role of seasonality in lettuce consumption: a case study of environmental and social aspects. The International Journal of Life Cycle Assessment 2009, 14 (5), 381-391."/>
    <s v="Yes"/>
    <s v="No"/>
    <s v="No"/>
    <s v="Yes"/>
    <s v="No"/>
    <s v="Yes"/>
    <s v="No"/>
    <s v="No"/>
    <s v="No"/>
    <s v="No"/>
    <s v="No"/>
    <s v="Yes"/>
    <m/>
    <m/>
    <m/>
    <m/>
    <s v="1 kg of lettuce delivered to a UK RDC"/>
    <m/>
    <s v=""/>
    <s v=""/>
    <n v="2.45756"/>
    <n v="2.5492599999999999"/>
    <m/>
    <m/>
    <m/>
    <m/>
    <m/>
    <m/>
    <m/>
    <m/>
    <m/>
    <m/>
    <m/>
    <m/>
    <m/>
    <n v="2.45756"/>
    <m/>
    <n v="9.1700000000000018E-2"/>
    <m/>
    <n v="7.0739999999999997E-2"/>
    <m/>
    <m/>
    <m/>
    <m/>
    <n v="2.45756"/>
    <n v="2.62"/>
    <m/>
    <m/>
  </r>
  <r>
    <x v="3"/>
    <x v="57"/>
    <m/>
    <s v="british farms (without heating)"/>
    <m/>
    <s v="UK"/>
    <n v="2009"/>
    <s v="Hospido, Almudena_x000a_i Canals, Llorenç Milà_x000a_McLaren, Sarah_x000a_Truninger, Monica_x000a_Edwards-Jones, Gareth_x000a_Clift, Roland"/>
    <m/>
    <s v="Peer Reviewed Journal"/>
    <s v="Hospido, A., I Canals, L. M., Mclaren, S., Truninger, M., Edwards-Jones, G. and Clift, R., The role of seasonality in lettuce consumption: a case study of environmental and social aspects. The International Journal of Life Cycle Assessment 2009, 14 (5), 381-391."/>
    <s v="Yes"/>
    <s v="No"/>
    <s v="No"/>
    <s v="Yes"/>
    <s v="No"/>
    <s v="Yes"/>
    <s v="No"/>
    <s v="No"/>
    <s v="No"/>
    <s v="No"/>
    <s v="No"/>
    <s v="Yes"/>
    <m/>
    <m/>
    <m/>
    <m/>
    <s v="1 kg of lettuce delivered to a UK RDC"/>
    <m/>
    <s v=""/>
    <s v=""/>
    <n v="9.7200000000000009E-2"/>
    <n v="0.18359999999999999"/>
    <m/>
    <m/>
    <m/>
    <m/>
    <m/>
    <m/>
    <m/>
    <m/>
    <m/>
    <m/>
    <m/>
    <m/>
    <m/>
    <n v="9.7200000000000009E-2"/>
    <m/>
    <n v="8.6399999999999991E-2"/>
    <m/>
    <n v="5.6399999999999992E-2"/>
    <m/>
    <m/>
    <m/>
    <m/>
    <n v="9.7200000000000009E-2"/>
    <n v="0.24"/>
    <m/>
    <m/>
  </r>
  <r>
    <x v="5"/>
    <x v="129"/>
    <m/>
    <m/>
    <m/>
    <s v="Thailand"/>
    <n v="2009"/>
    <s v="Kasmaprapruet, Sakaorat_x000a_Paengjuntuek, Woranee_x000a_Saikhwan, Phanida_x000a_Phungrassami, Harnpon"/>
    <m/>
    <s v="Peer Reviewed Journal"/>
    <s v="Kasmaprapruet, S., Paengjuntuek, W., Saikhwan, P. and Phungrassami, H., Life cycle assessment of milled rice production: case study in Thailand. European Journal of Scientific Research 2009, 30 (2), 195-203."/>
    <s v="Yes"/>
    <s v="No"/>
    <s v="Yes"/>
    <s v="Yes"/>
    <s v="No"/>
    <s v="No"/>
    <s v="No"/>
    <s v="No"/>
    <s v="No"/>
    <s v="No"/>
    <s v="No"/>
    <s v="No"/>
    <m/>
    <s v="note that rice hulls are used as energy source for drying; this contribution is not included in the CED data"/>
    <m/>
    <m/>
    <s v="1 kg milled rice at mill gate"/>
    <m/>
    <n v="1.456"/>
    <n v="1.8596999999999999"/>
    <n v="2.4506189999999997"/>
    <n v="2.4929999999999999"/>
    <n v="1.456"/>
    <n v="0.23769999999999999"/>
    <n v="0.16600000000000001"/>
    <m/>
    <m/>
    <m/>
    <m/>
    <m/>
    <m/>
    <n v="1.456"/>
    <n v="1.8596999999999999"/>
    <m/>
    <m/>
    <n v="2.4506189999999997"/>
    <n v="1.7525789999999999E-2"/>
    <n v="2.4855210000000225E-2"/>
    <m/>
    <m/>
    <m/>
    <m/>
    <m/>
    <m/>
    <n v="2.4506189999999997"/>
    <n v="2.4929999999999999"/>
    <m/>
    <m/>
  </r>
  <r>
    <x v="0"/>
    <x v="0"/>
    <m/>
    <s v="based on analysis of 119 Dutch dairy farms; economic allocation"/>
    <m/>
    <s v="Netherlands"/>
    <n v="2009"/>
    <s v="Thomassen, MA_x000a_Dolman, MA_x000a_Van Calker, KJ_x000a_De Boer, IJM"/>
    <m/>
    <s v="Peer Reviewed Journal"/>
    <s v="Thomassen, M., Dolman, M., Van Calker, K. and De Boer, I., Relating life cycle assessment indicators to gross value added for Dutch dairy farms. Ecological Economics 2009, 68 (8), 2278-2284."/>
    <s v="Yes"/>
    <s v="No"/>
    <s v="No"/>
    <s v="No"/>
    <s v="No"/>
    <s v="No"/>
    <s v="No"/>
    <s v="No"/>
    <s v="No"/>
    <s v="No"/>
    <s v="No"/>
    <s v="No"/>
    <m/>
    <m/>
    <m/>
    <m/>
    <s v="1 kg FPCM"/>
    <m/>
    <n v="5.3"/>
    <s v=""/>
    <n v="1.36"/>
    <s v=""/>
    <n v="5.3"/>
    <m/>
    <m/>
    <m/>
    <m/>
    <m/>
    <m/>
    <m/>
    <m/>
    <n v="5.3"/>
    <m/>
    <m/>
    <m/>
    <n v="1.36"/>
    <m/>
    <m/>
    <m/>
    <m/>
    <m/>
    <m/>
    <m/>
    <m/>
    <n v="1.36"/>
    <m/>
    <s v="SD=.3"/>
    <m/>
  </r>
  <r>
    <x v="1"/>
    <x v="3"/>
    <m/>
    <s v="UK1 (~100 cow farm)"/>
    <m/>
    <s v="UK"/>
    <n v="2012"/>
    <s v="Schroeder, Roberto_x000a_Aguiar, Luís Kluwe_x000a_Baines, Richard"/>
    <m/>
    <s v="Peer Reviewed Journal"/>
    <s v="Schroeder, R., Aguiar, L. K. and Baines, R., Carbon footprint in meat production and supply chains. Journal of Food Science and Engineering 2012, 2 (11), 652."/>
    <s v="Yes"/>
    <s v="No"/>
    <s v="No"/>
    <s v="Yes"/>
    <s v="No"/>
    <s v="Yes"/>
    <s v="No"/>
    <s v="No"/>
    <s v="No"/>
    <s v="No"/>
    <s v="No"/>
    <s v="No"/>
    <m/>
    <m/>
    <m/>
    <m/>
    <s v="1 kg bone-free meat"/>
    <m/>
    <s v=""/>
    <s v=""/>
    <n v="33.57"/>
    <n v="33.770000000000003"/>
    <m/>
    <m/>
    <m/>
    <m/>
    <m/>
    <m/>
    <m/>
    <m/>
    <m/>
    <m/>
    <m/>
    <m/>
    <m/>
    <n v="33.57"/>
    <m/>
    <n v="0.2"/>
    <m/>
    <n v="8.3699999999999997E-2"/>
    <m/>
    <m/>
    <m/>
    <m/>
    <n v="33.57"/>
    <n v="33.853700000000003"/>
    <m/>
    <m/>
  </r>
  <r>
    <x v="1"/>
    <x v="3"/>
    <m/>
    <s v="UK2 (~50 cow farm)"/>
    <m/>
    <s v="UK"/>
    <n v="2012"/>
    <s v="Schroeder, Roberto_x000a_Aguiar, Luís Kluwe_x000a_Baines, Richard"/>
    <m/>
    <s v="Peer Reviewed Journal"/>
    <s v="Schroeder, R., Aguiar, L. K. and Baines, R., Carbon footprint in meat production and supply chains. Journal of Food Science and Engineering 2012, 2 (11), 652."/>
    <s v="Yes"/>
    <s v="No"/>
    <s v="No"/>
    <s v="Yes"/>
    <s v="No"/>
    <s v="Yes"/>
    <s v="No"/>
    <s v="No"/>
    <s v="No"/>
    <s v="No"/>
    <s v="No"/>
    <s v="No"/>
    <m/>
    <m/>
    <m/>
    <m/>
    <s v="1 kg bone-free meat"/>
    <m/>
    <s v=""/>
    <s v=""/>
    <n v="33.710000000000008"/>
    <n v="33.910000000000011"/>
    <m/>
    <m/>
    <m/>
    <m/>
    <m/>
    <m/>
    <m/>
    <m/>
    <m/>
    <m/>
    <m/>
    <m/>
    <m/>
    <n v="33.710000000000008"/>
    <m/>
    <n v="0.2"/>
    <m/>
    <n v="7.9500000000000001E-2"/>
    <m/>
    <m/>
    <m/>
    <m/>
    <n v="33.710000000000008"/>
    <n v="33.989500000000014"/>
    <m/>
    <m/>
  </r>
  <r>
    <x v="1"/>
    <x v="3"/>
    <m/>
    <s v="Brazil (~300 cow farm)"/>
    <m/>
    <s v="Brazil"/>
    <n v="2012"/>
    <s v="Schroeder, Roberto_x000a_Aguiar, Luís Kluwe_x000a_Baines, Richard"/>
    <m/>
    <s v="Peer Reviewed Journal"/>
    <s v="Schroeder, R., Aguiar, L. K. and Baines, R., Carbon footprint in meat production and supply chains. Journal of Food Science and Engineering 2012, 2 (11), 652."/>
    <s v="Yes"/>
    <s v="No"/>
    <s v="No"/>
    <s v="Yes"/>
    <s v="No"/>
    <s v="Yes"/>
    <s v="No"/>
    <s v="No"/>
    <s v="No"/>
    <s v="No"/>
    <s v="No"/>
    <s v="No"/>
    <m/>
    <m/>
    <m/>
    <m/>
    <s v="1 kg bone-free meat"/>
    <m/>
    <s v=""/>
    <s v=""/>
    <n v="44.75"/>
    <n v="44.95"/>
    <m/>
    <m/>
    <m/>
    <m/>
    <m/>
    <m/>
    <m/>
    <m/>
    <m/>
    <m/>
    <m/>
    <m/>
    <m/>
    <n v="44.75"/>
    <m/>
    <n v="0.2"/>
    <m/>
    <n v="0.1179"/>
    <m/>
    <m/>
    <m/>
    <m/>
    <n v="44.75"/>
    <n v="45.067900000000002"/>
    <m/>
    <m/>
  </r>
  <r>
    <x v="0"/>
    <x v="0"/>
    <m/>
    <s v="organic"/>
    <m/>
    <s v="France"/>
    <n v="2009"/>
    <s v="van der Werf, Hayo MG_x000a_Kanyarushoki, Claver_x000a_Corson, Michael S"/>
    <m/>
    <s v="Peer Reviewed Journal"/>
    <s v="Van Der Werf, H. M., Kanyarushoki, C. and Corson, M. S., An operational method for the evaluation of resource use and environmental impacts of dairy farms by life cycle assessment. Journal of environmental management 2009, 90 (11), 3643-3652."/>
    <s v="Yes"/>
    <s v="No"/>
    <s v="No"/>
    <s v="No"/>
    <s v="No"/>
    <s v="No"/>
    <s v="No"/>
    <s v="No"/>
    <s v="No"/>
    <s v="No"/>
    <s v="No"/>
    <s v="No"/>
    <m/>
    <s v="farm gate"/>
    <m/>
    <m/>
    <s v="1000 kg FPCM"/>
    <s v="/1000"/>
    <n v="2.6"/>
    <s v=""/>
    <n v="1.0820000000000001"/>
    <s v=""/>
    <n v="2.6"/>
    <m/>
    <m/>
    <m/>
    <m/>
    <m/>
    <m/>
    <m/>
    <m/>
    <n v="2.6"/>
    <m/>
    <m/>
    <s v="CV=34%, n=6"/>
    <n v="1.0820000000000001"/>
    <m/>
    <m/>
    <m/>
    <m/>
    <m/>
    <m/>
    <m/>
    <m/>
    <n v="1.0820000000000001"/>
    <m/>
    <s v="CV=12%, n=6"/>
    <m/>
  </r>
  <r>
    <x v="0"/>
    <x v="0"/>
    <m/>
    <s v="conventional"/>
    <m/>
    <s v="France"/>
    <n v="2009"/>
    <s v="van der Werf, Hayo MG_x000a_Kanyarushoki, Claver_x000a_Corson, Michael S"/>
    <m/>
    <s v="Peer Reviewed Journal"/>
    <s v="Van Der Werf, H. M., Kanyarushoki, C. and Corson, M. S., An operational method for the evaluation of resource use and environmental impacts of dairy farms by life cycle assessment. Journal of environmental management 2009, 90 (11), 3643-3652."/>
    <s v="Yes"/>
    <s v="No"/>
    <s v="No"/>
    <s v="No"/>
    <s v="No"/>
    <s v="No"/>
    <s v="No"/>
    <s v="No"/>
    <s v="No"/>
    <s v="No"/>
    <s v="No"/>
    <s v="No"/>
    <m/>
    <s v="farm gate"/>
    <m/>
    <m/>
    <s v="1000 kg FPCM"/>
    <s v="/1000"/>
    <n v="2.8"/>
    <s v=""/>
    <n v="1.0369999999999999"/>
    <s v=""/>
    <n v="2.8"/>
    <m/>
    <m/>
    <m/>
    <m/>
    <m/>
    <m/>
    <m/>
    <m/>
    <n v="2.8"/>
    <m/>
    <m/>
    <s v="CV=16%, n=41"/>
    <n v="1.0369999999999999"/>
    <m/>
    <m/>
    <m/>
    <m/>
    <m/>
    <m/>
    <m/>
    <m/>
    <n v="1.0369999999999999"/>
    <m/>
    <s v="CV=14%, n=41"/>
    <m/>
  </r>
  <r>
    <x v="12"/>
    <x v="102"/>
    <m/>
    <s v="aquaculture, salmon, fresh gutted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89"/>
    <m/>
    <m/>
    <m/>
    <m/>
    <m/>
    <m/>
    <m/>
    <m/>
    <m/>
    <m/>
    <n v="55.4"/>
    <m/>
    <m/>
    <n v="2.8600000000000003"/>
    <m/>
    <n v="0.03"/>
    <n v="0.2"/>
    <n v="0.51"/>
    <m/>
    <m/>
    <m/>
    <m/>
    <n v="2.8600000000000003"/>
    <n v="3.6000000000000005"/>
    <m/>
    <m/>
  </r>
  <r>
    <x v="12"/>
    <x v="102"/>
    <m/>
    <s v="aquaculture, salmon, fresh gutted to Oslo"/>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89"/>
    <m/>
    <m/>
    <m/>
    <m/>
    <m/>
    <m/>
    <m/>
    <m/>
    <m/>
    <m/>
    <n v="49.9"/>
    <m/>
    <m/>
    <n v="2.8600000000000003"/>
    <m/>
    <n v="0.03"/>
    <n v="0.2"/>
    <n v="0.2"/>
    <m/>
    <m/>
    <m/>
    <m/>
    <n v="2.8600000000000003"/>
    <n v="3.2900000000000005"/>
    <m/>
    <m/>
  </r>
  <r>
    <x v="12"/>
    <x v="102"/>
    <m/>
    <s v="aquaculture, salmon, fresh gutted to Moscow"/>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89"/>
    <m/>
    <m/>
    <m/>
    <m/>
    <m/>
    <m/>
    <m/>
    <m/>
    <m/>
    <m/>
    <n v="62.3"/>
    <m/>
    <m/>
    <n v="2.8600000000000003"/>
    <m/>
    <n v="0.03"/>
    <n v="0.2"/>
    <n v="1.05"/>
    <m/>
    <m/>
    <m/>
    <m/>
    <n v="2.8600000000000003"/>
    <n v="4.1400000000000006"/>
    <m/>
    <m/>
  </r>
  <r>
    <x v="12"/>
    <x v="102"/>
    <m/>
    <s v="aquaculture, salmon, fresh gutted to Tokyo (by air)"/>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89"/>
    <m/>
    <m/>
    <m/>
    <m/>
    <m/>
    <m/>
    <m/>
    <m/>
    <m/>
    <m/>
    <n v="210.2"/>
    <m/>
    <m/>
    <n v="2.8600000000000003"/>
    <m/>
    <n v="0.03"/>
    <n v="0.14000000000000001"/>
    <n v="10.83"/>
    <m/>
    <m/>
    <m/>
    <m/>
    <n v="2.8600000000000003"/>
    <n v="13.86"/>
    <m/>
    <m/>
  </r>
  <r>
    <x v="12"/>
    <x v="102"/>
    <m/>
    <s v="aquaculture, salmon, frozen gutted to Shanghai (by boat)"/>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91"/>
    <m/>
    <m/>
    <m/>
    <m/>
    <m/>
    <m/>
    <m/>
    <m/>
    <m/>
    <m/>
    <n v="61.5"/>
    <m/>
    <m/>
    <n v="2.8600000000000003"/>
    <m/>
    <n v="0.05"/>
    <n v="0.11"/>
    <n v="1.18"/>
    <m/>
    <m/>
    <m/>
    <m/>
    <n v="2.8600000000000003"/>
    <n v="4.2"/>
    <m/>
    <m/>
  </r>
  <r>
    <x v="12"/>
    <x v="102"/>
    <m/>
    <s v="aquaculture, salmon, fresh fillet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
    <n v="2.14"/>
    <m/>
    <m/>
    <m/>
    <m/>
    <m/>
    <m/>
    <m/>
    <m/>
    <m/>
    <m/>
    <n v="40.700000000000003"/>
    <m/>
    <m/>
    <n v="2"/>
    <m/>
    <n v="0.14000000000000001"/>
    <n v="0.09"/>
    <n v="0.26"/>
    <m/>
    <m/>
    <m/>
    <m/>
    <n v="2"/>
    <n v="2.4900000000000002"/>
    <m/>
    <m/>
  </r>
  <r>
    <x v="12"/>
    <x v="102"/>
    <m/>
    <s v="aquaculture, salmon, frozen fillet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
    <n v="2.1800000000000002"/>
    <m/>
    <m/>
    <m/>
    <m/>
    <m/>
    <m/>
    <m/>
    <m/>
    <m/>
    <m/>
    <n v="40.700000000000003"/>
    <m/>
    <m/>
    <n v="2"/>
    <m/>
    <n v="0.18"/>
    <n v="7.0000000000000007E-2"/>
    <n v="0.21"/>
    <m/>
    <m/>
    <m/>
    <m/>
    <n v="2"/>
    <n v="2.46"/>
    <m/>
    <m/>
  </r>
  <r>
    <x v="12"/>
    <x v="103"/>
    <m/>
    <s v="aquaculture, blue mussels, Fresh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1.24"/>
    <s v=""/>
    <m/>
    <m/>
    <m/>
    <m/>
    <m/>
    <m/>
    <m/>
    <m/>
    <m/>
    <m/>
    <n v="45.1"/>
    <m/>
    <m/>
    <n v="1.24"/>
    <m/>
    <n v="0"/>
    <n v="0.11"/>
    <n v="1.19"/>
    <m/>
    <m/>
    <m/>
    <m/>
    <n v="1.24"/>
    <n v="2.54"/>
    <m/>
    <m/>
  </r>
  <r>
    <x v="12"/>
    <x v="104"/>
    <m/>
    <s v="wild capture, cod, fresh gutted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s v=""/>
    <m/>
    <m/>
    <m/>
    <m/>
    <m/>
    <m/>
    <m/>
    <m/>
    <m/>
    <m/>
    <n v="42.6"/>
    <m/>
    <m/>
    <n v="2.8600000000000003"/>
    <m/>
    <n v="0"/>
    <n v="0.19"/>
    <n v="0.56999999999999995"/>
    <m/>
    <m/>
    <m/>
    <m/>
    <n v="2.8600000000000003"/>
    <n v="3.62"/>
    <m/>
    <m/>
  </r>
  <r>
    <x v="12"/>
    <x v="104"/>
    <m/>
    <s v="wild capture, cod, fresh fillet to Oslo"/>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0099999999999998"/>
    <n v="2.13"/>
    <m/>
    <m/>
    <m/>
    <m/>
    <m/>
    <m/>
    <m/>
    <m/>
    <m/>
    <m/>
    <n v="28.6"/>
    <m/>
    <m/>
    <n v="2.0099999999999998"/>
    <m/>
    <n v="0.12"/>
    <n v="0.09"/>
    <n v="0.13"/>
    <m/>
    <m/>
    <m/>
    <m/>
    <n v="2.0099999999999998"/>
    <n v="2.3499999999999996"/>
    <m/>
    <m/>
  </r>
  <r>
    <x v="12"/>
    <x v="104"/>
    <m/>
    <s v="wild capture, cod, fresh fillet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0099999999999998"/>
    <n v="2.13"/>
    <m/>
    <m/>
    <m/>
    <m/>
    <m/>
    <m/>
    <m/>
    <m/>
    <m/>
    <m/>
    <n v="31.3"/>
    <m/>
    <m/>
    <n v="2.0099999999999998"/>
    <m/>
    <n v="0.12"/>
    <n v="0.09"/>
    <n v="0.28000000000000003"/>
    <m/>
    <m/>
    <m/>
    <m/>
    <n v="2.0099999999999998"/>
    <n v="2.5"/>
    <m/>
    <m/>
  </r>
  <r>
    <x v="12"/>
    <x v="104"/>
    <m/>
    <s v="wild capture, cod, frozen fillet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0099999999999998"/>
    <n v="2.1799999999999997"/>
    <m/>
    <m/>
    <m/>
    <m/>
    <m/>
    <m/>
    <m/>
    <m/>
    <m/>
    <m/>
    <n v="31.5"/>
    <m/>
    <m/>
    <n v="2.0099999999999998"/>
    <m/>
    <n v="0.17"/>
    <n v="7.0000000000000007E-2"/>
    <n v="0.26"/>
    <m/>
    <m/>
    <m/>
    <m/>
    <n v="2.0099999999999998"/>
    <n v="2.5099999999999998"/>
    <m/>
    <m/>
  </r>
  <r>
    <x v="12"/>
    <x v="104"/>
    <m/>
    <s v="wild capture, cod, frozen fillet to Paris, via China"/>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1.7400000000000002"/>
    <n v="2.31"/>
    <m/>
    <m/>
    <m/>
    <m/>
    <m/>
    <m/>
    <m/>
    <m/>
    <m/>
    <m/>
    <n v="45.7"/>
    <m/>
    <m/>
    <n v="1.7400000000000002"/>
    <m/>
    <n v="0.56999999999999995"/>
    <n v="0.13"/>
    <n v="1.34"/>
    <m/>
    <m/>
    <m/>
    <m/>
    <n v="1.7400000000000002"/>
    <n v="3.7800000000000002"/>
    <m/>
    <m/>
  </r>
  <r>
    <x v="12"/>
    <x v="104"/>
    <m/>
    <s v="wild capture, cod, saltfish to Lisbo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1.7000000000000002"/>
    <n v="1.9100000000000001"/>
    <m/>
    <m/>
    <m/>
    <m/>
    <m/>
    <m/>
    <m/>
    <m/>
    <m/>
    <m/>
    <n v="26.6"/>
    <m/>
    <m/>
    <n v="1.7000000000000002"/>
    <m/>
    <n v="0.21"/>
    <n v="0.05"/>
    <n v="0.24"/>
    <m/>
    <m/>
    <m/>
    <m/>
    <n v="1.7000000000000002"/>
    <n v="2.2000000000000002"/>
    <m/>
    <m/>
  </r>
  <r>
    <x v="12"/>
    <x v="104"/>
    <m/>
    <s v="wild capture, cod, clipfish to Lisbo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1.7000000000000002"/>
    <n v="2.06"/>
    <m/>
    <m/>
    <m/>
    <m/>
    <m/>
    <m/>
    <m/>
    <m/>
    <m/>
    <m/>
    <n v="28"/>
    <m/>
    <m/>
    <n v="1.7000000000000002"/>
    <m/>
    <n v="0.36"/>
    <n v="0.03"/>
    <n v="0.17"/>
    <m/>
    <m/>
    <m/>
    <m/>
    <n v="1.7000000000000002"/>
    <n v="2.2599999999999998"/>
    <m/>
    <m/>
  </r>
  <r>
    <x v="12"/>
    <x v="104"/>
    <m/>
    <s v="wild capture, saithe, frozen fillets to Berli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13"/>
    <n v="2.2999999999999998"/>
    <m/>
    <m/>
    <m/>
    <m/>
    <m/>
    <m/>
    <m/>
    <m/>
    <m/>
    <m/>
    <n v="32.700000000000003"/>
    <m/>
    <m/>
    <n v="2.13"/>
    <m/>
    <n v="0.17"/>
    <n v="7.0000000000000007E-2"/>
    <n v="0.19"/>
    <m/>
    <m/>
    <m/>
    <m/>
    <n v="2.13"/>
    <n v="2.5599999999999996"/>
    <m/>
    <m/>
  </r>
  <r>
    <x v="12"/>
    <x v="104"/>
    <m/>
    <s v="wild capture, haddock, frozen gutted to Londo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3.33"/>
    <n v="3.36"/>
    <m/>
    <m/>
    <m/>
    <m/>
    <m/>
    <m/>
    <m/>
    <m/>
    <m/>
    <m/>
    <n v="40.9"/>
    <m/>
    <m/>
    <n v="3.33"/>
    <m/>
    <n v="0.03"/>
    <n v="0.16"/>
    <n v="0.2"/>
    <m/>
    <m/>
    <m/>
    <m/>
    <n v="3.33"/>
    <n v="3.72"/>
    <m/>
    <m/>
  </r>
  <r>
    <x v="12"/>
    <x v="104"/>
    <m/>
    <s v="wild capture, haddock, fresh gutted to Londo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3.33"/>
    <s v=""/>
    <m/>
    <m/>
    <m/>
    <m/>
    <m/>
    <m/>
    <m/>
    <m/>
    <m/>
    <m/>
    <n v="44.7"/>
    <m/>
    <m/>
    <n v="3.33"/>
    <m/>
    <n v="0"/>
    <n v="0.21"/>
    <n v="0.3"/>
    <m/>
    <m/>
    <m/>
    <m/>
    <n v="3.33"/>
    <n v="3.84"/>
    <m/>
    <m/>
  </r>
  <r>
    <x v="12"/>
    <x v="104"/>
    <m/>
    <s v="wild capture, herring, round frozen to Moscow"/>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0.52"/>
    <n v="0.61"/>
    <m/>
    <m/>
    <m/>
    <m/>
    <m/>
    <m/>
    <m/>
    <m/>
    <m/>
    <m/>
    <n v="16.100000000000001"/>
    <m/>
    <m/>
    <n v="0.52"/>
    <m/>
    <n v="0.09"/>
    <n v="0.12"/>
    <n v="0.24"/>
    <m/>
    <m/>
    <m/>
    <m/>
    <n v="0.52"/>
    <n v="0.97"/>
    <m/>
    <m/>
  </r>
  <r>
    <x v="12"/>
    <x v="104"/>
    <m/>
    <s v="wild capture, herring, frozen fillet to Moscow"/>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0.32"/>
    <n v="0.48"/>
    <m/>
    <m/>
    <m/>
    <m/>
    <m/>
    <m/>
    <m/>
    <m/>
    <m/>
    <m/>
    <n v="23.8"/>
    <m/>
    <m/>
    <n v="0.32"/>
    <m/>
    <n v="0.16"/>
    <n v="7.0000000000000007E-2"/>
    <n v="0.83"/>
    <m/>
    <m/>
    <m/>
    <m/>
    <n v="0.32"/>
    <n v="1.38"/>
    <m/>
    <m/>
  </r>
  <r>
    <x v="12"/>
    <x v="104"/>
    <m/>
    <s v="wild capture, round frozen mackerel Tokyo"/>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0.54"/>
    <n v="0.63"/>
    <m/>
    <m/>
    <m/>
    <m/>
    <m/>
    <m/>
    <m/>
    <m/>
    <m/>
    <m/>
    <n v="29"/>
    <m/>
    <m/>
    <n v="0.54"/>
    <m/>
    <n v="0.09"/>
    <n v="0.12"/>
    <n v="1.18"/>
    <m/>
    <m/>
    <m/>
    <m/>
    <n v="0.54"/>
    <n v="1.93"/>
    <m/>
    <m/>
  </r>
  <r>
    <x v="12"/>
    <x v="104"/>
    <m/>
    <s v="wild capture, round frozen mackerel Moscow"/>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s v="Yes"/>
    <s v="No"/>
    <s v="No"/>
    <s v="Yes"/>
    <s v="Yes"/>
    <s v="Yes"/>
    <s v="No"/>
    <s v="No"/>
    <s v="No"/>
    <s v="No"/>
    <s v="No"/>
    <s v="No"/>
    <m/>
    <m/>
    <m/>
    <m/>
    <s v="1 kg edible product"/>
    <m/>
    <s v=""/>
    <s v=""/>
    <n v="0.54"/>
    <n v="0.63"/>
    <m/>
    <m/>
    <m/>
    <m/>
    <m/>
    <m/>
    <m/>
    <m/>
    <m/>
    <m/>
    <n v="16.3"/>
    <m/>
    <m/>
    <n v="0.54"/>
    <m/>
    <n v="0.09"/>
    <n v="0.12"/>
    <n v="0.24"/>
    <m/>
    <m/>
    <m/>
    <m/>
    <n v="0.54"/>
    <n v="0.99"/>
    <m/>
    <m/>
  </r>
  <r>
    <x v="1"/>
    <x v="1"/>
    <m/>
    <s v="sub-clover"/>
    <m/>
    <s v="Australia"/>
    <n v="2010"/>
    <s v="Biswas, Wahidul K_x000a_Graham, John_x000a_Kelly, Kevin_x000a_John, Michele B"/>
    <m/>
    <s v="Peer Reviewed Journal"/>
    <s v="Biswas, W. K., Graham, J., Kelly, K. and John, M. B., Global warming contributions from wheat, sheep meat and wool production in Victoria, Australia–a life cycle assessment. Journal of Cleaner Production 2010, 18 (14), 1386-1392."/>
    <s v="Yes"/>
    <s v="No"/>
    <s v="No"/>
    <s v="No"/>
    <s v="No"/>
    <s v="No"/>
    <s v="No"/>
    <s v="No"/>
    <s v="No"/>
    <s v="No"/>
    <s v="No"/>
    <s v="No"/>
    <m/>
    <m/>
    <m/>
    <m/>
    <s v="1 kg live weight"/>
    <s v="/0.658/0.508"/>
    <s v=""/>
    <s v=""/>
    <n v="16.633559102984464"/>
    <s v=""/>
    <m/>
    <m/>
    <m/>
    <m/>
    <m/>
    <m/>
    <m/>
    <m/>
    <m/>
    <m/>
    <m/>
    <m/>
    <m/>
    <n v="16.633559102984464"/>
    <m/>
    <m/>
    <m/>
    <m/>
    <m/>
    <m/>
    <m/>
    <m/>
    <n v="16.633559102984464"/>
    <m/>
    <m/>
    <m/>
  </r>
  <r>
    <x v="1"/>
    <x v="1"/>
    <m/>
    <s v="mixed pasture"/>
    <m/>
    <s v="Australia"/>
    <n v="2010"/>
    <s v="Biswas, Wahidul K_x000a_Graham, John_x000a_Kelly, Kevin_x000a_John, Michele B"/>
    <m/>
    <s v="Peer Reviewed Journal"/>
    <s v="Biswas, W. K., Graham, J., Kelly, K. and John, M. B., Global warming contributions from wheat, sheep meat and wool production in Victoria, Australia–a life cycle assessment. Journal of Cleaner Production 2010, 18 (14), 1386-1392."/>
    <s v="Yes"/>
    <s v="No"/>
    <s v="No"/>
    <s v="No"/>
    <s v="No"/>
    <s v="No"/>
    <s v="No"/>
    <s v="No"/>
    <s v="No"/>
    <s v="No"/>
    <s v="No"/>
    <s v="No"/>
    <m/>
    <m/>
    <m/>
    <m/>
    <s v="1 kg live weight"/>
    <s v="/0.658/0.508"/>
    <s v=""/>
    <s v=""/>
    <n v="15.227484862264557"/>
    <s v=""/>
    <m/>
    <m/>
    <m/>
    <m/>
    <m/>
    <m/>
    <m/>
    <m/>
    <m/>
    <m/>
    <m/>
    <m/>
    <m/>
    <n v="15.227484862264557"/>
    <m/>
    <m/>
    <m/>
    <m/>
    <m/>
    <m/>
    <m/>
    <m/>
    <n v="15.227484862264557"/>
    <m/>
    <m/>
    <m/>
  </r>
  <r>
    <x v="5"/>
    <x v="67"/>
    <m/>
    <m/>
    <m/>
    <s v="Australia"/>
    <n v="2010"/>
    <s v="Biswas, Wahidul K_x000a_Graham, John_x000a_Kelly, Kevin_x000a_John, Michele B"/>
    <m/>
    <s v="Peer Reviewed Journal"/>
    <s v="Biswas, W. K., Graham, J., Kelly, K. and John, M. B., Global warming contributions from wheat, sheep meat and wool production in Victoria, Australia–a life cycle assessment. Journal of Cleaner Production 2010, 18 (14), 1386-1392."/>
    <s v="Yes"/>
    <s v="No"/>
    <s v="No"/>
    <s v="No"/>
    <s v="No"/>
    <s v="No"/>
    <s v="No"/>
    <s v="No"/>
    <s v="No"/>
    <s v="No"/>
    <s v="No"/>
    <s v="No"/>
    <m/>
    <m/>
    <m/>
    <m/>
    <s v="1 kg"/>
    <m/>
    <s v=""/>
    <s v=""/>
    <n v="0.4"/>
    <s v=""/>
    <m/>
    <m/>
    <m/>
    <m/>
    <m/>
    <m/>
    <m/>
    <m/>
    <m/>
    <m/>
    <m/>
    <m/>
    <m/>
    <n v="0.4"/>
    <m/>
    <m/>
    <m/>
    <m/>
    <m/>
    <m/>
    <m/>
    <m/>
    <n v="0.4"/>
    <m/>
    <m/>
    <m/>
  </r>
  <r>
    <x v="12"/>
    <x v="104"/>
    <m/>
    <s v="combined purse seiner and pelagic trawler in NE Atlantic"/>
    <m/>
    <s v="Norway"/>
    <n v="2010"/>
    <s v=" Fet, Annik Magerholm_x000a_Schau, Erwin M_x000a_Haskins, Cecilia"/>
    <m/>
    <s v="Peer Reviewed Journal"/>
    <s v="Fet, A. M., Schau, E. M. and Haskins, C., A framework for environmental analyses of fish food production systems based on systems engineering principles. Systems Engineering 2010, 13 (2), 109-118."/>
    <s v="Yes"/>
    <s v="No"/>
    <s v="No"/>
    <s v="Yes"/>
    <s v="Yes"/>
    <s v="Yes"/>
    <s v="No"/>
    <s v="No"/>
    <s v="No"/>
    <s v="No"/>
    <s v="No"/>
    <s v="No"/>
    <m/>
    <m/>
    <m/>
    <m/>
    <s v="1 kg frozen fish fillet, delivered to Paris"/>
    <m/>
    <s v=""/>
    <s v=""/>
    <n v="0.82300000000000006"/>
    <n v="0.82517000000000007"/>
    <m/>
    <m/>
    <m/>
    <m/>
    <m/>
    <m/>
    <m/>
    <m/>
    <m/>
    <m/>
    <m/>
    <m/>
    <m/>
    <n v="0.82300000000000006"/>
    <m/>
    <n v="2.1700000000000001E-3"/>
    <n v="8.4000000000000005E-2"/>
    <n v="0.13800000000000001"/>
    <m/>
    <m/>
    <m/>
    <m/>
    <n v="0.82300000000000006"/>
    <n v="1.0471699999999999"/>
    <m/>
    <m/>
  </r>
  <r>
    <x v="1"/>
    <x v="1"/>
    <m/>
    <s v="typical New Zealand production"/>
    <m/>
    <s v="New Zealand"/>
    <n v="2010"/>
    <s v="Ledgard, SF_x000a_Lieffering, M_x000a_McDevitt, J_x000a_Boyes, M_x000a_Kemp, R"/>
    <m/>
    <s v="Peer Reviewed Journal"/>
    <s v="Ledgard, S., Lieffering, M., Mcdevitt, J., Boyes, M. and Kemp, R., A greenhouse gas footprint study for exported New Zealand lamb. Report for Meat Industry Association, Ballance Agri-nutrients, Landcorp and MAF. AgResearch, Hamilton, 26pp 2010."/>
    <s v="Yes"/>
    <s v="No"/>
    <s v="Yes"/>
    <s v="Yes"/>
    <s v="Yes"/>
    <s v="Yes"/>
    <s v="Yes"/>
    <s v="No"/>
    <s v="Yes"/>
    <s v="Yes"/>
    <s v="No"/>
    <s v="No"/>
    <m/>
    <s v="NZ lamb to UK"/>
    <m/>
    <m/>
    <s v="100g portion of raw purchased meat"/>
    <s v="assumed this is bone-free. X10"/>
    <s v=""/>
    <s v=""/>
    <n v="15.200000000000001"/>
    <n v="15.770000000000001"/>
    <m/>
    <m/>
    <m/>
    <m/>
    <m/>
    <m/>
    <m/>
    <m/>
    <m/>
    <m/>
    <m/>
    <m/>
    <m/>
    <n v="15.200000000000001"/>
    <m/>
    <n v="0.56999999999999995"/>
    <m/>
    <n v="0.95000000000000007"/>
    <m/>
    <n v="2.2799999999999998"/>
    <m/>
    <m/>
    <n v="15.200000000000001"/>
    <n v="19"/>
    <m/>
    <m/>
  </r>
  <r>
    <x v="3"/>
    <x v="139"/>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2.54"/>
    <s v=""/>
    <m/>
    <m/>
    <m/>
    <m/>
    <m/>
    <m/>
    <m/>
    <m/>
    <m/>
    <m/>
    <m/>
    <m/>
    <m/>
    <n v="2.54"/>
    <m/>
    <m/>
    <m/>
    <m/>
    <m/>
    <m/>
    <m/>
    <m/>
    <n v="2.54"/>
    <m/>
    <m/>
    <m/>
  </r>
  <r>
    <x v="3"/>
    <x v="77"/>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1.37"/>
    <s v=""/>
    <m/>
    <m/>
    <m/>
    <m/>
    <m/>
    <m/>
    <m/>
    <m/>
    <m/>
    <m/>
    <m/>
    <m/>
    <m/>
    <n v="1.37"/>
    <m/>
    <m/>
    <m/>
    <m/>
    <m/>
    <m/>
    <m/>
    <m/>
    <n v="1.37"/>
    <m/>
    <m/>
    <m/>
  </r>
  <r>
    <x v="3"/>
    <x v="196"/>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4"/>
    <s v=""/>
    <m/>
    <m/>
    <m/>
    <m/>
    <m/>
    <m/>
    <m/>
    <m/>
    <m/>
    <m/>
    <m/>
    <m/>
    <m/>
    <n v="0.24"/>
    <m/>
    <m/>
    <m/>
    <m/>
    <m/>
    <m/>
    <m/>
    <m/>
    <n v="0.24"/>
    <m/>
    <m/>
    <m/>
  </r>
  <r>
    <x v="3"/>
    <x v="75"/>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1.73"/>
    <s v=""/>
    <m/>
    <m/>
    <m/>
    <m/>
    <m/>
    <m/>
    <m/>
    <m/>
    <m/>
    <m/>
    <m/>
    <m/>
    <m/>
    <n v="1.73"/>
    <m/>
    <m/>
    <m/>
    <m/>
    <m/>
    <m/>
    <m/>
    <m/>
    <n v="1.73"/>
    <m/>
    <m/>
    <m/>
  </r>
  <r>
    <x v="3"/>
    <x v="197"/>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3"/>
    <s v=""/>
    <m/>
    <m/>
    <m/>
    <m/>
    <m/>
    <m/>
    <m/>
    <m/>
    <m/>
    <m/>
    <m/>
    <m/>
    <m/>
    <n v="0.23"/>
    <m/>
    <m/>
    <m/>
    <m/>
    <m/>
    <m/>
    <m/>
    <m/>
    <n v="0.23"/>
    <m/>
    <m/>
    <m/>
  </r>
  <r>
    <x v="3"/>
    <x v="88"/>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59"/>
    <s v=""/>
    <m/>
    <m/>
    <m/>
    <m/>
    <m/>
    <m/>
    <m/>
    <m/>
    <m/>
    <m/>
    <m/>
    <m/>
    <m/>
    <n v="0.59"/>
    <m/>
    <m/>
    <m/>
    <m/>
    <m/>
    <m/>
    <m/>
    <m/>
    <n v="0.59"/>
    <m/>
    <m/>
    <m/>
  </r>
  <r>
    <x v="3"/>
    <x v="232"/>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
    <s v=""/>
    <m/>
    <m/>
    <m/>
    <m/>
    <m/>
    <m/>
    <m/>
    <m/>
    <m/>
    <m/>
    <m/>
    <m/>
    <m/>
    <n v="0.2"/>
    <m/>
    <m/>
    <m/>
    <m/>
    <m/>
    <m/>
    <m/>
    <m/>
    <n v="0.2"/>
    <m/>
    <m/>
    <m/>
  </r>
  <r>
    <x v="3"/>
    <x v="95"/>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38"/>
    <s v=""/>
    <m/>
    <m/>
    <m/>
    <m/>
    <m/>
    <m/>
    <m/>
    <m/>
    <m/>
    <m/>
    <m/>
    <m/>
    <m/>
    <n v="0.38"/>
    <m/>
    <m/>
    <m/>
    <m/>
    <m/>
    <m/>
    <m/>
    <m/>
    <n v="0.38"/>
    <m/>
    <m/>
    <m/>
  </r>
  <r>
    <x v="3"/>
    <x v="203"/>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18"/>
    <s v=""/>
    <m/>
    <m/>
    <m/>
    <m/>
    <m/>
    <m/>
    <m/>
    <m/>
    <m/>
    <m/>
    <m/>
    <m/>
    <m/>
    <n v="0.18"/>
    <m/>
    <m/>
    <m/>
    <m/>
    <m/>
    <m/>
    <m/>
    <m/>
    <n v="0.18"/>
    <m/>
    <m/>
    <m/>
  </r>
  <r>
    <x v="3"/>
    <x v="236"/>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66"/>
    <s v=""/>
    <m/>
    <m/>
    <m/>
    <m/>
    <m/>
    <m/>
    <m/>
    <m/>
    <m/>
    <m/>
    <m/>
    <m/>
    <m/>
    <n v="0.66"/>
    <m/>
    <m/>
    <m/>
    <m/>
    <m/>
    <m/>
    <m/>
    <m/>
    <n v="0.66"/>
    <m/>
    <m/>
    <m/>
  </r>
  <r>
    <x v="3"/>
    <x v="86"/>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13"/>
    <s v=""/>
    <m/>
    <m/>
    <m/>
    <m/>
    <m/>
    <m/>
    <m/>
    <m/>
    <m/>
    <m/>
    <m/>
    <m/>
    <m/>
    <n v="0.13"/>
    <m/>
    <m/>
    <m/>
    <m/>
    <m/>
    <m/>
    <m/>
    <m/>
    <n v="0.13"/>
    <m/>
    <m/>
    <m/>
  </r>
  <r>
    <x v="3"/>
    <x v="166"/>
    <m/>
    <s v="fresh pod"/>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3.94"/>
    <s v=""/>
    <m/>
    <m/>
    <m/>
    <m/>
    <m/>
    <m/>
    <m/>
    <m/>
    <m/>
    <m/>
    <m/>
    <m/>
    <m/>
    <n v="3.94"/>
    <m/>
    <m/>
    <m/>
    <m/>
    <m/>
    <m/>
    <m/>
    <m/>
    <n v="3.94"/>
    <m/>
    <m/>
    <m/>
  </r>
  <r>
    <x v="3"/>
    <x v="166"/>
    <m/>
    <s v="shelled"/>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2.46"/>
    <s v=""/>
    <m/>
    <m/>
    <m/>
    <m/>
    <m/>
    <m/>
    <m/>
    <m/>
    <m/>
    <m/>
    <m/>
    <m/>
    <m/>
    <n v="2.46"/>
    <m/>
    <m/>
    <m/>
    <m/>
    <m/>
    <m/>
    <m/>
    <m/>
    <n v="2.46"/>
    <m/>
    <m/>
    <m/>
  </r>
  <r>
    <x v="3"/>
    <x v="57"/>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32"/>
    <s v=""/>
    <m/>
    <m/>
    <m/>
    <m/>
    <m/>
    <m/>
    <m/>
    <m/>
    <m/>
    <m/>
    <m/>
    <m/>
    <m/>
    <n v="0.32"/>
    <m/>
    <m/>
    <m/>
    <m/>
    <m/>
    <m/>
    <m/>
    <m/>
    <n v="0.32"/>
    <m/>
    <m/>
    <m/>
  </r>
  <r>
    <x v="3"/>
    <x v="237"/>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5"/>
    <s v=""/>
    <m/>
    <m/>
    <m/>
    <m/>
    <m/>
    <m/>
    <m/>
    <m/>
    <m/>
    <m/>
    <m/>
    <m/>
    <m/>
    <n v="0.25"/>
    <m/>
    <m/>
    <m/>
    <m/>
    <m/>
    <m/>
    <m/>
    <m/>
    <n v="0.25"/>
    <m/>
    <m/>
    <m/>
  </r>
  <r>
    <x v="4"/>
    <x v="199"/>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38"/>
    <s v=""/>
    <m/>
    <m/>
    <m/>
    <m/>
    <m/>
    <m/>
    <m/>
    <m/>
    <m/>
    <m/>
    <m/>
    <m/>
    <m/>
    <n v="0.38"/>
    <m/>
    <m/>
    <m/>
    <m/>
    <m/>
    <m/>
    <m/>
    <m/>
    <n v="0.38"/>
    <m/>
    <m/>
    <m/>
  </r>
  <r>
    <x v="3"/>
    <x v="63"/>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06"/>
    <s v=""/>
    <m/>
    <m/>
    <m/>
    <m/>
    <m/>
    <m/>
    <m/>
    <m/>
    <m/>
    <m/>
    <m/>
    <m/>
    <m/>
    <n v="0.06"/>
    <m/>
    <m/>
    <m/>
    <m/>
    <m/>
    <m/>
    <m/>
    <m/>
    <n v="0.06"/>
    <m/>
    <m/>
    <m/>
  </r>
  <r>
    <x v="3"/>
    <x v="233"/>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1"/>
    <s v=""/>
    <m/>
    <m/>
    <m/>
    <m/>
    <m/>
    <m/>
    <m/>
    <m/>
    <m/>
    <m/>
    <m/>
    <m/>
    <m/>
    <n v="0.21"/>
    <m/>
    <m/>
    <m/>
    <m/>
    <m/>
    <m/>
    <m/>
    <m/>
    <n v="0.21"/>
    <m/>
    <m/>
    <m/>
  </r>
  <r>
    <x v="3"/>
    <x v="44"/>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7"/>
    <s v=""/>
    <m/>
    <m/>
    <m/>
    <m/>
    <m/>
    <m/>
    <m/>
    <m/>
    <m/>
    <m/>
    <m/>
    <m/>
    <m/>
    <n v="0.27"/>
    <m/>
    <m/>
    <m/>
    <m/>
    <m/>
    <m/>
    <m/>
    <m/>
    <n v="0.27"/>
    <m/>
    <m/>
    <m/>
  </r>
  <r>
    <x v="3"/>
    <x v="206"/>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63"/>
    <s v=""/>
    <m/>
    <m/>
    <m/>
    <m/>
    <m/>
    <m/>
    <m/>
    <m/>
    <m/>
    <m/>
    <m/>
    <m/>
    <m/>
    <n v="0.63"/>
    <m/>
    <m/>
    <m/>
    <m/>
    <m/>
    <m/>
    <m/>
    <m/>
    <n v="0.63"/>
    <m/>
    <m/>
    <m/>
  </r>
  <r>
    <x v="3"/>
    <x v="238"/>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1.38"/>
    <s v=""/>
    <m/>
    <m/>
    <m/>
    <m/>
    <m/>
    <m/>
    <m/>
    <m/>
    <m/>
    <m/>
    <m/>
    <m/>
    <m/>
    <n v="1.38"/>
    <m/>
    <m/>
    <m/>
    <m/>
    <m/>
    <m/>
    <m/>
    <m/>
    <n v="1.38"/>
    <m/>
    <m/>
    <m/>
  </r>
  <r>
    <x v="3"/>
    <x v="19"/>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2"/>
    <s v=""/>
    <m/>
    <m/>
    <m/>
    <m/>
    <m/>
    <m/>
    <m/>
    <m/>
    <m/>
    <m/>
    <m/>
    <m/>
    <m/>
    <n v="0.22"/>
    <m/>
    <m/>
    <m/>
    <m/>
    <m/>
    <m/>
    <m/>
    <m/>
    <n v="0.22"/>
    <m/>
    <m/>
    <m/>
  </r>
  <r>
    <x v="3"/>
    <x v="99"/>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1.17"/>
    <s v=""/>
    <m/>
    <m/>
    <m/>
    <m/>
    <m/>
    <m/>
    <m/>
    <m/>
    <m/>
    <m/>
    <m/>
    <m/>
    <m/>
    <n v="1.17"/>
    <m/>
    <m/>
    <m/>
    <m/>
    <m/>
    <m/>
    <m/>
    <m/>
    <n v="1.17"/>
    <m/>
    <m/>
    <m/>
  </r>
  <r>
    <x v="1"/>
    <x v="3"/>
    <m/>
    <s v="specialized beef in grassland area, calf-to-weanling and fattend females"/>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77.034572414789267"/>
    <s v=""/>
    <n v="41.092410605328567"/>
    <s v=""/>
    <n v="77.034572414789267"/>
    <m/>
    <m/>
    <m/>
    <m/>
    <m/>
    <m/>
    <m/>
    <m/>
    <n v="77.034572414789267"/>
    <m/>
    <m/>
    <m/>
    <n v="41.092410605328567"/>
    <m/>
    <m/>
    <m/>
    <m/>
    <m/>
    <m/>
    <m/>
    <m/>
    <n v="41.092410605328567"/>
    <m/>
    <m/>
    <m/>
  </r>
  <r>
    <x v="1"/>
    <x v="3"/>
    <m/>
    <s v="specialized beef in grassland area, calf-to-weanling, 100% grassland farm"/>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73.694880134683487"/>
    <s v=""/>
    <n v="42.586680081885966"/>
    <s v=""/>
    <n v="73.694880134683487"/>
    <m/>
    <m/>
    <m/>
    <m/>
    <m/>
    <m/>
    <m/>
    <m/>
    <n v="73.694880134683487"/>
    <m/>
    <m/>
    <m/>
    <n v="42.586680081885966"/>
    <m/>
    <m/>
    <m/>
    <m/>
    <m/>
    <m/>
    <m/>
    <m/>
    <n v="42.586680081885966"/>
    <m/>
    <m/>
    <m/>
  </r>
  <r>
    <x v="1"/>
    <x v="3"/>
    <m/>
    <s v="specialized beef in grassland area, calf-to-beef, beef steer production"/>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72.110954489532631"/>
    <s v=""/>
    <n v="37.107692001175486"/>
    <s v=""/>
    <n v="72.110954489532631"/>
    <m/>
    <m/>
    <m/>
    <m/>
    <m/>
    <m/>
    <m/>
    <m/>
    <n v="72.110954489532631"/>
    <m/>
    <m/>
    <m/>
    <n v="37.107692001175486"/>
    <m/>
    <m/>
    <m/>
    <m/>
    <m/>
    <m/>
    <m/>
    <m/>
    <n v="37.107692001175486"/>
    <m/>
    <m/>
    <m/>
  </r>
  <r>
    <x v="1"/>
    <x v="3"/>
    <m/>
    <s v="mixed crop-livestock, calf-to-beef intensive baby beef production"/>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66.497482155932005"/>
    <s v=""/>
    <n v="36.360557262896791"/>
    <s v=""/>
    <n v="66.497482155932005"/>
    <m/>
    <m/>
    <m/>
    <m/>
    <m/>
    <m/>
    <m/>
    <m/>
    <n v="66.497482155932005"/>
    <m/>
    <m/>
    <m/>
    <n v="36.360557262896791"/>
    <m/>
    <m/>
    <m/>
    <m/>
    <m/>
    <m/>
    <m/>
    <m/>
    <n v="36.360557262896791"/>
    <m/>
    <m/>
    <m/>
  </r>
  <r>
    <x v="1"/>
    <x v="3"/>
    <m/>
    <s v="mixed crop-livestock, calf-to-weanling and cereals production"/>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75.632449555952917"/>
    <s v=""/>
    <n v="47.318533424317742"/>
    <s v=""/>
    <n v="75.632449555952917"/>
    <m/>
    <m/>
    <m/>
    <m/>
    <m/>
    <m/>
    <m/>
    <m/>
    <n v="75.632449555952917"/>
    <m/>
    <m/>
    <m/>
    <n v="47.318533424317742"/>
    <m/>
    <m/>
    <m/>
    <m/>
    <m/>
    <m/>
    <m/>
    <m/>
    <n v="47.318533424317742"/>
    <m/>
    <m/>
    <m/>
  </r>
  <r>
    <x v="5"/>
    <x v="67"/>
    <m/>
    <s v="non-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2.4"/>
    <s v=""/>
    <n v="0.7"/>
    <s v=""/>
    <n v="2.4"/>
    <m/>
    <m/>
    <m/>
    <m/>
    <m/>
    <m/>
    <m/>
    <m/>
    <n v="2.4"/>
    <m/>
    <m/>
    <m/>
    <n v="0.7"/>
    <m/>
    <m/>
    <m/>
    <m/>
    <m/>
    <m/>
    <m/>
    <m/>
    <n v="0.7"/>
    <m/>
    <m/>
    <m/>
  </r>
  <r>
    <x v="5"/>
    <x v="45"/>
    <m/>
    <s v="non-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4.9000000000000004"/>
    <s v=""/>
    <n v="1.4"/>
    <s v=""/>
    <n v="4.9000000000000004"/>
    <m/>
    <m/>
    <m/>
    <m/>
    <m/>
    <m/>
    <m/>
    <m/>
    <n v="4.9000000000000004"/>
    <m/>
    <m/>
    <m/>
    <n v="1.4"/>
    <m/>
    <m/>
    <m/>
    <m/>
    <m/>
    <m/>
    <m/>
    <m/>
    <n v="1.4"/>
    <m/>
    <m/>
    <m/>
  </r>
  <r>
    <x v="3"/>
    <x v="44"/>
    <m/>
    <s v="non-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1.4"/>
    <s v=""/>
    <n v="0.19"/>
    <s v=""/>
    <n v="1.4"/>
    <m/>
    <m/>
    <m/>
    <m/>
    <m/>
    <m/>
    <m/>
    <m/>
    <n v="1.4"/>
    <m/>
    <m/>
    <m/>
    <n v="0.19"/>
    <m/>
    <m/>
    <m/>
    <m/>
    <m/>
    <m/>
    <m/>
    <m/>
    <n v="0.19"/>
    <m/>
    <m/>
    <m/>
  </r>
  <r>
    <x v="5"/>
    <x v="67"/>
    <m/>
    <s v="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2"/>
    <s v=""/>
    <n v="0.8"/>
    <s v=""/>
    <n v="2"/>
    <m/>
    <m/>
    <m/>
    <m/>
    <m/>
    <m/>
    <m/>
    <m/>
    <n v="2"/>
    <m/>
    <m/>
    <m/>
    <n v="0.8"/>
    <m/>
    <m/>
    <m/>
    <m/>
    <m/>
    <m/>
    <m/>
    <m/>
    <n v="0.8"/>
    <m/>
    <m/>
    <m/>
  </r>
  <r>
    <x v="3"/>
    <x v="44"/>
    <m/>
    <s v="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1.6"/>
    <s v=""/>
    <n v="0.2"/>
    <s v=""/>
    <n v="1.6"/>
    <m/>
    <m/>
    <m/>
    <m/>
    <m/>
    <m/>
    <m/>
    <m/>
    <n v="1.6"/>
    <m/>
    <m/>
    <m/>
    <n v="0.2"/>
    <m/>
    <m/>
    <m/>
    <m/>
    <m/>
    <m/>
    <m/>
    <m/>
    <n v="0.2"/>
    <m/>
    <m/>
    <m/>
  </r>
  <r>
    <x v="12"/>
    <x v="102"/>
    <m/>
    <s v="striped catfish (Pangasianodon hypophthalmus), Mekong Delta"/>
    <m/>
    <s v="Vietnam"/>
    <n v="2011"/>
    <s v="Bosma, Roel_x000a_Anh, Pham Thi_x000a_Potting, José"/>
    <m/>
    <s v="Peer Reviewed Journal"/>
    <s v="Bosma, R., Anh, P. T. and Potting, J., Life cycle assessment of intensive striped catfish farming in the Mekong Delta for screening hotspots as input to environmental policy and research agenda. The International Journal of Life Cycle Assessment 2011, 16 (9), 903."/>
    <s v="Yes"/>
    <s v="No"/>
    <s v="No"/>
    <s v="No"/>
    <s v="No"/>
    <s v="No"/>
    <s v="No"/>
    <s v="No"/>
    <s v="No"/>
    <s v="No"/>
    <s v="No"/>
    <s v="No"/>
    <m/>
    <m/>
    <m/>
    <m/>
    <s v="1 tonne fresh fish at farm gate"/>
    <s v="/.65"/>
    <n v="20.307692307692307"/>
    <s v=""/>
    <n v="13.738461538461538"/>
    <s v=""/>
    <n v="20.307692307692307"/>
    <m/>
    <m/>
    <m/>
    <m/>
    <m/>
    <m/>
    <m/>
    <m/>
    <n v="20.307692307692307"/>
    <m/>
    <m/>
    <m/>
    <n v="13.738461538461538"/>
    <m/>
    <m/>
    <m/>
    <m/>
    <m/>
    <m/>
    <m/>
    <m/>
    <n v="13.738461538461538"/>
    <m/>
    <m/>
    <m/>
  </r>
  <r>
    <x v="1"/>
    <x v="1"/>
    <m/>
    <m/>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LW"/>
    <s v="/0.658/0.508"/>
    <s v=""/>
    <s v=""/>
    <n v="34.10477945575952"/>
    <s v=""/>
    <m/>
    <m/>
    <m/>
    <m/>
    <m/>
    <m/>
    <m/>
    <m/>
    <m/>
    <n v="0"/>
    <m/>
    <m/>
    <m/>
    <n v="34.10477945575952"/>
    <m/>
    <m/>
    <m/>
    <m/>
    <m/>
    <m/>
    <m/>
    <m/>
    <n v="34.10477945575952"/>
    <m/>
    <m/>
    <m/>
  </r>
  <r>
    <x v="1"/>
    <x v="3"/>
    <m/>
    <m/>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LW"/>
    <s v="/0.667/0.602"/>
    <s v=""/>
    <s v=""/>
    <n v="56.782240109181295"/>
    <s v=""/>
    <m/>
    <m/>
    <m/>
    <m/>
    <m/>
    <m/>
    <m/>
    <m/>
    <m/>
    <m/>
    <m/>
    <m/>
    <m/>
    <n v="56.782240109181295"/>
    <m/>
    <m/>
    <m/>
    <m/>
    <m/>
    <m/>
    <m/>
    <m/>
    <n v="56.782240109181295"/>
    <m/>
    <m/>
    <m/>
  </r>
  <r>
    <x v="0"/>
    <x v="0"/>
    <m/>
    <s v="pasture"/>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FPCM"/>
    <m/>
    <s v=""/>
    <s v=""/>
    <n v="9"/>
    <s v=""/>
    <m/>
    <m/>
    <m/>
    <m/>
    <m/>
    <m/>
    <m/>
    <m/>
    <m/>
    <m/>
    <m/>
    <m/>
    <m/>
    <n v="9"/>
    <m/>
    <m/>
    <m/>
    <m/>
    <m/>
    <m/>
    <m/>
    <m/>
    <n v="9"/>
    <m/>
    <m/>
    <m/>
  </r>
  <r>
    <x v="0"/>
    <x v="0"/>
    <m/>
    <s v="pasture/supplement"/>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FPCM"/>
    <m/>
    <s v=""/>
    <s v=""/>
    <n v="8.5"/>
    <s v=""/>
    <m/>
    <m/>
    <m/>
    <m/>
    <m/>
    <m/>
    <m/>
    <m/>
    <m/>
    <m/>
    <m/>
    <m/>
    <m/>
    <n v="8.5"/>
    <m/>
    <m/>
    <m/>
    <m/>
    <m/>
    <m/>
    <m/>
    <m/>
    <n v="8.5"/>
    <m/>
    <m/>
    <m/>
  </r>
  <r>
    <x v="5"/>
    <x v="67"/>
    <m/>
    <m/>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
    <m/>
    <s v=""/>
    <s v=""/>
    <n v="0.04"/>
    <s v=""/>
    <m/>
    <m/>
    <m/>
    <m/>
    <m/>
    <m/>
    <m/>
    <m/>
    <m/>
    <m/>
    <m/>
    <m/>
    <m/>
    <n v="0.04"/>
    <m/>
    <m/>
    <m/>
    <m/>
    <m/>
    <m/>
    <m/>
    <m/>
    <n v="0.04"/>
    <m/>
    <m/>
    <m/>
  </r>
  <r>
    <x v="5"/>
    <x v="125"/>
    <m/>
    <m/>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m/>
    <s v=""/>
    <s v=""/>
    <n v="0.15"/>
    <s v=""/>
    <m/>
    <m/>
    <m/>
    <m/>
    <m/>
    <m/>
    <m/>
    <m/>
    <m/>
    <m/>
    <m/>
    <m/>
    <m/>
    <n v="0.15"/>
    <m/>
    <m/>
    <m/>
    <m/>
    <m/>
    <m/>
    <m/>
    <m/>
    <n v="0.15"/>
    <m/>
    <m/>
    <m/>
  </r>
  <r>
    <x v="0"/>
    <x v="0"/>
    <m/>
    <s v="average of 60 Tasmanian dairy farms, estimated by GHGE calculator"/>
    <m/>
    <s v="Australia (Tasmania)"/>
    <n v="2011"/>
    <s v="Christie, KM_x000a_Rawnsley, RP_x000a_Eckard, RJ"/>
    <m/>
    <s v="Peer Reviewed Journal"/>
    <s v="Christie, K., Rawnsley, R. and Eckard, R., A whole farm systems analysis of greenhouse gas emissions of 60 Tasmanian dairy farms. Animal Feed Science and Technology 2011, 166, 653-662."/>
    <s v="Yes"/>
    <s v="No"/>
    <s v="No"/>
    <s v="No"/>
    <s v="No"/>
    <s v="No"/>
    <s v="No"/>
    <s v="No"/>
    <s v="No"/>
    <s v="No"/>
    <s v="No"/>
    <s v="No"/>
    <m/>
    <m/>
    <m/>
    <m/>
    <s v="kg FPCM"/>
    <m/>
    <s v=""/>
    <s v=""/>
    <n v="1.04"/>
    <s v=""/>
    <m/>
    <m/>
    <m/>
    <m/>
    <m/>
    <m/>
    <m/>
    <m/>
    <m/>
    <m/>
    <m/>
    <m/>
    <m/>
    <n v="1.04"/>
    <m/>
    <m/>
    <m/>
    <m/>
    <m/>
    <m/>
    <m/>
    <m/>
    <n v="1.04"/>
    <m/>
    <s v=".83-1.39, SD=.13, n=60"/>
    <m/>
  </r>
  <r>
    <x v="1"/>
    <x v="3"/>
    <m/>
    <s v="National Farm Survey"/>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34.482758620689651"/>
    <s v=""/>
    <m/>
    <m/>
    <m/>
    <m/>
    <m/>
    <m/>
    <m/>
    <m/>
    <m/>
    <m/>
    <m/>
    <m/>
    <m/>
    <n v="34.482758620689651"/>
    <m/>
    <m/>
    <m/>
    <m/>
    <m/>
    <m/>
    <m/>
    <m/>
    <n v="34.482758620689651"/>
    <m/>
    <m/>
    <m/>
  </r>
  <r>
    <x v="1"/>
    <x v="3"/>
    <m/>
    <s v="Steer, moderate"/>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29.535232383808093"/>
    <s v=""/>
    <m/>
    <m/>
    <m/>
    <m/>
    <m/>
    <m/>
    <m/>
    <m/>
    <m/>
    <m/>
    <m/>
    <m/>
    <m/>
    <n v="29.535232383808093"/>
    <m/>
    <m/>
    <m/>
    <m/>
    <m/>
    <m/>
    <m/>
    <m/>
    <n v="29.535232383808093"/>
    <m/>
    <m/>
    <m/>
  </r>
  <r>
    <x v="1"/>
    <x v="3"/>
    <m/>
    <s v="steer, intensive"/>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32.983508245877061"/>
    <s v=""/>
    <m/>
    <m/>
    <m/>
    <m/>
    <m/>
    <m/>
    <m/>
    <m/>
    <m/>
    <m/>
    <m/>
    <m/>
    <m/>
    <n v="32.983508245877061"/>
    <m/>
    <m/>
    <m/>
    <m/>
    <m/>
    <m/>
    <m/>
    <m/>
    <n v="32.983508245877061"/>
    <m/>
    <m/>
    <m/>
  </r>
  <r>
    <x v="1"/>
    <x v="3"/>
    <m/>
    <s v="bull, moderate"/>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28.335832083958017"/>
    <s v=""/>
    <m/>
    <m/>
    <m/>
    <m/>
    <m/>
    <m/>
    <m/>
    <m/>
    <m/>
    <m/>
    <m/>
    <m/>
    <m/>
    <n v="28.335832083958017"/>
    <m/>
    <m/>
    <m/>
    <m/>
    <m/>
    <m/>
    <m/>
    <m/>
    <n v="28.335832083958017"/>
    <m/>
    <m/>
    <m/>
  </r>
  <r>
    <x v="1"/>
    <x v="3"/>
    <m/>
    <s v="bull, intensive"/>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30.584707646176909"/>
    <s v=""/>
    <m/>
    <m/>
    <m/>
    <m/>
    <m/>
    <m/>
    <m/>
    <m/>
    <m/>
    <m/>
    <m/>
    <m/>
    <m/>
    <n v="30.584707646176909"/>
    <m/>
    <m/>
    <m/>
    <m/>
    <m/>
    <m/>
    <m/>
    <m/>
    <n v="30.584707646176909"/>
    <m/>
    <m/>
    <m/>
  </r>
  <r>
    <x v="0"/>
    <x v="0"/>
    <m/>
    <s v="average of 45 model farms in 38 countries"/>
    <m/>
    <s v="world"/>
    <n v="2011"/>
    <s v="Hagemann, Martin_x000a_Hemme, Torsten_x000a_Ndambi, Asaah_x000a_Alqaisi, Othman_x000a_Sultana, Mst Nadira"/>
    <m/>
    <s v="Peer Reviewed Journal"/>
    <s v="Hagemann, M., Hemme, T., Ndambi, A., Alqaisi, O. and Sultana, M. N., Benchmarking of greenhouse gas emissions of bovine milk production systems for 38 countries. Animal feed science and technology 2011, 166, 46-58."/>
    <s v="Yes"/>
    <s v="No"/>
    <s v="No"/>
    <s v="No"/>
    <s v="No"/>
    <s v="No"/>
    <s v="No"/>
    <s v="No"/>
    <s v="No"/>
    <s v="No"/>
    <s v="No"/>
    <s v="No"/>
    <m/>
    <m/>
    <m/>
    <m/>
    <s v="kg ECM"/>
    <m/>
    <s v=""/>
    <s v=""/>
    <n v="1.24"/>
    <s v=""/>
    <m/>
    <m/>
    <m/>
    <m/>
    <m/>
    <m/>
    <m/>
    <m/>
    <m/>
    <m/>
    <m/>
    <m/>
    <m/>
    <n v="1.24"/>
    <m/>
    <m/>
    <m/>
    <m/>
    <m/>
    <m/>
    <m/>
    <m/>
    <n v="1.24"/>
    <m/>
    <s v="SD=.49, n=45"/>
    <m/>
  </r>
  <r>
    <x v="0"/>
    <x v="0"/>
    <m/>
    <s v="Aurora Organic Dairy (vertically integrated organic dairy)"/>
    <m/>
    <s v="US"/>
    <n v="2011"/>
    <s v="Heller, M. C._x000a_Keoleian, G. A."/>
    <m/>
    <s v="Peer Reviewed Journal"/>
    <s v="Heller, M. C. and Keoleian, G. A., Life Cycle Energy and Greenhouse Gas Analysis of a Large-Scale Vertically Integrated Organic Dairy in the United States. Environmental Science and Technology 2011, 45 (5), 1903-1910."/>
    <s v="Yes"/>
    <s v="No"/>
    <s v="Yes"/>
    <s v="Yes"/>
    <s v="Yes"/>
    <s v="Yes"/>
    <s v="Yes"/>
    <s v="Yes"/>
    <s v="Yes"/>
    <s v="No"/>
    <s v="No"/>
    <s v="No"/>
    <m/>
    <s v="reporting average of 2 years"/>
    <m/>
    <m/>
    <s v="1 L packaged fluid milk"/>
    <s v="1.035kg/L"/>
    <n v="5.5993499999999994"/>
    <n v="9.4024251999999997"/>
    <n v="1.516275"/>
    <n v="1.72224"/>
    <n v="5.5993499999999994"/>
    <n v="0.49472999999999995"/>
    <n v="3.3083452000000002"/>
    <n v="2.8255499999999998"/>
    <n v="3.6638999999999999"/>
    <n v="0.67274999999999996"/>
    <n v="2.3463449999999999"/>
    <n v="1.0142999999999999E-2"/>
    <m/>
    <n v="5.5993499999999994"/>
    <n v="18.921113199999997"/>
    <m/>
    <m/>
    <n v="1.516275"/>
    <n v="3.5189999999999999E-2"/>
    <n v="0.17077499999999998"/>
    <n v="0.13734450000000001"/>
    <n v="0.24498449999999997"/>
    <n v="4.0468499999999998E-2"/>
    <n v="0.14862599999999998"/>
    <n v="9.2114999999999989E-2"/>
    <m/>
    <n v="1.516275"/>
    <n v="2.3857785000000002"/>
    <m/>
    <m/>
  </r>
  <r>
    <x v="0"/>
    <x v="0"/>
    <s v="Fresh or Not Specified"/>
    <s v="average of 41 intensive dairy farms in the Po valley "/>
    <m/>
    <s v="Italy"/>
    <n v="2013"/>
    <s v="Guerci, Matteo_x000a_Bava, Luciana_x000a_Zucali, Maddalena_x000a_Sandrucci, Anna_x000a_Penati, Chiara_x000a_Tamburini, Alberto"/>
    <s v="Intensive dairy farms in Italy"/>
    <s v="Peer Reviewed Journal"/>
    <s v="Guerci, M., Bava, L., Zucali, M., Sandrucci, A., Penati, C. and Tamburini, A., Effect of farming strategies on environmental impact of intensive dairy farms in Italy. Journal of Dairy Research 2013, 80 (3), 300-308."/>
    <s v="Yes"/>
    <s v="No"/>
    <s v="No"/>
    <s v="No"/>
    <s v="No"/>
    <s v="No"/>
    <s v="No"/>
    <s v="No"/>
    <s v="No"/>
    <s v="No"/>
    <s v="No"/>
    <s v="No"/>
    <m/>
    <s v="cradle to farm gate"/>
    <m/>
    <m/>
    <s v="kg FPCM"/>
    <m/>
    <n v="5.97"/>
    <s v=""/>
    <n v="1.3"/>
    <s v=""/>
    <n v="5.97"/>
    <m/>
    <m/>
    <m/>
    <m/>
    <m/>
    <m/>
    <m/>
    <m/>
    <n v="5.97"/>
    <m/>
    <m/>
    <s v="sd= 1.32; on-farm and off-farm values"/>
    <n v="1.3"/>
    <m/>
    <m/>
    <m/>
    <m/>
    <m/>
    <m/>
    <m/>
    <m/>
    <n v="1.3"/>
    <m/>
    <n v="0.19"/>
    <m/>
  </r>
  <r>
    <x v="0"/>
    <x v="0"/>
    <s v="Fresh or Not Specified"/>
    <s v="organic"/>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2.87"/>
    <s v=""/>
    <n v="1.43"/>
    <s v=""/>
    <n v="2.87"/>
    <m/>
    <m/>
    <m/>
    <m/>
    <m/>
    <m/>
    <m/>
    <m/>
    <n v="2.87"/>
    <m/>
    <m/>
    <s v="Provides on-farm %s"/>
    <n v="1.43"/>
    <m/>
    <m/>
    <m/>
    <m/>
    <m/>
    <m/>
    <m/>
    <m/>
    <n v="1.43"/>
    <m/>
    <m/>
    <m/>
  </r>
  <r>
    <x v="0"/>
    <x v="0"/>
    <s v="Fresh or Not Specified"/>
    <s v="organic"/>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2.5499999999999998"/>
    <s v=""/>
    <n v="1.1000000000000001"/>
    <s v=""/>
    <n v="2.5499999999999998"/>
    <m/>
    <m/>
    <m/>
    <m/>
    <m/>
    <m/>
    <m/>
    <m/>
    <n v="2.5499999999999998"/>
    <m/>
    <m/>
    <s v="Provides on-farm %s"/>
    <n v="1.1000000000000001"/>
    <m/>
    <m/>
    <m/>
    <m/>
    <m/>
    <m/>
    <m/>
    <m/>
    <n v="1.1000000000000001"/>
    <m/>
    <m/>
    <m/>
  </r>
  <r>
    <x v="0"/>
    <x v="0"/>
    <s v="Fresh or Not Specified"/>
    <m/>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3.08"/>
    <s v=""/>
    <n v="1.57"/>
    <s v=""/>
    <n v="3.08"/>
    <m/>
    <m/>
    <m/>
    <m/>
    <m/>
    <m/>
    <m/>
    <m/>
    <n v="3.08"/>
    <m/>
    <m/>
    <s v="Provides on-farm %s"/>
    <n v="1.57"/>
    <m/>
    <m/>
    <m/>
    <m/>
    <m/>
    <m/>
    <m/>
    <m/>
    <n v="1.57"/>
    <m/>
    <m/>
    <m/>
  </r>
  <r>
    <x v="0"/>
    <x v="0"/>
    <s v="Fresh or Not Specified"/>
    <m/>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2.96"/>
    <s v=""/>
    <n v="1.27"/>
    <s v=""/>
    <n v="2.96"/>
    <m/>
    <m/>
    <m/>
    <m/>
    <m/>
    <m/>
    <m/>
    <m/>
    <n v="2.96"/>
    <m/>
    <m/>
    <s v="Provides on-farm %s"/>
    <n v="1.27"/>
    <m/>
    <m/>
    <m/>
    <m/>
    <m/>
    <m/>
    <m/>
    <m/>
    <n v="1.27"/>
    <m/>
    <m/>
    <m/>
  </r>
  <r>
    <x v="0"/>
    <x v="0"/>
    <s v="Fresh or Not Specified"/>
    <m/>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5.29"/>
    <s v=""/>
    <n v="1.66"/>
    <s v=""/>
    <n v="5.29"/>
    <m/>
    <m/>
    <m/>
    <m/>
    <m/>
    <m/>
    <m/>
    <m/>
    <n v="5.29"/>
    <m/>
    <m/>
    <s v="Provides on-farm %s"/>
    <n v="1.66"/>
    <m/>
    <m/>
    <m/>
    <m/>
    <m/>
    <m/>
    <m/>
    <m/>
    <n v="1.66"/>
    <m/>
    <m/>
    <m/>
  </r>
  <r>
    <x v="0"/>
    <x v="0"/>
    <s v="Fresh or Not Specified"/>
    <m/>
    <m/>
    <s v="German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3.71"/>
    <s v=""/>
    <n v="1.32"/>
    <s v=""/>
    <n v="3.71"/>
    <m/>
    <m/>
    <m/>
    <m/>
    <m/>
    <m/>
    <m/>
    <m/>
    <n v="3.71"/>
    <m/>
    <m/>
    <s v="Provides on-farm %s"/>
    <n v="1.32"/>
    <m/>
    <m/>
    <m/>
    <m/>
    <m/>
    <m/>
    <m/>
    <m/>
    <n v="1.32"/>
    <m/>
    <m/>
    <m/>
  </r>
  <r>
    <x v="0"/>
    <x v="0"/>
    <s v="Fresh or Not Specified"/>
    <s v="pasture based feeding in the summer"/>
    <m/>
    <s v="German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0.92"/>
    <s v=""/>
    <n v="0.55000000000000004"/>
    <s v=""/>
    <n v="0.92"/>
    <m/>
    <m/>
    <m/>
    <m/>
    <m/>
    <m/>
    <m/>
    <m/>
    <n v="0.92"/>
    <m/>
    <m/>
    <s v="Provides on-farm %s"/>
    <n v="0.55000000000000004"/>
    <m/>
    <m/>
    <m/>
    <m/>
    <m/>
    <m/>
    <m/>
    <m/>
    <n v="0.55000000000000004"/>
    <m/>
    <m/>
    <m/>
  </r>
  <r>
    <x v="0"/>
    <x v="0"/>
    <s v="Fresh or Not Specified"/>
    <s v="confinement feed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4.09"/>
    <s v=""/>
    <n v="1.36"/>
    <s v=""/>
    <n v="4.09"/>
    <m/>
    <m/>
    <m/>
    <m/>
    <m/>
    <m/>
    <m/>
    <m/>
    <n v="4.09"/>
    <m/>
    <m/>
    <s v="Provides on-farm %s"/>
    <n v="1.36"/>
    <m/>
    <m/>
    <m/>
    <m/>
    <m/>
    <m/>
    <m/>
    <m/>
    <n v="1.36"/>
    <m/>
    <m/>
    <m/>
  </r>
  <r>
    <x v="0"/>
    <x v="0"/>
    <s v="Fresh or Not Specified"/>
    <s v="confinement feed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3.73"/>
    <s v=""/>
    <n v="1.91"/>
    <s v=""/>
    <n v="3.73"/>
    <m/>
    <m/>
    <m/>
    <m/>
    <m/>
    <m/>
    <m/>
    <m/>
    <n v="3.73"/>
    <m/>
    <m/>
    <s v="Provides on-farm %s"/>
    <n v="1.91"/>
    <m/>
    <m/>
    <m/>
    <m/>
    <m/>
    <m/>
    <m/>
    <m/>
    <n v="1.91"/>
    <m/>
    <m/>
    <m/>
  </r>
  <r>
    <x v="0"/>
    <x v="0"/>
    <s v="Fresh or Not Specified"/>
    <s v="confinement feed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4.12"/>
    <s v=""/>
    <n v="1.47"/>
    <s v=""/>
    <n v="4.12"/>
    <m/>
    <m/>
    <m/>
    <m/>
    <m/>
    <m/>
    <m/>
    <m/>
    <n v="4.12"/>
    <m/>
    <m/>
    <s v="Provides on-farm %s"/>
    <n v="1.47"/>
    <m/>
    <m/>
    <m/>
    <m/>
    <m/>
    <m/>
    <m/>
    <m/>
    <n v="1.47"/>
    <m/>
    <m/>
    <m/>
  </r>
  <r>
    <x v="0"/>
    <x v="0"/>
    <s v="Fresh or Not Specified"/>
    <s v="confinement feeding; intensive farm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3.37"/>
    <s v=""/>
    <n v="1.18"/>
    <s v=""/>
    <n v="3.37"/>
    <m/>
    <m/>
    <m/>
    <m/>
    <m/>
    <m/>
    <m/>
    <m/>
    <n v="3.37"/>
    <m/>
    <m/>
    <s v="Provides on-farm %s"/>
    <n v="1.18"/>
    <m/>
    <m/>
    <m/>
    <m/>
    <m/>
    <m/>
    <m/>
    <m/>
    <n v="1.18"/>
    <m/>
    <m/>
    <m/>
  </r>
  <r>
    <x v="0"/>
    <x v="0"/>
    <s v="Fresh or Not Specified"/>
    <s v="confinement feeding; intensive farm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2.4"/>
    <s v=""/>
    <n v="1.1100000000000001"/>
    <s v=""/>
    <n v="2.4"/>
    <m/>
    <m/>
    <m/>
    <m/>
    <m/>
    <m/>
    <m/>
    <m/>
    <n v="2.4"/>
    <m/>
    <m/>
    <s v="Provides on-farm %s"/>
    <n v="1.1100000000000001"/>
    <m/>
    <m/>
    <m/>
    <m/>
    <m/>
    <m/>
    <m/>
    <m/>
    <n v="1.1100000000000001"/>
    <m/>
    <m/>
    <m/>
  </r>
  <r>
    <x v="0"/>
    <x v="5"/>
    <s v="Fresh or Not Specified"/>
    <s v="an average for different forms (drinking, stirrable, and solid) of  yogurt"/>
    <m/>
    <s v="Portugal"/>
    <n v="2013"/>
    <s v="González-García, Sara_x000a_Castanheira, Érica G._x000a_Dias, Ana Cláudia_x000a_Arroja, Luis"/>
    <s v="Environmental LCA of a diary product"/>
    <s v="Peer Reviewed Journal"/>
    <s v="González-García, S., Castanheira, É. G., Dias, A. C. and Arroja, L., Environmental life cycle assessment of a dairy product: the yoghurt. The International Journal of Life Cycle Assessment 2013, 18 (4), 796-811."/>
    <s v="Yes"/>
    <s v="No"/>
    <s v="Yes"/>
    <s v="Yes"/>
    <s v="Yes"/>
    <s v="Yes"/>
    <s v="Yes"/>
    <s v="Yes"/>
    <s v="Yes"/>
    <s v="No"/>
    <s v="Yes"/>
    <s v="No"/>
    <s v="Final Disposal"/>
    <s v="cradle to grave; uses mass allocation"/>
    <s v="Yes"/>
    <m/>
    <s v="1 tonne yogurt at the household"/>
    <m/>
    <n v="3.1236359999999999"/>
    <n v="9.6909869999999998"/>
    <n v="0.60097"/>
    <n v="1.3679779999999999"/>
    <n v="3.1236359999999999"/>
    <n v="0.80828900000000004"/>
    <n v="5.7590620000000001"/>
    <n v="4.7992179999999998"/>
    <m/>
    <n v="1.7353540000000001"/>
    <n v="0.86767700000000003"/>
    <n v="8.6767999999999998E-2"/>
    <m/>
    <n v="3.1236359999999999"/>
    <n v="17.180004"/>
    <m/>
    <m/>
    <n v="0.60097"/>
    <n v="5.8043999999999998E-2"/>
    <n v="0.70896400000000004"/>
    <n v="0.16583999999999999"/>
    <m/>
    <n v="0.134545"/>
    <n v="8.0726999999999993E-2"/>
    <n v="2.6908999999999999E-2"/>
    <m/>
    <n v="0.60097"/>
    <n v="1.7759989999999999"/>
    <m/>
    <m/>
  </r>
  <r>
    <x v="0"/>
    <x v="0"/>
    <s v="Fresh or Not Specified"/>
    <s v="average for simple (whole, semi-skimmed, and skimmed) UHT milk and cocoa UHT milk"/>
    <m/>
    <s v="Portugal"/>
    <n v="2013"/>
    <s v="González-García, Sara_x000a_Castanheira, Érica G._x000a_Dias, Ana Cláudia_x000a_Arroja, Luis"/>
    <s v="Using LCA to assess UHT milk production"/>
    <s v="Peer Reviewed Journal"/>
    <s v="González-García, S., Castanheira, É. G., Dias, A. C. and Arroja, L., Using Life Cycle Assessment methodology to assess UHT milk production in Portugal. Science of The Total Environment 2013, 442, 225-234."/>
    <s v="Yes"/>
    <s v="No"/>
    <s v="Yes"/>
    <s v="Yes"/>
    <s v="Yes"/>
    <s v="No"/>
    <s v="No"/>
    <s v="No"/>
    <s v="No"/>
    <s v="No"/>
    <s v="No"/>
    <s v="No"/>
    <m/>
    <s v="cradle to factory gate; uses mass allocation"/>
    <m/>
    <m/>
    <s v="1 kg ECM"/>
    <m/>
    <n v="5.0651999999999999"/>
    <n v="10.56295793"/>
    <n v="0.96256799999999998"/>
    <n v="1.734262"/>
    <n v="5.0651999999999999"/>
    <n v="1.2905534999999999"/>
    <n v="4.20720443"/>
    <n v="1.49704207"/>
    <m/>
    <m/>
    <m/>
    <m/>
    <m/>
    <n v="5.0651999999999999"/>
    <n v="12.059999999999999"/>
    <m/>
    <m/>
    <n v="0.96256799999999998"/>
    <n v="9.1800000000000007E-2"/>
    <n v="0.679894"/>
    <n v="5.738E-3"/>
    <m/>
    <m/>
    <m/>
    <m/>
    <m/>
    <n v="0.96256799999999998"/>
    <n v="1.74"/>
    <m/>
    <m/>
  </r>
  <r>
    <x v="0"/>
    <x v="4"/>
    <s v="Fresh or Not Specified"/>
    <s v="San Simon da Costa cheese (a type of Galician cheese)"/>
    <m/>
    <s v="Spain"/>
    <n v="2013"/>
    <s v="González-García, Sara_x000a_Hospido, Almudena_x000a_Moreira, María Teresa_x000a_Feijoo, Gumersindo_x000a_Arroja, Luis"/>
    <s v="Environmental LCA of a Galician cheese"/>
    <s v="Peer Reviewed Journal"/>
    <s v="González-García, S., Hospido, A., Moreira, M. T., Feijoo, G. and Arroja, L., Environmental Life Cycle Assessment of a Galician cheese: San Simon da Costa. Journal of Cleaner Production 2013, 52, 253-262."/>
    <s v="Yes"/>
    <s v="No"/>
    <s v="Yes"/>
    <s v="Yes"/>
    <s v="Yes"/>
    <s v="No"/>
    <s v="No"/>
    <s v="No"/>
    <s v="No"/>
    <s v="No"/>
    <s v="No"/>
    <s v="No"/>
    <s v="Wastewater treatment plant"/>
    <s v="cradle to packaging; with waste included"/>
    <s v="Yes"/>
    <m/>
    <s v="1 kg cheese packaged or ready to be consumed"/>
    <m/>
    <n v="45.29"/>
    <n v="67.600999999999999"/>
    <n v="8.52"/>
    <n v="10.026999999999999"/>
    <n v="45.29"/>
    <n v="3.4860000000000002"/>
    <n v="18.824999999999999"/>
    <n v="1.569"/>
    <m/>
    <m/>
    <m/>
    <n v="2.81"/>
    <m/>
    <n v="45.29"/>
    <n v="71.98"/>
    <m/>
    <m/>
    <n v="8.52"/>
    <n v="0.23860000000000001"/>
    <n v="1.2684"/>
    <n v="0.113"/>
    <m/>
    <m/>
    <m/>
    <n v="0.3"/>
    <m/>
    <n v="8.52"/>
    <n v="10.44"/>
    <m/>
    <m/>
  </r>
  <r>
    <x v="4"/>
    <x v="66"/>
    <s v="Fresh or Not Specified"/>
    <s v="Golden delicious apple; West Viriginia"/>
    <m/>
    <s v="US"/>
    <n v="2013"/>
    <s v="Cerutti, Alessandro K._x000a_Bruun, Sander_x000a_Donno, Dario_x000a_Beccaro, Gabriele L._x000a_Bounous, Giancarlo"/>
    <s v="Ancient apple cultivars in Northern Italy"/>
    <s v="Peer Reviewed Journal"/>
    <s v="Cerutti, A. K., Bruun, S., Donno, D., Beccaro, G. L. and Bounous, G., Environmental sustainability of traditional foods: the case of ancient apple cultivars in Northern Italy assessed by multifunctional LCA. Journal of Cleaner Production 2013, 52, 245-252."/>
    <s v="Yes"/>
    <s v="No"/>
    <s v="No"/>
    <s v="No"/>
    <s v="No"/>
    <s v="No"/>
    <s v="No"/>
    <s v="No"/>
    <s v="No"/>
    <s v="No"/>
    <s v="No"/>
    <s v="No"/>
    <m/>
    <s v="cradle to farm gate"/>
    <m/>
    <m/>
    <s v="1 tonne of fruit"/>
    <m/>
    <s v=""/>
    <s v=""/>
    <n v="0.163882"/>
    <s v=""/>
    <m/>
    <m/>
    <m/>
    <m/>
    <m/>
    <m/>
    <m/>
    <m/>
    <m/>
    <m/>
    <m/>
    <m/>
    <m/>
    <n v="0.163882"/>
    <m/>
    <m/>
    <m/>
    <m/>
    <m/>
    <m/>
    <m/>
    <m/>
    <n v="0.163882"/>
    <m/>
    <m/>
    <m/>
  </r>
  <r>
    <x v="4"/>
    <x v="66"/>
    <s v="Fresh or Not Specified"/>
    <s v="Grigia di Torriana apple; Cueno, Italy"/>
    <m/>
    <s v="Italy"/>
    <n v="2013"/>
    <s v="Cerutti, Alessandro K._x000a_Bruun, Sander_x000a_Donno, Dario_x000a_Beccaro, Gabriele L._x000a_Bounous, Giancarlo"/>
    <s v="Ancient apple cultivars in Northern Italy"/>
    <s v="Peer Reviewed Journal"/>
    <s v="Cerutti, A. K., Bruun, S., Donno, D., Beccaro, G. L. and Bounous, G., Environmental sustainability of traditional foods: the case of ancient apple cultivars in Northern Italy assessed by multifunctional LCA. Journal of Cleaner Production 2013, 52, 245-252."/>
    <s v="Yes"/>
    <s v="No"/>
    <s v="No"/>
    <s v="No"/>
    <s v="No"/>
    <s v="No"/>
    <s v="No"/>
    <s v="No"/>
    <s v="No"/>
    <s v="No"/>
    <s v="No"/>
    <s v="No"/>
    <m/>
    <s v="cradle to farm gate"/>
    <m/>
    <m/>
    <s v="1 tonne of fruit"/>
    <m/>
    <s v=""/>
    <s v=""/>
    <n v="0.20388999999999999"/>
    <s v=""/>
    <m/>
    <m/>
    <m/>
    <m/>
    <m/>
    <m/>
    <m/>
    <m/>
    <m/>
    <m/>
    <m/>
    <m/>
    <m/>
    <n v="0.20388999999999999"/>
    <m/>
    <m/>
    <m/>
    <m/>
    <m/>
    <m/>
    <m/>
    <m/>
    <n v="0.20388999999999999"/>
    <m/>
    <m/>
    <m/>
  </r>
  <r>
    <x v="4"/>
    <x v="66"/>
    <s v="Fresh or Not Specified"/>
    <s v="Magnana apple; Torino, Italy"/>
    <m/>
    <s v="Italy"/>
    <n v="2013"/>
    <s v="Cerutti, Alessandro K._x000a_Bruun, Sander_x000a_Donno, Dario_x000a_Beccaro, Gabriele L._x000a_Bounous, Giancarlo"/>
    <s v="Ancient apple cultivars in Northern Italy"/>
    <s v="Peer Reviewed Journal"/>
    <s v="Cerutti, A. K., Bruun, S., Donno, D., Beccaro, G. L. and Bounous, G., Environmental sustainability of traditional foods: the case of ancient apple cultivars in Northern Italy assessed by multifunctional LCA. Journal of Cleaner Production 2013, 52, 245-252."/>
    <s v="Yes"/>
    <s v="No"/>
    <s v="No"/>
    <s v="No"/>
    <s v="No"/>
    <s v="No"/>
    <s v="No"/>
    <s v="No"/>
    <s v="No"/>
    <s v="No"/>
    <s v="No"/>
    <s v="No"/>
    <m/>
    <s v="cradle to farm gate"/>
    <m/>
    <m/>
    <s v="1 tonne of fruit"/>
    <m/>
    <s v=""/>
    <s v=""/>
    <n v="0.19287399999999999"/>
    <s v=""/>
    <m/>
    <m/>
    <m/>
    <m/>
    <m/>
    <m/>
    <m/>
    <m/>
    <m/>
    <m/>
    <m/>
    <m/>
    <m/>
    <n v="0.19287399999999999"/>
    <m/>
    <m/>
    <m/>
    <m/>
    <m/>
    <m/>
    <m/>
    <m/>
    <n v="0.19287399999999999"/>
    <m/>
    <m/>
    <m/>
  </r>
  <r>
    <x v="4"/>
    <x v="66"/>
    <s v="Fresh or Not Specified"/>
    <s v="Runse apple; Torino, Italy"/>
    <m/>
    <s v="Italy"/>
    <n v="2013"/>
    <s v="Cerutti, Alessandro K._x000a_Bruun, Sander_x000a_Donno, Dario_x000a_Beccaro, Gabriele L._x000a_Bounous, Giancarlo"/>
    <s v="Ancient apple cultivars in Northern Italy"/>
    <s v="Peer Reviewed Journal"/>
    <s v="Cerutti, A. K., Bruun, S., Donno, D., Beccaro, G. L. and Bounous, G., Environmental sustainability of traditional foods: the case of ancient apple cultivars in Northern Italy assessed by multifunctional LCA. Journal of Cleaner Production 2013, 52, 245-252."/>
    <s v="Yes"/>
    <s v="No"/>
    <s v="No"/>
    <s v="No"/>
    <s v="No"/>
    <s v="No"/>
    <s v="No"/>
    <s v="No"/>
    <s v="No"/>
    <s v="No"/>
    <s v="No"/>
    <s v="No"/>
    <m/>
    <s v="cradle to farm gate"/>
    <m/>
    <m/>
    <s v="1 tonne of fruit"/>
    <m/>
    <s v=""/>
    <s v=""/>
    <n v="0.19654840000000001"/>
    <s v=""/>
    <m/>
    <m/>
    <m/>
    <m/>
    <m/>
    <m/>
    <m/>
    <m/>
    <m/>
    <m/>
    <m/>
    <m/>
    <m/>
    <n v="0.19654840000000001"/>
    <m/>
    <m/>
    <m/>
    <m/>
    <m/>
    <m/>
    <m/>
    <m/>
    <n v="0.19654840000000001"/>
    <m/>
    <m/>
    <m/>
  </r>
  <r>
    <x v="4"/>
    <x v="239"/>
    <s v="Fresh or Not Specified"/>
    <s v="Brazilian yellow melon; produced in non-heated greenhouses"/>
    <m/>
    <s v="Brazil"/>
    <n v="2013"/>
    <s v="Brito de Figueirêdo, Maria Cléa_x000a_Kroeze, Carolien_x000a_Potting, José_x000a_da Silva Barros, Viviane_x000a_Sousa de Aragão, Fernando Antônio_x000a_Gondim, Rubens Sonsol_x000a_de Lima Santos, Tayane_x000a_de Boer, Imke J. M."/>
    <s v="Carbon footprint of Brazilian yellow melon"/>
    <s v="Peer Reviewed Journal"/>
    <s v="Brito De Figueirêdo, M. C., Kroeze, C., Potting, J., Da Silva Barros, V., Sousa De Aragão, F. A., Gondim, R. S., De Lima Santos, T. and De Boer, I. J. M., The carbon footprint of exported Brazilian yellow melon. Journal of Cleaner Production 2013, 47, 404-414."/>
    <s v="Yes"/>
    <s v="No"/>
    <s v="No"/>
    <s v="No"/>
    <s v="No"/>
    <s v="Yes"/>
    <s v="No"/>
    <s v="No"/>
    <s v="No"/>
    <s v="No"/>
    <s v="No"/>
    <s v="No"/>
    <m/>
    <s v="cradle to transport to retail"/>
    <m/>
    <m/>
    <s v="1 tonne of melon"/>
    <m/>
    <s v=""/>
    <s v=""/>
    <n v="0.64634482758620693"/>
    <s v=""/>
    <m/>
    <m/>
    <m/>
    <m/>
    <m/>
    <m/>
    <m/>
    <m/>
    <m/>
    <m/>
    <m/>
    <m/>
    <m/>
    <n v="0.64634482758620693"/>
    <m/>
    <m/>
    <m/>
    <n v="6.3655172413793107E-2"/>
    <m/>
    <m/>
    <m/>
    <m/>
    <n v="0.64634482758620693"/>
    <n v="0.71000000000000008"/>
    <m/>
    <m/>
  </r>
  <r>
    <x v="0"/>
    <x v="0"/>
    <s v="Fresh or Not Specified"/>
    <s v="average of 30 dairy farms"/>
    <m/>
    <s v="Norway"/>
    <n v="2013"/>
    <s v="Bonesmo, Helge_x000a_Beauchemin, Karen A._x000a_Harstad, Odd M._x000a_Skjelvåg, Arne O."/>
    <s v="GHGE intensities of grass silage based dairy and beef production"/>
    <s v="Peer Reviewed Journal"/>
    <s v="Bonesmo, H., Beauchemin, K. A., Harstad, O. M. and Skjelvåg, A. O., Greenhouse gas emission intensities of grass silage based dairy and beef production: A systems analysis of Norwegian farms. Livestock Science 2013, 152 (2–3), 239-252."/>
    <s v="Yes"/>
    <s v="No"/>
    <s v="No"/>
    <s v="No"/>
    <s v="No"/>
    <s v="No"/>
    <s v="No"/>
    <s v="No"/>
    <s v="No"/>
    <s v="No"/>
    <s v="No"/>
    <s v="No"/>
    <m/>
    <s v="cradle to farm gate"/>
    <m/>
    <m/>
    <s v="1 kg FPCM"/>
    <m/>
    <s v=""/>
    <s v=""/>
    <n v="1.02"/>
    <s v=""/>
    <m/>
    <m/>
    <m/>
    <m/>
    <m/>
    <m/>
    <m/>
    <m/>
    <m/>
    <m/>
    <m/>
    <m/>
    <m/>
    <n v="1.02"/>
    <m/>
    <m/>
    <m/>
    <m/>
    <m/>
    <m/>
    <m/>
    <m/>
    <n v="1.02"/>
    <m/>
    <m/>
    <m/>
  </r>
  <r>
    <x v="1"/>
    <x v="3"/>
    <s v="Fresh or Not Specified"/>
    <s v="culled cows and heifers; average of 30 dairy farms"/>
    <m/>
    <s v="Norway"/>
    <n v="2013"/>
    <s v="Bonesmo, Helge_x000a_Beauchemin, Karen A._x000a_Harstad, Odd M._x000a_Skjelvåg, Arne O."/>
    <s v="GHGE intensities of grass silage based dairy and beef production"/>
    <s v="Peer Reviewed Journal"/>
    <s v="Bonesmo, H., Beauchemin, K. A., Harstad, O. M. and Skjelvåg, A. O., Greenhouse gas emission intensities of grass silage based dairy and beef production: A systems analysis of Norwegian farms. Livestock Science 2013, 152 (2–3), 239-252."/>
    <s v="Yes"/>
    <s v="No"/>
    <s v="No"/>
    <s v="No"/>
    <s v="No"/>
    <s v="No"/>
    <s v="No"/>
    <s v="No"/>
    <s v="No"/>
    <s v="No"/>
    <s v="No"/>
    <s v="No"/>
    <m/>
    <s v="cradle to farm gate"/>
    <m/>
    <m/>
    <s v="1 kg carcass weight"/>
    <s v="/.667"/>
    <s v=""/>
    <s v=""/>
    <n v="32.488755622188904"/>
    <s v=""/>
    <m/>
    <m/>
    <m/>
    <m/>
    <m/>
    <m/>
    <m/>
    <m/>
    <m/>
    <m/>
    <m/>
    <m/>
    <m/>
    <n v="32.488755622188904"/>
    <m/>
    <m/>
    <m/>
    <m/>
    <m/>
    <m/>
    <m/>
    <m/>
    <n v="32.488755622188904"/>
    <m/>
    <m/>
    <m/>
  </r>
  <r>
    <x v="1"/>
    <x v="3"/>
    <s v="Fresh or Not Specified"/>
    <s v="young bulls; average of 30 dairy farms"/>
    <m/>
    <s v="Norway"/>
    <n v="2013"/>
    <s v="Bonesmo, Helge_x000a_Beauchemin, Karen A._x000a_Harstad, Odd M._x000a_Skjelvåg, Arne O."/>
    <s v="GHGE intensities of grass silage based dairy and beef production"/>
    <s v="Peer Reviewed Journal"/>
    <s v="Bonesmo, H., Beauchemin, K. A., Harstad, O. M. and Skjelvåg, A. O., Greenhouse gas emission intensities of grass silage based dairy and beef production: A systems analysis of Norwegian farms. Livestock Science 2013, 152 (2–3), 239-252."/>
    <s v="Yes"/>
    <s v="No"/>
    <s v="No"/>
    <s v="No"/>
    <s v="No"/>
    <s v="No"/>
    <s v="No"/>
    <s v="No"/>
    <s v="No"/>
    <s v="No"/>
    <s v="No"/>
    <s v="No"/>
    <m/>
    <s v="cradle to farm gate"/>
    <m/>
    <m/>
    <s v="1 kg carcass weight"/>
    <s v="/.667"/>
    <s v=""/>
    <s v=""/>
    <n v="25.862068965517238"/>
    <s v=""/>
    <m/>
    <m/>
    <m/>
    <m/>
    <m/>
    <m/>
    <m/>
    <m/>
    <m/>
    <m/>
    <m/>
    <m/>
    <m/>
    <n v="25.862068965517238"/>
    <m/>
    <m/>
    <m/>
    <m/>
    <m/>
    <m/>
    <m/>
    <m/>
    <n v="25.862068965517238"/>
    <m/>
    <m/>
    <m/>
  </r>
  <r>
    <x v="1"/>
    <x v="24"/>
    <s v="Fresh or Not Specified"/>
    <s v="Queensland; conventional production"/>
    <m/>
    <s v="Australia"/>
    <n v="2012"/>
    <s v="Wiedemann, Stephen_x000a_McGahan, Eugene J_x000a_Poad, Glenn"/>
    <s v="Chicken meat production Australia"/>
    <s v="Other, government report"/>
    <s v="Wiedemann, S., Mcgahan, E. J. and Poad, G., Using life cycle assessment to quantify the environmental impact of chicken meat production. 2012, ."/>
    <s v="Yes"/>
    <s v="No"/>
    <s v="No"/>
    <s v="Yes"/>
    <s v="No"/>
    <s v="No"/>
    <s v="No"/>
    <s v="No"/>
    <s v="No"/>
    <s v="No"/>
    <s v="No"/>
    <s v="No"/>
    <m/>
    <s v="cradle to processor gate"/>
    <m/>
    <m/>
    <s v="1 kg carcass weight"/>
    <s v="/0.77"/>
    <n v="20.38961038961039"/>
    <n v="26.233766233766232"/>
    <n v="2.5494363636363637"/>
    <n v="3.0909090909090908"/>
    <n v="20.38961038961039"/>
    <m/>
    <n v="5.8441558441558437"/>
    <m/>
    <m/>
    <m/>
    <m/>
    <m/>
    <m/>
    <n v="20.38961038961039"/>
    <n v="26.233766233766232"/>
    <m/>
    <m/>
    <n v="2.5494363636363637"/>
    <m/>
    <n v="0.54147272727272733"/>
    <m/>
    <m/>
    <m/>
    <m/>
    <m/>
    <m/>
    <n v="2.5494363636363637"/>
    <n v="3.0909090909090908"/>
    <m/>
    <m/>
  </r>
  <r>
    <x v="1"/>
    <x v="24"/>
    <s v="Fresh or Not Specified"/>
    <s v="South Australia; conventional production"/>
    <m/>
    <s v="Australia"/>
    <n v="2012"/>
    <s v="Wiedemann, Stephen_x000a_McGahan, Eugene J_x000a_Poad, Glenn"/>
    <s v="Chicken meat production Australia"/>
    <s v="Other, government report"/>
    <s v="Wiedemann, S., Mcgahan, E. J. and Poad, G., Using life cycle assessment to quantify the environmental impact of chicken meat production. 2012, ."/>
    <s v="Yes"/>
    <s v="No"/>
    <s v="No"/>
    <s v="Yes"/>
    <s v="No"/>
    <s v="No"/>
    <s v="No"/>
    <s v="No"/>
    <s v="No"/>
    <s v="No"/>
    <s v="No"/>
    <s v="No"/>
    <m/>
    <s v="cradle to processor gate"/>
    <m/>
    <m/>
    <s v="1 kg carcass weight"/>
    <s v="/0.77"/>
    <n v="14.285714285714285"/>
    <n v="18.831168831168831"/>
    <n v="2.1918909090909091"/>
    <n v="2.4545454545454546"/>
    <n v="14.285714285714285"/>
    <m/>
    <n v="4.545454545454545"/>
    <m/>
    <m/>
    <m/>
    <m/>
    <m/>
    <m/>
    <n v="14.285714285714285"/>
    <n v="18.831168831168831"/>
    <m/>
    <m/>
    <n v="2.1918909090909091"/>
    <m/>
    <n v="0.26265454545454547"/>
    <m/>
    <m/>
    <m/>
    <m/>
    <m/>
    <m/>
    <n v="2.1918909090909091"/>
    <n v="2.4545454545454546"/>
    <m/>
    <m/>
  </r>
  <r>
    <x v="1"/>
    <x v="24"/>
    <s v="Fresh or Not Specified"/>
    <s v="Free range"/>
    <m/>
    <s v="Australia"/>
    <n v="2012"/>
    <s v="Wiedemann, Stephen_x000a_McGahan, Eugene J_x000a_Poad, Glenn"/>
    <s v="Chicken meat production Australia"/>
    <s v="Other, government report"/>
    <s v="Wiedemann, S., Mcgahan, E. J. and Poad, G., Using life cycle assessment to quantify the environmental impact of chicken meat production. 2012, ."/>
    <s v="Yes"/>
    <s v="No"/>
    <s v="No"/>
    <s v="Yes"/>
    <s v="No"/>
    <s v="No"/>
    <s v="No"/>
    <s v="No"/>
    <s v="No"/>
    <s v="No"/>
    <s v="No"/>
    <s v="No"/>
    <m/>
    <s v="cradle to processor gate"/>
    <m/>
    <m/>
    <s v="1 kg carcass weight"/>
    <s v="/0.77"/>
    <n v="17.012987012987011"/>
    <n v="21.818181818181817"/>
    <n v="2.4289506493506492"/>
    <n v="2.8441558441558441"/>
    <n v="17.012987012987011"/>
    <m/>
    <n v="4.8051948051948052"/>
    <m/>
    <m/>
    <m/>
    <m/>
    <m/>
    <m/>
    <n v="17.012987012987011"/>
    <n v="21.818181818181817"/>
    <m/>
    <m/>
    <n v="2.4289506493506492"/>
    <m/>
    <n v="0.4152051948051948"/>
    <m/>
    <m/>
    <m/>
    <m/>
    <m/>
    <m/>
    <n v="2.4289506493506492"/>
    <n v="2.8441558441558441"/>
    <m/>
    <m/>
  </r>
  <r>
    <x v="1"/>
    <x v="24"/>
    <s v="Fresh or Not Specified"/>
    <s v="Organic"/>
    <m/>
    <s v="Australia"/>
    <n v="2012"/>
    <s v="Wiedemann, Stephen_x000a_McGahan, Eugene J_x000a_Poad, Glenn"/>
    <s v="Chicken meat production Australia"/>
    <s v="Other, government report"/>
    <s v="Wiedemann, S., Mcgahan, E. J. and Poad, G., Using life cycle assessment to quantify the environmental impact of chicken meat production. 2012, ."/>
    <s v="Yes"/>
    <s v="No"/>
    <s v="No"/>
    <s v="Yes"/>
    <s v="No"/>
    <s v="No"/>
    <s v="No"/>
    <s v="No"/>
    <s v="No"/>
    <s v="No"/>
    <s v="No"/>
    <s v="No"/>
    <m/>
    <s v="cradle to processor gate"/>
    <m/>
    <m/>
    <s v="1 kg carcass weight"/>
    <s v="/0.77"/>
    <n v="11.168831168831169"/>
    <n v="16.623376623376622"/>
    <n v="3.2805"/>
    <n v="3.7142857142857144"/>
    <n v="11.168831168831169"/>
    <m/>
    <n v="5.454545454545455"/>
    <m/>
    <m/>
    <m/>
    <m/>
    <m/>
    <m/>
    <n v="11.168831168831169"/>
    <n v="16.623376623376622"/>
    <m/>
    <m/>
    <n v="3.2805"/>
    <m/>
    <n v="0.43378571428571427"/>
    <m/>
    <m/>
    <m/>
    <m/>
    <m/>
    <m/>
    <n v="3.2805"/>
    <n v="3.7142857142857144"/>
    <m/>
    <m/>
  </r>
  <r>
    <x v="0"/>
    <x v="0"/>
    <s v="Fresh or Not Specified"/>
    <s v="Seasonally grassfed Holstein-Friesian cows"/>
    <m/>
    <s v="Ireland"/>
    <n v="2012"/>
    <s v="O’Brien, Donal_x000a_Shalloo, Laurence_x000a_Patton, Joe_x000a_Buckley, Frank_x000a_Grainger, Chris_x000a_Wallace, Michael"/>
    <s v="LCA of seasonal grass-based and confinement dairy farms"/>
    <s v="Peer Reviewed Journal"/>
    <s v="O’brien, D., Shalloo, L., Patton, J., Buckley, F., Grainger, C. and Wallace, M., A life cycle assessment of seasonal grass-based and confinement dairy farms. Agricultural Systems 2012, 107, 33-46."/>
    <s v="Yes"/>
    <s v="Yes"/>
    <s v="No"/>
    <s v="No"/>
    <s v="No"/>
    <s v="No"/>
    <s v="No"/>
    <s v="No"/>
    <s v="No"/>
    <s v="No"/>
    <s v="No"/>
    <s v="No"/>
    <m/>
    <s v="cradle to farm gate"/>
    <m/>
    <m/>
    <s v="1 tonne FPCM"/>
    <m/>
    <n v="2.2999999999999998"/>
    <s v=""/>
    <n v="0.87429999999999997"/>
    <s v=""/>
    <n v="2.2999999999999998"/>
    <m/>
    <m/>
    <m/>
    <m/>
    <m/>
    <m/>
    <m/>
    <m/>
    <n v="2.2999999999999998"/>
    <m/>
    <m/>
    <m/>
    <n v="0.87429999999999997"/>
    <m/>
    <m/>
    <m/>
    <m/>
    <m/>
    <m/>
    <m/>
    <m/>
    <n v="0.87429999999999997"/>
    <m/>
    <m/>
    <m/>
  </r>
  <r>
    <x v="0"/>
    <x v="0"/>
    <s v="Fresh or Not Specified"/>
    <s v="Confinement fed Holstein-Friesian cows"/>
    <m/>
    <s v="Ireland"/>
    <n v="2012"/>
    <s v="O’Brien, Donal_x000a_Shalloo, Laurence_x000a_Patton, Joe_x000a_Buckley, Frank_x000a_Grainger, Chris_x000a_Wallace, Michael"/>
    <s v="LCA of seasonal grass-based and confinement dairy farms"/>
    <s v="Peer Reviewed Journal"/>
    <s v="O’brien, D., Shalloo, L., Patton, J., Buckley, F., Grainger, C. and Wallace, M., A life cycle assessment of seasonal grass-based and confinement dairy farms. Agricultural Systems 2012, 107, 33-46."/>
    <s v="Yes"/>
    <s v="Yes"/>
    <s v="No"/>
    <s v="No"/>
    <s v="No"/>
    <s v="No"/>
    <s v="No"/>
    <s v="No"/>
    <s v="No"/>
    <s v="No"/>
    <s v="No"/>
    <s v="No"/>
    <m/>
    <s v="cradle to farm gate"/>
    <m/>
    <m/>
    <s v="1 tonne FPCM"/>
    <m/>
    <n v="3.9"/>
    <s v=""/>
    <n v="1.0274000000000001"/>
    <s v=""/>
    <n v="3.9"/>
    <m/>
    <m/>
    <m/>
    <m/>
    <m/>
    <m/>
    <m/>
    <m/>
    <n v="3.9"/>
    <m/>
    <m/>
    <m/>
    <n v="1.0274000000000001"/>
    <m/>
    <m/>
    <m/>
    <m/>
    <m/>
    <m/>
    <m/>
    <m/>
    <n v="1.0274000000000001"/>
    <m/>
    <m/>
    <m/>
  </r>
  <r>
    <x v="1"/>
    <x v="3"/>
    <s v="Fresh or Not Specified"/>
    <s v="St-Sm (standard diet for cow-calf herd and silage maize starch for bull-fattening herd)"/>
    <s v="Yes"/>
    <s v="France"/>
    <n v="2012"/>
    <s v="Nguyen, T. T. H._x000a_van der Werf, H. M. G._x000a_Eugène, M._x000a_Veysset, P._x000a_Devun, J._x000a_Chesneau, G._x000a_Doreau, M."/>
    <s v="Effects of type of ration and allocation methods on the impacts of beef"/>
    <s v="Peer Reviewed Journal"/>
    <s v="Nguyen, T. T. H., Van Der Werf, H. M. G., Eugène, M., Veysset, P., Devun, J., Chesneau, G. and Doreau, M., Effects of type of ration and allocation methods on the environmental impacts of beef-production systems. Livestock Science 2012, 145 (1–3), 239-251."/>
    <s v="Yes"/>
    <s v="Yes"/>
    <s v="No"/>
    <s v="No"/>
    <s v="No"/>
    <s v="No"/>
    <s v="No"/>
    <s v="No"/>
    <s v="No"/>
    <s v="No"/>
    <s v="No"/>
    <s v="No"/>
    <m/>
    <s v="cradle to farm gate; considers LU/LUC but not reported here"/>
    <m/>
    <m/>
    <s v="1 kg carcass weight"/>
    <s v="/.667"/>
    <n v="97.151424287856059"/>
    <s v=""/>
    <n v="41.679160419790101"/>
    <s v=""/>
    <n v="97.151424287856059"/>
    <m/>
    <m/>
    <m/>
    <m/>
    <m/>
    <m/>
    <m/>
    <m/>
    <n v="97.151424287856059"/>
    <m/>
    <m/>
    <m/>
    <n v="41.679160419790101"/>
    <m/>
    <m/>
    <m/>
    <m/>
    <m/>
    <m/>
    <m/>
    <m/>
    <n v="41.679160419790101"/>
    <m/>
    <m/>
    <m/>
  </r>
  <r>
    <x v="1"/>
    <x v="3"/>
    <s v="Fresh or Not Specified"/>
    <s v="O3-SML (maximizing omega-3 fatty acids using wrapped grass silage for cow-calf herd and silage maize starch plus linseed, rich in omega 3s, for bull fattening herd)"/>
    <s v="Yes"/>
    <s v="France"/>
    <n v="2012"/>
    <s v="Nguyen, T. T. H._x000a_van der Werf, H. M. G._x000a_Eugène, M._x000a_Veysset, P._x000a_Devun, J._x000a_Chesneau, G._x000a_Doreau, M."/>
    <s v="Effects of type of ration and allocation methods on the impacts of beef"/>
    <s v="Peer Reviewed Journal"/>
    <s v="Nguyen, T. T. H., Van Der Werf, H. M. G., Eugène, M., Veysset, P., Devun, J., Chesneau, G. and Doreau, M., Effects of type of ration and allocation methods on the environmental impacts of beef-production systems. Livestock Science 2012, 145 (1–3), 239-251."/>
    <s v="Yes"/>
    <s v="Yes"/>
    <s v="No"/>
    <s v="No"/>
    <s v="No"/>
    <s v="No"/>
    <s v="No"/>
    <s v="No"/>
    <s v="No"/>
    <s v="No"/>
    <s v="No"/>
    <s v="No"/>
    <m/>
    <s v="cradle to farm gate; considers LU/LUC but not reported here"/>
    <m/>
    <m/>
    <s v="1 kg carcass weight"/>
    <s v="/.667"/>
    <n v="102.54872563718141"/>
    <s v=""/>
    <n v="41.52923538230884"/>
    <s v=""/>
    <n v="102.54872563718141"/>
    <m/>
    <m/>
    <m/>
    <m/>
    <m/>
    <m/>
    <m/>
    <m/>
    <n v="102.54872563718141"/>
    <m/>
    <m/>
    <m/>
    <n v="41.52923538230884"/>
    <m/>
    <m/>
    <m/>
    <m/>
    <m/>
    <m/>
    <m/>
    <m/>
    <n v="41.52923538230884"/>
    <m/>
    <m/>
    <m/>
  </r>
  <r>
    <x v="1"/>
    <x v="3"/>
    <s v="Fresh or Not Specified"/>
    <s v="St-FC (standard diet for cow-calf herd and fiber-based concentrate for bull fattening herd)"/>
    <s v="Yes"/>
    <s v="France"/>
    <n v="2012"/>
    <s v="Nguyen, T. T. H._x000a_van der Werf, H. M. G._x000a_Eugène, M._x000a_Veysset, P._x000a_Devun, J._x000a_Chesneau, G._x000a_Doreau, M."/>
    <s v="Effects of type of ration and allocation methods on the impacts of beef"/>
    <s v="Peer Reviewed Journal"/>
    <s v="Nguyen, T. T. H., Van Der Werf, H. M. G., Eugène, M., Veysset, P., Devun, J., Chesneau, G. and Doreau, M., Effects of type of ration and allocation methods on the environmental impacts of beef-production systems. Livestock Science 2012, 145 (1–3), 239-251."/>
    <s v="Yes"/>
    <s v="Yes"/>
    <s v="No"/>
    <s v="No"/>
    <s v="No"/>
    <s v="No"/>
    <s v="No"/>
    <s v="No"/>
    <s v="No"/>
    <s v="No"/>
    <s v="No"/>
    <s v="No"/>
    <m/>
    <s v="cradle to farm gate; considers LU/LUC but not reported here"/>
    <m/>
    <m/>
    <s v="1 kg carcass weight"/>
    <s v="/.667"/>
    <n v="110.04497751124438"/>
    <s v=""/>
    <n v="41.829085457271361"/>
    <s v=""/>
    <n v="110.04497751124438"/>
    <m/>
    <m/>
    <m/>
    <m/>
    <m/>
    <m/>
    <m/>
    <m/>
    <n v="110.04497751124438"/>
    <m/>
    <m/>
    <m/>
    <n v="41.829085457271361"/>
    <m/>
    <m/>
    <m/>
    <m/>
    <m/>
    <m/>
    <m/>
    <m/>
    <n v="41.829085457271361"/>
    <m/>
    <m/>
    <m/>
  </r>
  <r>
    <x v="1"/>
    <x v="3"/>
    <s v="Fresh or Not Specified"/>
    <s v="O3-SCL (maximizing omega-3 fatty acids using wrapped grass silage for cow-calf herd and starch-based concentrate plus linseed for bull fattening herd)"/>
    <s v="Yes"/>
    <s v="France"/>
    <n v="2012"/>
    <s v="Nguyen, T. T. H._x000a_van der Werf, H. M. G._x000a_Eugène, M._x000a_Veysset, P._x000a_Devun, J._x000a_Chesneau, G._x000a_Doreau, M."/>
    <s v="Effects of type of ration and allocation methods on the impacts of beef"/>
    <s v="Peer Reviewed Journal"/>
    <s v="Nguyen, T. T. H., Van Der Werf, H. M. G., Eugène, M., Veysset, P., Devun, J., Chesneau, G. and Doreau, M., Effects of type of ration and allocation methods on the environmental impacts of beef-production systems. Livestock Science 2012, 145 (1–3), 239-251."/>
    <s v="Yes"/>
    <s v="Yes"/>
    <s v="No"/>
    <s v="No"/>
    <s v="No"/>
    <s v="No"/>
    <s v="No"/>
    <s v="No"/>
    <s v="No"/>
    <s v="No"/>
    <s v="No"/>
    <s v="No"/>
    <m/>
    <s v="cradle to farm gate; considers LU/LUC but not reported here"/>
    <m/>
    <m/>
    <s v="1 kg carcass weight"/>
    <s v="/.667"/>
    <n v="106.5967016491754"/>
    <s v=""/>
    <n v="40.479760119940025"/>
    <s v=""/>
    <n v="106.5967016491754"/>
    <m/>
    <m/>
    <m/>
    <m/>
    <m/>
    <m/>
    <m/>
    <m/>
    <n v="106.5967016491754"/>
    <m/>
    <m/>
    <m/>
    <n v="40.479760119940025"/>
    <m/>
    <m/>
    <m/>
    <m/>
    <m/>
    <m/>
    <m/>
    <m/>
    <n v="40.479760119940025"/>
    <m/>
    <m/>
    <m/>
  </r>
  <r>
    <x v="3"/>
    <x v="202"/>
    <s v="Fresh or Not Specified"/>
    <s v="Hokaido pumpkin; Small integrated vegetable production"/>
    <s v="Yes"/>
    <s v="Germany"/>
    <n v="2012"/>
    <s v="Schäfer, Florian_x000a_Blanke, Michael"/>
    <s v="Farming and marketing system…case study using Hakaido pumpkin"/>
    <s v="Peer Reviewed Journal"/>
    <s v="Schäfer, F. and Blanke, M., Farming and marketing system affects carbon and water footprint – a case study using Hokaido pumpkin. Journal of Cleaner Production 2012, 28, 113-119."/>
    <s v="Yes"/>
    <s v="No"/>
    <s v="No"/>
    <s v="No"/>
    <s v="No"/>
    <s v="Yes"/>
    <s v="Yes"/>
    <s v="Yes"/>
    <s v="No"/>
    <s v="No"/>
    <s v="No"/>
    <s v="No"/>
    <m/>
    <s v="cradle to transport retail to consumer"/>
    <s v="Yes"/>
    <m/>
    <s v="1 kg pumpkin (&quot;saleable product&quot;)"/>
    <m/>
    <s v=""/>
    <s v=""/>
    <n v="3.5799999999999998E-2"/>
    <s v=""/>
    <m/>
    <m/>
    <m/>
    <m/>
    <m/>
    <m/>
    <m/>
    <m/>
    <m/>
    <m/>
    <m/>
    <m/>
    <m/>
    <n v="3.5799999999999998E-2"/>
    <m/>
    <m/>
    <m/>
    <n v="9.9999999999999995E-7"/>
    <n v="7.0500000000000001E-4"/>
    <n v="0.67349999999999999"/>
    <m/>
    <m/>
    <n v="3.5799999999999998E-2"/>
    <n v="0.71000600000000003"/>
    <m/>
    <m/>
  </r>
  <r>
    <x v="3"/>
    <x v="202"/>
    <s v="Fresh or Not Specified"/>
    <s v="Hokaido pumpkin; Small organic production"/>
    <s v="Yes"/>
    <s v="Germany"/>
    <n v="2012"/>
    <s v="Schäfer, Florian_x000a_Blanke, Michael"/>
    <s v="Farming and marketing system…case study using Hakaido pumpkin"/>
    <s v="Peer Reviewed Journal"/>
    <s v="Schäfer, F. and Blanke, M., Farming and marketing system affects carbon and water footprint – a case study using Hokaido pumpkin. Journal of Cleaner Production 2012, 28, 113-119."/>
    <s v="Yes"/>
    <s v="No"/>
    <s v="No"/>
    <s v="No"/>
    <s v="No"/>
    <s v="Yes"/>
    <s v="Yes"/>
    <s v="Yes"/>
    <s v="No"/>
    <s v="No"/>
    <s v="No"/>
    <s v="No"/>
    <m/>
    <s v="cradle to transport retail to consumer"/>
    <s v="Yes"/>
    <m/>
    <s v="1 kg pumpkin (&quot;saleable product&quot;)"/>
    <m/>
    <s v=""/>
    <s v=""/>
    <n v="4.1300000000000003E-2"/>
    <s v=""/>
    <m/>
    <m/>
    <m/>
    <m/>
    <m/>
    <m/>
    <m/>
    <m/>
    <m/>
    <m/>
    <m/>
    <m/>
    <m/>
    <n v="4.1300000000000003E-2"/>
    <m/>
    <m/>
    <m/>
    <n v="0"/>
    <n v="8.0029999999999999E-4"/>
    <n v="0.67349999999999999"/>
    <m/>
    <m/>
    <n v="4.1300000000000003E-2"/>
    <n v="0.71560029999999997"/>
    <m/>
    <m/>
  </r>
  <r>
    <x v="3"/>
    <x v="202"/>
    <s v="Fresh or Not Specified"/>
    <s v="Hokaido pumpkin; Large farm devoted to pumpkin production"/>
    <s v="Yes"/>
    <s v="Germany"/>
    <n v="2012"/>
    <s v="Schäfer, Florian_x000a_Blanke, Michael"/>
    <s v="Farming and marketing system…case study using Hakaido pumpkin"/>
    <s v="Peer Reviewed Journal"/>
    <s v="Schäfer, F. and Blanke, M., Farming and marketing system affects carbon and water footprint – a case study using Hokaido pumpkin. Journal of Cleaner Production 2012, 28, 113-119."/>
    <s v="Yes"/>
    <s v="No"/>
    <s v="No"/>
    <s v="No"/>
    <s v="No"/>
    <s v="Yes"/>
    <s v="Yes"/>
    <s v="Yes"/>
    <s v="No"/>
    <s v="No"/>
    <s v="No"/>
    <s v="No"/>
    <m/>
    <s v="cradle to transport retail to consumer"/>
    <s v="Yes"/>
    <m/>
    <s v="1 kg pumpkin (&quot;saleable product&quot;)"/>
    <m/>
    <s v=""/>
    <s v=""/>
    <n v="1.46E-2"/>
    <s v=""/>
    <m/>
    <m/>
    <m/>
    <m/>
    <m/>
    <m/>
    <m/>
    <m/>
    <m/>
    <m/>
    <m/>
    <m/>
    <m/>
    <n v="1.46E-2"/>
    <m/>
    <m/>
    <m/>
    <n v="5.0000000000000002E-5"/>
    <n v="8.9999999999999998E-4"/>
    <n v="0.1235"/>
    <m/>
    <m/>
    <n v="1.46E-2"/>
    <n v="0.13905000000000001"/>
    <m/>
    <m/>
  </r>
  <r>
    <x v="3"/>
    <x v="202"/>
    <s v="Fresh or Not Specified"/>
    <s v="Imported to Germany from Mendoza; organic"/>
    <s v="Yes"/>
    <s v="Argentina"/>
    <n v="2012"/>
    <s v="Schäfer, Florian_x000a_Blanke, Michael"/>
    <s v="Farming and marketing system…case study using Hakaido pumpkin"/>
    <s v="Peer Reviewed Journal"/>
    <s v="Schäfer, F. and Blanke, M., Farming and marketing system affects carbon and water footprint – a case study using Hokaido pumpkin. Journal of Cleaner Production 2012, 28, 113-119."/>
    <s v="Yes"/>
    <s v="No"/>
    <s v="No"/>
    <s v="No"/>
    <s v="No"/>
    <s v="Yes"/>
    <s v="Yes"/>
    <s v="Yes"/>
    <s v="No"/>
    <s v="No"/>
    <s v="No"/>
    <s v="No"/>
    <m/>
    <s v="cradle to transport retail to consumer"/>
    <s v="Yes"/>
    <m/>
    <s v="1 kg pumpkin (&quot;saleable product&quot;)"/>
    <m/>
    <s v=""/>
    <s v=""/>
    <n v="4.1300000000000003E-2"/>
    <s v=""/>
    <m/>
    <m/>
    <m/>
    <m/>
    <m/>
    <m/>
    <m/>
    <m/>
    <m/>
    <m/>
    <m/>
    <m/>
    <m/>
    <n v="4.1300000000000003E-2"/>
    <m/>
    <m/>
    <m/>
    <n v="7.1300000000000002E-2"/>
    <n v="6.7999999999999996E-3"/>
    <n v="0.1235"/>
    <m/>
    <m/>
    <n v="4.1300000000000003E-2"/>
    <n v="0.2429"/>
    <m/>
    <m/>
  </r>
  <r>
    <x v="1"/>
    <x v="24"/>
    <s v="Fresh or Not Specified"/>
    <s v="Tsukuba in the Ibaraki Prefecture"/>
    <m/>
    <s v="Japan"/>
    <n v="2012"/>
    <s v="Roy, Poritosh_x000a_Orikasa, Takahiro_x000a_Thammawong, Manasikan_x000a_Nakamura, Nobutaka_x000a_Xu, Qingyi_x000a_Shiina, Takeo"/>
    <s v="Life cycle of meats in Japan"/>
    <s v="Peer Reviewed Journal"/>
    <s v="Roy, P., Orikasa, T., Thammawong, M., Nakamura, N., Xu, Q. and Shiina, T., Life cycle of meats: An opportunity to abate the greenhouse gas emission from meat industry in Japan. Journal of Environmental Management 2012, 93 (1), 218-224."/>
    <s v="Yes"/>
    <s v="No"/>
    <s v="No"/>
    <s v="Yes"/>
    <s v="Yes"/>
    <s v="Yes"/>
    <s v="Yes"/>
    <s v="Yes"/>
    <s v="Yes"/>
    <s v="Yes"/>
    <s v="No"/>
    <s v="No"/>
    <m/>
    <s v="cradle to grave"/>
    <m/>
    <m/>
    <s v="1 kg meat"/>
    <m/>
    <s v=""/>
    <s v=""/>
    <n v="4.57"/>
    <n v="4.74"/>
    <m/>
    <m/>
    <m/>
    <m/>
    <m/>
    <m/>
    <m/>
    <m/>
    <m/>
    <m/>
    <m/>
    <m/>
    <m/>
    <n v="4.57"/>
    <m/>
    <n v="0.17"/>
    <n v="0.6"/>
    <n v="0.23"/>
    <n v="0.06"/>
    <n v="0.34"/>
    <m/>
    <m/>
    <n v="4.57"/>
    <n v="5.97"/>
    <m/>
    <m/>
  </r>
  <r>
    <x v="1"/>
    <x v="23"/>
    <s v="Fresh or Not Specified"/>
    <s v="Tsukuba in the Ibaraki Prefecture"/>
    <m/>
    <s v="Japan"/>
    <n v="2012"/>
    <s v="Roy, Poritosh_x000a_Orikasa, Takahiro_x000a_Thammawong, Manasikan_x000a_Nakamura, Nobutaka_x000a_Xu, Qingyi_x000a_Shiina, Takeo"/>
    <s v="Life cycle of meats in Japan"/>
    <s v="Peer Reviewed Journal"/>
    <s v="Roy, P., Orikasa, T., Thammawong, M., Nakamura, N., Xu, Q. and Shiina, T., Life cycle of meats: An opportunity to abate the greenhouse gas emission from meat industry in Japan. Journal of Environmental Management 2012, 93 (1), 218-224."/>
    <s v="Yes"/>
    <s v="No"/>
    <s v="No"/>
    <s v="Yes"/>
    <s v="Yes"/>
    <s v="Yes"/>
    <s v="Yes"/>
    <s v="Yes"/>
    <s v="Yes"/>
    <s v="Yes"/>
    <s v="No"/>
    <s v="No"/>
    <m/>
    <s v="cradle to grave"/>
    <m/>
    <m/>
    <s v="1 kg meat"/>
    <m/>
    <s v=""/>
    <s v=""/>
    <n v="5.57"/>
    <n v="5.69"/>
    <m/>
    <m/>
    <m/>
    <m/>
    <m/>
    <m/>
    <m/>
    <m/>
    <m/>
    <m/>
    <m/>
    <m/>
    <m/>
    <n v="5.57"/>
    <m/>
    <n v="0.12"/>
    <n v="0.6"/>
    <n v="0.24"/>
    <n v="7.0000000000000007E-2"/>
    <n v="0.34"/>
    <m/>
    <m/>
    <n v="5.57"/>
    <n v="6.94"/>
    <m/>
    <m/>
  </r>
  <r>
    <x v="1"/>
    <x v="3"/>
    <s v="Fresh or Not Specified"/>
    <s v="Tsukuba in the Ibaraki Prefecture"/>
    <m/>
    <s v="Japan"/>
    <n v="2012"/>
    <s v="Roy, Poritosh_x000a_Orikasa, Takahiro_x000a_Thammawong, Manasikan_x000a_Nakamura, Nobutaka_x000a_Xu, Qingyi_x000a_Shiina, Takeo"/>
    <s v="Life cycle of meats in Japan"/>
    <s v="Peer Reviewed Journal"/>
    <s v="Roy, P., Orikasa, T., Thammawong, M., Nakamura, N., Xu, Q. and Shiina, T., Life cycle of meats: An opportunity to abate the greenhouse gas emission from meat industry in Japan. Journal of Environmental Management 2012, 93 (1), 218-224."/>
    <s v="Yes"/>
    <s v="No"/>
    <s v="No"/>
    <s v="Yes"/>
    <s v="Yes"/>
    <s v="Yes"/>
    <s v="Yes"/>
    <s v="Yes"/>
    <s v="Yes"/>
    <s v="Yes"/>
    <s v="No"/>
    <s v="No"/>
    <m/>
    <s v="cradle to grave"/>
    <m/>
    <m/>
    <s v="1 kg meat"/>
    <m/>
    <s v=""/>
    <s v=""/>
    <n v="34.299999999999997"/>
    <n v="34.339999999999996"/>
    <m/>
    <m/>
    <m/>
    <m/>
    <m/>
    <m/>
    <m/>
    <m/>
    <m/>
    <m/>
    <m/>
    <m/>
    <m/>
    <n v="34.299999999999997"/>
    <m/>
    <n v="0.04"/>
    <n v="0.6"/>
    <n v="0.24"/>
    <n v="7.0000000000000007E-2"/>
    <n v="0.34"/>
    <m/>
    <m/>
    <n v="34.299999999999997"/>
    <n v="35.590000000000003"/>
    <m/>
    <m/>
  </r>
  <r>
    <x v="5"/>
    <x v="122"/>
    <s v="Dried"/>
    <s v="Conventional; five-year average impact of rice cultivation while converting from conventional to organic production"/>
    <s v="Yes"/>
    <s v="Japan"/>
    <n v="2012"/>
    <s v="Hokazono, Shingo_x000a_Hayashi, Kiyotada"/>
    <s v="Variability in environmental impacts…comparison among three rice production systems"/>
    <s v="Peer Reviewed Journal"/>
    <s v="Hokazono, S. and Hayashi, K., Variability in environmental impacts during conversion from conventional to organic farming: a comparison among three rice production systems in Japan. Journal of Cleaner Production 2012, 28, 101-112."/>
    <s v="Yes"/>
    <s v="No"/>
    <s v="No"/>
    <s v="No"/>
    <s v="No"/>
    <s v="No"/>
    <s v="No"/>
    <s v="No"/>
    <s v="No"/>
    <s v="No"/>
    <s v="No"/>
    <s v="No"/>
    <m/>
    <s v="cradle to farm gate"/>
    <m/>
    <m/>
    <s v="1 kg brown rice (dried and husked)"/>
    <m/>
    <n v="5.2"/>
    <s v=""/>
    <n v="1.46"/>
    <s v=""/>
    <n v="5.2"/>
    <m/>
    <m/>
    <m/>
    <m/>
    <m/>
    <m/>
    <m/>
    <m/>
    <n v="5.2"/>
    <m/>
    <m/>
    <m/>
    <n v="1.46"/>
    <m/>
    <m/>
    <m/>
    <m/>
    <m/>
    <m/>
    <m/>
    <m/>
    <n v="1.46"/>
    <m/>
    <m/>
    <m/>
  </r>
  <r>
    <x v="5"/>
    <x v="122"/>
    <s v="Dried"/>
    <s v="Environmentally friendly production; five-year average impact of rice cultivation while converting from conventional to organic production"/>
    <s v="Yes"/>
    <s v="Japan"/>
    <n v="2012"/>
    <s v="Hokazono, Shingo_x000a_Hayashi, Kiyotada"/>
    <s v="Variability in environmental impacts…comparison among three rice production systems"/>
    <s v="Peer Reviewed Journal"/>
    <s v="Hokazono, S. and Hayashi, K., Variability in environmental impacts during conversion from conventional to organic farming: a comparison among three rice production systems in Japan. Journal of Cleaner Production 2012, 28, 101-112."/>
    <s v="Yes"/>
    <s v="No"/>
    <s v="No"/>
    <s v="No"/>
    <s v="No"/>
    <s v="No"/>
    <s v="No"/>
    <s v="No"/>
    <s v="No"/>
    <s v="No"/>
    <s v="No"/>
    <s v="No"/>
    <m/>
    <s v="cradle to farm gate"/>
    <m/>
    <m/>
    <s v="1 kg brown rice (dried and husked)"/>
    <m/>
    <n v="4.5999999999999996"/>
    <s v=""/>
    <n v="1.58"/>
    <s v=""/>
    <n v="4.5999999999999996"/>
    <m/>
    <m/>
    <m/>
    <m/>
    <m/>
    <m/>
    <m/>
    <m/>
    <n v="4.5999999999999996"/>
    <m/>
    <m/>
    <m/>
    <n v="1.58"/>
    <m/>
    <m/>
    <m/>
    <m/>
    <m/>
    <m/>
    <m/>
    <m/>
    <n v="1.58"/>
    <m/>
    <m/>
    <m/>
  </r>
  <r>
    <x v="5"/>
    <x v="122"/>
    <s v="Dried"/>
    <s v="Organic; five-year average impact of rice cultivation while converting from conventional to organic production"/>
    <s v="Yes"/>
    <s v="Japan"/>
    <n v="2012"/>
    <s v="Hokazono, Shingo_x000a_Hayashi, Kiyotada"/>
    <s v="Variability in environmental impacts…comparison among three rice production systems"/>
    <s v="Peer Reviewed Journal"/>
    <s v="Hokazono, S. and Hayashi, K., Variability in environmental impacts during conversion from conventional to organic farming: a comparison among three rice production systems in Japan. Journal of Cleaner Production 2012, 28, 101-112."/>
    <s v="Yes"/>
    <s v="No"/>
    <s v="No"/>
    <s v="No"/>
    <s v="No"/>
    <s v="No"/>
    <s v="No"/>
    <s v="No"/>
    <s v="No"/>
    <s v="No"/>
    <s v="No"/>
    <s v="No"/>
    <m/>
    <s v="cradle to farm gate"/>
    <m/>
    <m/>
    <s v="1 kg brown rice (dried and husked)"/>
    <m/>
    <n v="6.1"/>
    <s v=""/>
    <n v="2"/>
    <s v=""/>
    <n v="6.1"/>
    <m/>
    <m/>
    <m/>
    <m/>
    <m/>
    <m/>
    <m/>
    <m/>
    <n v="6.1"/>
    <m/>
    <m/>
    <m/>
    <n v="2"/>
    <m/>
    <m/>
    <m/>
    <m/>
    <m/>
    <m/>
    <m/>
    <m/>
    <n v="2"/>
    <m/>
    <m/>
    <m/>
  </r>
  <r>
    <x v="4"/>
    <x v="73"/>
    <s v="Fresh or Not Specified"/>
    <s v="High density model"/>
    <s v="Yes"/>
    <s v="Italy"/>
    <n v="2012"/>
    <s v="De Gennaro, B._x000a_Notarnicola, B._x000a_Roselli, L._x000a_Tassielli, G."/>
    <s v="Innovative olive-growing models"/>
    <s v="Peer Reviewed Journal"/>
    <s v="De Gennaro, B., Notarnicola, B., Roselli, L. and Tassielli, G., Innovative olive-growing models: an environmental and economic assessment. Journal of Cleaner Production 2012, 28, 70-80."/>
    <s v="Yes"/>
    <s v="No"/>
    <s v="No"/>
    <s v="No"/>
    <s v="No"/>
    <s v="No"/>
    <s v="No"/>
    <s v="No"/>
    <s v="No"/>
    <s v="No"/>
    <s v="No"/>
    <s v="No"/>
    <m/>
    <s v="cradle to farm gate"/>
    <m/>
    <m/>
    <s v="1 tonne olives"/>
    <m/>
    <s v=""/>
    <s v=""/>
    <n v="0.54220000000000002"/>
    <s v=""/>
    <m/>
    <m/>
    <m/>
    <m/>
    <m/>
    <m/>
    <m/>
    <m/>
    <m/>
    <m/>
    <m/>
    <m/>
    <m/>
    <n v="0.54220000000000002"/>
    <m/>
    <m/>
    <m/>
    <m/>
    <m/>
    <m/>
    <m/>
    <m/>
    <n v="0.54220000000000002"/>
    <m/>
    <m/>
    <m/>
  </r>
  <r>
    <x v="4"/>
    <x v="73"/>
    <s v="Fresh or Not Specified"/>
    <s v="Super high density model"/>
    <s v="Yes"/>
    <s v="Italy"/>
    <n v="2012"/>
    <s v="De Gennaro, B._x000a_Notarnicola, B._x000a_Roselli, L._x000a_Tassielli, G."/>
    <s v="Innovative olive-growing models"/>
    <s v="Peer Reviewed Journal"/>
    <s v="De Gennaro, B., Notarnicola, B., Roselli, L. and Tassielli, G., Innovative olive-growing models: an environmental and economic assessment. Journal of Cleaner Production 2012, 28, 70-80."/>
    <s v="Yes"/>
    <s v="No"/>
    <s v="No"/>
    <s v="No"/>
    <s v="No"/>
    <s v="No"/>
    <s v="No"/>
    <s v="No"/>
    <s v="No"/>
    <s v="No"/>
    <s v="No"/>
    <s v="No"/>
    <m/>
    <s v="cradle to farm gate"/>
    <m/>
    <m/>
    <s v="1 tonne olives"/>
    <m/>
    <s v=""/>
    <s v=""/>
    <n v="0.70710000000000006"/>
    <s v=""/>
    <m/>
    <m/>
    <m/>
    <m/>
    <m/>
    <m/>
    <m/>
    <m/>
    <m/>
    <m/>
    <m/>
    <m/>
    <m/>
    <n v="0.70710000000000006"/>
    <m/>
    <m/>
    <m/>
    <m/>
    <m/>
    <m/>
    <m/>
    <m/>
    <n v="0.70710000000000006"/>
    <m/>
    <m/>
    <m/>
  </r>
  <r>
    <x v="4"/>
    <x v="240"/>
    <s v="Fresh or Not Specified"/>
    <s v="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24"/>
    <m/>
    <s v="Values for each LCA are not able to be broken down accurately"/>
    <m/>
    <m/>
    <m/>
    <m/>
    <m/>
    <m/>
    <m/>
    <m/>
    <m/>
    <m/>
    <n v="1.4275"/>
    <m/>
    <m/>
  </r>
  <r>
    <x v="3"/>
    <x v="241"/>
    <s v="Fresh or Not Specified"/>
    <s v="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18"/>
    <m/>
    <s v="Values for each LCA are not able to be broken down accurately"/>
    <m/>
    <m/>
    <m/>
    <m/>
    <m/>
    <m/>
    <m/>
    <m/>
    <m/>
    <m/>
    <n v="0.91549999999999998"/>
    <m/>
    <m/>
  </r>
  <r>
    <x v="3"/>
    <x v="242"/>
    <s v="Fresh or Not Specified"/>
    <s v="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29"/>
    <m/>
    <s v="Values for each LCA are not able to be broken down accurately"/>
    <m/>
    <m/>
    <m/>
    <m/>
    <m/>
    <m/>
    <m/>
    <m/>
    <m/>
    <m/>
    <n v="1.571"/>
    <m/>
    <m/>
  </r>
  <r>
    <x v="3"/>
    <x v="18"/>
    <s v="Fresh or Not Specified"/>
    <s v="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16.2"/>
    <m/>
    <s v="Values for each LCA are not able to be broken down accurately"/>
    <m/>
    <m/>
    <m/>
    <m/>
    <m/>
    <m/>
    <m/>
    <m/>
    <m/>
    <m/>
    <n v="0.74"/>
    <m/>
    <m/>
  </r>
  <r>
    <x v="3"/>
    <x v="18"/>
    <s v="Fresh or Not Specified"/>
    <s v="Cherry tomato; 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23"/>
    <m/>
    <s v="Values for each LCA are not able to be broken down accurately"/>
    <m/>
    <m/>
    <m/>
    <m/>
    <m/>
    <m/>
    <m/>
    <m/>
    <m/>
    <m/>
    <n v="1.2459"/>
    <m/>
    <m/>
  </r>
  <r>
    <x v="0"/>
    <x v="0"/>
    <s v="Fresh or Not Specified"/>
    <s v="Average allocation attributional modelling"/>
    <m/>
    <s v="Denmark"/>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Yes"/>
    <m/>
    <s v="cradle to farm gate; considers LU/LUC but not reported here"/>
    <m/>
    <m/>
    <s v="1 kg ECM"/>
    <m/>
    <s v=""/>
    <s v=""/>
    <n v="1.01"/>
    <s v=""/>
    <m/>
    <m/>
    <m/>
    <m/>
    <m/>
    <m/>
    <m/>
    <m/>
    <m/>
    <m/>
    <m/>
    <m/>
    <m/>
    <n v="1.01"/>
    <m/>
    <m/>
    <m/>
    <m/>
    <m/>
    <m/>
    <m/>
    <m/>
    <n v="1.01"/>
    <m/>
    <m/>
    <m/>
  </r>
  <r>
    <x v="0"/>
    <x v="0"/>
    <s v="Fresh or Not Specified"/>
    <s v="Average allocation attributional modelling"/>
    <m/>
    <s v="Sweden"/>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Yes"/>
    <m/>
    <s v="cradle to farm gate; considers LU/LUC but not reported here"/>
    <m/>
    <m/>
    <s v="1 kg ECM"/>
    <m/>
    <s v=""/>
    <s v=""/>
    <n v="1.25"/>
    <s v=""/>
    <m/>
    <m/>
    <m/>
    <m/>
    <m/>
    <m/>
    <m/>
    <m/>
    <m/>
    <m/>
    <m/>
    <m/>
    <m/>
    <n v="1.25"/>
    <m/>
    <m/>
    <m/>
    <m/>
    <m/>
    <m/>
    <m/>
    <m/>
    <n v="1.25"/>
    <m/>
    <m/>
    <m/>
  </r>
  <r>
    <x v="0"/>
    <x v="0"/>
    <s v="Fresh or Not Specified"/>
    <s v="PAS2050"/>
    <m/>
    <s v="Denmark"/>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No"/>
    <m/>
    <s v="cradle to farm gate; considers LU/LUC but not reported here"/>
    <m/>
    <m/>
    <s v="1 kg ECM"/>
    <m/>
    <s v=""/>
    <s v=""/>
    <n v="0.94199999999999995"/>
    <s v=""/>
    <m/>
    <m/>
    <m/>
    <m/>
    <m/>
    <m/>
    <m/>
    <m/>
    <m/>
    <m/>
    <m/>
    <m/>
    <m/>
    <n v="0.94199999999999995"/>
    <m/>
    <m/>
    <m/>
    <m/>
    <m/>
    <m/>
    <m/>
    <m/>
    <n v="0.94199999999999995"/>
    <m/>
    <m/>
    <m/>
  </r>
  <r>
    <x v="0"/>
    <x v="0"/>
    <s v="Fresh or Not Specified"/>
    <s v="PAS2050"/>
    <m/>
    <s v="Sweden"/>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No"/>
    <m/>
    <s v="cradle to farm gate; considers LU/LUC but not reported here"/>
    <m/>
    <m/>
    <s v="1 kg ECM"/>
    <m/>
    <s v=""/>
    <s v=""/>
    <n v="1.1599999999999999"/>
    <s v=""/>
    <m/>
    <m/>
    <m/>
    <m/>
    <m/>
    <m/>
    <m/>
    <m/>
    <m/>
    <m/>
    <m/>
    <m/>
    <m/>
    <n v="1.1599999999999999"/>
    <m/>
    <m/>
    <m/>
    <m/>
    <m/>
    <m/>
    <m/>
    <m/>
    <n v="1.1599999999999999"/>
    <m/>
    <m/>
    <m/>
  </r>
  <r>
    <x v="0"/>
    <x v="0"/>
    <s v="Fresh or Not Specified"/>
    <s v="IDF guideline"/>
    <m/>
    <s v="Denmark"/>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Yes"/>
    <m/>
    <s v="cradle to farm gate; considers LU/LUC but not reported here"/>
    <m/>
    <m/>
    <s v="1 kg ECM"/>
    <m/>
    <s v=""/>
    <s v=""/>
    <n v="0.98099999999999998"/>
    <s v=""/>
    <m/>
    <m/>
    <m/>
    <m/>
    <m/>
    <m/>
    <m/>
    <m/>
    <m/>
    <m/>
    <m/>
    <m/>
    <m/>
    <n v="0.98099999999999998"/>
    <m/>
    <m/>
    <m/>
    <m/>
    <m/>
    <m/>
    <m/>
    <m/>
    <n v="0.98099999999999998"/>
    <m/>
    <m/>
    <m/>
  </r>
  <r>
    <x v="0"/>
    <x v="0"/>
    <s v="Fresh or Not Specified"/>
    <s v="IDF guideline"/>
    <m/>
    <s v="Sweden"/>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Yes"/>
    <m/>
    <s v="cradle to farm gate; considers LU/LUC but not reported here"/>
    <m/>
    <m/>
    <s v="1 kg ECM"/>
    <m/>
    <s v=""/>
    <s v=""/>
    <n v="1.0900000000000001"/>
    <s v=""/>
    <m/>
    <m/>
    <m/>
    <m/>
    <m/>
    <m/>
    <m/>
    <m/>
    <m/>
    <m/>
    <m/>
    <m/>
    <m/>
    <n v="1.0900000000000001"/>
    <m/>
    <m/>
    <m/>
    <m/>
    <m/>
    <m/>
    <m/>
    <m/>
    <n v="1.0900000000000001"/>
    <m/>
    <m/>
    <m/>
  </r>
  <r>
    <x v="12"/>
    <x v="102"/>
    <s v="Fresh or Not Specified"/>
    <s v="Rainbow trout farmed in the Archipelago Sea area of the Baltic Sea "/>
    <m/>
    <s v="Finland"/>
    <n v="2012"/>
    <s v="Grönroos, Juha_x000a_Silvenius, Frans_x000a_Kankainen, Markus_x000a_Silvo, Kimmo_x000a_Mäkinen, Timo"/>
    <s v="Life cycle impacts Baltic Sea"/>
    <s v="Other, intergovernmental report"/>
    <s v="Grönroos, J., Silvenius, F., Kankainen, M., Silvo, K. and Mäkinen, T., Life cycle environmental impacts of different fish farming alternatives in the Baltic Sea. 2012,  (ICES CM 2012/Q:3), ."/>
    <s v="Yes"/>
    <s v="No"/>
    <s v="No"/>
    <s v="No"/>
    <s v="No"/>
    <s v="No"/>
    <s v="No"/>
    <s v="No"/>
    <s v="No"/>
    <s v="No"/>
    <s v="No"/>
    <s v="No"/>
    <m/>
    <s v="cradle to farm gate"/>
    <m/>
    <m/>
    <s v="1000 kg ungutted Rainbow trout"/>
    <s v="/1000/0.65"/>
    <n v="28.769230769230766"/>
    <s v=""/>
    <n v="2.6846153846153848"/>
    <s v=""/>
    <n v="28.769230769230766"/>
    <m/>
    <m/>
    <m/>
    <m/>
    <m/>
    <m/>
    <m/>
    <m/>
    <n v="28.769230769230766"/>
    <m/>
    <m/>
    <m/>
    <n v="2.6846153846153848"/>
    <m/>
    <m/>
    <m/>
    <m/>
    <m/>
    <m/>
    <m/>
    <m/>
    <n v="2.6846153846153848"/>
    <m/>
    <m/>
    <m/>
  </r>
  <r>
    <x v="0"/>
    <x v="0"/>
    <s v="Fresh or Not Specified"/>
    <s v="High quality milk; M1 study (follows PCR for milk)"/>
    <m/>
    <s v="Italy"/>
    <n v="2012"/>
    <s v="Fantin, Valentina_x000a_Buttol, Patrizia_x000a_Pergreffi, Roberto_x000a_Masoni, Paolo"/>
    <s v="Life cycle asessment of Italian high quality milk production"/>
    <s v="Peer Reviewed Journal"/>
    <s v="Fantin, V., Buttol, P., Pergreffi, R. and Masoni, P., Life cycle assessment of Italian high quality milk production. A comparison with an EPD study. Journal of Cleaner Production 2012, 28, 150-159."/>
    <s v="Yes"/>
    <s v="No"/>
    <s v="Yes"/>
    <s v="Yes"/>
    <s v="Yes"/>
    <s v="Yes"/>
    <s v="No"/>
    <s v="No"/>
    <s v="No"/>
    <s v="No"/>
    <s v="No"/>
    <s v="No"/>
    <m/>
    <s v="cradle to distribution"/>
    <m/>
    <m/>
    <s v="1 liter HQ milk"/>
    <s v="*1.035"/>
    <s v=""/>
    <s v=""/>
    <n v="1.3196249999999998"/>
    <n v="1.5059249999999997"/>
    <m/>
    <m/>
    <m/>
    <m/>
    <m/>
    <m/>
    <m/>
    <m/>
    <m/>
    <m/>
    <m/>
    <m/>
    <m/>
    <n v="1.3196249999999998"/>
    <n v="1.5524999999999999E-2"/>
    <n v="0.17077499999999998"/>
    <m/>
    <n v="4.6574999999999991E-2"/>
    <m/>
    <m/>
    <m/>
    <m/>
    <n v="1.3196249999999998"/>
    <n v="1.5524999999999998"/>
    <m/>
    <m/>
  </r>
  <r>
    <x v="0"/>
    <x v="0"/>
    <s v="Fresh or Not Specified"/>
    <s v="High quality milk; M3 study (follows revised PCR for milk)"/>
    <m/>
    <s v="Italy"/>
    <n v="2012"/>
    <s v="Fantin, Valentina_x000a_Buttol, Patrizia_x000a_Pergreffi, Roberto_x000a_Masoni, Paolo"/>
    <s v="Life cycle asessment of Italian high quality milk production"/>
    <s v="Peer Reviewed Journal"/>
    <s v="Fantin, V., Buttol, P., Pergreffi, R. and Masoni, P., Life cycle assessment of Italian high quality milk production. A comparison with an EPD study. Journal of Cleaner Production 2012, 28, 150-159."/>
    <s v="Yes"/>
    <s v="No"/>
    <s v="Yes"/>
    <s v="Yes"/>
    <s v="Yes"/>
    <s v="Yes"/>
    <s v="No"/>
    <s v="No"/>
    <s v="No"/>
    <s v="No"/>
    <s v="No"/>
    <s v="No"/>
    <m/>
    <s v="cradle to distribution"/>
    <m/>
    <m/>
    <s v="1 liter HQ milk"/>
    <s v="*1.035"/>
    <s v=""/>
    <s v=""/>
    <n v="1.10331"/>
    <n v="1.3051349999999999"/>
    <m/>
    <m/>
    <m/>
    <m/>
    <m/>
    <m/>
    <m/>
    <m/>
    <m/>
    <m/>
    <m/>
    <m/>
    <m/>
    <n v="1.10331"/>
    <n v="1.3455E-2"/>
    <n v="0.18837000000000001"/>
    <m/>
    <n v="4.0364999999999998E-2"/>
    <m/>
    <m/>
    <m/>
    <m/>
    <n v="1.10331"/>
    <n v="1.3454999999999999"/>
    <m/>
    <m/>
  </r>
  <r>
    <x v="1"/>
    <x v="1"/>
    <s v="Fresh or Not Specified"/>
    <s v="Swedish lamb; average of 10 farms (3 conventional indoor breeding, 3 conventional outdoor breeding, &amp; 4 organic)"/>
    <m/>
    <s v="Sweden"/>
    <n v="2011"/>
    <s v="Wallman, M_x000a_Cederberg, C_x000a_Sonesson, U"/>
    <s v="Life cycle assessment of Swedish Lamb Production"/>
    <s v="Other, government report"/>
    <s v="Wallman, M., Cederberg, C. and Sonesson, U., Life cycle assessment of Swedish lamb production. 2011,  (SIK-rapport NR 831), 2011."/>
    <s v="Yes"/>
    <s v="No"/>
    <s v="Yes"/>
    <s v="Yes"/>
    <s v="Yes"/>
    <s v="Yes"/>
    <s v="No"/>
    <s v="No"/>
    <s v="No"/>
    <s v="No"/>
    <s v="No"/>
    <s v="No"/>
    <m/>
    <s v="cradle to regional distribution center"/>
    <m/>
    <m/>
    <s v="1 kg carcass weight"/>
    <s v="/.658"/>
    <n v="47.112462006079028"/>
    <n v="54.711246200607903"/>
    <n v="24.012158054711247"/>
    <n v="24.316109422492403"/>
    <n v="47.112462006079028"/>
    <m/>
    <n v="7.598784194528875"/>
    <m/>
    <m/>
    <m/>
    <m/>
    <m/>
    <m/>
    <n v="47.112462006079028"/>
    <n v="54.711246200607903"/>
    <m/>
    <s v="Transport of animals to slaughter, energy use at slaughter house, packaging, and transport to regional distribution center all included in processing value- no way to separate"/>
    <n v="24.012158054711247"/>
    <m/>
    <n v="0.303951367781155"/>
    <m/>
    <m/>
    <m/>
    <m/>
    <m/>
    <m/>
    <n v="24.012158054711247"/>
    <n v="24.316109422492403"/>
    <m/>
    <m/>
  </r>
  <r>
    <x v="0"/>
    <x v="4"/>
    <s v="Fresh or Not Specified"/>
    <s v="Eight-week old, semi-hard Dutch cheese"/>
    <m/>
    <s v="The Netherlands"/>
    <n v="2011"/>
    <s v="van Middelaar, C. E._x000a_Berentsen, P. B. M._x000a_Dolman, M. A._x000a_de Boer, I. J. M."/>
    <s v="Eco-efficiency in the production chain of Dutch semi-hard cheese"/>
    <s v="Peer Reviewed Journal"/>
    <s v="Van Middelaar, C. E., Berentsen, P. B. M., Dolman, M. A. and De Boer, I. J. M., Eco-efficiency in the production chain of Dutch semi-hard cheese. Livestock Science 2011, 139 (1–2), 91-99."/>
    <s v="Yes"/>
    <s v="Yes"/>
    <s v="Yes"/>
    <s v="Yes"/>
    <s v="Yes"/>
    <s v="Yes"/>
    <s v="Yes"/>
    <s v="No"/>
    <s v="No"/>
    <s v="No"/>
    <s v="No"/>
    <s v="No"/>
    <m/>
    <s v="cradle to retail"/>
    <m/>
    <m/>
    <s v="1 kg cheese"/>
    <m/>
    <n v="32.200000000000003"/>
    <n v="42.67"/>
    <n v="7.5"/>
    <n v="8.09"/>
    <n v="32.200000000000003"/>
    <m/>
    <n v="10.469999999999999"/>
    <n v="3.38"/>
    <m/>
    <n v="1.1100000000000001"/>
    <m/>
    <m/>
    <m/>
    <n v="32.200000000000003"/>
    <n v="47.160000000000004"/>
    <m/>
    <m/>
    <n v="7.5"/>
    <m/>
    <n v="0.59"/>
    <n v="0.38"/>
    <m/>
    <n v="0.02"/>
    <m/>
    <m/>
    <m/>
    <n v="7.5"/>
    <n v="8.49"/>
    <m/>
    <m/>
  </r>
  <r>
    <x v="4"/>
    <x v="20"/>
    <s v="Fresh or Not Specified"/>
    <s v="Site A; Carbon Trust methodology; exported to Europe"/>
    <m/>
    <s v="Not specified"/>
    <n v="2012"/>
    <s v="Lescot, Thierry"/>
    <s v="Carbon footprint analysis in banana production"/>
    <s v="Other"/>
    <s v="Lescot, T., Carbon footprint analysis in banana production. Second Conference of the World Banana Forum 2012, ."/>
    <s v="Yes"/>
    <s v="No"/>
    <s v="No"/>
    <s v="Yes"/>
    <s v="Yes"/>
    <s v="Yes"/>
    <s v="No"/>
    <s v="No"/>
    <s v="No"/>
    <s v="No"/>
    <s v="No"/>
    <s v="No"/>
    <m/>
    <s v="cradle to transport to retail"/>
    <m/>
    <m/>
    <s v="1 ton bananas"/>
    <m/>
    <s v=""/>
    <s v=""/>
    <n v="0.13780000000000001"/>
    <n v="0.22739999999999999"/>
    <m/>
    <m/>
    <m/>
    <m/>
    <m/>
    <m/>
    <m/>
    <m/>
    <m/>
    <m/>
    <m/>
    <m/>
    <m/>
    <n v="0.13780000000000001"/>
    <m/>
    <n v="8.9599999999999999E-2"/>
    <m/>
    <n v="0.8962"/>
    <m/>
    <m/>
    <m/>
    <m/>
    <n v="0.13780000000000001"/>
    <n v="1.1235999999999999"/>
    <m/>
    <m/>
  </r>
  <r>
    <x v="4"/>
    <x v="20"/>
    <s v="Fresh or Not Specified"/>
    <s v="Site B; Carbon Trust methodology; exported to Europe"/>
    <m/>
    <s v="Not specified"/>
    <n v="2012"/>
    <s v="Lescot, Thierry"/>
    <s v="Carbon footprint analysis in banana production"/>
    <s v="Other"/>
    <s v="Lescot, T., Carbon footprint analysis in banana production. Second Conference of the World Banana Forum 2012, ."/>
    <s v="Yes"/>
    <s v="No"/>
    <s v="Yes"/>
    <s v="No"/>
    <s v="No"/>
    <s v="Yes"/>
    <s v="No"/>
    <s v="No"/>
    <s v="No"/>
    <s v="No"/>
    <s v="No"/>
    <s v="No"/>
    <m/>
    <s v="cradle to transport to retail"/>
    <m/>
    <m/>
    <s v="1 ton bananas"/>
    <m/>
    <s v=""/>
    <s v=""/>
    <n v="0.27750000000000008"/>
    <n v="0.36360000000000009"/>
    <m/>
    <m/>
    <m/>
    <m/>
    <m/>
    <m/>
    <m/>
    <m/>
    <m/>
    <m/>
    <m/>
    <m/>
    <m/>
    <n v="0.27750000000000008"/>
    <n v="8.6099999999999996E-2"/>
    <m/>
    <m/>
    <n v="0.56219999999999992"/>
    <m/>
    <m/>
    <m/>
    <m/>
    <n v="0.27750000000000008"/>
    <n v="0.92579999999999996"/>
    <m/>
    <m/>
  </r>
  <r>
    <x v="4"/>
    <x v="20"/>
    <s v="Fresh or Not Specified"/>
    <s v="Site B; LCA methodology; exported to Europe"/>
    <m/>
    <s v="Not specified"/>
    <n v="2012"/>
    <s v="Lescot, Thierry"/>
    <s v="Carbon footprint analysis in banana production"/>
    <s v="Other"/>
    <s v="Lescot, T., Carbon footprint analysis in banana production. Second Conference of the World Banana Forum 2012, ."/>
    <s v="Yes"/>
    <s v="No"/>
    <s v="No"/>
    <s v="No"/>
    <s v="No"/>
    <s v="Yes"/>
    <s v="No"/>
    <s v="No"/>
    <s v="No"/>
    <s v="No"/>
    <s v="No"/>
    <s v="No"/>
    <m/>
    <s v="cradle to transport to retail"/>
    <m/>
    <m/>
    <s v="1 ton bananas"/>
    <m/>
    <s v=""/>
    <s v=""/>
    <n v="0.36499999999999999"/>
    <s v=""/>
    <m/>
    <m/>
    <m/>
    <m/>
    <m/>
    <m/>
    <m/>
    <m/>
    <m/>
    <m/>
    <m/>
    <m/>
    <m/>
    <n v="0.36499999999999999"/>
    <m/>
    <m/>
    <m/>
    <n v="0.32800000000000001"/>
    <m/>
    <m/>
    <m/>
    <m/>
    <n v="0.36499999999999999"/>
    <n v="0.69300000000000006"/>
    <m/>
    <m/>
  </r>
  <r>
    <x v="4"/>
    <x v="20"/>
    <s v="Fresh or Not Specified"/>
    <s v="Site C; LCA methodology; exported to Europe"/>
    <m/>
    <s v="Not specified"/>
    <n v="2012"/>
    <s v="Lescot, Thierry"/>
    <s v="Carbon footprint analysis in banana production"/>
    <s v="Other"/>
    <s v="Lescot, T., Carbon footprint analysis in banana production. Second Conference of the World Banana Forum 2012, ."/>
    <s v="Yes"/>
    <s v="No"/>
    <s v="No"/>
    <s v="Yes"/>
    <s v="Yes"/>
    <s v="Yes"/>
    <s v="No"/>
    <s v="No"/>
    <s v="No"/>
    <s v="No"/>
    <s v="No"/>
    <s v="No"/>
    <m/>
    <s v="cradle to transport to retail"/>
    <m/>
    <m/>
    <s v="1 ton bananas"/>
    <m/>
    <s v=""/>
    <s v=""/>
    <n v="0.19159999999999999"/>
    <n v="0.30159999999999998"/>
    <m/>
    <m/>
    <m/>
    <m/>
    <m/>
    <m/>
    <m/>
    <m/>
    <m/>
    <m/>
    <m/>
    <m/>
    <m/>
    <n v="0.19159999999999999"/>
    <m/>
    <n v="0.11"/>
    <m/>
    <n v="0.35110000000000002"/>
    <m/>
    <m/>
    <m/>
    <m/>
    <n v="0.19159999999999999"/>
    <n v="0.65270000000000006"/>
    <m/>
    <m/>
  </r>
  <r>
    <x v="1"/>
    <x v="24"/>
    <s v="Fresh or Not Specified"/>
    <s v="average for Danish broiler chickens at 6 farms"/>
    <m/>
    <s v="Denmark"/>
    <n v="2011"/>
    <s v="Nielsen, NI_x000a_Jørgensen, M_x000a_Bahrndorff, S"/>
    <s v="GHGE from the Danish broiler production"/>
    <s v="Other"/>
    <s v="Nielsen, N., Jørgensen, M. and Bahrndorff, S., Greenhouse gas emission from the Danish broiler production estimated via LCA methodology. 2011, 4-22."/>
    <s v="Yes"/>
    <s v="No"/>
    <s v="No"/>
    <s v="Yes"/>
    <s v="No"/>
    <s v="No"/>
    <s v="No"/>
    <s v="No"/>
    <s v="No"/>
    <s v="No"/>
    <s v="No"/>
    <s v="Yes"/>
    <m/>
    <s v="cradle to processor gate"/>
    <m/>
    <m/>
    <s v="1 kg carcass weight"/>
    <s v="/0.77"/>
    <s v=""/>
    <s v=""/>
    <n v="2.6970000000000001"/>
    <n v="3"/>
    <m/>
    <m/>
    <m/>
    <m/>
    <m/>
    <m/>
    <m/>
    <m/>
    <m/>
    <m/>
    <m/>
    <m/>
    <m/>
    <n v="2.6970000000000001"/>
    <m/>
    <n v="0.30299999999999999"/>
    <m/>
    <m/>
    <m/>
    <m/>
    <m/>
    <m/>
    <n v="2.6970000000000001"/>
    <n v="3"/>
    <m/>
    <m/>
  </r>
  <r>
    <x v="1"/>
    <x v="30"/>
    <s v="50% Fresh; 50% Frozen"/>
    <s v="Typical Australian duck production"/>
    <m/>
    <s v="Australia"/>
    <n v="2011"/>
    <s v="Michael, David"/>
    <s v="Carbon Reduction Benchmarks &amp; Strategies: New Animal Products"/>
    <s v="Other, government report"/>
    <s v="Michael D. Carbon Reduction Benchmarks &amp; Strategies: New Animal Products. Australia: RIRDC; 2011. Report No.: 1742542476."/>
    <s v="Yes"/>
    <s v="No"/>
    <s v="Yes"/>
    <s v="Yes"/>
    <s v="Yes"/>
    <s v="Yes"/>
    <s v="No"/>
    <s v="No"/>
    <s v="No"/>
    <s v="No"/>
    <s v="No"/>
    <s v="Yes"/>
    <m/>
    <s v="cradle to transport to retail"/>
    <m/>
    <m/>
    <s v="1 kg carcass weight"/>
    <s v="/.45 from {Swanson, 1964 #663}"/>
    <n v="25.555555555555554"/>
    <n v="31.644444444444442"/>
    <n v="3.5999999999999996"/>
    <n v="4.3066666666666666"/>
    <n v="25.555555555555554"/>
    <m/>
    <n v="6.0888888888888895"/>
    <m/>
    <n v="2.3555555555555556"/>
    <m/>
    <m/>
    <m/>
    <m/>
    <n v="25.555555555555554"/>
    <n v="34"/>
    <m/>
    <m/>
    <n v="3.5999999999999996"/>
    <m/>
    <n v="0.70666666666666667"/>
    <m/>
    <n v="0.29333333333333333"/>
    <m/>
    <m/>
    <m/>
    <m/>
    <n v="3.5999999999999996"/>
    <n v="4.5999999999999996"/>
    <m/>
    <m/>
  </r>
  <r>
    <x v="1"/>
    <x v="33"/>
    <s v="50% Fresh; 50% Frozen"/>
    <s v="Typical Australian farmed rabbit production"/>
    <m/>
    <s v="Australia"/>
    <n v="2011"/>
    <s v="Michael, David"/>
    <s v="Carbon Reduction Benchmarks &amp; Strategies: New Animal Products"/>
    <s v="Other, government report"/>
    <s v="Michael D. Carbon Reduction Benchmarks &amp; Strategies: New Animal Products. Australia: RIRDC; 2011. Report No.: 1742542476."/>
    <s v="Yes"/>
    <s v="No"/>
    <s v="Yes"/>
    <s v="Yes"/>
    <s v="Yes"/>
    <s v="Yes"/>
    <s v="No"/>
    <s v="No"/>
    <s v="No"/>
    <s v="No"/>
    <s v="No"/>
    <s v="Yes"/>
    <m/>
    <s v="cradle to transport to retail"/>
    <m/>
    <m/>
    <s v="1 kg live rabbit produced for ag stage; 1 kg carcass weight for processing and distribution stages"/>
    <s v="/.795 from {Kirton, 1971 #664}"/>
    <n v="55.220125786163514"/>
    <n v="65.132075471698101"/>
    <n v="4.5408805031446535"/>
    <n v="5.3723270440251572"/>
    <n v="55.220125786163514"/>
    <m/>
    <n v="9.9119496855345908"/>
    <m/>
    <n v="1.320754716981132"/>
    <m/>
    <m/>
    <m/>
    <m/>
    <n v="55.220125786163514"/>
    <n v="66.452830188679229"/>
    <m/>
    <m/>
    <n v="4.5408805031446535"/>
    <m/>
    <n v="0.83144654088050318"/>
    <m/>
    <n v="0.13207547169811321"/>
    <m/>
    <m/>
    <m/>
    <m/>
    <n v="4.5408805031446535"/>
    <n v="5.5044025157232701"/>
    <m/>
    <m/>
  </r>
  <r>
    <x v="1"/>
    <x v="30"/>
    <s v="Fresh or Not Specified"/>
    <s v="Typical Australian emu enterprise"/>
    <m/>
    <s v="Australia"/>
    <n v="2011"/>
    <s v="Michael, David"/>
    <s v="Carbon Reduction Benchmarks &amp; Strategies: New Animal Products"/>
    <s v="Other, government report"/>
    <s v="Michael D. Carbon Reduction Benchmarks &amp; Strategies: New Animal Products. Australia: RIRDC; 2011. Report No.: 1742542476."/>
    <s v="Yes"/>
    <s v="No"/>
    <s v="Yes"/>
    <s v="Yes"/>
    <s v="Yes"/>
    <s v="Yes"/>
    <s v="No"/>
    <s v="No"/>
    <s v="No"/>
    <s v="No"/>
    <s v="No"/>
    <s v="Yes"/>
    <m/>
    <s v="cradle to processor gate"/>
    <m/>
    <m/>
    <s v="per kg live carcass weighing 45 kg for ag production; per kg of dressed carcass weighing 24 kg for processing"/>
    <s v="/.325 from http://posc.tamu.edu/wp-content/uploads/sites/20/2012/08/emuproduction1.pdf"/>
    <n v="44.246153846153845"/>
    <n v="49.98646153846154"/>
    <n v="4.3538461538461535"/>
    <n v="4.8615384615384611"/>
    <n v="44.246153846153845"/>
    <m/>
    <n v="5.7403076923076917"/>
    <m/>
    <m/>
    <m/>
    <m/>
    <m/>
    <m/>
    <n v="44.246153846153845"/>
    <n v="49.98646153846154"/>
    <m/>
    <s v="using economic allocation"/>
    <n v="4.3538461538461535"/>
    <m/>
    <n v="0.50769230769230766"/>
    <m/>
    <m/>
    <m/>
    <m/>
    <m/>
    <m/>
    <n v="4.3538461538461535"/>
    <n v="4.8615384615384611"/>
    <m/>
    <m/>
  </r>
  <r>
    <x v="0"/>
    <x v="29"/>
    <s v="Fresh or Not Specified"/>
    <s v="Typical Australian dairy goat enterprise"/>
    <m/>
    <s v="Australia"/>
    <n v="2011"/>
    <s v="Michael, David"/>
    <s v="Carbon Reduction Benchmarks &amp; Strategies: New Animal Products"/>
    <s v="Other, government report"/>
    <s v="Michael D. Carbon Reduction Benchmarks &amp; Strategies: New Animal Products. Australia: RIRDC; 2011. Report No.: 1742542476."/>
    <s v="Yes"/>
    <s v="No"/>
    <s v="No"/>
    <s v="No"/>
    <s v="No"/>
    <s v="No"/>
    <s v="No"/>
    <s v="No"/>
    <s v="No"/>
    <s v="No"/>
    <s v="No"/>
    <s v="Yes"/>
    <m/>
    <s v="cradle to processor gate"/>
    <m/>
    <m/>
    <s v="1 kg FPCM"/>
    <m/>
    <n v="9.56"/>
    <s v=""/>
    <n v="5.61"/>
    <s v=""/>
    <n v="9.56"/>
    <m/>
    <m/>
    <m/>
    <m/>
    <m/>
    <m/>
    <m/>
    <m/>
    <n v="9.56"/>
    <m/>
    <m/>
    <m/>
    <n v="5.61"/>
    <m/>
    <m/>
    <m/>
    <m/>
    <m/>
    <m/>
    <m/>
    <m/>
    <n v="5.61"/>
    <m/>
    <m/>
    <m/>
  </r>
  <r>
    <x v="0"/>
    <x v="27"/>
    <s v="Fresh or Not Specified"/>
    <s v="Typical Australian dairy sheep enterprise"/>
    <m/>
    <s v="Australia"/>
    <n v="2011"/>
    <s v="Michael, David"/>
    <s v="Carbon Reduction Benchmarks &amp; Strategies: New Animal Products"/>
    <s v="Other, government report"/>
    <s v="Michael D. Carbon Reduction Benchmarks &amp; Strategies: New Animal Products. Australia: RIRDC; 2011. Report No.: 1742542476."/>
    <s v="Yes"/>
    <s v="No"/>
    <s v="No"/>
    <s v="No"/>
    <s v="No"/>
    <s v="No"/>
    <s v="No"/>
    <s v="No"/>
    <s v="No"/>
    <s v="No"/>
    <s v="No"/>
    <s v="Yes"/>
    <m/>
    <s v="cradle to processor gate"/>
    <m/>
    <m/>
    <s v="1 kg FPCM"/>
    <m/>
    <n v="6.55"/>
    <s v=""/>
    <n v="4.0999999999999996"/>
    <s v=""/>
    <n v="6.55"/>
    <m/>
    <m/>
    <m/>
    <m/>
    <m/>
    <m/>
    <m/>
    <m/>
    <n v="6.55"/>
    <m/>
    <m/>
    <m/>
    <n v="4.0999999999999996"/>
    <m/>
    <m/>
    <m/>
    <m/>
    <m/>
    <m/>
    <m/>
    <m/>
    <n v="4.0999999999999996"/>
    <m/>
    <m/>
    <m/>
  </r>
  <r>
    <x v="12"/>
    <x v="111"/>
    <s v="Frozen"/>
    <s v="Sengalese southern pink shrimp; industrial fishing methods; exported to Europe"/>
    <s v="Yes"/>
    <s v="Senegal"/>
    <n v="2011"/>
    <s v="Ziegler, Friederike_x000a_Emanuelsson, Andreas_x000a_Eichelsheim, John Lucas_x000a_Flysjö, Anna_x000a_Ndiaye, Vaque_x000a_Thrane, Mikkel"/>
    <s v="LCA of Southern Pink Shrimp"/>
    <s v="Peer Reviewed Journal"/>
    <s v="Ziegler, F., Emanuelsson, A., Eichelsheim, J. L., Flysjö, A., Ndiaye, V. and Thrane, M., Extended life cycle assessment of southern pink shrimp products originating in Senegalese artisanal and industrial fisheries for export to Europe. Journal of Industrial Ecology 2011, 15 (4), 527-538."/>
    <s v="Yes"/>
    <s v="No"/>
    <s v="Yes"/>
    <s v="Yes"/>
    <s v="Yes"/>
    <s v="Yes"/>
    <s v="No"/>
    <s v="No"/>
    <s v="No"/>
    <s v="No"/>
    <s v="No"/>
    <s v="No"/>
    <m/>
    <s v="cradle to transport to retail"/>
    <m/>
    <m/>
    <s v="1 kg shrimp"/>
    <m/>
    <s v=""/>
    <s v=""/>
    <n v="28.697916666666664"/>
    <n v="35.229166666666664"/>
    <m/>
    <m/>
    <m/>
    <m/>
    <m/>
    <m/>
    <m/>
    <m/>
    <m/>
    <m/>
    <m/>
    <m/>
    <m/>
    <n v="28.697916666666664"/>
    <m/>
    <n v="6.53125"/>
    <m/>
    <n v="2.7708333333333335"/>
    <m/>
    <m/>
    <m/>
    <m/>
    <n v="28.697916666666664"/>
    <n v="38"/>
    <m/>
    <m/>
  </r>
  <r>
    <x v="12"/>
    <x v="111"/>
    <s v="Frozen"/>
    <s v="Sengalese southern pink shrimp; artisanal fishing methods; exported to Europe"/>
    <s v="Yes"/>
    <s v="Senegal"/>
    <n v="2011"/>
    <s v="Ziegler, Friederike_x000a_Emanuelsson, Andreas_x000a_Eichelsheim, John Lucas_x000a_Flysjö, Anna_x000a_Ndiaye, Vaque_x000a_Thrane, Mikkel"/>
    <s v="LCA of Southern Pink Shrimp"/>
    <s v="Peer Reviewed Journal"/>
    <s v="Ziegler, F., Emanuelsson, A., Eichelsheim, J. L., Flysjö, A., Ndiaye, V. and Thrane, M., Extended life cycle assessment of southern pink shrimp products originating in Senegalese artisanal and industrial fisheries for export to Europe. Journal of Industrial Ecology 2011, 15 (4), 527-538."/>
    <s v="Yes"/>
    <s v="No"/>
    <s v="Yes"/>
    <s v="Yes"/>
    <s v="Yes"/>
    <s v="Yes"/>
    <s v="No"/>
    <s v="No"/>
    <s v="No"/>
    <s v="No"/>
    <s v="No"/>
    <s v="No"/>
    <m/>
    <s v="cradle to transport to retail"/>
    <m/>
    <m/>
    <s v="1 kg shrimp"/>
    <m/>
    <s v=""/>
    <s v=""/>
    <n v="5.4166666666666669E-2"/>
    <n v="4.3874999999999993"/>
    <m/>
    <m/>
    <m/>
    <m/>
    <m/>
    <m/>
    <m/>
    <m/>
    <m/>
    <m/>
    <m/>
    <m/>
    <m/>
    <n v="5.4166666666666669E-2"/>
    <m/>
    <n v="4.333333333333333"/>
    <n v="9.4791666666666677E-2"/>
    <n v="3.3177083333333335"/>
    <m/>
    <m/>
    <m/>
    <m/>
    <n v="5.4166666666666669E-2"/>
    <n v="7.7999999999999989"/>
    <m/>
    <m/>
  </r>
  <r>
    <x v="0"/>
    <x v="0"/>
    <s v="Fresh or Not Specified"/>
    <s v="Pasture-based dairy farm in Georgia; ISFM "/>
    <s v="Yes"/>
    <s v="U.S."/>
    <n v="2012"/>
    <s v="Belflower, Jeff B_x000a_Bernard, John K_x000a_Gattie, David K_x000a_Hancock, Dennis W_x000a_Risse, Lawrence M_x000a_Rotz, C Alan"/>
    <s v="Case study of different dairy production systems in Georgia"/>
    <s v="Peer Reviewed Journal"/>
    <s v="Belflower, J. B., Bernard, J. K., Gattie, D. K., Hancock, D. W., Risse, L. M. and Rotz, C. A., A case study of the potential environmental impacts of different dairy production systems in Georgia. Agricultural Systems 2012, 108, 84-93."/>
    <s v="Yes"/>
    <s v="No"/>
    <s v="No"/>
    <s v="No"/>
    <s v="No"/>
    <s v="No"/>
    <s v="No"/>
    <s v="No"/>
    <s v="No"/>
    <s v="No"/>
    <s v="No"/>
    <s v="No"/>
    <m/>
    <s v="cradle to farm gate"/>
    <m/>
    <m/>
    <s v="1 kg ECM"/>
    <m/>
    <s v=""/>
    <s v=""/>
    <n v="0.79"/>
    <s v=""/>
    <m/>
    <m/>
    <m/>
    <m/>
    <m/>
    <m/>
    <m/>
    <m/>
    <m/>
    <m/>
    <m/>
    <m/>
    <m/>
    <n v="0.79"/>
    <m/>
    <m/>
    <m/>
    <m/>
    <m/>
    <m/>
    <m/>
    <m/>
    <n v="0.79"/>
    <m/>
    <m/>
    <m/>
  </r>
  <r>
    <x v="0"/>
    <x v="0"/>
    <s v="Fresh or Not Specified"/>
    <s v="Confinement dairy in Georgia; ISFM"/>
    <s v="Yes"/>
    <s v="U.S."/>
    <n v="2012"/>
    <s v="Belflower, Jeff B_x000a_Bernard, John K_x000a_Gattie, David K_x000a_Hancock, Dennis W_x000a_Risse, Lawrence M_x000a_Rotz, C Alan"/>
    <s v="Case study of different dairy production systems in Georgia"/>
    <s v="Peer Reviewed Journal"/>
    <s v="Belflower, J. B., Bernard, J. K., Gattie, D. K., Hancock, D. W., Risse, L. M. and Rotz, C. A., A case study of the potential environmental impacts of different dairy production systems in Georgia. Agricultural Systems 2012, 108, 84-93."/>
    <s v="Yes"/>
    <s v="No"/>
    <s v="No"/>
    <s v="No"/>
    <s v="No"/>
    <s v="No"/>
    <s v="No"/>
    <s v="No"/>
    <s v="No"/>
    <s v="No"/>
    <s v="No"/>
    <s v="No"/>
    <m/>
    <s v="cradle to farm gate"/>
    <m/>
    <m/>
    <s v="1 kg ECM"/>
    <m/>
    <s v=""/>
    <s v=""/>
    <n v="0.87"/>
    <s v=""/>
    <m/>
    <m/>
    <m/>
    <m/>
    <m/>
    <m/>
    <m/>
    <m/>
    <m/>
    <m/>
    <m/>
    <m/>
    <m/>
    <n v="0.87"/>
    <m/>
    <m/>
    <m/>
    <m/>
    <m/>
    <m/>
    <m/>
    <m/>
    <n v="0.87"/>
    <m/>
    <m/>
    <m/>
  </r>
  <r>
    <x v="1"/>
    <x v="23"/>
    <s v="Fresh or Not Specified"/>
    <s v="Typical 2010 production; PAS2050 method"/>
    <m/>
    <s v="Denmark"/>
    <n v="2011"/>
    <s v="Nguyen, T Lan T_x000a_Hermansen, John Erik_x000a_Mogensen, Lisbeth"/>
    <s v="Environmental Assessment of Danish Pork"/>
    <s v="Other, research center report"/>
    <s v="Nguyen, T. L. T., Hermansen, J. E. and Mogensen, L., Environmental assessment of Danish pork. 2011,  (REPORT NO. 103), ."/>
    <s v="Yes"/>
    <s v="No"/>
    <s v="No"/>
    <s v="Yes"/>
    <s v="No"/>
    <s v="No"/>
    <s v="No"/>
    <s v="No"/>
    <s v="No"/>
    <s v="No"/>
    <s v="No"/>
    <s v="No"/>
    <m/>
    <s v="cradle to processor gate"/>
    <m/>
    <m/>
    <s v="1kg live weight for age production; 1 kg carcass weight for processing"/>
    <s v="For ag production: /0.528; For processing: /0.729"/>
    <n v="25.824837156612858"/>
    <n v="28.658061519778379"/>
    <n v="4.134806003964882"/>
    <n v="4.3206962902359232"/>
    <n v="25.824837156612858"/>
    <m/>
    <n v="2.8332243631655194"/>
    <m/>
    <m/>
    <m/>
    <m/>
    <m/>
    <m/>
    <n v="25.824837156612858"/>
    <n v="28.658061519778379"/>
    <m/>
    <m/>
    <n v="4.134806003964882"/>
    <m/>
    <n v="0.18589028627104084"/>
    <m/>
    <m/>
    <m/>
    <m/>
    <m/>
    <m/>
    <n v="4.134806003964882"/>
    <n v="4.3206962902359232"/>
    <m/>
    <m/>
  </r>
  <r>
    <x v="0"/>
    <x v="0"/>
    <s v="Fresh or Not Specified"/>
    <s v="35 conventional farms with Holstein Friesian and Jersey cows"/>
    <m/>
    <s v="Denmark"/>
    <n v="2011"/>
    <s v="Kristensen, Troels_x000a_Mogensen, Lisbeth_x000a_Knudsen, Marie Trydeman_x000a_Hermansen, John E"/>
    <s v="Effect of Production system and farming on commercial dairy farms"/>
    <s v="Peer Reviewed Journal"/>
    <s v="Kristensen, T., Mogensen, L., Knudsen, M. T. and Hermansen, J. E., Effect of production system and farming strategy on greenhouse gas emissions from commercial dairy farms in a life cycle approach. Livestock Science 2011, 140 (1), 136-148."/>
    <s v="Yes"/>
    <s v="No"/>
    <s v="No"/>
    <s v="No"/>
    <s v="No"/>
    <s v="No"/>
    <s v="No"/>
    <s v="No"/>
    <s v="No"/>
    <s v="No"/>
    <s v="No"/>
    <s v="No"/>
    <m/>
    <s v="cradle to farm gate"/>
    <m/>
    <m/>
    <s v="1 kg ECM"/>
    <m/>
    <s v=""/>
    <s v=""/>
    <n v="0.91"/>
    <s v=""/>
    <m/>
    <m/>
    <m/>
    <m/>
    <m/>
    <m/>
    <m/>
    <m/>
    <m/>
    <m/>
    <m/>
    <m/>
    <m/>
    <n v="0.91"/>
    <m/>
    <m/>
    <m/>
    <m/>
    <m/>
    <m/>
    <m/>
    <m/>
    <n v="0.91"/>
    <m/>
    <m/>
    <s v="Biological allocation"/>
  </r>
  <r>
    <x v="0"/>
    <x v="0"/>
    <s v="Fresh or Not Specified"/>
    <s v="32 organic farms with Holstein Friesian cows"/>
    <m/>
    <s v="Denmark"/>
    <n v="2011"/>
    <s v="Kristensen, Troels_x000a_Mogensen, Lisbeth_x000a_Knudsen, Marie Trydeman_x000a_Hermansen, John E"/>
    <s v="Effect of Production system and farming on commercial dairy farms"/>
    <s v="Peer Reviewed Journal"/>
    <s v="Kristensen, T., Mogensen, L., Knudsen, M. T. and Hermansen, J. E., Effect of production system and farming strategy on greenhouse gas emissions from commercial dairy farms in a life cycle approach. Livestock Science 2011, 140 (1), 136-148."/>
    <s v="Yes"/>
    <s v="No"/>
    <s v="No"/>
    <s v="No"/>
    <s v="No"/>
    <s v="No"/>
    <s v="No"/>
    <s v="No"/>
    <s v="No"/>
    <s v="No"/>
    <s v="No"/>
    <s v="No"/>
    <m/>
    <s v="cradle to farm gate"/>
    <m/>
    <m/>
    <s v="1 kg ECM"/>
    <m/>
    <s v=""/>
    <s v=""/>
    <n v="0.9"/>
    <s v=""/>
    <m/>
    <m/>
    <m/>
    <m/>
    <m/>
    <m/>
    <m/>
    <m/>
    <m/>
    <m/>
    <m/>
    <m/>
    <m/>
    <n v="0.9"/>
    <m/>
    <m/>
    <m/>
    <m/>
    <m/>
    <m/>
    <m/>
    <m/>
    <n v="0.9"/>
    <m/>
    <m/>
    <s v="Biological allocation"/>
  </r>
  <r>
    <x v="1"/>
    <x v="25"/>
    <s v="Fresh or Not Specified"/>
    <s v="35 conventional farms with Holstein Friesian and Jersey cows"/>
    <m/>
    <s v="Denmark"/>
    <n v="2011"/>
    <s v="Kristensen, Troels_x000a_Mogensen, Lisbeth_x000a_Knudsen, Marie Trydeman_x000a_Hermansen, John E"/>
    <s v="Effect of Production system and farming on commercial dairy farms"/>
    <s v="Peer Reviewed Journal"/>
    <s v="Kristensen, T., Mogensen, L., Knudsen, M. T. and Hermansen, J. E., Effect of production system and farming strategy on greenhouse gas emissions from commercial dairy farms in a life cycle approach. Livestock Science 2011, 140 (1), 136-148."/>
    <s v="Yes"/>
    <s v="No"/>
    <s v="No"/>
    <s v="No"/>
    <s v="No"/>
    <s v="No"/>
    <s v="No"/>
    <s v="No"/>
    <s v="No"/>
    <s v="No"/>
    <s v="No"/>
    <s v="No"/>
    <m/>
    <s v="cradle to farm gate"/>
    <m/>
    <m/>
    <s v="1 kg meat"/>
    <m/>
    <s v=""/>
    <s v=""/>
    <n v="6.92"/>
    <s v=""/>
    <m/>
    <m/>
    <m/>
    <m/>
    <m/>
    <m/>
    <m/>
    <m/>
    <m/>
    <m/>
    <m/>
    <m/>
    <m/>
    <n v="6.92"/>
    <m/>
    <m/>
    <m/>
    <m/>
    <m/>
    <m/>
    <m/>
    <m/>
    <n v="6.92"/>
    <m/>
    <m/>
    <s v="Biological allocation"/>
  </r>
  <r>
    <x v="1"/>
    <x v="25"/>
    <s v="Fresh or Not Specified"/>
    <s v="32 organic farms with Holstein Friesian cows"/>
    <m/>
    <s v="Denmark"/>
    <n v="2011"/>
    <s v="Kristensen, Troels_x000a_Mogensen, Lisbeth_x000a_Knudsen, Marie Trydeman_x000a_Hermansen, John E"/>
    <s v="Effect of Production system and farming on commercial dairy farms"/>
    <s v="Peer Reviewed Journal"/>
    <s v="Kristensen, T., Mogensen, L., Knudsen, M. T. and Hermansen, J. E., Effect of production system and farming strategy on greenhouse gas emissions from commercial dairy farms in a life cycle approach. Livestock Science 2011, 140 (1), 136-148."/>
    <s v="Yes"/>
    <s v="No"/>
    <s v="No"/>
    <s v="No"/>
    <s v="No"/>
    <s v="No"/>
    <s v="No"/>
    <s v="No"/>
    <s v="No"/>
    <s v="No"/>
    <s v="No"/>
    <s v="No"/>
    <m/>
    <s v="cradle to farm gate"/>
    <m/>
    <m/>
    <s v="1 kg meat"/>
    <m/>
    <s v=""/>
    <s v=""/>
    <n v="7.33"/>
    <s v=""/>
    <m/>
    <m/>
    <m/>
    <m/>
    <m/>
    <m/>
    <m/>
    <m/>
    <m/>
    <m/>
    <m/>
    <m/>
    <m/>
    <n v="7.33"/>
    <m/>
    <m/>
    <m/>
    <m/>
    <m/>
    <m/>
    <m/>
    <m/>
    <n v="7.33"/>
    <m/>
    <m/>
    <s v="Biological allocation"/>
  </r>
  <r>
    <x v="7"/>
    <x v="110"/>
    <s v="Fresh or Not Specified"/>
    <s v="Carbonated Beverages, Aluminum Packaging, w retail refrigeration"/>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s v=""/>
    <s v=""/>
    <n v="3.8387715930902108E-2"/>
    <n v="4.9904030710172742E-2"/>
    <m/>
    <m/>
    <m/>
    <m/>
    <m/>
    <m/>
    <m/>
    <m/>
    <m/>
    <m/>
    <n v="4.4145873320537419"/>
    <m/>
    <m/>
    <n v="3.8387715930902108E-2"/>
    <m/>
    <n v="1.1516314779270634E-2"/>
    <n v="0.23800383877159309"/>
    <n v="4.7984644913627635E-3"/>
    <n v="0.14875239923224567"/>
    <m/>
    <n v="6.7178502879078695E-3"/>
    <m/>
    <n v="3.8387715930902108E-2"/>
    <n v="0.44817658349328221"/>
    <m/>
    <s v="CML 2001"/>
  </r>
  <r>
    <x v="7"/>
    <x v="110"/>
    <s v="Fresh or Not Specified"/>
    <s v="Carbonated Beverages, PET 0.5 L Packaging, w retail refrigeration"/>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s v=""/>
    <s v=""/>
    <n v="3.8387715930902108E-2"/>
    <n v="7.4856046065259113E-2"/>
    <m/>
    <m/>
    <m/>
    <m/>
    <m/>
    <m/>
    <m/>
    <m/>
    <m/>
    <m/>
    <n v="7.0057581573896348"/>
    <m/>
    <m/>
    <n v="3.8387715930902108E-2"/>
    <m/>
    <n v="3.6468330134357005E-2"/>
    <n v="0.16698656429942416"/>
    <n v="5.7581573896353169E-3"/>
    <n v="9.1170825335892505E-2"/>
    <m/>
    <n v="3.358925143953935E-2"/>
    <m/>
    <n v="3.8387715930902108E-2"/>
    <n v="0.37236084452975043"/>
    <m/>
    <s v="CML 2001"/>
  </r>
  <r>
    <x v="13"/>
    <x v="243"/>
    <m/>
    <m/>
    <m/>
    <m/>
    <m/>
    <m/>
    <m/>
    <m/>
    <m/>
    <m/>
    <m/>
    <m/>
    <m/>
    <m/>
    <m/>
    <m/>
    <m/>
    <m/>
    <m/>
    <m/>
    <m/>
    <m/>
    <m/>
    <m/>
    <m/>
    <m/>
    <m/>
    <m/>
    <m/>
    <m/>
    <m/>
    <m/>
    <m/>
    <m/>
    <m/>
    <m/>
    <m/>
    <m/>
    <m/>
    <m/>
    <m/>
    <m/>
    <m/>
    <m/>
    <m/>
    <m/>
    <m/>
    <m/>
    <m/>
    <m/>
    <m/>
    <m/>
    <m/>
    <m/>
    <m/>
    <m/>
    <m/>
  </r>
  <r>
    <x v="13"/>
    <x v="243"/>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1646">
  <r>
    <x v="0"/>
    <x v="0"/>
    <s v="Fresh or Not Specified"/>
    <s v="Liquid Milk"/>
    <s v="No"/>
    <s v="USA"/>
    <n v="2013"/>
    <s v="Greg Thoma a; Jennie Popp b; Darin Nutter c; David Shonnard d; Richard Ulrich a; Marty Matlock e; Dae Soo Kim a; Zara Neiderman e; Nathan Kemper b; Cashion East a; Felix Adomd d"/>
    <s v="a Ralph E. Martin Department of Chemical Engineering, University of Arkansas, 3202 Bell Engineering Center,Fayetteville, AR 72701-1201, United States b Department of Agricultural Economics and Agribusiness, University of Arkansas, 217 Agriculture Building, Fayetteville, AR 72701, United States c Department of Mechanical Engineering, University of Arkansas, 204 Mechanical Engineering Building, Fayetteville, AR 72701, United States d Department of Chemical Engineering and Sustainable Futures Institute, Michigan Technological University, 1400 Townsend Drive, Houghton, MI 49931-1295, United States e Department of Biological and Agricultural Engineering, University of Arkansas, 203 Engineering Hall, Fayetteville, AR 72701, United States"/>
    <s v="Peer Reviewed Journal"/>
    <s v="Thoma, G., Popp, J., Nutter, D., Shonnard, D., Ulrich, R., Matlock, M., Kim, D. S., Neiderman, Z., Kemper, N., East, C. and Adom, F., Greenhouse gas emissions from milk production and consumption in the United States: A cradle-to-grave life cycle assessment circa 2008. International Dairy Journal 2013, 31 (1), S3-S14."/>
    <s v="Yes"/>
    <s v="No"/>
    <s v="Yes"/>
    <s v="Yes"/>
    <s v="Yes"/>
    <s v="Yes"/>
    <s v="Yes"/>
    <s v="Yes"/>
    <s v="Yes"/>
    <s v="No"/>
    <s v="No"/>
    <s v="No"/>
    <m/>
    <s v="Cradle-to-farm gate; farm to processor transportation; processing, packaging and distribution; retail channels; consumer transportation and storage; post consumer waste management; supply chain loss/waste; "/>
    <s v="Yes"/>
    <s v="Yes"/>
    <s v="1 kg of milk consumed"/>
    <s v="No"/>
    <s v=""/>
    <s v=""/>
    <n v="1.4759999999999998"/>
    <n v="1.6225999999999998"/>
    <m/>
    <m/>
    <m/>
    <m/>
    <m/>
    <m/>
    <m/>
    <m/>
    <m/>
    <m/>
    <m/>
    <m/>
    <m/>
    <n v="1.4759999999999998"/>
    <n v="6.9599999999999995E-2"/>
    <n v="7.6999999999999999E-2"/>
    <n v="5.3999999999999999E-2"/>
    <n v="7.1999999999999995E-2"/>
    <n v="0.12299999999999998"/>
    <n v="9.6100000000000005E-2"/>
    <n v="6.399999999999989E-3"/>
    <m/>
    <n v="1.4759999999999998"/>
    <n v="2.0499999999999998"/>
  </r>
  <r>
    <x v="1"/>
    <x v="1"/>
    <s v="Fresh or Not Specified"/>
    <s v="lowland farms"/>
    <s v="Yes"/>
    <s v="England &amp; Wales"/>
    <n v="2014"/>
    <s v="A.K. Jones, D.L. Jones, P. Cross"/>
    <s v="Bangor University, UK"/>
    <s v="Peer Reviewed Journal"/>
    <s v="Jones, A. K., Jones, D. L. and Cross, P., The carbon footprint of lamb: Sources of variation and opportunities for mitigation. Agricultural Systems 2014, 123, 97-107."/>
    <s v="Yes"/>
    <s v="No"/>
    <s v="No"/>
    <s v="No"/>
    <s v="No"/>
    <s v="No"/>
    <s v="No"/>
    <s v="No"/>
    <s v="No"/>
    <s v="No"/>
    <s v="No"/>
    <s v="No"/>
    <m/>
    <s v="economic allocation among sheep farm outputs"/>
    <s v="No"/>
    <s v="No"/>
    <s v="1 kg LW"/>
    <s v="dressing yield=50.8%, 65.8% boneless meat"/>
    <s v=""/>
    <s v=""/>
    <n v="32.459373429385153"/>
    <s v=""/>
    <m/>
    <m/>
    <m/>
    <m/>
    <m/>
    <m/>
    <m/>
    <m/>
    <m/>
    <m/>
    <m/>
    <m/>
    <m/>
    <m/>
    <m/>
    <m/>
    <m/>
    <m/>
    <m/>
    <m/>
    <m/>
    <m/>
    <n v="32.459373429385153"/>
    <m/>
  </r>
  <r>
    <x v="1"/>
    <x v="1"/>
    <s v="Fresh or Not Specified"/>
    <s v="highland farms"/>
    <s v="Yes"/>
    <s v="England &amp; Wales"/>
    <n v="2014"/>
    <s v="A.K. Jones, D.L. Jones, P. Cross"/>
    <s v="Bangor University, UK"/>
    <s v="Peer Reviewed Journal"/>
    <s v="Jones, A. K., Jones, D. L. and Cross, P., The carbon footprint of lamb: Sources of variation and opportunities for mitigation. Agricultural Systems 2014, 123, 97-107."/>
    <s v="Yes"/>
    <s v="No"/>
    <s v="No"/>
    <s v="No"/>
    <s v="No"/>
    <s v="No"/>
    <s v="No"/>
    <s v="No"/>
    <s v="No"/>
    <s v="No"/>
    <s v="No"/>
    <s v="No"/>
    <m/>
    <s v="economic allocation among sheep farm outputs"/>
    <s v="No"/>
    <s v="No"/>
    <s v="1 kg LW"/>
    <s v="dressing yield=50.8%, 65.8% boneless meat"/>
    <s v=""/>
    <s v=""/>
    <n v="38.442668070746471"/>
    <s v=""/>
    <m/>
    <m/>
    <m/>
    <m/>
    <m/>
    <m/>
    <m/>
    <m/>
    <m/>
    <m/>
    <m/>
    <m/>
    <m/>
    <m/>
    <m/>
    <m/>
    <m/>
    <m/>
    <m/>
    <m/>
    <m/>
    <m/>
    <n v="38.442668070746471"/>
    <m/>
  </r>
  <r>
    <x v="1"/>
    <x v="1"/>
    <s v="Fresh or Not Specified"/>
    <s v="hill farms"/>
    <s v="Yes"/>
    <s v="England &amp; Wales"/>
    <n v="2014"/>
    <s v="A.K. Jones; D.L. Jones; P. Cross"/>
    <s v="Bangor University, UK"/>
    <s v="Peer Reviewed Journal"/>
    <s v="Jones, A. K., Jones, D. L. and Cross, P., The carbon footprint of lamb: Sources of variation and opportunities for mitigation. Agricultural Systems 2014, 123, 97-107."/>
    <s v="Yes"/>
    <s v="No"/>
    <s v="No"/>
    <s v="No"/>
    <s v="No"/>
    <s v="No"/>
    <s v="No"/>
    <s v="No"/>
    <s v="No"/>
    <s v="No"/>
    <s v="No"/>
    <s v="No"/>
    <m/>
    <s v="economic allocation among sheep farm outputs"/>
    <s v="No"/>
    <s v="No"/>
    <s v="1 kg LW"/>
    <s v="dressing yield=50.8%, 65.8% boneless meat"/>
    <s v=""/>
    <s v=""/>
    <n v="53.430821147356575"/>
    <s v=""/>
    <m/>
    <m/>
    <m/>
    <m/>
    <m/>
    <m/>
    <m/>
    <m/>
    <m/>
    <m/>
    <m/>
    <m/>
    <m/>
    <m/>
    <m/>
    <m/>
    <m/>
    <m/>
    <m/>
    <m/>
    <m/>
    <m/>
    <n v="53.430821147356575"/>
    <m/>
  </r>
  <r>
    <x v="2"/>
    <x v="2"/>
    <s v="Fresh or Not Specified"/>
    <s v="Barn"/>
    <s v="Yes"/>
    <s v="Netherlands"/>
    <n v="2011"/>
    <s v="S.E.M. Dekker (a); I.J.M. de Boer (b); I. Vermeij (c ); A.J.A. Aarnink (c ); P.W.G. Groot Koerkamp (a,c)"/>
    <s v="(a) Farm Technology Group, Wageningen University, The Netherlands; (b) Animal Production Systems Group, Wageningen University, The Netherlands; (c ) Wageningen UR Livestock Research, The Netherlands"/>
    <s v="Peer Reviewed Journal"/>
    <s v="Dekker, S. E. M., De Boer, I. J. M., Vermeij, I., Aarnink, A. J. A. and Koerkamp, P. W. G. G., Ecological and economic evaluation of Dutch egg production systems. Livestock Science 2011, 139 (1-2), 109-121."/>
    <s v="Yes"/>
    <s v="Yes"/>
    <s v="No"/>
    <s v="No"/>
    <s v="No"/>
    <s v="No"/>
    <s v="No"/>
    <s v="No"/>
    <s v="No"/>
    <s v="No"/>
    <s v="No"/>
    <s v="No"/>
    <m/>
    <m/>
    <s v="No"/>
    <s v="Yes"/>
    <s v="1 kg eggs at farm gate"/>
    <m/>
    <n v="23.2"/>
    <s v=""/>
    <n v="2.6"/>
    <s v=""/>
    <m/>
    <m/>
    <m/>
    <m/>
    <m/>
    <m/>
    <m/>
    <m/>
    <m/>
    <n v="23.2"/>
    <m/>
    <m/>
    <m/>
    <m/>
    <m/>
    <m/>
    <m/>
    <m/>
    <m/>
    <m/>
    <m/>
    <m/>
    <n v="2.6"/>
    <m/>
  </r>
  <r>
    <x v="2"/>
    <x v="2"/>
    <s v="Fresh or Not Specified"/>
    <s v="Free range"/>
    <s v="Yes"/>
    <s v="Netherlands"/>
    <n v="2011"/>
    <s v="S.E.M. Dekker (a); I.J.M. de Boer (b); I. Vermeij (c ); A.J.A. Aarnink (c ); P.W.G. Groot Koerkamp (a,c)"/>
    <s v="(a) Farm Technology Group, Wageningen University, The Netherlands; (b) Animal Production Systems Group, Wageningen University, The Netherlands; (c ) Wageningen UR Livestock Research, The Netherlands"/>
    <s v="Peer Reviewed Journal"/>
    <s v="Dekker, S. E. M., De Boer, I. J. M., Vermeij, I., Aarnink, A. J. A. and Koerkamp, P. W. G. G., Ecological and economic evaluation of Dutch egg production systems. Livestock Science 2011, 139 (1-2), 109-121."/>
    <s v="Yes"/>
    <s v="Yes"/>
    <s v="No"/>
    <s v="No"/>
    <s v="No"/>
    <s v="No"/>
    <s v="No"/>
    <s v="No"/>
    <s v="No"/>
    <s v="No"/>
    <s v="No"/>
    <s v="No"/>
    <m/>
    <m/>
    <s v="No"/>
    <s v="Yes"/>
    <s v="1 kg eggs at farm gate"/>
    <m/>
    <n v="23.8"/>
    <s v=""/>
    <n v="2.7"/>
    <s v=""/>
    <m/>
    <m/>
    <m/>
    <m/>
    <m/>
    <m/>
    <m/>
    <m/>
    <m/>
    <n v="23.8"/>
    <m/>
    <m/>
    <m/>
    <m/>
    <m/>
    <m/>
    <m/>
    <m/>
    <m/>
    <m/>
    <m/>
    <m/>
    <n v="2.7"/>
    <m/>
  </r>
  <r>
    <x v="2"/>
    <x v="2"/>
    <s v="Fresh or Not Specified"/>
    <s v="Organic"/>
    <s v="Yes"/>
    <s v="Netherlands"/>
    <n v="2011"/>
    <s v="S.E.M. Dekker (a); I.J.M. de Boer (b); I. Vermeij (c ); A.J.A. Aarnink (c ); P.W.G. Groot Koerkamp (a,c)"/>
    <s v="(a) Farm Technology Group, Wageningen University, The Netherlands; (b) Animal Production Systems Group, Wageningen University, The Netherlands; (c ) Wageningen UR Livestock Research, The Netherlands"/>
    <s v="Peer Reviewed Journal"/>
    <s v="Dekker, S. E. M., De Boer, I. J. M., Vermeij, I., Aarnink, A. J. A. and Koerkamp, P. W. G. G., Ecological and economic evaluation of Dutch egg production systems. Livestock Science 2011, 139 (1-2), 109-121."/>
    <s v="Yes"/>
    <s v="Yes"/>
    <s v="No"/>
    <s v="No"/>
    <s v="No"/>
    <s v="No"/>
    <s v="No"/>
    <s v="No"/>
    <s v="No"/>
    <s v="No"/>
    <s v="No"/>
    <s v="No"/>
    <m/>
    <m/>
    <s v="No"/>
    <s v="Yes"/>
    <s v="1 kg eggs at farm gate"/>
    <m/>
    <n v="20.8"/>
    <s v=""/>
    <n v="2.5"/>
    <s v=""/>
    <m/>
    <m/>
    <m/>
    <m/>
    <m/>
    <m/>
    <m/>
    <m/>
    <m/>
    <n v="20.8"/>
    <m/>
    <m/>
    <m/>
    <m/>
    <m/>
    <m/>
    <m/>
    <m/>
    <m/>
    <m/>
    <m/>
    <m/>
    <n v="2.5"/>
    <m/>
  </r>
  <r>
    <x v="2"/>
    <x v="2"/>
    <s v="Fresh or Not Specified"/>
    <s v="Conventional enriched cage"/>
    <s v="Yes"/>
    <s v="Netherlands"/>
    <n v="2011"/>
    <s v="S.E.M. Dekker (a); I.J.M. de Boer (b); I. Vermeij (c ); A.J.A. Aarnink (c ); P.W.G. Groot Koerkamp (a,c)"/>
    <s v="(a) Farm Technology Group, Wageningen University, The Netherlands; (b) Animal Production Systems Group, Wageningen University, The Netherlands; (c ) Wageningen UR Livestock Research, The Netherlands"/>
    <s v="Peer Reviewed Journal"/>
    <s v="Dekker, S. E. M., De Boer, I. J. M., Vermeij, I., Aarnink, A. J. A. and Koerkamp, P. W. G. G., Ecological and economic evaluation of Dutch egg production systems. Livestock Science 2011, 139 (1-2), 109-121."/>
    <s v="Yes"/>
    <s v="Yes"/>
    <s v="No"/>
    <s v="No"/>
    <s v="No"/>
    <s v="No"/>
    <s v="No"/>
    <s v="No"/>
    <s v="No"/>
    <s v="No"/>
    <s v="No"/>
    <s v="No"/>
    <m/>
    <m/>
    <s v="No"/>
    <s v="Yes"/>
    <s v="1 kg eggs at farm gate"/>
    <m/>
    <n v="20.7"/>
    <s v=""/>
    <n v="2.2349999999999999"/>
    <s v=""/>
    <m/>
    <m/>
    <m/>
    <m/>
    <m/>
    <m/>
    <m/>
    <m/>
    <m/>
    <n v="20.7"/>
    <m/>
    <m/>
    <m/>
    <m/>
    <m/>
    <m/>
    <m/>
    <m/>
    <m/>
    <m/>
    <m/>
    <m/>
    <n v="2.2349999999999999"/>
    <m/>
  </r>
  <r>
    <x v="1"/>
    <x v="3"/>
    <s v="Fresh or Not Specified"/>
    <s v="grass finished; delivered to USA"/>
    <s v="Yes"/>
    <s v="Australia"/>
    <n v="2015"/>
    <s v="Stephen Wiedemann (a); Eugene McGahan (a); Caoilinn Murphy (a); Ming-Jia Yan (a); Beverley Henry (b); Greg Thoma (c); Stewart Ledgard (d)"/>
    <s v="(a) FSA Consulting, Australia; (b) Institute for Future Environments, Queensland University of Technology, Brisbane,Australia; (c) Ralph E. Martin Department of Chemical Engineering, University of Arkansas, Fayetteville, AR; (d) AgResearch Ruakura Research Centre, Hamilton , New Zealand"/>
    <s v="Peer Reviewed Journal"/>
    <s v="Wiedemann, S., Mcgahan, E., Murphy, C., Yan, M.-J., Henry, B., Thoma, G. and Ledgard, S., Environmental impacts and resource use of Australian beef and lamb exported to the USA determined using life cycle assessment. Journal of Cleaner Production 2015, 94, 67-75."/>
    <s v="Yes"/>
    <s v="Yes"/>
    <s v="Yes"/>
    <s v="Yes"/>
    <m/>
    <s v="Yes"/>
    <s v="No"/>
    <s v="No"/>
    <s v="No"/>
    <s v="No"/>
    <s v="No"/>
    <s v="No"/>
    <m/>
    <s v="GHG assoc with LU/dLUC included bur reported separately"/>
    <s v="Yes"/>
    <s v="Yes"/>
    <s v="kg boneless beef, retail-ready in US"/>
    <m/>
    <n v="18.239999999999998"/>
    <n v="25.9"/>
    <n v="25.49"/>
    <n v="26.47"/>
    <n v="18.239999999999998"/>
    <m/>
    <n v="7.66"/>
    <m/>
    <n v="6.43"/>
    <n v="0.03"/>
    <m/>
    <m/>
    <m/>
    <n v="18.239999999999998"/>
    <n v="32.36"/>
    <m/>
    <m/>
    <n v="25.49"/>
    <m/>
    <n v="0.98"/>
    <m/>
    <n v="0.75600000000000001"/>
    <n v="2E-3"/>
    <m/>
    <m/>
    <m/>
    <n v="25.49"/>
    <n v="27.22"/>
  </r>
  <r>
    <x v="1"/>
    <x v="1"/>
    <s v="Fresh or Not Specified"/>
    <s v="delivered to USA"/>
    <s v="No"/>
    <s v="Australia"/>
    <n v="2015"/>
    <s v="Stephen Wiedemann (a); Eugene McGahan (a); Caoilinn Murphy (a); Ming-Jia Yan (a); Beverley Henry (b); Greg Thoma (c); Stewart Ledgard (d)"/>
    <s v="(a) FSA Consulting, Australia; (b) Institute for Future Environments, Queensland University of Technology, Brisbane,Australia; (c) Ralph E. Martin Department of Chemical Engineering, University of Arkansas, Fayetteville, AR; (d) AgResearch Ruakura Research Centre, Hamilton , New Zealand"/>
    <s v="Peer Reviewed Journal"/>
    <s v="Wiedemann, S., Mcgahan, E., Murphy, C., Yan, M.-J., Henry, B., Thoma, G. and Ledgard, S., Environmental impacts and resource use of Australian beef and lamb exported to the USA determined using life cycle assessment. Journal of Cleaner Production 2015, 94, 67-75."/>
    <s v="Yes"/>
    <s v="Yes"/>
    <s v="Yes"/>
    <s v="Yes"/>
    <m/>
    <s v="Yes"/>
    <s v="No"/>
    <s v="No"/>
    <s v="No"/>
    <s v="No"/>
    <s v="No"/>
    <s v="No"/>
    <m/>
    <s v="GHG assoc with LU/dLUC included bur reported separately"/>
    <s v="Yes"/>
    <s v="Yes"/>
    <s v="kg bone-in lamb, retail-ready in US"/>
    <s v="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19.468085106382979"/>
    <n v="32.917933034916103"/>
    <n v="21.88449848024316"/>
    <n v="23.268996954437689"/>
    <n v="19.468085010599999"/>
    <m/>
    <n v="13.449848024316108"/>
    <m/>
    <n v="9.7720364741641337"/>
    <n v="0.03"/>
    <m/>
    <m/>
    <m/>
    <n v="19.468085106382979"/>
    <n v="42.735562310030396"/>
    <m/>
    <m/>
    <n v="21.876899689999998"/>
    <m/>
    <n v="1.3920972644376899"/>
    <m/>
    <n v="1.1489361702127658"/>
    <n v="2E-3"/>
    <m/>
    <m/>
    <m/>
    <n v="21.88449848024316"/>
    <n v="24.422492401215806"/>
  </r>
  <r>
    <x v="1"/>
    <x v="3"/>
    <s v="Fresh or Not Specified"/>
    <s v="mid-fed (115 days on grain); delivered to USA"/>
    <s v="Yes"/>
    <s v="Australia"/>
    <n v="2015"/>
    <s v="Stephen Wiedemann (a); Eugene McGahan (a); Caoilinn Murphy (a); Ming-Jia Yan (a); Beverley Henry (b); Greg Thoma (c); Stewart Ledgard (d)"/>
    <s v="(a) FSA Consulting, Australia; (b) Institute for Future Environments, Queensland University of Technology, Brisbane,Australia; (c) Ralph E. Martin Department of Chemical Engineering, University of Arkansas, Fayetteville, AR; (d) AgResearch Ruakura Research Centre, Hamilton , New Zealand"/>
    <s v="Peer Reviewed Journal"/>
    <s v="Wiedemann, S., Mcgahan, E., Murphy, C., Yan, M.-J., Henry, B., Thoma, G. and Ledgard, S., Environmental impacts and resource use of Australian beef and lamb exported to the USA determined using life cycle assessment. Journal of Cleaner Production 2015, 94, 67-75."/>
    <s v="Yes"/>
    <s v="Yes"/>
    <s v="Yes"/>
    <s v="Yes"/>
    <m/>
    <s v="Yes"/>
    <s v="No"/>
    <s v="No"/>
    <s v="No"/>
    <s v="No"/>
    <s v="No"/>
    <s v="No"/>
    <m/>
    <s v="GHG assoc with LU/dLUC included bur reported separately"/>
    <s v="Yes"/>
    <s v="Yes"/>
    <s v="kg boneless beef, retail-ready in US"/>
    <m/>
    <n v="24"/>
    <n v="31.66"/>
    <n v="21.6"/>
    <n v="22.6"/>
    <n v="24"/>
    <m/>
    <n v="7.66"/>
    <m/>
    <n v="6.43"/>
    <n v="0.03"/>
    <m/>
    <m/>
    <m/>
    <n v="24"/>
    <n v="38.119999999999997"/>
    <m/>
    <m/>
    <n v="21.62"/>
    <m/>
    <n v="0.98"/>
    <m/>
    <n v="0.75600000000000001"/>
    <n v="2E-3"/>
    <m/>
    <m/>
    <m/>
    <n v="21.6"/>
    <n v="23.36"/>
  </r>
  <r>
    <x v="1"/>
    <x v="3"/>
    <s v="Fresh or Not Specified"/>
    <s v="long-fed (330 days on grain); delivered to USA"/>
    <s v="Yes"/>
    <s v="Australia"/>
    <n v="2015"/>
    <s v="Stephen Wiedemann (a); Eugene McGahan (a); Caoilinn Murphy (a); Ming-Jia Yan (a); Beverley Henry (b); Greg Thoma (c); Stewart Ledgard (d)"/>
    <s v="(a) FSA Consulting, Australia; (b) Institute for Future Environments, Queensland University of Technology, Brisbane,Australia; (c) Ralph E. Martin Department of Chemical Engineering, University of Arkansas, Fayetteville, AR; (d) AgResearch Ruakura Research Centre, Hamilton , New Zealand"/>
    <s v="Peer Reviewed Journal"/>
    <s v="Wiedemann, S., Mcgahan, E., Murphy, C., Yan, M.-J., Henry, B., Thoma, G. and Ledgard, S., Environmental impacts and resource use of Australian beef and lamb exported to the USA determined using life cycle assessment. Journal of Cleaner Production 2015, 94, 67-75."/>
    <s v="Yes"/>
    <s v="Yes"/>
    <s v="Yes"/>
    <s v="Yes"/>
    <m/>
    <s v="Yes"/>
    <s v="No"/>
    <s v="No"/>
    <s v="No"/>
    <s v="No"/>
    <s v="No"/>
    <s v="No"/>
    <m/>
    <s v="GHG assoc with LU/dLUC included bur reported separately"/>
    <s v="Yes"/>
    <s v="Yes"/>
    <s v="kg boneless beef, retail-ready in US"/>
    <m/>
    <n v="32.54"/>
    <n v="40.200000000000003"/>
    <n v="23.8"/>
    <n v="24.803000000000001"/>
    <n v="32.54"/>
    <m/>
    <n v="7.66"/>
    <m/>
    <n v="6.43"/>
    <n v="0.03"/>
    <m/>
    <m/>
    <m/>
    <n v="32.54"/>
    <n v="46.66"/>
    <m/>
    <m/>
    <n v="23.823"/>
    <m/>
    <n v="0.98"/>
    <m/>
    <n v="0.75600000000000001"/>
    <n v="2E-3"/>
    <m/>
    <m/>
    <m/>
    <n v="23.8"/>
    <n v="25.56"/>
  </r>
  <r>
    <x v="0"/>
    <x v="0"/>
    <s v="Fresh or Not Specified"/>
    <s v="Represents national farm demographics for liquid milk production"/>
    <s v="No"/>
    <s v="USA"/>
    <n v="2012"/>
    <s v="(a);Greg Thoma (a); Jennie Popp (b); David Shonnard (d); Darin Nutter (c); Marty Matlock (e); Richard Ulrich (a); Wayne Kellogg (f); Dae Soo Kim (a); Zara Neiderman (e); Nathan Kemper (b); Felix Adom (d); Cashion East (a)"/>
    <s v="(a) Ralph E. Martin Department of Chemical Engineering, 1 University of Arkansas, Fayetteville, AR 72701, USA; (b) Department of Agricultural Economics and Agribusiness, 1 University of Arkansas, Fayetteville, AR 72701, USA; (c) Department of Mechanical Engineering, 1 University of Arkansas, Fayetteville, AR 72701, USA; (d) Department of Chemical Engineering and Sustainable Futures Institute, Michigan Technological University, 1400 Townsend Drive, Houghton, MI 49931, USA; (e) Department of Biological and Agricultural Engineering, 1 University of Arkansas, Fayetteville, AR 72701, USA; (f) Department of Animal Sciences, 1 University of Arkansas, Fayetteville, AR 72701, USA"/>
    <s v="Peer Reviewed Journal"/>
    <s v="Thoma, G., Popp, J., Shonnard, D., Nutter, D., Matlock, M., Ulrich, R., Kellogg, W., Kim, D. S., Neiderman, Z., Kemper, N., Adom, F. and East, C., Regional analysis of greenhouse gas emissions from USA dairy farms: A cradle to farm-gate assessment of the American dairy industry circa 2008. International Dairy Journal 2013, 31 (1), S29-S40."/>
    <s v="Yes"/>
    <s v="No"/>
    <s v="No"/>
    <s v="No"/>
    <s v="No"/>
    <s v="No"/>
    <s v="No"/>
    <s v="No"/>
    <s v="No"/>
    <s v="No"/>
    <s v="No"/>
    <s v="No"/>
    <m/>
    <s v="GHG during production including manure management and enteric methane emissions"/>
    <s v="No"/>
    <s v="No"/>
    <s v="1 kg of fat and protein corrected milk (FPCM; 4% fat, 3.3% protein)"/>
    <m/>
    <s v=""/>
    <s v=""/>
    <n v="1.23"/>
    <s v=""/>
    <m/>
    <m/>
    <m/>
    <m/>
    <m/>
    <m/>
    <m/>
    <m/>
    <m/>
    <m/>
    <m/>
    <m/>
    <m/>
    <m/>
    <m/>
    <m/>
    <m/>
    <m/>
    <m/>
    <m/>
    <m/>
    <m/>
    <n v="1.23"/>
    <m/>
  </r>
  <r>
    <x v="0"/>
    <x v="0"/>
    <s v="Fresh or Not Specified"/>
    <s v="Conventional milk in Galicia (Spain)"/>
    <s v="No"/>
    <s v="Spain"/>
    <n v="2003"/>
    <s v="A. Hospido; M.T. Moreira; G. Feijoo"/>
    <s v="Department of Chemical Engineering, Institute of Technology, University of Santiago de Compostela, 15782"/>
    <s v="Peer Reviewed Journal"/>
    <s v="Hospido, A., Moreira, M. T. and Feijoo, G., Simplified life cycle assessment of galician milk production. International Dairy Journal 2003, 13 (10), 783-796."/>
    <s v="Yes"/>
    <s v="No"/>
    <s v="Yes"/>
    <s v="Yes"/>
    <s v="Yes"/>
    <s v="No"/>
    <s v="No"/>
    <s v="No"/>
    <s v="No"/>
    <s v="No"/>
    <s v="Yes"/>
    <s v="No"/>
    <m/>
    <m/>
    <s v="No"/>
    <s v="No"/>
    <s v="1 L of packaged liquid milk ready to be delivered from dairy to retail"/>
    <s v="1L = .001cubic meters; milk density = 1035 kg/cubic meter"/>
    <s v=""/>
    <s v=""/>
    <n v="0.81159420289855078"/>
    <s v=""/>
    <m/>
    <m/>
    <m/>
    <m/>
    <m/>
    <m/>
    <m/>
    <m/>
    <m/>
    <m/>
    <n v="6"/>
    <s v="BUWAL250 (1996)"/>
    <m/>
    <m/>
    <m/>
    <m/>
    <m/>
    <m/>
    <m/>
    <m/>
    <m/>
    <m/>
    <n v="0.81159420289855078"/>
    <n v="1.0144927536231885"/>
  </r>
  <r>
    <x v="2"/>
    <x v="2"/>
    <s v="Fresh or Not Specified"/>
    <s v="Organic"/>
    <s v="No"/>
    <s v="Denmark"/>
    <n v="2013"/>
    <s v="Nicolaj Ingemann Nielsen a; Malene Jørgensen b; Inger Knude Rasmussen b"/>
    <s v="AgroTech A/S, Institute for Agri Technology and Food Innovation, Agro Food Park 15, 8200 Aarhus N, Denmark; Knowledge Centre for Agriculture, Poultry, Agro Food Park 15, 8200 Aarhus N, Denmark."/>
    <s v="NGO Report"/>
    <s v="Nielsen, N., Jørgensen, M. and Rasmussen, I., Greenhouse Gas Emissions from Danish Organic Egg Production estimated via LCA Methodology. 2013, 1-27."/>
    <s v="Yes"/>
    <s v="No"/>
    <s v="No"/>
    <s v="No"/>
    <s v="No"/>
    <s v="No"/>
    <s v="No"/>
    <s v="No"/>
    <s v="No"/>
    <s v="No"/>
    <s v="No"/>
    <s v="No"/>
    <m/>
    <s v="Combination of aloc and conseq approach. manure produced used to offset manure earlier in LC"/>
    <s v="No"/>
    <s v="No"/>
    <s v="1 kg eggs at farm gate"/>
    <m/>
    <s v=""/>
    <s v=""/>
    <n v="1.8"/>
    <s v=""/>
    <m/>
    <m/>
    <m/>
    <m/>
    <m/>
    <m/>
    <m/>
    <m/>
    <m/>
    <m/>
    <m/>
    <m/>
    <m/>
    <m/>
    <m/>
    <m/>
    <m/>
    <m/>
    <m/>
    <m/>
    <m/>
    <m/>
    <n v="1.8"/>
    <m/>
  </r>
  <r>
    <x v="0"/>
    <x v="0"/>
    <s v="Fresh or Not Specified"/>
    <s v="Liquid milk generated at alpine farms in Italy"/>
    <s v="No"/>
    <s v="Italy"/>
    <n v="2013"/>
    <s v="Chiara A. Penati; Alberto Tamburini, Luciana Bava; Maddalena Zucali; Anna Sandrucci"/>
    <s v="Dipartimento di Scienze Agrarie e Ambientali, Università di Milano, Italy"/>
    <s v="Peer Reviewed Journal"/>
    <s v="Penati, C. A., Tamburini, A., Bava, L., Zucali, M. and Milano, U., Environmental impact of cow milk production in the central Italian Alps using Life Cycle Assessment. Italian Journal of Animal Science 2013, 12 (96), 584-592."/>
    <s v="Yes"/>
    <s v="Yes"/>
    <s v="Yes"/>
    <s v="No"/>
    <s v="No"/>
    <s v="No"/>
    <s v="No"/>
    <s v="No"/>
    <s v="No"/>
    <s v="No"/>
    <s v="No"/>
    <s v="No"/>
    <m/>
    <s v="Cradle-to-farm gate; processes and transport of feed to farm"/>
    <s v="No"/>
    <s v="No"/>
    <s v="1 kg of fat protein corrected milk (FPCM, 4.0% of fat content and 3.2% of protein content)"/>
    <s v="N/A"/>
    <s v=""/>
    <s v=""/>
    <n v="1.1399999999999999"/>
    <s v=""/>
    <m/>
    <m/>
    <m/>
    <m/>
    <m/>
    <m/>
    <m/>
    <m/>
    <m/>
    <m/>
    <m/>
    <m/>
    <m/>
    <m/>
    <m/>
    <m/>
    <m/>
    <m/>
    <m/>
    <m/>
    <m/>
    <m/>
    <n v="1.1399999999999999"/>
    <m/>
  </r>
  <r>
    <x v="0"/>
    <x v="4"/>
    <s v="Fresh or Not Specified"/>
    <s v="USA Cheddar Cheese"/>
    <s v="No"/>
    <s v="USA"/>
    <n v="2013"/>
    <s v="Daesoo Kim; Greg Thoma; Darin Nutter; Franco Milani; Rick Ulrich; Greg Norris"/>
    <m/>
    <s v="Peer Reviewed Journal"/>
    <s v="Kim, D., Thoma, G., Nutter, D., Milani, F., Ulrich, R. and Norris, G., Life cycle assessment of cheese and whey production in the USA. The International Journal of Life Cycle Assessment 2013, 18 (5), 1019-1035."/>
    <s v="Yes"/>
    <s v="No"/>
    <s v="Yes"/>
    <s v="Yes"/>
    <s v="Yes"/>
    <s v="Yes"/>
    <s v="Yes"/>
    <s v="Yes"/>
    <s v="Yes"/>
    <s v="No"/>
    <s v="No"/>
    <s v="No"/>
    <m/>
    <s v="Cradle-to-grave: particular emphasis on unit operations under the control of typical cheese-processing plants"/>
    <s v="Yes"/>
    <s v="Yes"/>
    <s v="One ton (1,000 kg) of cheddar cheese consumed, dry weight basis"/>
    <s v="Divide study numbers by 1000, adjusted to 63.2% solids for as sold cheese"/>
    <n v="23.567"/>
    <n v="33.106000000000002"/>
    <n v="6.28"/>
    <n v="7.0293999999999999"/>
    <n v="23.57"/>
    <n v="0.878"/>
    <n v="8.6579999999999995"/>
    <n v="1.226"/>
    <n v="3.0529999999999999"/>
    <n v="4.7270000000000003"/>
    <n v="6.38"/>
    <m/>
    <m/>
    <n v="23.567"/>
    <n v="48.47"/>
    <m/>
    <s v="Less than 1.5% difference"/>
    <n v="6.28"/>
    <n v="6.1400000000000003E-2"/>
    <n v="0.68799999999999994"/>
    <n v="7.8E-2"/>
    <n v="0.21360000000000001"/>
    <n v="0.63800000000000001"/>
    <n v="0.5302"/>
    <m/>
    <m/>
    <n v="6.28"/>
    <n v="8.4700000000000006"/>
  </r>
  <r>
    <x v="0"/>
    <x v="4"/>
    <s v="Fresh or Not Specified"/>
    <s v="USA Mozzarella Cheese"/>
    <s v="No"/>
    <s v="USA"/>
    <n v="2013"/>
    <s v="Daesoo Kim; Greg Thoma; Darin Nutter; Franco Milani; Rick Ulrich; Greg Norris"/>
    <m/>
    <s v="Peer Reviewed Journal"/>
    <s v="Kim, D., Thoma, G., Nutter, D., Milani, F., Ulrich, R. and Norris, G., Life cycle assessment of cheese and whey production in the USA. The International Journal of Life Cycle Assessment 2013, 18 (5), 1019-1035."/>
    <s v="Yes"/>
    <s v="No"/>
    <s v="Yes"/>
    <s v="Yes"/>
    <s v="Yes"/>
    <s v="Yes"/>
    <s v="Yes"/>
    <s v="Yes"/>
    <s v="Yes"/>
    <s v="No"/>
    <s v="No"/>
    <s v="No"/>
    <m/>
    <s v="Cradle-to-grave: particular emphasis on unit operations under the control of typical cheese-processing plants"/>
    <s v="Yes"/>
    <s v="Yes"/>
    <s v="One ton (1,000 kg) of mozzarella cheese consumed, dry weight basis"/>
    <s v="Divide study numbers by 1000, adjusted to 51.4% solids for as sold cheese"/>
    <n v="17.55"/>
    <n v="29.19"/>
    <n v="4.68"/>
    <n v="5.8"/>
    <n v="17.55"/>
    <n v="1.1000000000000001"/>
    <n v="10.54"/>
    <n v="1.56"/>
    <n v="3.48"/>
    <n v="4.72"/>
    <n v="6.37"/>
    <m/>
    <m/>
    <n v="17.55"/>
    <n v="45.39"/>
    <m/>
    <s v="Less than 0.3% difference"/>
    <n v="4.68"/>
    <n v="0.08"/>
    <n v="1.04"/>
    <n v="0.11"/>
    <n v="0.24"/>
    <n v="0.64"/>
    <n v="0.53"/>
    <m/>
    <m/>
    <n v="4.68"/>
    <n v="7.3"/>
  </r>
  <r>
    <x v="2"/>
    <x v="2"/>
    <s v="Fresh or Not Specified"/>
    <s v="aggregate eggs - 38% cage, 6% organic, 54% free range"/>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2009, 1-97."/>
    <s v="Yes"/>
    <s v="No"/>
    <s v="No"/>
    <s v="No"/>
    <s v="No"/>
    <s v="No"/>
    <s v="No"/>
    <s v="No"/>
    <s v="No"/>
    <s v="No"/>
    <s v="No"/>
    <s v="No"/>
    <m/>
    <s v="GHG during production - feed and manure"/>
    <s v="No"/>
    <s v="Yes"/>
    <s v="1 kg egg at farm gate"/>
    <m/>
    <s v=""/>
    <s v=""/>
    <n v="1.42"/>
    <s v=""/>
    <m/>
    <m/>
    <m/>
    <m/>
    <m/>
    <m/>
    <m/>
    <m/>
    <m/>
    <m/>
    <m/>
    <m/>
    <m/>
    <m/>
    <m/>
    <m/>
    <m/>
    <m/>
    <m/>
    <m/>
    <m/>
    <m/>
    <n v="1.42"/>
    <m/>
  </r>
  <r>
    <x v="2"/>
    <x v="2"/>
    <s v="Fresh or Not Specified"/>
    <s v="Free range egg production"/>
    <s v="No"/>
    <s v="UK"/>
    <n v="2014"/>
    <s v="R. C. Taylor (a); H. Omed (b); and G. Edwards-Jones (b)"/>
    <s v="(a) British Trust for Ornithology, The Nunnery, Thetford, Norfolk; (b) School of the Environment, Natural Resources and Geography, Bangor University, Bangor, Wales, UK"/>
    <s v="Peer Reviewed Journal"/>
    <s v="Taylor, R. C., Omed, H. and Edwards-Jones, G., The greenhouse emissions footprint of free-range eggs. Poultry science 2014, 93 (1), 231-7."/>
    <s v="Yes"/>
    <s v="No"/>
    <s v="No"/>
    <s v="No"/>
    <s v="Yes"/>
    <s v="No"/>
    <s v="No"/>
    <s v="No"/>
    <s v="No"/>
    <s v="No"/>
    <s v="No"/>
    <s v="No"/>
    <m/>
    <s v="Including packaging, mixed farming methods"/>
    <s v="No"/>
    <s v="Yes"/>
    <s v="I kg egg"/>
    <m/>
    <s v=""/>
    <s v=""/>
    <n v="1.6"/>
    <s v=""/>
    <m/>
    <m/>
    <m/>
    <m/>
    <m/>
    <m/>
    <m/>
    <m/>
    <m/>
    <m/>
    <m/>
    <m/>
    <m/>
    <m/>
    <m/>
    <m/>
    <m/>
    <m/>
    <m/>
    <m/>
    <m/>
    <m/>
    <n v="1.6"/>
    <m/>
  </r>
  <r>
    <x v="0"/>
    <x v="4"/>
    <s v="Fresh or Not Specified"/>
    <s v="Semi-Cured Gouda Cheese"/>
    <s v="No"/>
    <s v="Netherlands"/>
    <n v="2014"/>
    <s v="Roline Broekema; Gerard Kramer"/>
    <s v="Blonk Consultants"/>
    <s v="Private Consulting Firm"/>
    <s v="Broekema, R. and Kramer, G., LCA of Dutch semi-skimmed milk and semi-mature cheese. Blonk Consultants; 2014, 1-58."/>
    <s v="Yes"/>
    <s v="Yes"/>
    <s v="Yes"/>
    <s v="Yes"/>
    <s v="Yes"/>
    <s v="Yes"/>
    <s v="Yes"/>
    <s v="No"/>
    <s v="No"/>
    <s v="No"/>
    <s v="No"/>
    <s v="No"/>
    <m/>
    <s v="Cradle-to-farm gate; processing, transportation, retail inputs, and incineratino of spoilage/waste"/>
    <s v="Yes"/>
    <s v="No"/>
    <s v="1 kg packaged cheese"/>
    <m/>
    <s v=""/>
    <s v=""/>
    <n v="7.56"/>
    <s v=""/>
    <m/>
    <m/>
    <m/>
    <m/>
    <m/>
    <m/>
    <m/>
    <m/>
    <m/>
    <m/>
    <m/>
    <m/>
    <m/>
    <m/>
    <m/>
    <m/>
    <m/>
    <m/>
    <m/>
    <m/>
    <m/>
    <m/>
    <n v="7.56"/>
    <n v="8.67"/>
  </r>
  <r>
    <x v="0"/>
    <x v="0"/>
    <s v="Fresh or Not Specified"/>
    <s v="Semi-Skim Milk"/>
    <s v="No"/>
    <s v="Netherlands"/>
    <n v="2014"/>
    <s v="Roline Broekema; Gerard Kramer"/>
    <s v="Blonk Consultants"/>
    <s v="Private Consulting Firm"/>
    <s v="Broekema, R. and Kramer, G., LCA of Dutch semi-skimmed milk and semi-mature cheese. Blonk Consultants; 2014, 1-58."/>
    <s v="Yes"/>
    <s v="Yes"/>
    <s v="Yes"/>
    <s v="Yes"/>
    <s v="Yes"/>
    <s v="Yes"/>
    <s v="Yes"/>
    <s v="No"/>
    <s v="No"/>
    <s v="No"/>
    <s v="No"/>
    <s v="No"/>
    <m/>
    <s v="Cradle-to-farm gate; processing, transportation, retail inputs, and spoilage/waste treatment"/>
    <s v="Yes"/>
    <s v="No"/>
    <s v="1 kg packaged semi-skimmed pasteurized milk"/>
    <m/>
    <s v=""/>
    <s v=""/>
    <n v="0.84"/>
    <s v=""/>
    <m/>
    <m/>
    <m/>
    <m/>
    <m/>
    <m/>
    <m/>
    <m/>
    <m/>
    <m/>
    <m/>
    <m/>
    <m/>
    <m/>
    <m/>
    <m/>
    <m/>
    <m/>
    <m/>
    <m/>
    <m/>
    <m/>
    <n v="0.84"/>
    <n v="1.1200000000000001"/>
  </r>
  <r>
    <x v="0"/>
    <x v="4"/>
    <s v="Fresh or Not Specified"/>
    <s v="Semi-Hard Cheese"/>
    <s v="No"/>
    <s v="Sweden"/>
    <n v="2002"/>
    <s v="Johanna Berlin"/>
    <s v="Environmental Systems Analysis, Chalmers University of Technology, SE-412 96 Goeteborg, Sweden; SIK AB, The Swedish Institute for Food and Biotechnology, P.O. Box 5401, SE-402 29 Goeteborg, Sweden"/>
    <s v="Peer Reviewed Journal"/>
    <s v="Berlin, J., Environmental life cycle assessment (LCA) of Swedish semi-hard cheese. International Dairy Journal 2002, 12, 939-953."/>
    <s v="Yes"/>
    <s v="No"/>
    <s v="Yes"/>
    <s v="Yes"/>
    <s v="Yes"/>
    <s v="Yes"/>
    <s v="Yes"/>
    <s v="Yes"/>
    <s v="Yes"/>
    <s v="No"/>
    <s v="Yes"/>
    <s v="No"/>
    <m/>
    <s v="Cradle-to-grave/waste disposal"/>
    <s v="Yes"/>
    <s v="No"/>
    <s v="1 kg of Angsgarden cheese wrapped in plastic"/>
    <m/>
    <s v=""/>
    <s v=""/>
    <n v="8.3000000000000007"/>
    <s v=""/>
    <m/>
    <m/>
    <m/>
    <m/>
    <m/>
    <m/>
    <m/>
    <m/>
    <m/>
    <m/>
    <n v="49.1"/>
    <m/>
    <m/>
    <m/>
    <m/>
    <m/>
    <m/>
    <m/>
    <m/>
    <m/>
    <m/>
    <m/>
    <n v="8.3000000000000007"/>
    <n v="8.7940000000000005"/>
  </r>
  <r>
    <x v="0"/>
    <x v="0"/>
    <s v="Fresh or Not Specified"/>
    <s v="Pasturized Milk, 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1.46"/>
  </r>
  <r>
    <x v="0"/>
    <x v="0"/>
    <s v="Fresh or Not Specified"/>
    <s v="Ultra High Temperature (UHT) Milk, 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1.31"/>
  </r>
  <r>
    <x v="0"/>
    <x v="5"/>
    <s v="Fresh or Not Specified"/>
    <s v="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2.0249999999999999"/>
  </r>
  <r>
    <x v="0"/>
    <x v="6"/>
    <s v="Fresh or Not Specified"/>
    <s v="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4.0250000000000004"/>
  </r>
  <r>
    <x v="0"/>
    <x v="7"/>
    <s v="Fresh or Not Specified"/>
    <s v="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20.995000000000001"/>
  </r>
  <r>
    <x v="0"/>
    <x v="4"/>
    <s v="Fresh or Not Specified"/>
    <s v="Used LCA data from seven dairy plants of different capacities processing 36% of raw milk in Serbia"/>
    <s v="No"/>
    <s v="Serbia"/>
    <n v="2013"/>
    <s v="Ilija Djekic (a); Jelena Miocinovic (b); Igor Tomasevic (b); Nada Smigic (a); Nikola Tomic (a)"/>
    <s v="(a) Department of Food Safety and Quality Management, University of Belgrade - Faculty of Agriculture, Belgrade, Republic of Serbia; (b) Department of Animal Origin products Technology, University of Belgrade - Faculty of Agriculture, Belgrade, Republic of Serbia"/>
    <s v="Peer Reviewed Journal"/>
    <s v="Djekic, I., Miocinovic, J., Tomasevic, I., Smigic, N. and Tomic, N., Environmental life-cycle assessment of various dairy products. Journal of Cleaner Production 2014, 68, 64-72."/>
    <s v="Yes"/>
    <s v="No"/>
    <s v="Yes"/>
    <s v="Yes"/>
    <s v="Yes"/>
    <s v="No"/>
    <s v="No"/>
    <s v="No"/>
    <s v="No"/>
    <s v="No"/>
    <s v="No"/>
    <s v="No"/>
    <m/>
    <s v="Looked at 3 Subsystems: 1) Dairy Farm, 2) Dairy Plant, 3) Waste Treatment"/>
    <s v="Yes"/>
    <s v="No"/>
    <s v="1 kg of final product"/>
    <s v="N/A"/>
    <s v=""/>
    <s v=""/>
    <s v=""/>
    <s v=""/>
    <m/>
    <m/>
    <m/>
    <m/>
    <m/>
    <m/>
    <m/>
    <m/>
    <m/>
    <m/>
    <m/>
    <m/>
    <m/>
    <m/>
    <m/>
    <m/>
    <m/>
    <m/>
    <m/>
    <m/>
    <m/>
    <m/>
    <m/>
    <n v="8.1"/>
  </r>
  <r>
    <x v="2"/>
    <x v="2"/>
    <s v="Other (Specify)"/>
    <s v="Processed - liquid egg"/>
    <s v="No"/>
    <s v="USA (Midwest)"/>
    <n v="2013"/>
    <s v="Nathan Pelletier (a); Maro Ibarburu (b); Hongwei Xin (b)"/>
    <s v="(a) Global Ecologic Environmental Consulting and Management Services, Canada; (b) Egg Industry Center, Iowa State University, IA, USA"/>
    <s v="Peer Reviewed Journal"/>
    <s v="Pelletier, N., Ibarburu, M. and Xin, H., A carbon footprint analysis of egg production and processing supply chains in the Midwestern United States. Journal of Cleaner Production 2013, 54, 108-114."/>
    <s v="Yes"/>
    <s v="No"/>
    <s v="Yes"/>
    <s v="Yes"/>
    <s v="Yes"/>
    <s v="No"/>
    <s v="No"/>
    <s v="No"/>
    <s v="No"/>
    <s v="No"/>
    <s v="No"/>
    <s v="No"/>
    <m/>
    <s v="transport supply chains talk only about best and worst case observed in their data"/>
    <s v="No"/>
    <s v="Yes"/>
    <s v="I tonne egg at facility gate"/>
    <s v="*1/1000"/>
    <s v=""/>
    <s v=""/>
    <n v="5.8680000000000003"/>
    <n v="5.9710000000000001"/>
    <m/>
    <m/>
    <m/>
    <m/>
    <m/>
    <m/>
    <m/>
    <m/>
    <m/>
    <m/>
    <m/>
    <m/>
    <m/>
    <n v="5.8680000000000003"/>
    <m/>
    <n v="0.10299999999999976"/>
    <m/>
    <m/>
    <m/>
    <m/>
    <m/>
    <m/>
    <n v="5.8680000000000003"/>
    <n v="5.98"/>
  </r>
  <r>
    <x v="2"/>
    <x v="2"/>
    <s v="Other (Specify)"/>
    <s v="Shell egg processed"/>
    <s v="No"/>
    <s v="USA (Midwest)"/>
    <n v="2013"/>
    <s v="Nathan Pelletier (a); Maro Ibarburu (b); Hongwei Xin (b)"/>
    <s v="(a) Global Ecologic Environmental Consulting and Management Services, Canada; (b) Egg Industry Center, Iowa State University, IA, USA"/>
    <s v="Peer Reviewed Journal"/>
    <s v="Pelletier, N., Ibarburu, M. and Xin, H., A carbon footprint analysis of egg production and processing supply chains in the Midwestern United States. Journal of Cleaner Production 2013, 54, 108-114."/>
    <s v="Yes"/>
    <s v="No"/>
    <s v="Yes"/>
    <s v="Yes"/>
    <s v="Yes"/>
    <s v="No"/>
    <s v="No"/>
    <s v="No"/>
    <s v="No"/>
    <s v="No"/>
    <s v="No"/>
    <s v="No"/>
    <m/>
    <m/>
    <s v="No"/>
    <s v="Yes"/>
    <s v="I tonne egg at facility gate"/>
    <s v="*1/1000"/>
    <s v=""/>
    <s v=""/>
    <n v="5.0199999999999996"/>
    <n v="5.1013200000000003"/>
    <m/>
    <m/>
    <m/>
    <m/>
    <m/>
    <m/>
    <m/>
    <m/>
    <m/>
    <m/>
    <m/>
    <m/>
    <m/>
    <n v="5.0199999999999996"/>
    <m/>
    <n v="8.1320000000000475E-2"/>
    <n v="9.5680000000000001E-2"/>
    <m/>
    <m/>
    <m/>
    <m/>
    <m/>
    <n v="5.0199999999999996"/>
    <n v="5.19"/>
  </r>
  <r>
    <x v="2"/>
    <x v="2"/>
    <s v="Fresh or Not Specified"/>
    <s v="Average egg production"/>
    <s v="No"/>
    <s v="USA"/>
    <n v="2014"/>
    <s v="Nathan Pelletier (a); Maro Ibarburu (b); and Hongwei Xin (b)"/>
    <s v="(a) Global Ecologic Environmental Consulting and Management Services, Canada; (b) Egg Industry Center, Iowa State University, USA"/>
    <s v="Peer Reviewed Journal"/>
    <s v="Pelletier, N., Ibarburu, M. and Xin, H., Comparison of the environmental footprint of the egg industry in the United States in 1960 and 2010. Poultry science 2014, 93 (2), 241-55."/>
    <s v="Yes"/>
    <s v="No"/>
    <s v="No"/>
    <s v="No"/>
    <s v="No"/>
    <s v="No"/>
    <s v="No"/>
    <s v="No"/>
    <s v="No"/>
    <s v="No"/>
    <s v="No"/>
    <s v="No"/>
    <m/>
    <s v="Egg 'production' alone - assumed farm gate"/>
    <s v="No"/>
    <s v="Yes"/>
    <s v="1 metric ton eggs"/>
    <s v="*1/1000"/>
    <s v=""/>
    <s v=""/>
    <n v="2.08"/>
    <s v=""/>
    <m/>
    <m/>
    <m/>
    <m/>
    <m/>
    <m/>
    <m/>
    <m/>
    <m/>
    <m/>
    <m/>
    <s v="EcoInvent 2010"/>
    <m/>
    <m/>
    <m/>
    <m/>
    <m/>
    <m/>
    <m/>
    <m/>
    <m/>
    <m/>
    <n v="2.08"/>
    <m/>
  </r>
  <r>
    <x v="3"/>
    <x v="8"/>
    <s v="Other (Specify)"/>
    <s v="Tomato Sauce - tomatoes processed in France"/>
    <s v="Yes"/>
    <s v="France"/>
    <n v="2014"/>
    <s v="Giulia Palma (a); Martine Padilla (a); Mounia Saheb (a); Sophie Colvine(b); Yasemin Tatar (a); Ahmet Tugulay(a); Imene Kellou (a)"/>
    <s v="(a) CIHEAM-Institut Agronomique Méditerranéen de Montpellier 3191 route de Mende 34093 Montpellier Cedex 5 France; (b) AMITOM Lotissement les valérianes 84700 Sorgues France"/>
    <s v="Conference Proceedings"/>
    <s v="Palma, G., Padilla, M., Saheb, M., Tatar, Y., Tugulay, A. and Kellou, I., Environmental impact of processed tomato in France and in Turkey. Proceedings of the 9th International Conference on Life Cycle Assessment in the Agri-Food Sector 2014,  (October), ."/>
    <s v="Yes"/>
    <s v="No"/>
    <s v="Yes"/>
    <s v="Yes"/>
    <s v="Yes"/>
    <s v="Yes"/>
    <s v="Yes"/>
    <s v="Yes"/>
    <s v="No"/>
    <s v="No"/>
    <s v="No"/>
    <s v="No"/>
    <s v="Disposal of packaging"/>
    <s v="From ag.prod. to packaging disposal"/>
    <s v="No"/>
    <s v="Yes"/>
    <s v="I kg packaged processed tomatoes"/>
    <m/>
    <s v=""/>
    <s v=""/>
    <n v="5.0999999999999997E-2"/>
    <n v="2.3714"/>
    <m/>
    <m/>
    <m/>
    <m/>
    <m/>
    <m/>
    <m/>
    <m/>
    <m/>
    <m/>
    <m/>
    <m/>
    <m/>
    <n v="5.11E-2"/>
    <n v="6.3E-3"/>
    <n v="2.3140000000000001"/>
    <m/>
    <n v="0.12189999999999999"/>
    <n v="2.2100000000000002E-2"/>
    <n v="0.18"/>
    <m/>
    <m/>
    <n v="5.0999999999999997E-2"/>
    <n v="2.6987000000000001"/>
  </r>
  <r>
    <x v="3"/>
    <x v="8"/>
    <s v="Other (Specify)"/>
    <s v="Tomato Sauce - tomatoes processed in France"/>
    <s v="Yes"/>
    <s v="Turkey"/>
    <n v="2014"/>
    <s v="Giulia Palma (a); Martine Padilla (a); Mounia Saheb (a); Sophie Colvine(b); Yasemin Tatar (a); Ahmet Tugulay(a); Imene Kellou (a)"/>
    <s v="(a) CIHEAM-Institut Agronomique Méditerranéen de Montpellier 3191 route de Mende 34093 Montpellier Cedex 5 France; (b) AMITOM Lotissement les valérianes 84700 Sorgues France"/>
    <s v="Conference Proceedings"/>
    <s v="Palma, G., Padilla, M., Saheb, M., Tatar, Y., Tugulay, A. and Kellou, I., Environmental impact of processed tomato in France and in Turkey. Proceedings of the 9th International Conference on Life Cycle Assessment in the Agri-Food Sector 2014,  (October), ."/>
    <s v="Yes"/>
    <s v="No"/>
    <s v="Yes"/>
    <s v="Yes"/>
    <s v="Yes"/>
    <s v="Yes"/>
    <s v="Yes"/>
    <s v="Yes"/>
    <s v="No"/>
    <s v="No"/>
    <s v="No"/>
    <s v="No"/>
    <s v="Disposal of packaging"/>
    <s v="From ag.prod. to packaging disposal"/>
    <s v="No"/>
    <s v="Yes"/>
    <s v="I kg packaged processed tomatoes"/>
    <m/>
    <s v=""/>
    <s v=""/>
    <n v="8.2299999999999998E-2"/>
    <n v="2.7309999999999999"/>
    <m/>
    <m/>
    <m/>
    <m/>
    <m/>
    <m/>
    <m/>
    <m/>
    <m/>
    <m/>
    <m/>
    <m/>
    <m/>
    <n v="8.2299999999999998E-2"/>
    <n v="2.5899999999999999E-2"/>
    <n v="2.6227999999999998"/>
    <m/>
    <n v="0.12189999999999999"/>
    <n v="2.2100000000000002E-2"/>
    <n v="0.18"/>
    <m/>
    <m/>
    <n v="8.2299999999999998E-2"/>
    <n v="3.06"/>
  </r>
  <r>
    <x v="3"/>
    <x v="8"/>
    <s v="Other (Specify)"/>
    <s v="Tomato puree"/>
    <s v="No"/>
    <s v="Italy"/>
    <n v="2013"/>
    <s v="Michele Manfredi (a); Giuseppe Vignali (a)"/>
    <s v="(a) Department of Industrial Engineering, University of Parma, Viale delle Scienze 181/A, 43124, Parma –Italy"/>
    <s v="Peer Reviewed Journal"/>
    <s v="Manfredi, M. and Vignali, G., Life cycle assessment of a packaged tomato puree: a comparison of environmental impacts produced by different life cycle phases. Journal of Cleaner Production 2014, 73, 275-284."/>
    <s v="Yes"/>
    <s v="No"/>
    <s v="Yes"/>
    <s v="Yes"/>
    <s v="Yes"/>
    <s v="Yes"/>
    <s v="No"/>
    <s v="No"/>
    <s v="No"/>
    <s v="No"/>
    <s v="No"/>
    <s v="No"/>
    <s v="Disposal of packaging"/>
    <s v="From ag.prod. to retail, with 5.5% (avg 4-7) of transport attributed to cultivation "/>
    <s v="No"/>
    <s v="Yes"/>
    <s v="700g packaged tomatoes"/>
    <s v="/0.7"/>
    <n v="1.34"/>
    <n v="3.9000000000000004"/>
    <n v="0.25857142857142856"/>
    <n v="0.41285714285714287"/>
    <n v="1.342857142857143"/>
    <m/>
    <n v="2.5571428571428574"/>
    <n v="7.3857142857142861"/>
    <n v="2.5142857142857147"/>
    <m/>
    <m/>
    <m/>
    <m/>
    <n v="1.34"/>
    <n v="13.785714285714286"/>
    <s v="Ecoinvent V2.2"/>
    <m/>
    <n v="0.25857142857142856"/>
    <m/>
    <n v="0.1542857142857143"/>
    <n v="0.39142857142857146"/>
    <n v="0.15857142857142859"/>
    <m/>
    <m/>
    <m/>
    <m/>
    <n v="0.25857142857142856"/>
    <n v="0.96285714285714297"/>
  </r>
  <r>
    <x v="0"/>
    <x v="4"/>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5.3"/>
  </r>
  <r>
    <x v="0"/>
    <x v="9"/>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1.8"/>
  </r>
  <r>
    <x v="0"/>
    <x v="6"/>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2.1"/>
  </r>
  <r>
    <x v="0"/>
    <x v="10"/>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2.5"/>
  </r>
  <r>
    <x v="0"/>
    <x v="5"/>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Yes"/>
    <s v="1 kg of final product"/>
    <s v="N/A"/>
    <s v=""/>
    <s v=""/>
    <n v="1.2635000000000001"/>
    <n v="1.57325"/>
    <m/>
    <m/>
    <m/>
    <m/>
    <m/>
    <m/>
    <m/>
    <m/>
    <m/>
    <m/>
    <m/>
    <m/>
    <m/>
    <n v="1.2635000000000001"/>
    <n v="1.575E-2"/>
    <n v="0.29400000000000004"/>
    <n v="0.17675000000000002"/>
    <m/>
    <m/>
    <m/>
    <m/>
    <m/>
    <n v="1.2635000000000001"/>
    <n v="1.75"/>
  </r>
  <r>
    <x v="0"/>
    <x v="0"/>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Yes"/>
    <s v="1 kg of final product"/>
    <s v="N/A"/>
    <s v=""/>
    <s v=""/>
    <n v="0.86899999999999999"/>
    <n v="0.94399999999999995"/>
    <m/>
    <m/>
    <m/>
    <m/>
    <m/>
    <m/>
    <m/>
    <m/>
    <m/>
    <m/>
    <m/>
    <m/>
    <m/>
    <n v="0.86899999999999999"/>
    <n v="0.01"/>
    <n v="6.5000000000000002E-2"/>
    <n v="5.5E-2"/>
    <m/>
    <m/>
    <m/>
    <m/>
    <m/>
    <n v="0.86899999999999999"/>
    <n v="1"/>
  </r>
  <r>
    <x v="0"/>
    <x v="11"/>
    <s v="Fresh or Not Specified"/>
    <s v="Buttermilk, 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1.1000000000000001"/>
  </r>
  <r>
    <x v="0"/>
    <x v="12"/>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2.1"/>
  </r>
  <r>
    <x v="0"/>
    <x v="13"/>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10.1"/>
  </r>
  <r>
    <x v="0"/>
    <x v="14"/>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3.1"/>
  </r>
  <r>
    <x v="0"/>
    <x v="7"/>
    <s v="Fresh or Not Specified"/>
    <s v="Misc. Milk Products in Candad; Cradle to Production Gate Analysis"/>
    <s v="No"/>
    <s v="Canada"/>
    <n v="2013"/>
    <s v="(a) X. P. C. Verge; (b) D. Maxime; (a) J. A. Dyer; (a) R. L. Desjardins; (c) Y. Arcand; (a) A. Vanderzaag"/>
    <s v="(a) Agriculture and Agri-Food Canada, Ottawa ON, K2A 1G6, Canada; (b) Interuniversity Research Cebtre for the Lice Cycle of Products, Processes and Services (CIRAIG), Polytechnique Montreal, Montreal QC, H3C 3A7, Canada; (c) Agrigulture and Agri-Food Canada, Cambridge ON, N3H 3Z9, Canada"/>
    <s v="Peer Reviewed Journal"/>
    <s v="Verge, X. P. C., Maxime, D., Dyer, J. A., Desjardins, R. L., Arcand, Y. and Vanderzaag, A., Carbon footprint of Canadian dairy products: Calculations and issues. Journal of Dairy Science 2013, 96, 1-14."/>
    <s v="Yes"/>
    <s v="No"/>
    <s v="Yes"/>
    <s v="Yes"/>
    <s v="No"/>
    <s v="No"/>
    <s v="No"/>
    <s v="No"/>
    <s v="No"/>
    <s v="No"/>
    <s v="No"/>
    <s v="No"/>
    <m/>
    <s v="Cradle to Processing Exit"/>
    <s v="No"/>
    <s v="No"/>
    <s v="1 kg of final product"/>
    <s v="N/A"/>
    <s v=""/>
    <s v=""/>
    <s v=""/>
    <s v=""/>
    <m/>
    <m/>
    <m/>
    <m/>
    <m/>
    <m/>
    <m/>
    <m/>
    <m/>
    <m/>
    <m/>
    <m/>
    <m/>
    <m/>
    <m/>
    <m/>
    <m/>
    <m/>
    <m/>
    <m/>
    <m/>
    <m/>
    <m/>
    <n v="7.3"/>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700 g"/>
    <s v="Yes"/>
    <s v="Yes"/>
    <s v="1 kg of packaged product"/>
    <s v="N/A"/>
    <n v="4.5528000000000004"/>
    <n v="7.6028000000000002"/>
    <n v="0.38"/>
    <n v="0.56830000000000003"/>
    <n v="4.5528000000000004"/>
    <m/>
    <n v="3.05"/>
    <n v="7.9802"/>
    <m/>
    <m/>
    <m/>
    <m/>
    <m/>
    <n v="4.5528000000000004"/>
    <n v="15.583"/>
    <s v="International EPD System"/>
    <m/>
    <n v="0.38"/>
    <m/>
    <n v="0.1883"/>
    <n v="0.4985"/>
    <m/>
    <m/>
    <m/>
    <m/>
    <m/>
    <n v="0.38"/>
    <n v="1.0649"/>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350 g"/>
    <s v="Yes"/>
    <s v="Yes"/>
    <s v="1 kg of packaged product"/>
    <s v="N/A"/>
    <n v="7.1342999999999996"/>
    <n v="12.2843"/>
    <n v="0.59240000000000004"/>
    <n v="0.93830000000000002"/>
    <n v="7.1342999999999996"/>
    <m/>
    <n v="5.15"/>
    <n v="11.0403"/>
    <m/>
    <m/>
    <m/>
    <m/>
    <m/>
    <n v="7.1342999999999996"/>
    <n v="23.3247"/>
    <s v="International EPD System"/>
    <m/>
    <n v="0.59240000000000004"/>
    <m/>
    <n v="0.34589999999999999"/>
    <n v="0.69240000000000002"/>
    <m/>
    <m/>
    <m/>
    <m/>
    <m/>
    <n v="0.59240000000000004"/>
    <n v="1.6307"/>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700 g"/>
    <s v="Yes"/>
    <s v="Yes"/>
    <s v="1 kg of packaged product"/>
    <s v="N/A"/>
    <n v="6.5640000000000001"/>
    <n v="11.944099999999999"/>
    <n v="0.54469999999999996"/>
    <n v="0.87399999999999989"/>
    <n v="6.5640000000000001"/>
    <m/>
    <n v="5.3800999999999997"/>
    <n v="8.2302"/>
    <m/>
    <m/>
    <m/>
    <m/>
    <m/>
    <n v="6.5640000000000001"/>
    <n v="20.164300000000001"/>
    <s v="International EPD System"/>
    <m/>
    <n v="0.54469999999999996"/>
    <m/>
    <n v="0.32929999999999998"/>
    <n v="0.50719999999999998"/>
    <m/>
    <m/>
    <m/>
    <m/>
    <m/>
    <n v="0.54469999999999996"/>
    <n v="1.3813"/>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700 g"/>
    <s v="Yes"/>
    <s v="Yes"/>
    <s v="1 kg of packaged product"/>
    <s v="N/A"/>
    <n v="6.7039999999999997"/>
    <n v="11.674200000000001"/>
    <n v="0.55649999999999999"/>
    <n v="0.8609"/>
    <n v="6.7041000000000004"/>
    <m/>
    <n v="4.9701000000000004"/>
    <n v="7.8301999999999996"/>
    <m/>
    <m/>
    <m/>
    <m/>
    <m/>
    <n v="6.7039999999999997"/>
    <n v="19.5044"/>
    <s v="International EPD System"/>
    <m/>
    <n v="0.55649999999999999"/>
    <m/>
    <n v="0.3044"/>
    <n v="0.49070000000000003"/>
    <m/>
    <m/>
    <m/>
    <m/>
    <m/>
    <n v="0.55649999999999999"/>
    <n v="1.3515999999999999"/>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Carton-based container 200 g"/>
    <s v="Yes"/>
    <s v="Yes"/>
    <s v="1 kg of packaged product"/>
    <s v="N/A"/>
    <n v="6.6741000000000001"/>
    <n v="11.900141000000001"/>
    <n v="0.55420000000000003"/>
    <n v="0.87519999999999998"/>
    <n v="6.6700410000000003"/>
    <m/>
    <n v="5.2301000000000002"/>
    <n v="2.1800000000000002"/>
    <m/>
    <m/>
    <m/>
    <m/>
    <m/>
    <n v="6.6741000000000001"/>
    <n v="14.084199999999999"/>
    <s v="International EPD System"/>
    <m/>
    <n v="0.55420000000000003"/>
    <m/>
    <n v="0.32100000000000001"/>
    <n v="0.1202"/>
    <m/>
    <m/>
    <m/>
    <m/>
    <m/>
    <n v="0.55420000000000003"/>
    <n v="0.99539999999999995"/>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Carton-based container with plastic cap 500 g"/>
    <s v="Yes"/>
    <s v="Yes"/>
    <s v="1 kg of packaged product"/>
    <s v="N/A"/>
    <n v="6.6741000000000001"/>
    <n v="12.460141"/>
    <n v="0.55420000000000003"/>
    <n v="0.90739999999999998"/>
    <n v="6.6700410000000003"/>
    <m/>
    <n v="5.7900999999999998"/>
    <n v="1.79"/>
    <m/>
    <m/>
    <m/>
    <m/>
    <m/>
    <n v="6.6741000000000001"/>
    <n v="14.244199999999999"/>
    <s v="International EPD System"/>
    <m/>
    <n v="0.55420000000000003"/>
    <m/>
    <n v="0.35320000000000001"/>
    <n v="9.7000000000000003E-2"/>
    <m/>
    <m/>
    <m/>
    <m/>
    <m/>
    <n v="0.55420000000000003"/>
    <n v="1.0043"/>
  </r>
  <r>
    <x v="3"/>
    <x v="8"/>
    <s v="Canned"/>
    <s v="Tomato purée"/>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Carton-based container with plastic cap 1000 g"/>
    <s v="Yes"/>
    <s v="Yes"/>
    <s v="1 kg of packaged product"/>
    <s v="N/A"/>
    <n v="6.8041"/>
    <n v="12.8842"/>
    <n v="0.56520000000000004"/>
    <n v="0.9355"/>
    <n v="6.8041"/>
    <m/>
    <n v="6.0800999999999998"/>
    <n v="1.78"/>
    <m/>
    <m/>
    <m/>
    <m/>
    <m/>
    <n v="6.8041"/>
    <n v="14.674300000000001"/>
    <s v="International EPD System"/>
    <m/>
    <n v="0.56520000000000004"/>
    <m/>
    <n v="0.37030000000000002"/>
    <n v="0.1007"/>
    <m/>
    <m/>
    <m/>
    <m/>
    <m/>
    <n v="0.56520000000000004"/>
    <n v="1.0362"/>
  </r>
  <r>
    <x v="3"/>
    <x v="15"/>
    <s v="Canned"/>
    <s v="Chopp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Glass bottle with metal lid 330 g"/>
    <s v="Yes"/>
    <s v="Yes"/>
    <s v="1 kg of packaged product"/>
    <s v="N/A"/>
    <n v="6.6340000000000003"/>
    <n v="11.824000000000002"/>
    <n v="0.55049999999999999"/>
    <n v="0.86030000000000006"/>
    <n v="6.6340000000000003"/>
    <m/>
    <n v="5.19"/>
    <n v="12.1203"/>
    <m/>
    <m/>
    <m/>
    <m/>
    <m/>
    <n v="6.6340000000000003"/>
    <n v="23.944400000000002"/>
    <s v="International EPD System"/>
    <m/>
    <n v="0.55049999999999999"/>
    <m/>
    <n v="0.30980000000000002"/>
    <n v="0.74760000000000004"/>
    <m/>
    <m/>
    <m/>
    <m/>
    <m/>
    <n v="0.55049999999999999"/>
    <n v="1.6077999999999999"/>
  </r>
  <r>
    <x v="3"/>
    <x v="15"/>
    <s v="Canned"/>
    <s v="Chopp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400 g"/>
    <s v="Yes"/>
    <s v="Yes"/>
    <s v="1 kg of packaged product"/>
    <s v="N/A"/>
    <n v="5.4733000000000001"/>
    <n v="9.1533999999999995"/>
    <n v="0.45419999999999999"/>
    <n v="0.67730000000000001"/>
    <n v="5.4733000000000001"/>
    <m/>
    <n v="3.6800999999999999"/>
    <n v="12.2705"/>
    <m/>
    <m/>
    <m/>
    <m/>
    <m/>
    <n v="5.4733000000000001"/>
    <n v="21.4239"/>
    <s v="International EPD System"/>
    <m/>
    <n v="0.45419999999999999"/>
    <m/>
    <n v="0.22309999999999999"/>
    <n v="0.82540000000000002"/>
    <m/>
    <m/>
    <m/>
    <m/>
    <m/>
    <n v="0.45419999999999999"/>
    <n v="1.5025999999999999"/>
  </r>
  <r>
    <x v="3"/>
    <x v="15"/>
    <s v="Canned"/>
    <s v="Chopp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400 g"/>
    <s v="Yes"/>
    <s v="Yes"/>
    <s v="1 kg of packaged product"/>
    <s v="N/A"/>
    <n v="5.4733000000000001"/>
    <n v="9.1533999999999995"/>
    <n v="0.4551"/>
    <n v="0.67820000000000003"/>
    <n v="5.4733000000000001"/>
    <m/>
    <n v="3.6800999999999999"/>
    <n v="12.2005"/>
    <m/>
    <m/>
    <m/>
    <m/>
    <m/>
    <n v="5.4733000000000001"/>
    <n v="21.353899999999999"/>
    <s v="International EPD System"/>
    <m/>
    <n v="0.4551"/>
    <m/>
    <n v="0.22309999999999999"/>
    <n v="0.82650000000000001"/>
    <m/>
    <m/>
    <m/>
    <m/>
    <m/>
    <n v="0.4551"/>
    <n v="1.5038"/>
  </r>
  <r>
    <x v="3"/>
    <x v="16"/>
    <s v="Canned"/>
    <s v="Peel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400 g"/>
    <s v="Yes"/>
    <s v="Yes"/>
    <s v="1 kg of packaged product"/>
    <s v="N/A"/>
    <n v="4.883"/>
    <n v="8.343"/>
    <n v="0.4052"/>
    <n v="0.64639999999999997"/>
    <n v="4.883"/>
    <m/>
    <n v="3.46"/>
    <n v="10.1904"/>
    <m/>
    <m/>
    <m/>
    <m/>
    <m/>
    <n v="4.883"/>
    <n v="18.5334"/>
    <s v="International EPD System"/>
    <m/>
    <n v="0.4052"/>
    <m/>
    <n v="0.2412"/>
    <n v="0.68320000000000003"/>
    <m/>
    <m/>
    <m/>
    <m/>
    <m/>
    <n v="0.4052"/>
    <n v="1.3295999999999999"/>
  </r>
  <r>
    <x v="3"/>
    <x v="16"/>
    <s v="Canned"/>
    <s v="Peeled tomato"/>
    <s v="No"/>
    <s v="Italy"/>
    <n v="2014"/>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400 g"/>
    <s v="Yes"/>
    <s v="Yes"/>
    <s v="1 kg of packaged product"/>
    <s v="N/A"/>
    <n v="4.883"/>
    <n v="8.343"/>
    <n v="0.4052"/>
    <n v="0.64670000000000005"/>
    <n v="4.883"/>
    <m/>
    <n v="3.46"/>
    <n v="10.010400000000001"/>
    <m/>
    <m/>
    <m/>
    <m/>
    <m/>
    <n v="4.883"/>
    <n v="18.353400000000001"/>
    <s v="International EPD System"/>
    <m/>
    <n v="0.4052"/>
    <m/>
    <n v="0.24149999999999999"/>
    <n v="0.6855"/>
    <m/>
    <m/>
    <m/>
    <m/>
    <m/>
    <n v="0.4052"/>
    <n v="1.3321000000000001"/>
  </r>
  <r>
    <x v="3"/>
    <x v="16"/>
    <s v="Canned"/>
    <s v="Peeled tomato"/>
    <s v="No"/>
    <s v="Italy"/>
    <n v="2015"/>
    <s v="A. Del Borghi (a); M. Gallo (a); C. Strazza (a); M. Del Borghi (a);"/>
    <s v="(a) Department of Civil, Chemical and Environmental Engineering (DICCA), University of Genoa, Via all’Opera Pia 15, 16145 Genova, Italy"/>
    <s v="Peer Reviewed Journal"/>
    <s v="Del Borghi, A., Gallo, M., Strazza, C. and Del Borghi, M., An evaluation of environmental sustainability in the food industry through Life Cycle Assessment: The case study of tomato products supply chain. Journal of Cleaner Production 2014, 78, 121-130."/>
    <s v="Yes"/>
    <s v="Yes"/>
    <s v="Yes"/>
    <s v="Yes"/>
    <s v="Yes"/>
    <s v="Yes"/>
    <s v="No"/>
    <s v="No"/>
    <s v="No"/>
    <s v="No"/>
    <s v="No"/>
    <s v="No"/>
    <s v="Disposal of packaging"/>
    <s v="Open top tin-plated steel can and lid 800 g"/>
    <s v="Yes"/>
    <s v="Yes"/>
    <s v="1 kg of packaged product"/>
    <s v="N/A"/>
    <n v="5.2831999999999999"/>
    <n v="8.5332000000000008"/>
    <n v="0.43869999999999998"/>
    <n v="0.66649999999999998"/>
    <n v="5.2831999999999999"/>
    <m/>
    <n v="3.25"/>
    <n v="8.6203000000000003"/>
    <m/>
    <m/>
    <m/>
    <m/>
    <m/>
    <n v="5.2831999999999999"/>
    <n v="17.153600000000001"/>
    <s v="International EPD System"/>
    <m/>
    <n v="0.43869999999999998"/>
    <m/>
    <n v="0.2278"/>
    <n v="0.56910000000000005"/>
    <m/>
    <m/>
    <m/>
    <m/>
    <m/>
    <n v="0.43869999999999998"/>
    <n v="1.2357"/>
  </r>
  <r>
    <x v="3"/>
    <x v="17"/>
    <s v="Canned"/>
    <s v="Paste (local foods)"/>
    <s v="Yes"/>
    <s v="USA"/>
    <n v="2013"/>
    <s v="Sonja Brodt (a); Klaas Jan Kramer (b); Alissa Kendall (c); Gail Feenstra (a)"/>
    <s v="(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
    <s v="Peer Reviewed Journal"/>
    <s v="Brodt, S. B., Jan, K., Kendall, A. and Feenstra, G., Comparing environmental impacts of regional and national-scale food supply chains : A case study of processed tomatoes. JOURNAL OF FOOD POLICY 2013, 42, 106-114."/>
    <s v="Yes"/>
    <s v="No"/>
    <s v="Yes"/>
    <s v="Yes"/>
    <s v="Yes"/>
    <s v="Yes"/>
    <s v="No"/>
    <s v="No"/>
    <s v="No"/>
    <s v="No"/>
    <s v="No"/>
    <s v="No"/>
    <m/>
    <s v="Local (within state) transport"/>
    <s v="No"/>
    <s v="No"/>
    <s v="1 kg canned, consumer ready product"/>
    <s v="N/A"/>
    <s v=""/>
    <s v=""/>
    <s v=""/>
    <s v=""/>
    <m/>
    <m/>
    <m/>
    <m/>
    <m/>
    <m/>
    <m/>
    <m/>
    <m/>
    <m/>
    <n v="19.600000000000001"/>
    <s v="Interviews and published data"/>
    <m/>
    <m/>
    <m/>
    <m/>
    <m/>
    <m/>
    <m/>
    <m/>
    <m/>
    <m/>
    <m/>
    <n v="1.5"/>
  </r>
  <r>
    <x v="3"/>
    <x v="15"/>
    <s v="Canned"/>
    <s v="Diced tomato (local foods)"/>
    <s v="Yes"/>
    <s v="USA"/>
    <n v="2013"/>
    <s v="Sonja Brodt (a); Klaas Jan Kramer (b); Alissa Kendall (c); Gail Feenstra (a)"/>
    <s v="(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
    <s v="Peer Reviewed Journal"/>
    <s v="Brodt, S. B., Jan, K., Kendall, A. and Feenstra, G., Comparing environmental impacts of regional and national-scale food supply chains : A case study of processed tomatoes. JOURNAL OF FOOD POLICY 2013, 42, 106-114."/>
    <s v="Yes"/>
    <s v="No"/>
    <s v="Yes"/>
    <s v="Yes"/>
    <s v="Yes"/>
    <s v="Yes"/>
    <s v="No"/>
    <s v="No"/>
    <s v="No"/>
    <s v="No"/>
    <s v="No"/>
    <s v="No"/>
    <m/>
    <s v="Local (within state) transport"/>
    <s v="No"/>
    <s v="No"/>
    <s v="1 kg canned, consumer ready product"/>
    <s v="N/A"/>
    <s v=""/>
    <s v=""/>
    <s v=""/>
    <s v=""/>
    <m/>
    <m/>
    <m/>
    <m/>
    <m/>
    <m/>
    <m/>
    <m/>
    <m/>
    <m/>
    <n v="9.36"/>
    <s v="Interviews and published data"/>
    <m/>
    <m/>
    <m/>
    <m/>
    <m/>
    <m/>
    <m/>
    <m/>
    <m/>
    <m/>
    <m/>
    <n v="0.71099999999999997"/>
  </r>
  <r>
    <x v="3"/>
    <x v="17"/>
    <s v="Canned"/>
    <s v="Paste (national transport)"/>
    <s v="Yes"/>
    <s v="USA"/>
    <n v="2013"/>
    <s v="Sonja Brodt (a); Klaas Jan Kramer (b); Alissa Kendall (c); Gail Feenstra (a)"/>
    <s v="(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
    <s v="Peer Reviewed Journal"/>
    <s v="Brodt, S. B., Jan, K., Kendall, A. and Feenstra, G., Comparing environmental impacts of regional and national-scale food supply chains : A case study of processed tomatoes. JOURNAL OF FOOD POLICY 2013, 42, 106-114."/>
    <s v="Yes"/>
    <s v="No"/>
    <s v="Yes"/>
    <s v="Yes"/>
    <s v="Yes"/>
    <s v="Yes"/>
    <s v="No"/>
    <s v="No"/>
    <s v="No"/>
    <s v="No"/>
    <s v="No"/>
    <s v="No"/>
    <m/>
    <s v="National (within country) transport"/>
    <s v="No"/>
    <s v="No"/>
    <s v="1 kg canned, consumer ready product"/>
    <s v="N/A"/>
    <s v=""/>
    <s v=""/>
    <s v=""/>
    <s v=""/>
    <m/>
    <m/>
    <m/>
    <m/>
    <m/>
    <m/>
    <m/>
    <m/>
    <m/>
    <m/>
    <n v="20.399999999999999"/>
    <s v="Interviews and published data"/>
    <m/>
    <m/>
    <m/>
    <m/>
    <m/>
    <m/>
    <m/>
    <m/>
    <m/>
    <m/>
    <m/>
    <n v="1.43"/>
  </r>
  <r>
    <x v="3"/>
    <x v="15"/>
    <s v="Canned"/>
    <s v="Diced tomato (national transport)"/>
    <s v="Yes"/>
    <s v="USA"/>
    <n v="2013"/>
    <s v="Sonja Brodt (a); Klaas Jan Kramer (b); Alissa Kendall (c); Gail Feenstra (a)"/>
    <s v="(a) Sustainable Agriculture Research and Education Program, Agricultural Sustainability Institute, University of California Davis, 1 Shields Ave., Davis, CA 95616, USA; (b) KJKramer Consulting, Henri Schuytstraat 15, 1901 AT Castricum, The Netherlands; (c) Department of Civil and Environmental Engineering, University of California, Davis, 1 Shields Ave., Davis, CA 95616, USA"/>
    <s v="Peer Reviewed Journal"/>
    <s v="Brodt, S. B., Jan, K., Kendall, A. and Feenstra, G., Comparing environmental impacts of regional and national-scale food supply chains : A case study of processed tomatoes. JOURNAL OF FOOD POLICY 2013, 42, 106-114."/>
    <s v="Yes"/>
    <s v="No"/>
    <s v="Yes"/>
    <s v="Yes"/>
    <s v="Yes"/>
    <s v="Yes"/>
    <s v="No"/>
    <s v="No"/>
    <s v="No"/>
    <s v="No"/>
    <s v="No"/>
    <s v="No"/>
    <m/>
    <s v="National (within country) transport"/>
    <s v="No"/>
    <s v="No"/>
    <s v="1 kg canned, consumer ready product"/>
    <s v="N/A"/>
    <s v=""/>
    <s v=""/>
    <s v=""/>
    <s v=""/>
    <m/>
    <m/>
    <m/>
    <m/>
    <m/>
    <m/>
    <m/>
    <m/>
    <m/>
    <m/>
    <n v="11"/>
    <s v="Interviews and published data"/>
    <m/>
    <m/>
    <m/>
    <m/>
    <m/>
    <m/>
    <m/>
    <m/>
    <m/>
    <m/>
    <m/>
    <n v="0.76500000000000001"/>
  </r>
  <r>
    <x v="3"/>
    <x v="18"/>
    <s v="Fresh or Not Specified"/>
    <s v="Conventional Austria Greenhouse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No"/>
    <s v="Yes"/>
    <s v="No"/>
    <s v="No"/>
    <s v="No"/>
    <s v="No"/>
    <s v="No"/>
    <s v="Yes"/>
    <m/>
    <s v="Until market"/>
    <s v="No"/>
    <s v="Yes"/>
    <s v="1 kg loose tomatoes"/>
    <s v="N/A"/>
    <s v=""/>
    <s v=""/>
    <n v="1.2849999999999999"/>
    <n v="1.2919999999999998"/>
    <m/>
    <m/>
    <m/>
    <m/>
    <m/>
    <m/>
    <m/>
    <m/>
    <m/>
    <m/>
    <m/>
    <m/>
    <m/>
    <n v="1.2849999999999999"/>
    <n v="7.0000000000000001E-3"/>
    <m/>
    <n v="7.0999999999999994E-2"/>
    <m/>
    <m/>
    <m/>
    <m/>
    <m/>
    <n v="1.2849999999999999"/>
    <n v="1.367"/>
  </r>
  <r>
    <x v="3"/>
    <x v="19"/>
    <s v="Fresh or Not Specified"/>
    <s v="Organic tunnel Austria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No"/>
    <s v="Yes"/>
    <s v="No"/>
    <s v="No"/>
    <s v="No"/>
    <s v="No"/>
    <s v="No"/>
    <s v="Yes"/>
    <m/>
    <s v="Until market"/>
    <s v="No"/>
    <s v="Yes"/>
    <s v="1 kg loose tomatoes"/>
    <s v="N/A"/>
    <s v=""/>
    <s v=""/>
    <n v="2.1000000000000001E-2"/>
    <s v=""/>
    <m/>
    <m/>
    <m/>
    <m/>
    <m/>
    <m/>
    <m/>
    <m/>
    <m/>
    <m/>
    <m/>
    <m/>
    <m/>
    <m/>
    <m/>
    <m/>
    <m/>
    <m/>
    <m/>
    <m/>
    <m/>
    <m/>
    <n v="2.1000000000000001E-2"/>
    <n v="0.109"/>
  </r>
  <r>
    <x v="3"/>
    <x v="19"/>
    <s v="Fresh or Not Specified"/>
    <s v="Conventional Multi tunnel Spain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No"/>
    <s v="Yes"/>
    <s v="No"/>
    <s v="No"/>
    <s v="No"/>
    <s v="No"/>
    <s v="No"/>
    <s v="Yes"/>
    <m/>
    <s v="Until market"/>
    <s v="No"/>
    <s v="Yes"/>
    <s v="1 kg loose tomatoes"/>
    <s v="N/A"/>
    <s v=""/>
    <s v=""/>
    <n v="0.29299999999999998"/>
    <s v=""/>
    <m/>
    <m/>
    <m/>
    <m/>
    <m/>
    <m/>
    <m/>
    <m/>
    <m/>
    <m/>
    <m/>
    <m/>
    <m/>
    <m/>
    <m/>
    <m/>
    <m/>
    <m/>
    <m/>
    <m/>
    <m/>
    <m/>
    <n v="0.29299999999999998"/>
    <n v="0.60899999999999999"/>
  </r>
  <r>
    <x v="3"/>
    <x v="19"/>
    <s v="Fresh or Not Specified"/>
    <s v="Conventional open field Italy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Yes"/>
    <s v="Yes"/>
    <s v="Yes"/>
    <s v="No"/>
    <s v="No"/>
    <s v="No"/>
    <s v="No"/>
    <s v="No"/>
    <s v="Yes"/>
    <m/>
    <s v="Until market"/>
    <s v="No"/>
    <s v="Yes"/>
    <s v="1 kg loose tomatoes"/>
    <s v="N/A"/>
    <s v=""/>
    <s v=""/>
    <n v="8.5999999999999993E-2"/>
    <s v=""/>
    <m/>
    <m/>
    <m/>
    <m/>
    <m/>
    <m/>
    <m/>
    <m/>
    <m/>
    <m/>
    <m/>
    <m/>
    <m/>
    <m/>
    <m/>
    <m/>
    <m/>
    <m/>
    <m/>
    <m/>
    <m/>
    <m/>
    <n v="8.5999999999999993E-2"/>
    <n v="0.28100000000000003"/>
  </r>
  <r>
    <x v="3"/>
    <x v="18"/>
    <s v="Other (Specify)"/>
    <s v="Conventional Austria Greenhouse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Yes"/>
    <s v="Yes"/>
    <s v="No"/>
    <s v="No"/>
    <s v="No"/>
    <s v="No"/>
    <s v="No"/>
    <s v="Yes"/>
    <m/>
    <s v="Until market"/>
    <s v="No"/>
    <s v="Yes"/>
    <s v="1 kg packaged tomato"/>
    <s v="N/A"/>
    <s v=""/>
    <s v=""/>
    <s v=""/>
    <s v=""/>
    <m/>
    <m/>
    <m/>
    <m/>
    <m/>
    <m/>
    <m/>
    <m/>
    <m/>
    <m/>
    <m/>
    <m/>
    <m/>
    <m/>
    <m/>
    <m/>
    <m/>
    <m/>
    <m/>
    <m/>
    <m/>
    <m/>
    <m/>
    <n v="1.367"/>
  </r>
  <r>
    <x v="3"/>
    <x v="19"/>
    <s v="Other (Specify)"/>
    <s v="Organic tunnel Austria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Yes"/>
    <s v="Yes"/>
    <s v="No"/>
    <s v="No"/>
    <s v="No"/>
    <s v="No"/>
    <s v="No"/>
    <s v="Yes"/>
    <m/>
    <s v="Until market"/>
    <s v="No"/>
    <s v="Yes"/>
    <s v="1 kg packaged tomato"/>
    <s v="N/A"/>
    <s v=""/>
    <s v=""/>
    <n v="2.1000000000000001E-2"/>
    <n v="0.10600000000000001"/>
    <m/>
    <m/>
    <m/>
    <m/>
    <m/>
    <m/>
    <m/>
    <m/>
    <m/>
    <m/>
    <m/>
    <m/>
    <m/>
    <n v="2.1000000000000001E-2"/>
    <n v="8.5000000000000006E-2"/>
    <m/>
    <n v="7.0999999999999994E-2"/>
    <m/>
    <m/>
    <m/>
    <m/>
    <m/>
    <n v="2.1000000000000001E-2"/>
    <n v="0.18"/>
  </r>
  <r>
    <x v="3"/>
    <x v="19"/>
    <s v="Other (Specify)"/>
    <s v="Conventional Multi tunnel Spain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No"/>
    <s v="Yes"/>
    <s v="Yes"/>
    <s v="No"/>
    <s v="No"/>
    <s v="No"/>
    <s v="No"/>
    <s v="No"/>
    <s v="Yes"/>
    <m/>
    <s v="Until market"/>
    <s v="No"/>
    <s v="Yes"/>
    <s v="1 kg packaged tomato"/>
    <s v="N/A"/>
    <s v=""/>
    <s v=""/>
    <n v="0.29299999999999998"/>
    <n v="0.68500000000000005"/>
    <m/>
    <m/>
    <m/>
    <m/>
    <m/>
    <m/>
    <m/>
    <m/>
    <m/>
    <m/>
    <m/>
    <m/>
    <m/>
    <n v="0.29299999999999998"/>
    <n v="0.39200000000000002"/>
    <m/>
    <n v="7.0999999999999994E-2"/>
    <m/>
    <m/>
    <m/>
    <m/>
    <m/>
    <n v="0.29299999999999998"/>
    <n v="0.75900000000000001"/>
  </r>
  <r>
    <x v="3"/>
    <x v="16"/>
    <s v="Canned"/>
    <s v="Conventional open field Italy grown"/>
    <s v="Yes"/>
    <s v="Austria"/>
    <n v="2013"/>
    <s v="Michaela Clarissa Theurl(a,b); Helmut Haberl (b) ;Karl-Heinz Erb (b); Thomas Lindenthal (a)"/>
    <s v="(a) Research Institute of Organic Agriculture Austria,_x000a_ Seidengasse 33-35/13, 1070 Vienna, Austria; (b) Institute of Social Ecology Vienna (SEC), Alpen-Adria_x000a_ Universitaet Klagenfurt, Graz, Wien,_x000a_ Schottenfeldgasse 29, 1070 Vienna, Austria"/>
    <s v="Peer Reviewed Journal"/>
    <s v="Theurl, M. C., Haberl, H., Erb, K. H. and Lindenthal, T., Contrasted greenhouse gas emissions from local versus long-range tomato production. Agronomy for Sustainable Development 2014, 34, 593-602."/>
    <s v="Yes"/>
    <s v="No"/>
    <s v="Yes"/>
    <s v="Yes"/>
    <s v="Yes"/>
    <s v="Yes"/>
    <s v="No"/>
    <s v="No"/>
    <s v="No"/>
    <s v="No"/>
    <s v="No"/>
    <s v="Yes"/>
    <m/>
    <s v="Until market"/>
    <s v="No"/>
    <s v="Yes"/>
    <s v="1 kg processed and packed tomato"/>
    <s v="N/A"/>
    <s v=""/>
    <s v=""/>
    <n v="8.500000000000002E-2"/>
    <n v="0.24200000000000005"/>
    <m/>
    <m/>
    <m/>
    <m/>
    <m/>
    <m/>
    <m/>
    <m/>
    <m/>
    <m/>
    <m/>
    <m/>
    <m/>
    <n v="8.500000000000002E-2"/>
    <n v="1.7999999999999999E-2"/>
    <n v="0.13900000000000001"/>
    <n v="0.44700000000000001"/>
    <n v="0.17799999999999999"/>
    <m/>
    <m/>
    <m/>
    <m/>
    <n v="8.500000000000002E-2"/>
    <n v="0.86799999999999999"/>
  </r>
  <r>
    <x v="4"/>
    <x v="20"/>
    <s v="Fresh or Not Specified"/>
    <s v="Organic grown "/>
    <s v="Yes"/>
    <s v="Ecuador"/>
    <n v="2015"/>
    <s v="Laura Roibása (a); Aziz Elbehrib (b); Almudena Hospidoa (a)"/>
    <s v="(a) Department of Chemical Engineering, Institute of Technology, University of Santiago de Compostela, 15782 Santiago de Compostela, Galicia, Spain; (b) Trade and Markets Division (EST), Food and Agriculture Organization of the United Nations,_x000a_ Viale delle Terme di Caracalla, 00153 Rome, Italy"/>
    <s v="Peer Reviewed Journal"/>
    <s v="Roibas, L., Elbehri, A. and Hospido, A., Evaluating the sustainability of Ecuadorian bananas: Carbon footprint, water usage and wealth distribution along the supply chain. Sustainable Production and Consumption 2015, 2 (July), 3-16."/>
    <s v="Yes"/>
    <s v="No"/>
    <s v="Yes"/>
    <s v="No"/>
    <s v="Yes"/>
    <s v="Yes"/>
    <s v="Yes"/>
    <s v="No"/>
    <s v="No"/>
    <s v="No"/>
    <s v="No"/>
    <s v="No"/>
    <s v="Waste disposal"/>
    <s v="Cradle to Grave"/>
    <s v="No"/>
    <s v="Yes"/>
    <s v="1 kg banana"/>
    <s v="N/A"/>
    <s v=""/>
    <s v=""/>
    <n v="0.249"/>
    <s v=""/>
    <m/>
    <m/>
    <m/>
    <m/>
    <m/>
    <m/>
    <m/>
    <m/>
    <m/>
    <m/>
    <m/>
    <m/>
    <m/>
    <n v="0.249"/>
    <m/>
    <m/>
    <n v="0.08"/>
    <n v="0.62719999999999998"/>
    <n v="6.4000000000000001E-2"/>
    <n v="0.2432"/>
    <m/>
    <m/>
    <n v="0.249"/>
    <n v="1.28"/>
  </r>
  <r>
    <x v="4"/>
    <x v="20"/>
    <s v="Fresh or Not Specified"/>
    <s v="Conventional grown"/>
    <s v="Yes"/>
    <s v="Ecuador"/>
    <n v="2015"/>
    <s v="Laura Roibása (a); Aziz Elbehrib (b); Almudena Hospidoa (a)"/>
    <s v="(a) Department of Chemical Engineering, Institute of Technology, University of Santiago de Compostela, 15782 Santiago de Compostela, Galicia, Spain; (b) Trade and Markets Division (EST), Food and Agriculture Organization of the United Nations,_x000a_ Viale delle Terme di Caracalla, 00153 Rome, Italy"/>
    <s v="Peer Reviewed Journal"/>
    <s v="Roibas, L., Elbehri, A. and Hospido, A., Evaluating the sustainability of Ecuadorian bananas: Carbon footprint, water usage and wealth distribution along the supply chain. Sustainable Production and Consumption 2015, 2 (July), 3-16."/>
    <s v="Yes"/>
    <s v="No"/>
    <s v="Yes"/>
    <s v="No"/>
    <s v="Yes"/>
    <s v="Yes"/>
    <s v="Yes"/>
    <s v="No"/>
    <s v="No"/>
    <s v="No"/>
    <s v="No"/>
    <s v="No"/>
    <s v="Waste disposal"/>
    <s v="Cradle to Grave"/>
    <s v="No"/>
    <s v="Yes"/>
    <s v="1 kg banana"/>
    <s v="N/A"/>
    <s v=""/>
    <s v=""/>
    <n v="0.30199999999999999"/>
    <s v=""/>
    <m/>
    <m/>
    <m/>
    <m/>
    <m/>
    <m/>
    <m/>
    <m/>
    <m/>
    <m/>
    <m/>
    <m/>
    <m/>
    <n v="0.30199999999999999"/>
    <m/>
    <m/>
    <n v="0.08"/>
    <n v="0.62719999999999998"/>
    <n v="6.4000000000000001E-2"/>
    <n v="0.2432"/>
    <m/>
    <m/>
    <n v="0.30199999999999999"/>
    <n v="1.28"/>
  </r>
  <r>
    <x v="0"/>
    <x v="0"/>
    <s v="Fresh or Not Specified"/>
    <s v="Liquid Milk"/>
    <s v="No"/>
    <s v="Global"/>
    <n v="2010"/>
    <s v="Pierre Gerber; Theun Vellinga; Klaas Dietze; Alessandra Falcucci; Guya Gianni; Jerome Mounsey; Luigi Maiorano; Carolyn Opio; Daniela Sironi; Olaf Thieme; Viola Weiler"/>
    <s v="Food and Agriculture Organization of the United Nations, Animal Production and Health Division"/>
    <s v="Peer Reviewed Journal"/>
    <s v="Gerber, P., Vellinga, T., Dietze, K., Falcucci, A., Gianni, G., Mounsey, J., Maiorano, L., Opio, C., Sironi, D., Thieme, O. and Weiler, V., Greenhouse gas emissions from the dairy sector: A life cycle assessment. FAO; 2010, 1-96."/>
    <s v="Yes"/>
    <s v="Yes"/>
    <s v="Yes"/>
    <s v="Yes"/>
    <s v="Yes"/>
    <s v="Yes"/>
    <s v="No"/>
    <s v="No"/>
    <s v="No"/>
    <s v="No"/>
    <s v="No"/>
    <s v="No"/>
    <m/>
    <s v="Cradle to Farm Gate; Processing to Retail"/>
    <s v="No"/>
    <s v="No"/>
    <s v="1 kg FPCM"/>
    <s v="N/A"/>
    <s v=""/>
    <s v=""/>
    <s v=""/>
    <s v=""/>
    <m/>
    <m/>
    <m/>
    <m/>
    <m/>
    <m/>
    <m/>
    <m/>
    <m/>
    <m/>
    <m/>
    <m/>
    <m/>
    <m/>
    <m/>
    <m/>
    <m/>
    <m/>
    <m/>
    <m/>
    <m/>
    <m/>
    <m/>
    <n v="2.4"/>
  </r>
  <r>
    <x v="0"/>
    <x v="21"/>
    <s v="Fresh or Not Specified"/>
    <s v="Margarine"/>
    <s v="No"/>
    <s v="UK"/>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18.2"/>
    <m/>
    <m/>
    <m/>
    <m/>
    <m/>
    <m/>
    <m/>
    <m/>
    <m/>
    <m/>
    <m/>
    <m/>
    <n v="1.1000000000000001"/>
  </r>
  <r>
    <x v="0"/>
    <x v="7"/>
    <s v="Fresh or Not Specified"/>
    <s v="Butter"/>
    <s v="No"/>
    <s v="UK"/>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42"/>
    <m/>
    <m/>
    <m/>
    <m/>
    <m/>
    <m/>
    <m/>
    <m/>
    <m/>
    <m/>
    <m/>
    <m/>
    <n v="9.6"/>
  </r>
  <r>
    <x v="0"/>
    <x v="21"/>
    <s v="Fresh or Not Specified"/>
    <s v="Margarine"/>
    <s v="No"/>
    <s v="Germany"/>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22"/>
    <m/>
    <m/>
    <m/>
    <m/>
    <m/>
    <m/>
    <m/>
    <m/>
    <m/>
    <m/>
    <m/>
    <m/>
    <n v="1.32"/>
  </r>
  <r>
    <x v="0"/>
    <x v="7"/>
    <s v="Fresh or Not Specified"/>
    <s v="Butter"/>
    <s v="No"/>
    <s v="Germany"/>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30"/>
    <m/>
    <m/>
    <m/>
    <m/>
    <m/>
    <m/>
    <m/>
    <m/>
    <m/>
    <m/>
    <m/>
    <m/>
    <n v="9"/>
  </r>
  <r>
    <x v="0"/>
    <x v="21"/>
    <s v="Fresh or Not Specified"/>
    <s v="Margarine"/>
    <s v="No"/>
    <s v="France"/>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26"/>
    <m/>
    <m/>
    <m/>
    <m/>
    <m/>
    <m/>
    <m/>
    <m/>
    <m/>
    <m/>
    <m/>
    <m/>
    <n v="1.66"/>
  </r>
  <r>
    <x v="0"/>
    <x v="7"/>
    <s v="Fresh or Not Specified"/>
    <s v="Butter"/>
    <s v="No"/>
    <s v="France"/>
    <n v="2010"/>
    <s v="Katarina Nilsson; Anna Flysjö; Jennifer Davis; Sarah Sim; Nicole Unger; Simon Bell"/>
    <m/>
    <s v="Peer Reviewed Journal"/>
    <s v="Nilsson, K., Flysjö, A., Davis, J., Sim, S., Unger, N. and Bell, S., Comparative life cycle assessment of margarine and butter consumed in the UK, Germany and France. International Journal of Life Cycle Assessment 2010, 15 (9), 916-926."/>
    <s v="Yes"/>
    <s v="No"/>
    <s v="Yes"/>
    <s v="Yes"/>
    <s v="Yes"/>
    <s v="No"/>
    <s v="No"/>
    <s v="No"/>
    <s v="No"/>
    <s v="No"/>
    <s v="No"/>
    <s v="No"/>
    <m/>
    <s v="Cradle to Processing Exit"/>
    <s v="No"/>
    <s v="No"/>
    <s v="500 g of packaged product"/>
    <s v="Multiply results by 2"/>
    <s v=""/>
    <s v=""/>
    <s v=""/>
    <s v=""/>
    <m/>
    <m/>
    <m/>
    <m/>
    <m/>
    <m/>
    <m/>
    <m/>
    <m/>
    <m/>
    <n v="32"/>
    <m/>
    <m/>
    <m/>
    <m/>
    <m/>
    <m/>
    <m/>
    <m/>
    <m/>
    <m/>
    <m/>
    <m/>
    <n v="7.2"/>
  </r>
  <r>
    <x v="5"/>
    <x v="22"/>
    <s v="Fresh or Not Specified"/>
    <s v="White bread, medium slices, plastic bag"/>
    <s v="No"/>
    <s v="UK"/>
    <n v="2011"/>
    <s v="Namy Espinoza-Orias; Heinz Stichnothe; Adisa Azapagic"/>
    <m/>
    <s v="Peer Reviewed Journal"/>
    <s v="Espinoza-Orias, N., Stichnothe, H. and Azapagic, A., The carbon footprint of bread. The International Journal of Life Cycle Assessment 2011, 16, 351-365."/>
    <s v="Yes"/>
    <s v="No"/>
    <s v="Yes"/>
    <s v="Yes"/>
    <s v="Yes"/>
    <s v="Yes"/>
    <s v="Yes"/>
    <s v="Yes"/>
    <s v="Yes"/>
    <s v="Yes"/>
    <s v="No"/>
    <s v="No"/>
    <m/>
    <s v="Cradle to Grave"/>
    <s v="Yes"/>
    <s v="Yes"/>
    <s v="800g loaf of sliced bread"/>
    <s v="Multiply results by 1.25"/>
    <s v=""/>
    <s v=""/>
    <n v="0.56147683749999999"/>
    <n v="0.93009182499999998"/>
    <m/>
    <m/>
    <m/>
    <m/>
    <m/>
    <m/>
    <m/>
    <m/>
    <m/>
    <m/>
    <m/>
    <m/>
    <m/>
    <n v="0.56147683749999999"/>
    <m/>
    <n v="0.36861498749999999"/>
    <n v="2.4885400000000002E-2"/>
    <n v="6.2057966249999999E-2"/>
    <n v="6.2213500000000005E-2"/>
    <n v="0.40376561500000002"/>
    <n v="7.450066625E-2"/>
    <m/>
    <n v="0.56147683749999999"/>
    <n v="1.5553375"/>
  </r>
  <r>
    <x v="5"/>
    <x v="22"/>
    <s v="Fresh or Not Specified"/>
    <s v="White bread, thick slices, plastic bag"/>
    <s v="No"/>
    <s v="UK"/>
    <n v="2011"/>
    <s v="Namy Espinoza-Orias; Heinz Stichnothe; Adisa Azapagic"/>
    <m/>
    <s v="Peer Reviewed Journal"/>
    <s v="Espinoza-Orias, N., Stichnothe, H. and Azapagic, A., The carbon footprint of bread. The International Journal of Life Cycle Assessment 2011, 16, 351-365."/>
    <s v="Yes"/>
    <s v="No"/>
    <s v="Yes"/>
    <s v="Yes"/>
    <s v="Yes"/>
    <s v="Yes"/>
    <s v="Yes"/>
    <s v="Yes"/>
    <s v="Yes"/>
    <s v="Yes"/>
    <s v="No"/>
    <s v="No"/>
    <m/>
    <s v="Cradle to Grave"/>
    <s v="Yes"/>
    <s v="Yes"/>
    <s v="800g loaf of sliced bread"/>
    <s v="Multiply results by 1.25"/>
    <s v=""/>
    <s v=""/>
    <n v="0.57533104874999996"/>
    <n v="0.94453064875000003"/>
    <m/>
    <m/>
    <m/>
    <m/>
    <m/>
    <m/>
    <m/>
    <m/>
    <m/>
    <m/>
    <m/>
    <m/>
    <m/>
    <n v="0.57533104874999996"/>
    <m/>
    <n v="0.36919960000000002"/>
    <n v="1.4983750000000001E-2"/>
    <n v="6.2587123750000001E-2"/>
    <n v="6.8775412500000008E-2"/>
    <n v="0.35046991249999998"/>
    <n v="6.8775412500000008E-2"/>
    <m/>
    <n v="0.57533104874999996"/>
    <n v="1.498375"/>
  </r>
  <r>
    <x v="5"/>
    <x v="22"/>
    <s v="Fresh or Not Specified"/>
    <s v="Wholemeal bread, medium slices, plastic bag"/>
    <s v="No"/>
    <s v="UK"/>
    <n v="2011"/>
    <s v="Namy Espinoza-Orias; Heinz Stichnothe; Adisa Azapagic"/>
    <m/>
    <s v="Peer Reviewed Journal"/>
    <s v="Espinoza-Orias, N., Stichnothe, H. and Azapagic, A., The carbon footprint of bread. The International Journal of Life Cycle Assessment 2011, 16, 351-365."/>
    <s v="Yes"/>
    <s v="No"/>
    <s v="Yes"/>
    <s v="Yes"/>
    <s v="Yes"/>
    <s v="Yes"/>
    <s v="Yes"/>
    <s v="Yes"/>
    <s v="Yes"/>
    <s v="Yes"/>
    <s v="No"/>
    <s v="No"/>
    <m/>
    <s v="Cradle to Grave"/>
    <s v="Yes"/>
    <s v="Yes"/>
    <s v="800g loaf of sliced bread"/>
    <s v="Multiply results by 1.25"/>
    <s v=""/>
    <s v=""/>
    <n v="0.4567740500000001"/>
    <n v="0.83780455500000017"/>
    <m/>
    <m/>
    <m/>
    <m/>
    <m/>
    <m/>
    <m/>
    <m/>
    <m/>
    <m/>
    <m/>
    <m/>
    <m/>
    <n v="0.4567740500000001"/>
    <m/>
    <n v="0.38103050500000007"/>
    <n v="2.5035843500000002E-2"/>
    <n v="5.6316193000000014E-2"/>
    <n v="5.6316193000000014E-2"/>
    <n v="0.40618198750000012"/>
    <n v="6.8805205000000022E-2"/>
    <m/>
    <n v="0.4567740500000001"/>
    <n v="1.4454875000000003"/>
  </r>
  <r>
    <x v="5"/>
    <x v="22"/>
    <s v="Fresh or Not Specified"/>
    <s v="Wholemeal bread, thick slices, plastic bag"/>
    <s v="No"/>
    <s v="UK"/>
    <n v="2011"/>
    <s v="Namy Espinoza-Orias; Heinz Stichnothe; Adisa Azapagic"/>
    <m/>
    <s v="Peer Reviewed Journal"/>
    <s v="Espinoza-Orias, N., Stichnothe, H. and Azapagic, A., The carbon footprint of bread. The International Journal of Life Cycle Assessment 2011, 16, 351-365."/>
    <s v="Yes"/>
    <s v="No"/>
    <s v="Yes"/>
    <s v="Yes"/>
    <s v="Yes"/>
    <s v="Yes"/>
    <s v="Yes"/>
    <s v="Yes"/>
    <s v="Yes"/>
    <s v="Yes"/>
    <s v="No"/>
    <s v="No"/>
    <m/>
    <s v="Cradle to Grave"/>
    <s v="Yes"/>
    <s v="Yes"/>
    <s v="800g loaf of sliced bread"/>
    <s v="Multiply results by 1.25"/>
    <s v=""/>
    <s v=""/>
    <n v="0.45680005000000001"/>
    <n v="0.83251461999999998"/>
    <m/>
    <m/>
    <m/>
    <m/>
    <m/>
    <m/>
    <m/>
    <m/>
    <m/>
    <m/>
    <m/>
    <m/>
    <m/>
    <n v="0.45680005000000001"/>
    <m/>
    <n v="0.37571457000000003"/>
    <n v="2.4992099999999996E-2"/>
    <n v="5.6232224999999997E-2"/>
    <n v="5.6232224999999997E-2"/>
    <n v="0.35960855000000003"/>
    <n v="6.2480249999999994E-2"/>
    <m/>
    <n v="0.45680005000000001"/>
    <n v="1.38845"/>
  </r>
  <r>
    <x v="1"/>
    <x v="23"/>
    <s v="Fresh or Not Specified"/>
    <s v="backyard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No"/>
    <s v="Yes"/>
    <s v="No"/>
    <s v="No"/>
    <s v="No"/>
    <s v="No"/>
    <s v="No"/>
    <s v="No"/>
    <s v="No"/>
    <s v="No"/>
    <s v="No"/>
    <m/>
    <m/>
    <s v="No"/>
    <s v="Yes"/>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7.5445816186556929"/>
    <s v=""/>
    <m/>
    <m/>
    <m/>
    <m/>
    <m/>
    <m/>
    <m/>
    <m/>
    <m/>
    <m/>
    <m/>
    <m/>
    <m/>
    <m/>
    <m/>
    <m/>
    <m/>
    <m/>
    <m/>
    <m/>
    <m/>
    <m/>
    <n v="7.5445816186556929"/>
    <n v="7.5445816186556929"/>
  </r>
  <r>
    <x v="1"/>
    <x v="23"/>
    <s v="Fresh or Not Specified"/>
    <s v="intermediate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Yes"/>
    <s v="Yes"/>
    <s v="Yes"/>
    <s v="No"/>
    <s v="Yes"/>
    <s v="No"/>
    <s v="No"/>
    <s v="No"/>
    <s v="No"/>
    <s v="No"/>
    <s v="No"/>
    <m/>
    <s v="LUC due to soybeans adds ~0.5 kg CO2e/kg CW here"/>
    <s v="No"/>
    <s v="Yes"/>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3676268861454037"/>
    <s v=""/>
    <m/>
    <m/>
    <m/>
    <m/>
    <m/>
    <m/>
    <m/>
    <m/>
    <m/>
    <m/>
    <m/>
    <m/>
    <m/>
    <m/>
    <m/>
    <m/>
    <m/>
    <m/>
    <m/>
    <m/>
    <m/>
    <m/>
    <n v="8.3676268861454037"/>
    <n v="8.9163237311385455"/>
  </r>
  <r>
    <x v="1"/>
    <x v="23"/>
    <s v="Fresh or Not Specified"/>
    <s v="industrial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Yes"/>
    <s v="Yes"/>
    <s v="Yes"/>
    <s v="No"/>
    <s v="Yes"/>
    <s v="No"/>
    <s v="No"/>
    <s v="No"/>
    <s v="No"/>
    <s v="No"/>
    <s v="No"/>
    <m/>
    <s v="LUC due to soybeans adds ~1.0 kg CO2e/kg CW here"/>
    <s v="No"/>
    <s v="Yes"/>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7.6817558299039774"/>
    <s v=""/>
    <m/>
    <m/>
    <m/>
    <m/>
    <m/>
    <m/>
    <m/>
    <m/>
    <m/>
    <m/>
    <m/>
    <m/>
    <m/>
    <m/>
    <m/>
    <m/>
    <m/>
    <m/>
    <m/>
    <m/>
    <m/>
    <m/>
    <n v="7.6817558299039774"/>
    <n v="8.3676268861454037"/>
  </r>
  <r>
    <x v="1"/>
    <x v="23"/>
    <s v="Fresh or Not Specified"/>
    <s v="industrial production"/>
    <s v="Yes"/>
    <s v="North America"/>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No"/>
    <s v="Yes"/>
    <s v="Yes"/>
    <s v="No"/>
    <s v="Yes"/>
    <s v="No"/>
    <s v="No"/>
    <s v="No"/>
    <s v="No"/>
    <s v="No"/>
    <s v="No"/>
    <m/>
    <m/>
    <s v="No"/>
    <s v="Yes"/>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5.6241426611796976"/>
    <s v=""/>
    <m/>
    <m/>
    <m/>
    <m/>
    <m/>
    <m/>
    <m/>
    <m/>
    <m/>
    <m/>
    <m/>
    <m/>
    <m/>
    <m/>
    <m/>
    <m/>
    <m/>
    <m/>
    <m/>
    <m/>
    <m/>
    <m/>
    <n v="5.6241426611796976"/>
    <n v="6.3100137174211248"/>
  </r>
  <r>
    <x v="1"/>
    <x v="24"/>
    <s v="Fresh or Not Specified"/>
    <s v="industrial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Yes"/>
    <s v="Yes"/>
    <s v="Yes"/>
    <s v="No"/>
    <s v="Yes"/>
    <s v="No"/>
    <s v="No"/>
    <s v="No"/>
    <s v="No"/>
    <s v="No"/>
    <s v="No"/>
    <m/>
    <s v="LUC due to soybeans ~1.0 kg CO2e/kg CW here"/>
    <s v="No"/>
    <s v="Yes"/>
    <s v="kg carcass weight"/>
    <s v="boneless = 77%*carcass (Sonesson, 2010)"/>
    <s v=""/>
    <s v=""/>
    <n v="6.3636363636363642"/>
    <s v=""/>
    <m/>
    <m/>
    <m/>
    <m/>
    <m/>
    <m/>
    <m/>
    <m/>
    <m/>
    <m/>
    <m/>
    <m/>
    <m/>
    <m/>
    <m/>
    <m/>
    <m/>
    <m/>
    <m/>
    <m/>
    <m/>
    <m/>
    <n v="6.3636363636363642"/>
    <n v="5.2"/>
  </r>
  <r>
    <x v="1"/>
    <x v="24"/>
    <s v="Fresh or Not Specified"/>
    <s v="industrial production"/>
    <s v="Yes"/>
    <s v="N. America"/>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No"/>
    <s v="Yes"/>
    <s v="Yes"/>
    <s v="No"/>
    <s v="Yes"/>
    <s v="No"/>
    <s v="No"/>
    <s v="No"/>
    <s v="No"/>
    <s v="No"/>
    <s v="No"/>
    <m/>
    <m/>
    <s v="No"/>
    <s v="Yes"/>
    <s v="kg carcass weight"/>
    <s v="boneless = 77%*carcass (Sonesson, 2010)"/>
    <s v=""/>
    <s v=""/>
    <n v="5.1948051948051948"/>
    <s v=""/>
    <m/>
    <m/>
    <m/>
    <m/>
    <m/>
    <m/>
    <m/>
    <m/>
    <m/>
    <m/>
    <m/>
    <m/>
    <m/>
    <m/>
    <m/>
    <m/>
    <m/>
    <m/>
    <m/>
    <m/>
    <m/>
    <m/>
    <n v="5.1948051948051948"/>
    <n v="4.4000000000000004"/>
  </r>
  <r>
    <x v="2"/>
    <x v="2"/>
    <s v="Fresh or Not Specified"/>
    <s v="industrial production"/>
    <s v="Yes"/>
    <s v="Global"/>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Yes"/>
    <s v="Yes"/>
    <s v="Yes"/>
    <s v="No"/>
    <s v="Yes"/>
    <s v="No"/>
    <s v="No"/>
    <s v="No"/>
    <s v="No"/>
    <s v="No"/>
    <s v="No"/>
    <m/>
    <s v="LUC due to soybeans ~1.1 kg CO2e/kg CW here"/>
    <s v="No"/>
    <s v="Yes"/>
    <s v="kg egg"/>
    <m/>
    <s v=""/>
    <s v=""/>
    <n v="3.4"/>
    <s v=""/>
    <m/>
    <m/>
    <m/>
    <m/>
    <m/>
    <m/>
    <m/>
    <m/>
    <m/>
    <m/>
    <m/>
    <m/>
    <m/>
    <m/>
    <m/>
    <m/>
    <m/>
    <m/>
    <m/>
    <m/>
    <m/>
    <m/>
    <n v="3.4"/>
    <n v="3.7"/>
  </r>
  <r>
    <x v="2"/>
    <x v="2"/>
    <s v="Fresh or Not Specified"/>
    <s v="industrial production"/>
    <s v="Yes"/>
    <s v="N. America"/>
    <n v="2013"/>
    <s v="MacLeod, M., Gerber, P., Mottet, A., Tempio, G., Falcucci, A., Opio, C., Vellinga, T., Henderson, B. &amp; Steinfeld, H"/>
    <s v="UN FAO Animal Production and Health Division"/>
    <s v="Government Report"/>
    <s v="Macleod, M., Gerber, P., Mottet, A., Tempio, G., Falcucci, A., Opio, C., Vellinga, T., Henderson, B. and Steinfeld, H., Greenhouse gas emissions from pig and chicken supply chains - A global life cycle assessment. Rome: FAO; 2013. Report No.: 9789251079447."/>
    <s v="Yes"/>
    <s v="No"/>
    <s v="Yes"/>
    <s v="Yes"/>
    <s v="No"/>
    <s v="Yes"/>
    <s v="No"/>
    <s v="No"/>
    <s v="No"/>
    <s v="No"/>
    <s v="No"/>
    <s v="No"/>
    <m/>
    <m/>
    <s v="No"/>
    <s v="Yes"/>
    <s v="kg egg"/>
    <m/>
    <s v=""/>
    <s v=""/>
    <n v="2.75"/>
    <s v=""/>
    <m/>
    <m/>
    <m/>
    <m/>
    <m/>
    <m/>
    <m/>
    <m/>
    <m/>
    <m/>
    <m/>
    <m/>
    <m/>
    <m/>
    <m/>
    <m/>
    <m/>
    <m/>
    <m/>
    <m/>
    <m/>
    <m/>
    <n v="2.75"/>
    <n v="2.85"/>
  </r>
  <r>
    <x v="1"/>
    <x v="3"/>
    <s v="Fresh or Not Specified"/>
    <s v="normal operation"/>
    <s v="Yes"/>
    <s v="USA, Northern Great Plains"/>
    <n v="2013"/>
    <s v="Christopher D. Lupo, David E. Clay, Jennifer L. Benning, and James J. Stone"/>
    <s v="C.D. Lupo, J.L. Benning, and J.J. Stone, Dep. of Civil and Environmental Engineering,South Dakota School of Mines and Technology, Rapid City, SD 57701; D.E. Clay, Dep. of Plant Sciences, South Dakota State Univ., Brookings, SD 57007."/>
    <s v="Peer Reviewed Journal"/>
    <s v="Lupo, C. D., Clay, D. E., Benning, J. L. and Stone, J. J., Life-cycle assessment of the beef cattle production system for the northern great plains, USA. Journal of environmental quality 2013, 42 (5), 1386-94."/>
    <s v="Yes"/>
    <s v="No"/>
    <s v="No"/>
    <s v="No"/>
    <s v="No"/>
    <s v="No"/>
    <s v="No"/>
    <s v="No"/>
    <s v="No"/>
    <s v="No"/>
    <s v="No"/>
    <s v="No"/>
    <m/>
    <m/>
    <s v="No"/>
    <s v="No"/>
    <s v="kg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4.482758620689651"/>
    <s v=""/>
    <m/>
    <m/>
    <m/>
    <m/>
    <m/>
    <m/>
    <m/>
    <m/>
    <m/>
    <m/>
    <m/>
    <m/>
    <m/>
    <m/>
    <m/>
    <m/>
    <m/>
    <m/>
    <m/>
    <m/>
    <m/>
    <m/>
    <n v="34.482758620689651"/>
    <m/>
  </r>
  <r>
    <x v="1"/>
    <x v="3"/>
    <s v="Fresh or Not Specified"/>
    <s v="early weaning"/>
    <s v="Yes"/>
    <s v="USA, Northern Great Plains"/>
    <n v="2013"/>
    <s v="Christopher D. Lupo, David E. Clay, Jennifer L. Benning, and James J. Stone"/>
    <s v="C.D. Lupo, J.L. Benning, and J.J. Stone, Dep. of Civil and Environmental Engineering,South Dakota School of Mines and Technology, Rapid City, SD 57701; D.E. Clay, Dep. of Plant Sciences, South Dakota State Univ., Brookings, SD 57007."/>
    <s v="Peer Reviewed Journal"/>
    <s v="Lupo, C. D., Clay, D. E., Benning, J. L. and Stone, J. J., Life-cycle assessment of the beef cattle production system for the northern great plains, USA. Journal of environmental quality 2013, 42 (5), 1386-94."/>
    <s v="Yes"/>
    <s v="No"/>
    <s v="No"/>
    <s v="No"/>
    <s v="No"/>
    <s v="No"/>
    <s v="No"/>
    <s v="No"/>
    <s v="No"/>
    <s v="No"/>
    <s v="No"/>
    <s v="No"/>
    <m/>
    <m/>
    <s v="No"/>
    <s v="No"/>
    <s v="kg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6.131934032983509"/>
    <s v=""/>
    <m/>
    <m/>
    <m/>
    <m/>
    <m/>
    <m/>
    <m/>
    <m/>
    <m/>
    <m/>
    <m/>
    <m/>
    <m/>
    <m/>
    <m/>
    <m/>
    <m/>
    <m/>
    <m/>
    <m/>
    <m/>
    <m/>
    <n v="36.131934032983509"/>
    <m/>
  </r>
  <r>
    <x v="1"/>
    <x v="3"/>
    <s v="Fresh or Not Specified"/>
    <s v="fast-track backgrounding"/>
    <s v="Yes"/>
    <s v="USA, Northern Great Plains"/>
    <n v="2013"/>
    <s v="Christopher D. Lupo, David E. Clay, Jennifer L. Benning, and James J. Stone"/>
    <s v="C.D. Lupo, J.L. Benning, and J.J. Stone, Dep. of Civil and Environmental Engineering,South Dakota School of Mines and Technology, Rapid City, SD 57701; D.E. Clay, Dep. of Plant Sciences, South Dakota State Univ., Brookings, SD 57007."/>
    <s v="Peer Reviewed Journal"/>
    <s v="Lupo, C. D., Clay, D. E., Benning, J. L. and Stone, J. J., Life-cycle assessment of the beef cattle production system for the northern great plains, USA. Journal of environmental quality 2013, 42 (5), 1386-94."/>
    <s v="Yes"/>
    <s v="No"/>
    <s v="No"/>
    <s v="No"/>
    <s v="No"/>
    <s v="No"/>
    <s v="No"/>
    <s v="No"/>
    <s v="No"/>
    <s v="No"/>
    <s v="No"/>
    <s v="No"/>
    <m/>
    <m/>
    <s v="No"/>
    <s v="No"/>
    <s v="kg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4.332833583208391"/>
    <s v=""/>
    <m/>
    <m/>
    <m/>
    <m/>
    <m/>
    <m/>
    <m/>
    <m/>
    <m/>
    <m/>
    <m/>
    <m/>
    <m/>
    <m/>
    <m/>
    <m/>
    <m/>
    <m/>
    <m/>
    <m/>
    <m/>
    <m/>
    <n v="34.332833583208391"/>
    <m/>
  </r>
  <r>
    <x v="1"/>
    <x v="3"/>
    <s v="Fresh or Not Specified"/>
    <s v="grassfed"/>
    <s v="Yes"/>
    <s v="USA, Northern Great Plains"/>
    <n v="2013"/>
    <s v="Christopher D. Lupo, David E. Clay, Jennifer L. Benning, and James J. Stone"/>
    <s v="C.D. Lupo, J.L. Benning, and J.J. Stone, Dep. of Civil and Environmental Engineering,South Dakota School of Mines and Technology, Rapid City, SD 57701; D.E. Clay, Dep. of Plant Sciences, South Dakota State Univ., Brookings, SD 57007."/>
    <s v="Peer Reviewed Journal"/>
    <s v="Lupo, C. D., Clay, D. E., Benning, J. L. and Stone, J. J., Life-cycle assessment of the beef cattle production system for the northern great plains, USA. Journal of environmental quality 2013, 42 (5), 1386-94."/>
    <s v="Yes"/>
    <s v="No"/>
    <s v="No"/>
    <s v="No"/>
    <s v="No"/>
    <s v="No"/>
    <s v="No"/>
    <s v="No"/>
    <s v="No"/>
    <s v="No"/>
    <s v="No"/>
    <s v="No"/>
    <m/>
    <m/>
    <s v="No"/>
    <s v="No"/>
    <s v="kg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7.376311844077961"/>
    <s v=""/>
    <m/>
    <m/>
    <m/>
    <m/>
    <m/>
    <m/>
    <m/>
    <m/>
    <m/>
    <m/>
    <m/>
    <m/>
    <m/>
    <m/>
    <m/>
    <m/>
    <m/>
    <m/>
    <m/>
    <m/>
    <m/>
    <m/>
    <n v="47.376311844077961"/>
    <m/>
  </r>
  <r>
    <x v="1"/>
    <x v="3"/>
    <s v="Fresh or Not Specified"/>
    <s v="feedlot finishing"/>
    <s v="Yes"/>
    <s v="USA, Upper Midwest"/>
    <n v="2010"/>
    <s v="Nathan Pelletier a,*, Rich Pirog b, Rebecca Rasmussen b"/>
    <s v="a School for Resource and Environmental Studies, Dalhousie University, Suite 5010, 6100 University Ave., Halifax, Nova Scotia, Canada B3H 3J5 b Leopold Center for Sustainable Agriculture, 209 Curtis Hall, Iowa State University, Ames, Iowa 50011-1050, United States"/>
    <s v="Peer Reviewed Journal"/>
    <s v="Pelletier, N., Pirog, R. and Rasmussen, R., Comparative life cycle environmental impacts of three beef production strategies in the Upper Midwestern United States. Agricultural Systems 2010, 103 (6), 380-389."/>
    <s v="Yes"/>
    <s v="No"/>
    <s v="No"/>
    <s v="No"/>
    <s v="No"/>
    <s v="No"/>
    <s v="No"/>
    <s v="No"/>
    <s v="No"/>
    <s v="No"/>
    <s v="No"/>
    <s v="No"/>
    <m/>
    <s v="cradle to farm gate"/>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6.815920398009951"/>
    <s v=""/>
    <m/>
    <m/>
    <m/>
    <m/>
    <m/>
    <m/>
    <m/>
    <m/>
    <m/>
    <m/>
    <m/>
    <m/>
    <m/>
    <m/>
    <m/>
    <m/>
    <m/>
    <m/>
    <m/>
    <m/>
    <m/>
    <m/>
    <n v="36.815920398009951"/>
    <m/>
  </r>
  <r>
    <x v="1"/>
    <x v="3"/>
    <s v="Fresh or Not Specified"/>
    <s v="background/feedlot finish"/>
    <s v="Yes"/>
    <s v="USA, Upper Midwest"/>
    <n v="2010"/>
    <s v="Nathan Pelletier a,*, Rich Pirog b, Rebecca Rasmussen b"/>
    <s v="a School for Resource and Environmental Studies, Dalhousie University, Suite 5010, 6100 University Ave., Halifax, Nova Scotia, Canada B3H 3J5 b Leopold Center for Sustainable Agriculture, 209 Curtis Hall, Iowa State University, Ames, Iowa 50011-1050, United States"/>
    <s v="Peer Reviewed Journal"/>
    <s v="Pelletier, N., Pirog, R. and Rasmussen, R., Comparative life cycle environmental impacts of three beef production strategies in the Upper Midwestern United States. Agricultural Systems 2010, 103 (6), 380-389."/>
    <s v="Yes"/>
    <s v="No"/>
    <s v="No"/>
    <s v="No"/>
    <s v="No"/>
    <s v="No"/>
    <s v="No"/>
    <s v="No"/>
    <s v="No"/>
    <s v="No"/>
    <s v="No"/>
    <s v="No"/>
    <m/>
    <s v="cradle to farm gate"/>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0.298507462686565"/>
    <s v=""/>
    <m/>
    <m/>
    <m/>
    <m/>
    <m/>
    <m/>
    <m/>
    <m/>
    <m/>
    <m/>
    <m/>
    <m/>
    <m/>
    <m/>
    <m/>
    <m/>
    <m/>
    <m/>
    <m/>
    <m/>
    <m/>
    <m/>
    <n v="40.298507462686565"/>
    <m/>
  </r>
  <r>
    <x v="1"/>
    <x v="3"/>
    <s v="Fresh or Not Specified"/>
    <s v="pasture finishing"/>
    <s v="Yes"/>
    <s v="USA, Upper Midwest"/>
    <n v="2010"/>
    <s v="Nathan Pelletier a,*, Rich Pirog b, Rebecca Rasmussen b"/>
    <s v="a School for Resource and Environmental Studies, Dalhousie University, Suite 5010, 6100 University Ave., Halifax, Nova Scotia, Canada B3H 3J5 b Leopold Center for Sustainable Agriculture, 209 Curtis Hall, Iowa State University, Ames, Iowa 50011-1050, United States"/>
    <s v="Peer Reviewed Journal"/>
    <s v="Pelletier, N., Pirog, R. and Rasmussen, R., Comparative life cycle environmental impacts of three beef production strategies in the Upper Midwestern United States. Agricultural Systems 2010, 103 (6), 380-389."/>
    <s v="Yes"/>
    <s v="No"/>
    <s v="No"/>
    <s v="No"/>
    <s v="No"/>
    <s v="No"/>
    <s v="No"/>
    <s v="No"/>
    <s v="No"/>
    <s v="No"/>
    <s v="No"/>
    <s v="No"/>
    <m/>
    <s v="cradle to farm gate"/>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7.761194029850742"/>
    <s v=""/>
    <m/>
    <m/>
    <m/>
    <m/>
    <m/>
    <m/>
    <m/>
    <m/>
    <m/>
    <m/>
    <m/>
    <m/>
    <m/>
    <m/>
    <m/>
    <m/>
    <m/>
    <m/>
    <m/>
    <m/>
    <m/>
    <m/>
    <n v="47.761194029850742"/>
    <m/>
  </r>
  <r>
    <x v="1"/>
    <x v="3"/>
    <s v="Fresh or Not Specified"/>
    <s v="feedlot finishing (ave of 2002 &amp; 2004 data)"/>
    <s v="No"/>
    <s v="Australia (New South Wales)"/>
    <n v="2010"/>
    <s v="Peters, Gregory M; Rowley, Hazel V; Wiedemann, Stephen; Tucker, Robyn; Short, Michael D;Schulz, Matthias"/>
    <s v="UNSW Water Research Centre, The University of New South Wales, UNSW Sydney, NSW 2052, and FSA Consulting, Toowoomba, Queensland, Australia"/>
    <s v="Peer Reviewed Journal"/>
    <s v="Peters, G. M., Rowley, H. V., Wiedemann, S., Tucker, R., Short, M. D. and Schulz, M., Red Meat Production in Australia: Life Cycle Assessment and Comparison with Overseas Studies. Environmental Science &amp; Technology 2010, 44 (4), 1327-1332."/>
    <s v="Yes"/>
    <s v="No"/>
    <s v="Yes"/>
    <s v="Yes"/>
    <s v="No"/>
    <s v="No"/>
    <s v="No"/>
    <s v="No"/>
    <s v="No"/>
    <s v="No"/>
    <s v="No"/>
    <s v="No"/>
    <m/>
    <s v="processing plant gate"/>
    <s v="No"/>
    <s v="No"/>
    <s v="kg hot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2.788605697151421"/>
    <s v=""/>
    <m/>
    <m/>
    <m/>
    <m/>
    <m/>
    <m/>
    <m/>
    <m/>
    <m/>
    <m/>
    <m/>
    <s v="primary energy"/>
    <m/>
    <m/>
    <m/>
    <m/>
    <m/>
    <m/>
    <m/>
    <m/>
    <m/>
    <m/>
    <n v="22.788605697151421"/>
    <m/>
  </r>
  <r>
    <x v="1"/>
    <x v="3"/>
    <s v="Fresh or Not Specified"/>
    <s v="organic (ave of 2002 &amp; 2004 data)"/>
    <s v="No"/>
    <s v="Australia (Victoria)"/>
    <n v="2010"/>
    <s v="Peters, Gregory M; Rowley, Hazel V; Wiedemann, Stephen; Tucker, Robyn; Short, Michael D;Schulz, Matthias"/>
    <s v="UNSW Water Research Centre, The University of New South Wales, UNSW Sydney, NSW 2052, and FSA Consulting, Toowoomba, Queensland, Australia"/>
    <s v="Peer Reviewed Journal"/>
    <s v="Peters, G. M., Rowley, H. V., Wiedemann, S., Tucker, R., Short, M. D. and Schulz, M., Red Meat Production in Australia: Life Cycle Assessment and Comparison with Overseas Studies. Environmental Science &amp; Technology 2010, 44 (4), 1327-1332."/>
    <s v="Yes"/>
    <s v="No"/>
    <s v="Yes"/>
    <s v="Yes"/>
    <s v="No"/>
    <s v="No"/>
    <s v="No"/>
    <s v="No"/>
    <s v="No"/>
    <s v="No"/>
    <s v="No"/>
    <s v="No"/>
    <m/>
    <s v="processing plant gate"/>
    <s v="No"/>
    <s v="No"/>
    <s v="kg hot standard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2.263868065967014"/>
    <s v=""/>
    <m/>
    <m/>
    <m/>
    <m/>
    <m/>
    <m/>
    <m/>
    <m/>
    <m/>
    <m/>
    <m/>
    <m/>
    <m/>
    <m/>
    <m/>
    <m/>
    <m/>
    <m/>
    <m/>
    <m/>
    <m/>
    <m/>
    <n v="22.263868065967014"/>
    <m/>
  </r>
  <r>
    <x v="1"/>
    <x v="1"/>
    <s v="Fresh or Not Specified"/>
    <s v="(ave of 2002 &amp; 2004 data)"/>
    <s v="No"/>
    <s v="Australia (Western)"/>
    <n v="2010"/>
    <s v="Peters, Gregory M; Rowley, Hazel V; Wiedemann, Stephen; Tucker, Robyn; Short, Michael D;Schulz, Matthias"/>
    <s v="UNSW Water Research Centre, The University of New South Wales, UNSW Sydney, NSW 2052, and FSA Consulting, Toowoomba, Queensland, Australia"/>
    <s v="Peer Reviewed Journal"/>
    <s v="Peters, G. M., Rowley, H. V., Wiedemann, S., Tucker, R., Short, M. D. and Schulz, M., Red Meat Production in Australia: Life Cycle Assessment and Comparison with Overseas Studies. Environmental Science &amp; Technology 2010, 44 (4), 1327-1332."/>
    <s v="Yes"/>
    <s v="No"/>
    <s v="Yes"/>
    <s v="Yes"/>
    <s v="No"/>
    <s v="No"/>
    <s v="No"/>
    <s v="No"/>
    <s v="No"/>
    <s v="No"/>
    <s v="No"/>
    <s v="No"/>
    <m/>
    <s v="processing plant gate"/>
    <s v="No"/>
    <s v="No"/>
    <s v="kg hot standard carcass weight"/>
    <s v="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5.957446808510637"/>
    <s v=""/>
    <m/>
    <m/>
    <m/>
    <m/>
    <m/>
    <m/>
    <m/>
    <m/>
    <m/>
    <m/>
    <m/>
    <m/>
    <m/>
    <m/>
    <m/>
    <m/>
    <m/>
    <m/>
    <m/>
    <m/>
    <m/>
    <m/>
    <n v="15.957446808510637"/>
    <m/>
  </r>
  <r>
    <x v="1"/>
    <x v="3"/>
    <s v="Fresh or Not Specified"/>
    <s v="Phase 1 study: on-farm data are representative of the U.S. Department of Agriculture’s Roman L. Hruska Meat Animal Research Center (USMARC) located in Clay Center, Nebraska.  Including only 2011 values here"/>
    <s v="n"/>
    <s v="USA"/>
    <n v="2013"/>
    <s v="Thomas Battagliese, Juliana Andrade, Isabel Schulze, Bruce Uhlman, Cristian Barcan"/>
    <s v="BASF Corporation, 100 Park Avenue, Florham Park, NJ, 07932"/>
    <s v="Industry Based Report"/>
    <s v="Battagliese, T., Andrade, J., Schulze, I., Uhlman, B. and Barcan, C., More Sustainable Beef Optimization Project Phase 1. BASF; 2013."/>
    <s v="Yes"/>
    <s v="No"/>
    <s v="Yes"/>
    <s v="Yes"/>
    <s v="Yes"/>
    <s v="Yes"/>
    <s v="Yes"/>
    <s v="Yes"/>
    <s v="Yes"/>
    <s v="Yes"/>
    <s v="No"/>
    <s v="No"/>
    <m/>
    <m/>
    <s v="Yes"/>
    <s v="Yes"/>
    <s v="1 pound of consumed,boneless, edible beef"/>
    <s v="*0.45359237 to convert to kg"/>
    <n v="43.805851496135176"/>
    <n v="54.828964605379056"/>
    <n v="41.226443028572106"/>
    <n v="41.667367552941862"/>
    <n v="43.805851496135176"/>
    <m/>
    <n v="11.023113109243878"/>
    <n v="17.636980974790205"/>
    <m/>
    <n v="55.115565546219393"/>
    <n v="61.729433411765719"/>
    <m/>
    <m/>
    <n v="43.805851496135176"/>
    <n v="189.31094453815436"/>
    <m/>
    <m/>
    <n v="41.226443028572106"/>
    <m/>
    <n v="0.44092452436975516"/>
    <n v="0.66138678655463268"/>
    <m/>
    <n v="5.4013254235295012"/>
    <n v="4.1887829815126736"/>
    <m/>
    <m/>
    <n v="41.226443028572106"/>
    <n v="52.029093875631112"/>
  </r>
  <r>
    <x v="1"/>
    <x v="3"/>
    <s v="Fresh or Not Specified"/>
    <m/>
    <s v="n"/>
    <s v="Canada"/>
    <n v="2010"/>
    <s v="Karen A. Beauchemin *, H. Henry Janzen, Shannan M. Little, Tim A. McAllister, Sean M. McGinn"/>
    <s v="Agriculture and Agri-Food Canada, Lethbridge, AB, Canada T1J 4B1"/>
    <s v="Peer Reviewed Journal"/>
    <s v="Beauchemin, K. A., Janzen, H. H., Little, S. M., Mcallister, T. A. and Mcginn, S. M., Life cycle assessment of greenhouse gas emissions from beef production in western Canada: A case study. Agricultural Systems 2010, 103 (6), 371-379."/>
    <s v="Yes"/>
    <s v="No"/>
    <s v="No"/>
    <s v="No"/>
    <s v="No"/>
    <s v="No"/>
    <s v="No"/>
    <s v="No"/>
    <s v="No"/>
    <s v="No"/>
    <s v="No"/>
    <s v="No"/>
    <m/>
    <s v="considers cow-calf &amp; feedlot operations; to farm ga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2.53373313343328"/>
    <s v=""/>
    <m/>
    <m/>
    <m/>
    <m/>
    <m/>
    <m/>
    <m/>
    <m/>
    <m/>
    <m/>
    <m/>
    <m/>
    <m/>
    <m/>
    <m/>
    <m/>
    <m/>
    <m/>
    <m/>
    <m/>
    <m/>
    <m/>
    <n v="32.53373313343328"/>
    <m/>
  </r>
  <r>
    <x v="1"/>
    <x v="3"/>
    <s v="Fresh or Not Specified"/>
    <s v="suckler cow-calf beef"/>
    <s v="n"/>
    <s v="European Union"/>
    <n v="2010"/>
    <s v="Thu Lan T. Nguyen*, John E. Hermansen, Lisbeth Mogensen"/>
    <s v="Aarhus University, Faculty of Agricultural Sciences, Department of Agroecology and Environment, Blichers Alle´ 20, Postbox 50, DK-8830 Tjele, Denmark"/>
    <s v="Peer Reviewed Journal"/>
    <s v="Nguyen, T. L. T., Hermansen, J. E. and Mogensen, L., Environmental consequences of different beef production systems in the EU. Journal of Cleaner Production 2010, 18 (8), 756-766."/>
    <s v="Yes"/>
    <s v="Yes"/>
    <s v="No"/>
    <s v="No"/>
    <s v="No"/>
    <s v="No"/>
    <s v="No"/>
    <s v="No"/>
    <s v="No"/>
    <s v="No"/>
    <s v="No"/>
    <s v="No"/>
    <m/>
    <s v="land use is considered separately; not inlcuded here"/>
    <s v="No"/>
    <s v="No"/>
    <s v="kg meat (slaughter weight)"/>
    <m/>
    <s v=""/>
    <s v=""/>
    <n v="27.3"/>
    <s v=""/>
    <m/>
    <m/>
    <m/>
    <m/>
    <m/>
    <m/>
    <m/>
    <m/>
    <m/>
    <m/>
    <m/>
    <s v="Impact 2002+"/>
    <m/>
    <m/>
    <m/>
    <m/>
    <m/>
    <m/>
    <m/>
    <m/>
    <m/>
    <m/>
    <n v="27.3"/>
    <m/>
  </r>
  <r>
    <x v="1"/>
    <x v="25"/>
    <s v="Fresh or Not Specified"/>
    <s v="dairy bull calf steers, 24 mo. at slaughter"/>
    <s v="n"/>
    <s v="European Union"/>
    <n v="2010"/>
    <s v="Thu Lan T. Nguyen*, John E. Hermansen, Lisbeth Mogensen"/>
    <s v="Aarhus University, Faculty of Agricultural Sciences, Department of Agroecology and Environment, Blichers Alle´ 20, Postbox 50, DK-8830 Tjele, Denmark"/>
    <s v="Peer Reviewed Journal"/>
    <s v="Nguyen, T. L. T., Hermansen, J. E. and Mogensen, L., Environmental consequences of different beef production systems in the EU. Journal of Cleaner Production 2010, 18 (8), 756-766."/>
    <s v="Yes"/>
    <s v="Yes"/>
    <s v="No"/>
    <s v="No"/>
    <s v="No"/>
    <s v="No"/>
    <s v="No"/>
    <s v="No"/>
    <s v="No"/>
    <s v="No"/>
    <s v="No"/>
    <s v="No"/>
    <m/>
    <s v="land use is considered separately; not inlcuded here"/>
    <s v="No"/>
    <s v="No"/>
    <s v="kg meat (slaughter weight)"/>
    <m/>
    <s v=""/>
    <s v=""/>
    <n v="19.899999999999999"/>
    <s v=""/>
    <m/>
    <m/>
    <m/>
    <m/>
    <m/>
    <m/>
    <m/>
    <m/>
    <m/>
    <m/>
    <m/>
    <s v="Impact 2002+"/>
    <m/>
    <m/>
    <m/>
    <m/>
    <m/>
    <m/>
    <m/>
    <m/>
    <m/>
    <m/>
    <n v="19.899999999999999"/>
    <m/>
  </r>
  <r>
    <x v="1"/>
    <x v="3"/>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58.620689655172413"/>
    <s v=""/>
    <m/>
    <m/>
    <m/>
    <m/>
    <m/>
    <m/>
    <m/>
    <m/>
    <m/>
    <m/>
    <m/>
    <m/>
    <m/>
    <n v="58.620689655172413"/>
    <m/>
    <m/>
    <n v="7.4962518740629688E-2"/>
    <m/>
    <m/>
    <m/>
    <m/>
    <m/>
    <n v="58.620689655172413"/>
    <n v="59.070464767616187"/>
  </r>
  <r>
    <x v="1"/>
    <x v="3"/>
    <s v="Fresh or Not Specified"/>
    <s v="2005 base year"/>
    <s v="Yes"/>
    <s v="N America"/>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3.478260869565212"/>
    <s v=""/>
    <m/>
    <m/>
    <m/>
    <m/>
    <m/>
    <m/>
    <m/>
    <m/>
    <m/>
    <m/>
    <m/>
    <m/>
    <m/>
    <n v="43.478260869565212"/>
    <m/>
    <m/>
    <n v="7.4962518740629688E-2"/>
    <m/>
    <m/>
    <m/>
    <m/>
    <m/>
    <n v="43.478260869565212"/>
    <n v="43.778110944527732"/>
  </r>
  <r>
    <x v="0"/>
    <x v="0"/>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n v="2.61"/>
    <s v=""/>
    <m/>
    <m/>
    <m/>
    <m/>
    <m/>
    <m/>
    <m/>
    <m/>
    <m/>
    <m/>
    <m/>
    <m/>
    <m/>
    <m/>
    <m/>
    <m/>
    <m/>
    <m/>
    <m/>
    <m/>
    <m/>
    <m/>
    <n v="2.61"/>
    <n v="2.79"/>
  </r>
  <r>
    <x v="0"/>
    <x v="0"/>
    <s v="Fresh or Not Specified"/>
    <s v="2005 base year"/>
    <s v="Yes"/>
    <s v="N America"/>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n v="1.41"/>
    <s v=""/>
    <m/>
    <m/>
    <m/>
    <m/>
    <m/>
    <m/>
    <m/>
    <m/>
    <m/>
    <m/>
    <m/>
    <m/>
    <m/>
    <m/>
    <m/>
    <m/>
    <m/>
    <m/>
    <m/>
    <m/>
    <m/>
    <m/>
    <n v="1.41"/>
    <n v="1.69"/>
  </r>
  <r>
    <x v="0"/>
    <x v="26"/>
    <s v="Fresh or Not Specified"/>
    <s v="Buffalo Milk, 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n v="3.16"/>
    <s v=""/>
    <m/>
    <m/>
    <m/>
    <m/>
    <m/>
    <m/>
    <m/>
    <m/>
    <m/>
    <m/>
    <m/>
    <m/>
    <m/>
    <m/>
    <m/>
    <m/>
    <m/>
    <m/>
    <m/>
    <m/>
    <m/>
    <m/>
    <n v="3.16"/>
    <n v="3.38"/>
  </r>
  <r>
    <x v="1"/>
    <x v="1"/>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carcass weight"/>
    <s v="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n v="6.8389057750759878"/>
    <n v="36.398176291793312"/>
    <s v=""/>
    <m/>
    <m/>
    <n v="6.8389057750759878"/>
    <m/>
    <m/>
    <m/>
    <m/>
    <m/>
    <m/>
    <m/>
    <m/>
    <m/>
    <m/>
    <n v="36.398176291793312"/>
    <m/>
    <m/>
    <n v="7.598784194528875E-2"/>
    <m/>
    <m/>
    <m/>
    <m/>
    <m/>
    <n v="36.398176291793312"/>
    <n v="36.474164133738597"/>
  </r>
  <r>
    <x v="0"/>
    <x v="27"/>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s v=""/>
    <s v=""/>
    <m/>
    <m/>
    <m/>
    <m/>
    <m/>
    <m/>
    <m/>
    <m/>
    <m/>
    <m/>
    <m/>
    <m/>
    <m/>
    <m/>
    <m/>
    <m/>
    <m/>
    <m/>
    <m/>
    <m/>
    <m/>
    <m/>
    <m/>
    <n v="8.4"/>
  </r>
  <r>
    <x v="1"/>
    <x v="28"/>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carcass weight"/>
    <s v="assume same as sheep, above"/>
    <s v=""/>
    <s v=""/>
    <s v=""/>
    <s v=""/>
    <m/>
    <m/>
    <m/>
    <m/>
    <m/>
    <m/>
    <m/>
    <m/>
    <m/>
    <m/>
    <m/>
    <m/>
    <m/>
    <m/>
    <m/>
    <m/>
    <m/>
    <m/>
    <m/>
    <m/>
    <m/>
    <m/>
    <m/>
    <n v="35.714285714285715"/>
  </r>
  <r>
    <x v="0"/>
    <x v="29"/>
    <s v="Fresh or Not Specified"/>
    <s v="2005 base year"/>
    <s v="Yes"/>
    <s v="Global"/>
    <n v="2013"/>
    <s v="Opio, C., Gerber, P., Mottet, A., Falcucci, A., Tempio, G., MacLeod, M., Vellinga, T., Henderson, B._x000a_&amp; Steinfeld, H"/>
    <s v="Food and Agriculture Organization of the United Nations (FAO)"/>
    <s v="Government Report"/>
    <s v="Opio, C., Gerber, P., Mottet, A., Falcucci, A., Tempio, G., Macleod, M., Vellinga, T., Henderson, B. and Steinfeld, H., Greenhouse gas emissions from ruminant supply chains – A global life cycle assessment. Rome: FAO; 2013. Report No.: 9789251079454."/>
    <s v="Yes"/>
    <s v="Yes"/>
    <s v="Yes"/>
    <s v="Yes"/>
    <s v="No"/>
    <s v="Yes"/>
    <s v="No"/>
    <s v="No"/>
    <s v="No"/>
    <s v="No"/>
    <s v="No"/>
    <s v="No"/>
    <m/>
    <s v="soil C not included due to uncertainty"/>
    <s v="No"/>
    <s v="Yes"/>
    <s v="kg FPCM"/>
    <m/>
    <s v=""/>
    <s v=""/>
    <s v=""/>
    <s v=""/>
    <m/>
    <m/>
    <m/>
    <m/>
    <m/>
    <m/>
    <m/>
    <m/>
    <m/>
    <m/>
    <m/>
    <m/>
    <m/>
    <m/>
    <m/>
    <m/>
    <m/>
    <m/>
    <m/>
    <m/>
    <m/>
    <m/>
    <m/>
    <n v="5.2"/>
  </r>
  <r>
    <x v="1"/>
    <x v="3"/>
    <s v="Fresh or Not Specified"/>
    <s v="conventional (w hormone growth promotants"/>
    <s v="Yes"/>
    <s v="US"/>
    <n v="2012"/>
    <s v="J. L. Capper*2 and D. J. Hayes†"/>
    <s v="*Department of Animal Sciences, Washington State University, Pullman 99164; and †Department of Economics, Iowa State University, Ames 50011"/>
    <s v="Peer Reviewed Journal"/>
    <s v="Capper, J. L. and Hayes, D. J., The environmental and economic impact of removing growth-enhancing technologies from U . S . beef production. Journal of Animal Science 2012, 90, 3527-3537."/>
    <s v="Yes"/>
    <m/>
    <s v="Yes"/>
    <s v="No"/>
    <s v="No"/>
    <s v="No"/>
    <s v="No"/>
    <s v="No"/>
    <s v="No"/>
    <s v="No"/>
    <s v="No"/>
    <s v="No"/>
    <m/>
    <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n v="13.193403298350825"/>
    <m/>
    <m/>
    <m/>
    <m/>
    <m/>
    <m/>
    <m/>
    <m/>
    <m/>
    <m/>
    <m/>
    <m/>
    <n v="23.988005997001498"/>
  </r>
  <r>
    <x v="1"/>
    <x v="3"/>
    <s v="Fresh or Not Specified"/>
    <s v="natural (W/o HGP)"/>
    <s v="Yes"/>
    <s v="US"/>
    <n v="2012"/>
    <s v="J. L. Capper*2 and D. J. Hayes†"/>
    <s v="*Department of Animal Sciences, Washington State University, Pullman 99164; and †Department of Economics, Iowa State University, Ames 50011"/>
    <s v="Peer Reviewed Journal"/>
    <s v="Capper, J. L. and Hayes, D. J., The environmental and economic impact of removing growth-enhancing technologies from U . S . beef production. Journal of Animal Science 2012, 90, 3527-3537."/>
    <s v="Yes"/>
    <m/>
    <s v="Yes"/>
    <s v="No"/>
    <s v="No"/>
    <s v="No"/>
    <s v="No"/>
    <s v="No"/>
    <s v="No"/>
    <s v="No"/>
    <s v="No"/>
    <s v="No"/>
    <m/>
    <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n v="15.442278860569715"/>
    <m/>
    <m/>
    <m/>
    <m/>
    <m/>
    <m/>
    <m/>
    <m/>
    <m/>
    <m/>
    <m/>
    <m/>
    <n v="28.18590704647676"/>
  </r>
  <r>
    <x v="1"/>
    <x v="3"/>
    <s v="Fresh or Not Specified"/>
    <s v="grass-fed (no HGP)"/>
    <s v="Yes"/>
    <s v="US"/>
    <n v="2012"/>
    <s v="J. L. Capper*2 and D. J. Hayes†"/>
    <s v="*Department of Animal Sciences, Washington State University, Pullman 99164; and †Department of Economics, Iowa State University, Ames 50011"/>
    <s v="Peer Reviewed Journal"/>
    <s v="Capper, J. L. and Hayes, D. J., The environmental and economic impact of removing growth-enhancing technologies from U . S . beef production. Journal of Animal Science 2012, 90, 3527-3537."/>
    <s v="Yes"/>
    <m/>
    <s v="Yes"/>
    <s v="No"/>
    <s v="No"/>
    <s v="No"/>
    <s v="No"/>
    <s v="No"/>
    <s v="No"/>
    <s v="No"/>
    <s v="No"/>
    <s v="No"/>
    <m/>
    <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n v="18.440779610194902"/>
    <m/>
    <m/>
    <m/>
    <m/>
    <m/>
    <m/>
    <m/>
    <m/>
    <m/>
    <m/>
    <m/>
    <m/>
    <n v="40.179910044977511"/>
  </r>
  <r>
    <x v="1"/>
    <x v="3"/>
    <s v="Fresh or Not Specified"/>
    <s v="suckler cow-calf beef with stocker phase"/>
    <s v="Yes"/>
    <s v="US (California)"/>
    <n v="2012"/>
    <s v="K. R. Stackhouse-Lawson,* C. A. Rotz,† J. W. Oltjen,* and F. M. Mitloehner*2"/>
    <s v="*Department of Animal Science, University of California, Davis 95616; †USDA-ARS, Pasture Systems and Watershed Management Research Unit, University Park, PA 16802"/>
    <s v="Peer Reviewed Journal"/>
    <s v="Stackhouse-Lawson, K. R., Rotz, C. A., Oltjen, J. W. and Mitloehner, F. M., Carbon footprint and ammonia emissions of California beef production systems 1. Journal of Animal Science 2012, 90 (12), 4641-4655."/>
    <s v="Yes"/>
    <s v="No"/>
    <s v="No"/>
    <s v="No"/>
    <s v="No"/>
    <s v="No"/>
    <s v="No"/>
    <s v="No"/>
    <s v="No"/>
    <s v="No"/>
    <s v="No"/>
    <s v="No"/>
    <m/>
    <s v="modeled using IFS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3.883058470764617"/>
    <s v=""/>
    <m/>
    <m/>
    <m/>
    <m/>
    <m/>
    <m/>
    <m/>
    <m/>
    <m/>
    <m/>
    <m/>
    <m/>
    <m/>
    <m/>
    <m/>
    <m/>
    <m/>
    <m/>
    <m/>
    <m/>
    <m/>
    <m/>
    <n v="33.883058470764617"/>
    <m/>
  </r>
  <r>
    <x v="1"/>
    <x v="3"/>
    <s v="Fresh or Not Specified"/>
    <s v="suckler cow-calf beef without stocker phase"/>
    <s v="Yes"/>
    <s v="US (California)"/>
    <n v="2012"/>
    <s v="K. R. Stackhouse-Lawson,* C. A. Rotz,† J. W. Oltjen,* and F. M. Mitloehner*2"/>
    <s v="*Department of Animal Science, University of California, Davis 95616; †USDA-ARS, Pasture Systems and Watershed Management Research Unit, University Park, PA 16802"/>
    <s v="Peer Reviewed Journal"/>
    <s v="Stackhouse-Lawson, K. R., Rotz, C. A., Oltjen, J. W. and Mitloehner, F. M., Carbon footprint and ammonia emissions of California beef production systems 1. Journal of Animal Science 2012, 90 (12), 4641-4655."/>
    <s v="Yes"/>
    <s v="No"/>
    <s v="No"/>
    <s v="No"/>
    <s v="No"/>
    <s v="No"/>
    <s v="No"/>
    <s v="No"/>
    <s v="No"/>
    <s v="No"/>
    <s v="No"/>
    <s v="No"/>
    <m/>
    <s v="modeled using IFS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1.934032983508246"/>
    <s v=""/>
    <m/>
    <m/>
    <m/>
    <m/>
    <m/>
    <m/>
    <m/>
    <m/>
    <m/>
    <m/>
    <m/>
    <m/>
    <m/>
    <m/>
    <m/>
    <m/>
    <m/>
    <m/>
    <m/>
    <m/>
    <m/>
    <m/>
    <n v="31.934032983508246"/>
    <m/>
  </r>
  <r>
    <x v="1"/>
    <x v="25"/>
    <s v="Fresh or Not Specified"/>
    <s v="dairy beef (holstein)"/>
    <s v="Yes"/>
    <s v="US (California)"/>
    <n v="2012"/>
    <s v="K. R. Stackhouse-Lawson,* C. A. Rotz,† J. W. Oltjen,* and F. M. Mitloehner*2"/>
    <s v="*Department of Animal Science, University of California, Davis 95616; †USDA-ARS, Pasture Systems and Watershed Management Research Unit, University Park, PA 16802"/>
    <s v="Peer Reviewed Journal"/>
    <s v="Stackhouse-Lawson, K. R., Rotz, C. A., Oltjen, J. W. and Mitloehner, F. M., Carbon footprint and ammonia emissions of California beef production systems 1. Journal of Animal Science 2012, 90 (12), 4641-4655."/>
    <s v="Yes"/>
    <s v="No"/>
    <s v="No"/>
    <s v="No"/>
    <s v="No"/>
    <s v="No"/>
    <s v="No"/>
    <s v="No"/>
    <s v="No"/>
    <s v="No"/>
    <s v="No"/>
    <s v="No"/>
    <m/>
    <s v="modeled using IFSM"/>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6.04197901049475"/>
    <s v=""/>
    <m/>
    <m/>
    <m/>
    <m/>
    <m/>
    <m/>
    <m/>
    <m/>
    <m/>
    <m/>
    <m/>
    <m/>
    <m/>
    <m/>
    <m/>
    <m/>
    <m/>
    <m/>
    <m/>
    <m/>
    <m/>
    <m/>
    <n v="16.04197901049475"/>
    <m/>
  </r>
  <r>
    <x v="1"/>
    <x v="3"/>
    <s v="Fresh or Not Specified"/>
    <s v="intensive beef breed cow-calf herd"/>
    <s v="Yes"/>
    <s v="Denmark"/>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4.632683658170912"/>
    <s v=""/>
    <m/>
    <m/>
    <m/>
    <m/>
    <m/>
    <m/>
    <m/>
    <m/>
    <m/>
    <m/>
    <m/>
    <m/>
    <m/>
    <m/>
    <m/>
    <m/>
    <m/>
    <m/>
    <m/>
    <m/>
    <m/>
    <m/>
    <n v="34.632683658170912"/>
    <m/>
  </r>
  <r>
    <x v="1"/>
    <x v="3"/>
    <s v="Fresh or Not Specified"/>
    <s v="intensive beef breed cow-calf herd"/>
    <s v="Yes"/>
    <s v="Sweden"/>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8.080959520239873"/>
    <s v=""/>
    <m/>
    <m/>
    <m/>
    <m/>
    <m/>
    <m/>
    <m/>
    <m/>
    <m/>
    <m/>
    <m/>
    <m/>
    <m/>
    <m/>
    <m/>
    <m/>
    <m/>
    <m/>
    <m/>
    <m/>
    <m/>
    <m/>
    <n v="38.080959520239873"/>
    <m/>
  </r>
  <r>
    <x v="1"/>
    <x v="3"/>
    <s v="Fresh or Not Specified"/>
    <s v="extensive beef breed cow-calf herd"/>
    <s v="Yes"/>
    <s v="Denmark"/>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4.527736131934027"/>
    <s v=""/>
    <m/>
    <m/>
    <m/>
    <m/>
    <m/>
    <m/>
    <m/>
    <m/>
    <m/>
    <m/>
    <m/>
    <m/>
    <m/>
    <m/>
    <m/>
    <m/>
    <m/>
    <m/>
    <m/>
    <m/>
    <m/>
    <m/>
    <n v="44.527736131934027"/>
    <m/>
  </r>
  <r>
    <x v="1"/>
    <x v="25"/>
    <s v="Fresh or Not Specified"/>
    <s v="dairy beef, steer (harvested at 25 mo.)"/>
    <s v="Yes"/>
    <s v="Denmark"/>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4.887556221889056"/>
    <s v=""/>
    <m/>
    <m/>
    <m/>
    <m/>
    <m/>
    <m/>
    <m/>
    <m/>
    <m/>
    <m/>
    <m/>
    <m/>
    <m/>
    <m/>
    <m/>
    <m/>
    <m/>
    <m/>
    <m/>
    <m/>
    <m/>
    <m/>
    <n v="24.887556221889056"/>
    <m/>
  </r>
  <r>
    <x v="1"/>
    <x v="25"/>
    <s v="Fresh or Not Specified"/>
    <s v="dairy beef, steer (harvested at 25 mo.)"/>
    <s v="Yes"/>
    <s v="Sweden"/>
    <n v="2015"/>
    <s v="L. Mogensen a,n,1, T.Kristensen a, N.I.Nielsen b, P.Spleth b, M.Henriksson c, C. Swensson c, A.Hessle d, M.Vestergaard e"/>
    <s v="a Aarhus University,DepartmentofAgroecology,Denmark; b KnowledgeCentreforAgriculture,Denmark; c Swedish UniversityofAgriculturalSciences,DepartmentofBiosystemsandTechnology,Sweden; d Swedish UniversityofAgriculturalSciences,DepartmentofAnimalEnvironmentandHealth,Sweden; e Aarhus University,DepartmentofAnimalScience,Denmark"/>
    <s v="Peer Reviewed Journal"/>
    <s v="Mogensen, L., Kristensen, T., Nielsen, N. I., Spleth, P., Henriksson, M., Swensson, C., Hessle, A. and Vestergaard, M., Greenhouse gas emissions from beef production systems in Denmark and Sweden. Livestock Science 2015, 174, 126-143."/>
    <s v="Yes"/>
    <s v="Yes"/>
    <s v="No"/>
    <s v="No"/>
    <s v="No"/>
    <s v="No"/>
    <s v="No"/>
    <s v="No"/>
    <s v="No"/>
    <s v="No"/>
    <s v="No"/>
    <s v="No"/>
    <m/>
    <s v="land use change and soil C presented separately; not included here"/>
    <s v="No"/>
    <s v="No"/>
    <s v="kg carcass weight"/>
    <s v="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5.487256371814091"/>
    <s v=""/>
    <m/>
    <m/>
    <m/>
    <m/>
    <m/>
    <m/>
    <m/>
    <m/>
    <m/>
    <m/>
    <m/>
    <m/>
    <m/>
    <m/>
    <m/>
    <m/>
    <m/>
    <m/>
    <m/>
    <m/>
    <m/>
    <m/>
    <n v="25.487256371814091"/>
    <m/>
  </r>
  <r>
    <x v="1"/>
    <x v="3"/>
    <s v="Fresh or Not Specified"/>
    <m/>
    <s v="Yes"/>
    <s v="Argentina"/>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6.1"/>
  </r>
  <r>
    <x v="1"/>
    <x v="3"/>
    <s v="Fresh or Not Specified"/>
    <m/>
    <s v="Yes"/>
    <s v="Brazil"/>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7.1"/>
  </r>
  <r>
    <x v="1"/>
    <x v="3"/>
    <s v="Fresh or Not Specified"/>
    <m/>
    <s v="Yes"/>
    <s v="Germany"/>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0.3"/>
  </r>
  <r>
    <x v="1"/>
    <x v="3"/>
    <s v="Fresh or Not Specified"/>
    <m/>
    <s v="Yes"/>
    <s v="Ireland"/>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5.6"/>
  </r>
  <r>
    <x v="1"/>
    <x v="3"/>
    <s v="Fresh or Not Specified"/>
    <m/>
    <s v="Yes"/>
    <s v="Poland"/>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6.7"/>
  </r>
  <r>
    <x v="1"/>
    <x v="3"/>
    <s v="Fresh or Not Specified"/>
    <s v="conventional"/>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3.9"/>
  </r>
  <r>
    <x v="1"/>
    <x v="3"/>
    <s v="Fresh or Not Specified"/>
    <s v="organic"/>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3.6"/>
  </r>
  <r>
    <x v="1"/>
    <x v="3"/>
    <s v="Fresh or Not Specified"/>
    <s v="nature"/>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5.7"/>
  </r>
  <r>
    <x v="1"/>
    <x v="3"/>
    <s v="Fresh or Not Specified"/>
    <s v="Beef Cuts, (spent dairy cows)"/>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6"/>
  </r>
  <r>
    <x v="1"/>
    <x v="3"/>
    <s v="Fresh or Not Specified"/>
    <s v="Minced Beef, conventional (spent dairy cows)"/>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1999999999999993"/>
  </r>
  <r>
    <x v="1"/>
    <x v="3"/>
    <s v="Fresh or Not Specified"/>
    <s v="Minced Beef, organic (spent dairy cows)"/>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
  </r>
  <r>
    <x v="1"/>
    <x v="23"/>
    <s v="Fresh or Not Specified"/>
    <s v="conventional"/>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01"/>
  </r>
  <r>
    <x v="1"/>
    <x v="23"/>
    <s v="Fresh or Not Specified"/>
    <s v="organic"/>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26"/>
  </r>
  <r>
    <x v="1"/>
    <x v="23"/>
    <s v="Fresh or Not Specified"/>
    <s v="AH 1 star"/>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01"/>
  </r>
  <r>
    <x v="1"/>
    <x v="23"/>
    <s v="Fresh or Not Specified"/>
    <s v="AH 2 star"/>
    <s v="Yes"/>
    <s v="United Kingdo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4"/>
  </r>
  <r>
    <x v="1"/>
    <x v="23"/>
    <s v="Fresh or Not Specified"/>
    <s v="Jumbo bewust"/>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01"/>
  </r>
  <r>
    <x v="1"/>
    <x v="23"/>
    <s v="Fresh or Not Specified"/>
    <s v="Milieukeur"/>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01"/>
  </r>
  <r>
    <x v="1"/>
    <x v="24"/>
    <s v="Fresh or Not Specified"/>
    <m/>
    <s v="Yes"/>
    <s v="Brazil"/>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5.75"/>
  </r>
  <r>
    <x v="1"/>
    <x v="24"/>
    <s v="Fresh or Not Specified"/>
    <s v="label rouge"/>
    <s v="Yes"/>
    <s v="France"/>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82"/>
  </r>
  <r>
    <x v="1"/>
    <x v="24"/>
    <s v="Fresh or Not Specified"/>
    <s v="conventional"/>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5.96"/>
  </r>
  <r>
    <x v="1"/>
    <x v="24"/>
    <s v="Fresh or Not Specified"/>
    <s v="organic"/>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5.78"/>
  </r>
  <r>
    <x v="1"/>
    <x v="24"/>
    <s v="Fresh or Not Specified"/>
    <s v="corn"/>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2699999999999996"/>
  </r>
  <r>
    <x v="1"/>
    <x v="24"/>
    <s v="Fresh or Not Specified"/>
    <s v="scharrel"/>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6.4"/>
  </r>
  <r>
    <x v="1"/>
    <x v="24"/>
    <s v="Fresh or Not Specified"/>
    <s v="volwaard"/>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6.26"/>
  </r>
  <r>
    <x v="1"/>
    <x v="30"/>
    <s v="Fresh or Not Specified"/>
    <s v="Duck"/>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6.11"/>
  </r>
  <r>
    <x v="1"/>
    <x v="31"/>
    <s v="Fresh or Not Specified"/>
    <m/>
    <s v="Yes"/>
    <s v="Brazil"/>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85"/>
  </r>
  <r>
    <x v="1"/>
    <x v="31"/>
    <s v="Fresh or Not Specified"/>
    <m/>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34"/>
  </r>
  <r>
    <x v="1"/>
    <x v="1"/>
    <m/>
    <s v="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1"/>
  </r>
  <r>
    <x v="1"/>
    <x v="1"/>
    <m/>
    <s v="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6.600000000000001"/>
  </r>
  <r>
    <x v="1"/>
    <x v="32"/>
    <m/>
    <s v="rosé,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7.4"/>
  </r>
  <r>
    <x v="1"/>
    <x v="32"/>
    <m/>
    <s v="rosé,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8"/>
  </r>
  <r>
    <x v="1"/>
    <x v="32"/>
    <m/>
    <s v="rosé, 1 star (van Dri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6.3"/>
  </r>
  <r>
    <x v="1"/>
    <x v="33"/>
    <m/>
    <m/>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0.14"/>
  </r>
  <r>
    <x v="1"/>
    <x v="33"/>
    <m/>
    <m/>
    <s v="Yes"/>
    <s v="Argentina"/>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27"/>
  </r>
  <r>
    <x v="1"/>
    <x v="33"/>
    <m/>
    <m/>
    <s v="Yes"/>
    <s v="Netherlands"/>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81"/>
  </r>
  <r>
    <x v="6"/>
    <x v="34"/>
    <m/>
    <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5099999999999998"/>
  </r>
  <r>
    <x v="6"/>
    <x v="35"/>
    <m/>
    <s v="Groentenschijf, Vivera (Veggie Patty)"/>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95"/>
  </r>
  <r>
    <x v="6"/>
    <x v="36"/>
    <m/>
    <s v="Meatless made from lupine and wheat"/>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29"/>
  </r>
  <r>
    <x v="6"/>
    <x v="37"/>
    <m/>
    <s v="Quorn Minc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4"/>
  </r>
  <r>
    <x v="6"/>
    <x v="38"/>
    <m/>
    <s v="certified"/>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54"/>
  </r>
  <r>
    <x v="6"/>
    <x v="38"/>
    <m/>
    <s v="certifie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
  </r>
  <r>
    <x v="6"/>
    <x v="38"/>
    <m/>
    <s v="uncertified"/>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72"/>
  </r>
  <r>
    <x v="6"/>
    <x v="38"/>
    <m/>
    <s v="uncertifie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24"/>
  </r>
  <r>
    <x v="6"/>
    <x v="39"/>
    <m/>
    <s v="Valess, Schnitzel made from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79"/>
  </r>
  <r>
    <x v="0"/>
    <x v="0"/>
    <m/>
    <s v="conventional,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31"/>
  </r>
  <r>
    <x v="0"/>
    <x v="0"/>
    <m/>
    <s v="organic,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7"/>
  </r>
  <r>
    <x v="0"/>
    <x v="0"/>
    <m/>
    <s v="pasture (weidegang),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3"/>
  </r>
  <r>
    <x v="0"/>
    <x v="0"/>
    <m/>
    <s v="conventional,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1"/>
  </r>
  <r>
    <x v="0"/>
    <x v="0"/>
    <m/>
    <s v="organic,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45"/>
  </r>
  <r>
    <x v="0"/>
    <x v="0"/>
    <m/>
    <s v="pasture (weidegang),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
  </r>
  <r>
    <x v="0"/>
    <x v="0"/>
    <m/>
    <s v="conventional,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1"/>
  </r>
  <r>
    <x v="0"/>
    <x v="0"/>
    <m/>
    <s v="organic,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
  </r>
  <r>
    <x v="0"/>
    <x v="0"/>
    <m/>
    <s v="pasture (weidegang),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
  </r>
  <r>
    <x v="0"/>
    <x v="0"/>
    <m/>
    <s v="conventional, butter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4"/>
  </r>
  <r>
    <x v="0"/>
    <x v="0"/>
    <m/>
    <s v="organic, butter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3"/>
  </r>
  <r>
    <x v="0"/>
    <x v="0"/>
    <m/>
    <s v="pasture, butter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3"/>
  </r>
  <r>
    <x v="0"/>
    <x v="29"/>
    <m/>
    <s v="conventional,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25"/>
  </r>
  <r>
    <x v="0"/>
    <x v="29"/>
    <m/>
    <s v="organic, whole milk"/>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6"/>
  </r>
  <r>
    <x v="7"/>
    <x v="40"/>
    <m/>
    <s v="certified"/>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0.61"/>
  </r>
  <r>
    <x v="7"/>
    <x v="40"/>
    <m/>
    <s v="certifie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0.72"/>
  </r>
  <r>
    <x v="7"/>
    <x v="40"/>
    <m/>
    <s v="uncertified"/>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0.89"/>
  </r>
  <r>
    <x v="7"/>
    <x v="40"/>
    <m/>
    <s v="uncertifie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0.78"/>
  </r>
  <r>
    <x v="0"/>
    <x v="4"/>
    <m/>
    <s v="cow, old,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8000000000000007"/>
  </r>
  <r>
    <x v="0"/>
    <x v="4"/>
    <m/>
    <s v="cow, ol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17"/>
  </r>
  <r>
    <x v="0"/>
    <x v="4"/>
    <m/>
    <s v="cow, old, pastur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75"/>
  </r>
  <r>
    <x v="0"/>
    <x v="4"/>
    <m/>
    <s v="cow, medium,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02"/>
  </r>
  <r>
    <x v="0"/>
    <x v="4"/>
    <m/>
    <s v="cow, medium,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32"/>
  </r>
  <r>
    <x v="0"/>
    <x v="4"/>
    <m/>
    <s v="cow, medium, pastur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98"/>
  </r>
  <r>
    <x v="0"/>
    <x v="4"/>
    <m/>
    <s v="cow, young,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57"/>
  </r>
  <r>
    <x v="0"/>
    <x v="4"/>
    <m/>
    <s v="cow, young,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82"/>
  </r>
  <r>
    <x v="0"/>
    <x v="4"/>
    <m/>
    <s v="cow, young, pastur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52"/>
  </r>
  <r>
    <x v="0"/>
    <x v="41"/>
    <m/>
    <s v="goat, old,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48"/>
  </r>
  <r>
    <x v="0"/>
    <x v="41"/>
    <m/>
    <s v="goat, old,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0.130000000000001"/>
  </r>
  <r>
    <x v="0"/>
    <x v="41"/>
    <m/>
    <s v="goat, medium,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71"/>
  </r>
  <r>
    <x v="0"/>
    <x v="41"/>
    <m/>
    <s v="goat, medium,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2899999999999991"/>
  </r>
  <r>
    <x v="0"/>
    <x v="41"/>
    <m/>
    <s v="goat, young, conventiona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7.27"/>
  </r>
  <r>
    <x v="0"/>
    <x v="41"/>
    <m/>
    <s v="goat, young, 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8.7899999999999991"/>
  </r>
  <r>
    <x v="0"/>
    <x v="42"/>
    <m/>
    <s v="buffalo, mozzarella"/>
    <s v="Yes"/>
    <s v="Italy"/>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9.99"/>
  </r>
  <r>
    <x v="0"/>
    <x v="4"/>
    <m/>
    <s v="cow, mozzarella"/>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6.89"/>
  </r>
  <r>
    <x v="0"/>
    <x v="5"/>
    <m/>
    <s v="conventional, cow, whol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8"/>
  </r>
  <r>
    <x v="0"/>
    <x v="5"/>
    <m/>
    <s v="organic, cow, whol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2.06"/>
  </r>
  <r>
    <x v="0"/>
    <x v="5"/>
    <m/>
    <s v="pasture, cow, whol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79"/>
  </r>
  <r>
    <x v="0"/>
    <x v="5"/>
    <m/>
    <s v="conventional, cow,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66"/>
  </r>
  <r>
    <x v="0"/>
    <x v="5"/>
    <m/>
    <s v="organic, cow,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9"/>
  </r>
  <r>
    <x v="0"/>
    <x v="5"/>
    <m/>
    <s v="pasture, cow, semi-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65"/>
  </r>
  <r>
    <x v="0"/>
    <x v="5"/>
    <m/>
    <s v="conventional, cow,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38"/>
  </r>
  <r>
    <x v="0"/>
    <x v="5"/>
    <m/>
    <s v="organic, cow,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37"/>
  </r>
  <r>
    <x v="0"/>
    <x v="5"/>
    <m/>
    <s v="pasture, cow, skim,"/>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1.57"/>
  </r>
  <r>
    <x v="2"/>
    <x v="2"/>
    <m/>
    <s v="battery"/>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26"/>
  </r>
  <r>
    <x v="2"/>
    <x v="2"/>
    <m/>
    <s v="organic"/>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43"/>
  </r>
  <r>
    <x v="2"/>
    <x v="2"/>
    <m/>
    <s v="enriched cag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26"/>
  </r>
  <r>
    <x v="2"/>
    <x v="2"/>
    <m/>
    <s v="barn (scharre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49"/>
  </r>
  <r>
    <x v="2"/>
    <x v="2"/>
    <m/>
    <s v="1 star (scharrel +)"/>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49"/>
  </r>
  <r>
    <x v="2"/>
    <x v="2"/>
    <m/>
    <s v="rondeel"/>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86"/>
  </r>
  <r>
    <x v="2"/>
    <x v="2"/>
    <m/>
    <s v="free range"/>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5599999999999996"/>
  </r>
  <r>
    <x v="2"/>
    <x v="2"/>
    <m/>
    <s v="grass"/>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49"/>
  </r>
  <r>
    <x v="2"/>
    <x v="2"/>
    <m/>
    <s v="omega-3"/>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3.82"/>
  </r>
  <r>
    <x v="2"/>
    <x v="2"/>
    <m/>
    <s v="60% corn"/>
    <s v="Yes"/>
    <m/>
    <n v="2011"/>
    <s v="Marieke Head, Maartje Sevenster, Harry Croezen"/>
    <s v="CE Delft; Delft Netherlands"/>
    <s v="NGO Report"/>
    <s v="Head, M., Sevenster, M. and Croezen, H., Life Cycle Impacts of Protein- rich Foods for Superwijzer. Delft, Netherlands; 2011, 1-70."/>
    <s v="Yes"/>
    <s v="Yes"/>
    <s v="Yes"/>
    <s v="Yes"/>
    <s v="No"/>
    <s v="Yes"/>
    <s v="Yes"/>
    <s v="No"/>
    <s v="No"/>
    <s v="No"/>
    <s v="No"/>
    <s v="No"/>
    <m/>
    <s v="impacts through retail in the Netherlands"/>
    <s v="No"/>
    <s v="No"/>
    <s v="kg product type (?)"/>
    <m/>
    <s v=""/>
    <s v=""/>
    <s v=""/>
    <s v=""/>
    <m/>
    <m/>
    <m/>
    <m/>
    <m/>
    <m/>
    <m/>
    <m/>
    <m/>
    <m/>
    <m/>
    <m/>
    <m/>
    <m/>
    <m/>
    <m/>
    <m/>
    <m/>
    <m/>
    <m/>
    <m/>
    <m/>
    <m/>
    <n v="4.05"/>
  </r>
  <r>
    <x v="4"/>
    <x v="20"/>
    <s v="Fresh or Not Specified"/>
    <s v="fresh bananas"/>
    <s v="No"/>
    <s v="USA"/>
    <n v="2012"/>
    <s v="Anthony J. Craig(a); Yossi Sheffi (a); Edgar E. Blanco (c)"/>
    <s v="(a) Engineering Systems Division Massachusetts Institute of Technology; (b) Center for Transportation &amp; Logistics_x000a_ Massachusetts Institute of Technology"/>
    <s v="NGO Report"/>
    <s v="Craig, A. J., Blanco, E. E. and Sheffi, Y., ESD Working Paper Series A Supply Chain View of Product Carbon Footprints : Results from the Banana Supply Chain 2012,  (ESD-WP-2012-25), ."/>
    <s v="Yes"/>
    <s v="No"/>
    <s v="Yes"/>
    <s v="Yes"/>
    <s v="Yes"/>
    <s v="Yes"/>
    <s v="Yes"/>
    <s v="No"/>
    <s v="No"/>
    <s v="No"/>
    <s v="No"/>
    <s v="No"/>
    <m/>
    <s v="Tracked fro 1 box banana, yet 1 kg impact also reported"/>
    <s v="No"/>
    <s v="Yes"/>
    <s v="1 box banana"/>
    <s v="/18.14 (one box = 18.14 kg)"/>
    <s v=""/>
    <s v=""/>
    <n v="0.20396912899669239"/>
    <s v=""/>
    <m/>
    <m/>
    <m/>
    <m/>
    <m/>
    <m/>
    <m/>
    <m/>
    <m/>
    <m/>
    <m/>
    <m/>
    <m/>
    <n v="0.20396912899669239"/>
    <m/>
    <n v="0"/>
    <n v="7.1664829106945979E-2"/>
    <n v="0.4299889746416759"/>
    <n v="0.19294377067254684"/>
    <m/>
    <m/>
    <m/>
    <n v="0.20396912899669239"/>
    <n v="0.93560814529444125"/>
  </r>
  <r>
    <x v="4"/>
    <x v="20"/>
    <s v="Fresh or Not Specified"/>
    <s v="fresh bananas"/>
    <s v="No"/>
    <s v="Costa Rica"/>
    <n v="2013"/>
    <s v="Erik Svanes  (a); Anna K. S. Aronsson (b)"/>
    <s v="(a) Department of Food and Packaging, Ostfold Research,_x000a_ Gamle Bedding vei 2b,_x000a_ 1671 Fredrikstad, Norway; (b) Swedish Institute for Food and Biotechnology, P.O. Box 5401,_x000a_ 40229 Gothenburg, Sweden"/>
    <s v="Peer Reviewed Journal"/>
    <s v="Svanes, E. and Aronsson, A. K. S., Carbon footprint of a Cavendish banana supply chain. The International Journal of Life Cycle Assessment 2013, 18 (8), 1450-1464."/>
    <s v="Yes"/>
    <s v="No"/>
    <s v="Yes"/>
    <s v="Yes"/>
    <s v="Yes"/>
    <s v="Yes"/>
    <s v="Yes"/>
    <s v="Yes"/>
    <s v="No"/>
    <s v="No"/>
    <s v="No"/>
    <s v="No"/>
    <m/>
    <s v="Cradle to grave"/>
    <s v="Yes"/>
    <s v="Yes"/>
    <s v="1 kg banana"/>
    <m/>
    <s v=""/>
    <s v=""/>
    <n v="0.2944"/>
    <n v="0.33119999999999999"/>
    <m/>
    <m/>
    <m/>
    <m/>
    <m/>
    <m/>
    <m/>
    <m/>
    <m/>
    <m/>
    <m/>
    <m/>
    <m/>
    <n v="0.2944"/>
    <m/>
    <n v="3.6799999999999999E-2"/>
    <n v="0.12880000000000003"/>
    <n v="1.2328000000000001"/>
    <n v="5.5199999999999999E-2"/>
    <n v="9.2000000000000012E-2"/>
    <m/>
    <n v="2.3E-3"/>
    <n v="0.2944"/>
    <n v="1.84"/>
  </r>
  <r>
    <x v="4"/>
    <x v="20"/>
    <s v="Fresh or Not Specified"/>
    <s v="conventional"/>
    <s v="Yes"/>
    <s v="Costa Rica"/>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banana"/>
    <m/>
    <s v=""/>
    <s v=""/>
    <s v=""/>
    <s v=""/>
    <m/>
    <m/>
    <m/>
    <m/>
    <m/>
    <m/>
    <m/>
    <m/>
    <m/>
    <m/>
    <m/>
    <m/>
    <m/>
    <m/>
    <m/>
    <m/>
    <m/>
    <m/>
    <m/>
    <m/>
    <m/>
    <m/>
    <m/>
    <m/>
  </r>
  <r>
    <x v="4"/>
    <x v="20"/>
    <s v="Fresh or Not Specified"/>
    <s v="conventional"/>
    <s v="Yes"/>
    <s v="Honduras"/>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banana"/>
    <m/>
    <s v=""/>
    <s v=""/>
    <s v=""/>
    <s v=""/>
    <m/>
    <m/>
    <m/>
    <m/>
    <m/>
    <m/>
    <m/>
    <m/>
    <m/>
    <m/>
    <m/>
    <m/>
    <m/>
    <m/>
    <m/>
    <m/>
    <m/>
    <m/>
    <m/>
    <m/>
    <m/>
    <m/>
    <m/>
    <m/>
  </r>
  <r>
    <x v="4"/>
    <x v="43"/>
    <s v="Fresh or Not Specified"/>
    <s v="conventional"/>
    <s v="Yes"/>
    <s v="Costa Rica"/>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pineapple"/>
    <m/>
    <s v=""/>
    <s v=""/>
    <s v=""/>
    <s v=""/>
    <m/>
    <m/>
    <m/>
    <m/>
    <m/>
    <m/>
    <m/>
    <m/>
    <m/>
    <m/>
    <m/>
    <m/>
    <m/>
    <m/>
    <m/>
    <m/>
    <m/>
    <m/>
    <m/>
    <m/>
    <m/>
    <m/>
    <m/>
    <m/>
  </r>
  <r>
    <x v="4"/>
    <x v="43"/>
    <s v="Fresh or Not Specified"/>
    <s v="organic"/>
    <s v="Yes"/>
    <s v="Costa Rica"/>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pineapple"/>
    <m/>
    <s v=""/>
    <s v=""/>
    <s v=""/>
    <s v=""/>
    <m/>
    <m/>
    <m/>
    <m/>
    <m/>
    <m/>
    <m/>
    <m/>
    <m/>
    <m/>
    <m/>
    <m/>
    <m/>
    <m/>
    <m/>
    <m/>
    <m/>
    <m/>
    <m/>
    <m/>
    <m/>
    <m/>
    <m/>
    <m/>
  </r>
  <r>
    <x v="4"/>
    <x v="43"/>
    <s v="Fresh or Not Specified"/>
    <s v="conventional"/>
    <s v="Yes"/>
    <s v="Honduras"/>
    <n v="2011"/>
    <s v="Nataša Sikirica"/>
    <s v="Soil &amp; More International Hoofdstraat 24 3972 LA Driebergen The Netherlands"/>
    <s v="Private consulting firm report"/>
    <s v="Sikirica, N., Water Footprint Assessment Bananas and Pineapples: Dole Food Company. 2011, 1-41."/>
    <s v="Yes"/>
    <s v="No"/>
    <s v="No"/>
    <s v="Yes"/>
    <s v="No"/>
    <s v="No"/>
    <s v="No"/>
    <s v="No"/>
    <s v="No"/>
    <s v="No"/>
    <s v="No"/>
    <s v="No"/>
    <m/>
    <s v="Only production and washing"/>
    <s v="No"/>
    <m/>
    <s v="1 kg pineapple"/>
    <m/>
    <s v=""/>
    <s v=""/>
    <s v=""/>
    <s v=""/>
    <m/>
    <m/>
    <m/>
    <m/>
    <m/>
    <m/>
    <m/>
    <m/>
    <m/>
    <m/>
    <m/>
    <m/>
    <m/>
    <m/>
    <m/>
    <m/>
    <m/>
    <m/>
    <m/>
    <m/>
    <m/>
    <m/>
    <m/>
    <m/>
  </r>
  <r>
    <x v="4"/>
    <x v="20"/>
    <s v="Fresh or Not Specified"/>
    <s v="conventional"/>
    <s v="No"/>
    <s v="Costa Rica"/>
    <n v="2010"/>
    <s v="Boki Luske"/>
    <s v="Soil &amp; More International Hoofdstraat 24 3972 LA Driebergen The Netherlands"/>
    <s v="Private consulting firm report"/>
    <s v="Luske, B., Comprehensive carbon footprint assessment. Dole bananas. Soil and More International 2010,  (2010), 1-45."/>
    <s v="Yes"/>
    <s v="No"/>
    <s v="Yes"/>
    <s v="Yes"/>
    <s v="Yes"/>
    <s v="Yes"/>
    <s v="No"/>
    <s v="No"/>
    <s v="No"/>
    <s v="No"/>
    <s v="No"/>
    <s v="No"/>
    <m/>
    <s v="Cradle to shelf"/>
    <s v="No"/>
    <s v="Yes"/>
    <s v="1 ton banana"/>
    <s v="/1000"/>
    <s v=""/>
    <s v=""/>
    <n v="0.13783000000000001"/>
    <s v=""/>
    <m/>
    <m/>
    <m/>
    <m/>
    <m/>
    <m/>
    <m/>
    <m/>
    <m/>
    <m/>
    <m/>
    <m/>
    <m/>
    <n v="0.13783000000000001"/>
    <m/>
    <m/>
    <n v="8.9599999999999999E-2"/>
    <n v="0.84267999999999998"/>
    <m/>
    <m/>
    <m/>
    <m/>
    <n v="0.13783000000000001"/>
    <n v="1.1240000000000001"/>
  </r>
  <r>
    <x v="5"/>
    <x v="22"/>
    <s v="Fresh or Not Specified"/>
    <s v="White Loaf Bread - Industrial Production"/>
    <s v="Yes"/>
    <s v="Sweden"/>
    <n v="2006"/>
    <s v="Michael Bimpeh; Ernest Djokoto; Henry Doe; Roberto Jequier"/>
    <s v="KTH, Life Cycle Assessment Course (1N1800)"/>
    <s v="Other (specify)"/>
    <s v="Bimpeh, M., Djokoto, E., Doe, H. and Jequier, R., Life Cycle Assessment ( LCA ) of the Production of Home made and Industrial Bread in Sweden. KTH; 2006, 1-25."/>
    <s v="Yes"/>
    <s v="No"/>
    <s v="Yes"/>
    <s v="Yes"/>
    <s v="Yes"/>
    <s v="Yes"/>
    <s v="Yes"/>
    <s v="Yes"/>
    <s v="No"/>
    <s v="No"/>
    <s v="No"/>
    <s v="No"/>
    <m/>
    <s v="Cradle to Grave"/>
    <s v="No"/>
    <s v="No"/>
    <s v=" kg bread ready for consumption"/>
    <s v="N/A"/>
    <s v=""/>
    <s v=""/>
    <s v=""/>
    <s v=""/>
    <m/>
    <m/>
    <m/>
    <m/>
    <m/>
    <m/>
    <m/>
    <m/>
    <m/>
    <m/>
    <n v="5252.4000000000005"/>
    <m/>
    <m/>
    <m/>
    <m/>
    <m/>
    <m/>
    <m/>
    <m/>
    <m/>
    <m/>
    <m/>
    <m/>
    <n v="-0.56000000000000005"/>
  </r>
  <r>
    <x v="5"/>
    <x v="22"/>
    <s v="Fresh or Not Specified"/>
    <s v="White Loaf Bread - Home Production"/>
    <s v="Yes"/>
    <s v="Sweden"/>
    <n v="2006"/>
    <s v="Michael Bimpeh; Ernest Djokoto; Henry Doe; Roberto Jequier"/>
    <s v="KTH, Life Cycle Assessment Course (1N1800)"/>
    <s v="Other (specify)"/>
    <s v="Bimpeh, M., Djokoto, E., Doe, H. and Jequier, R., Life Cycle Assessment ( LCA ) of the Production of Home made and Industrial Bread in Sweden. KTH; 2006, 1-25."/>
    <s v="Yes"/>
    <s v="No"/>
    <s v="Yes"/>
    <s v="Yes"/>
    <s v="Yes"/>
    <s v="Yes"/>
    <s v="Yes"/>
    <s v="No"/>
    <s v="No"/>
    <s v="Yes"/>
    <s v="No"/>
    <s v="No"/>
    <m/>
    <s v="Cradle to Grave"/>
    <s v="No"/>
    <s v="No"/>
    <s v=" kg bread ready for consumption"/>
    <s v="N/A"/>
    <s v=""/>
    <s v=""/>
    <s v=""/>
    <s v=""/>
    <m/>
    <m/>
    <m/>
    <m/>
    <m/>
    <m/>
    <m/>
    <m/>
    <m/>
    <m/>
    <n v="7200"/>
    <m/>
    <m/>
    <m/>
    <m/>
    <m/>
    <m/>
    <m/>
    <m/>
    <m/>
    <m/>
    <m/>
    <m/>
    <n v="-0.501"/>
  </r>
  <r>
    <x v="5"/>
    <x v="22"/>
    <s v="Fresh or Not Specified"/>
    <s v="Conventional Rye Bread"/>
    <s v="Yes"/>
    <s v="Finland"/>
    <n v="2006"/>
    <s v="(a) Juha Gronroos; (a) Jyri Seppala; (b) Pasi Voutilainen; (c) Pentti Seuri; (d) Kauko Koikkalainen"/>
    <s v="(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
    <s v="Peer Reviewed Journal"/>
    <s v="Grönroos, J., Seppälä, J., Voutilainen, P., Seuri, P. and Koikkalainen, K., Energy use in conventional and organic milk and rye bread production in Finland. Agriculture, Ecosystems and Environment 2006, 117, 109-118."/>
    <s v="Yes"/>
    <s v="No"/>
    <s v="Yes"/>
    <s v="Yes"/>
    <s v="Yes"/>
    <s v="Yes"/>
    <s v="Yes"/>
    <s v="No"/>
    <s v="No"/>
    <s v="No"/>
    <s v="No"/>
    <s v="No"/>
    <m/>
    <s v="Cradle to Transport to Retail"/>
    <s v="No"/>
    <s v="Yes"/>
    <s v="1000kg bread transported to retailer"/>
    <s v="Divide quantities by 1000"/>
    <n v="3.64"/>
    <n v="14.21"/>
    <s v=""/>
    <n v="10.57"/>
    <n v="3.64"/>
    <m/>
    <n v="10.57"/>
    <n v="0.45"/>
    <n v="0.67"/>
    <m/>
    <m/>
    <m/>
    <m/>
    <n v="3.64"/>
    <n v="15.3"/>
    <m/>
    <m/>
    <m/>
    <m/>
    <n v="10.57"/>
    <n v="0.45"/>
    <n v="0.67"/>
    <m/>
    <m/>
    <m/>
    <m/>
    <m/>
    <m/>
  </r>
  <r>
    <x v="5"/>
    <x v="22"/>
    <s v="Fresh or Not Specified"/>
    <s v="Organic Rye Bread"/>
    <s v="Yes"/>
    <s v="Finland"/>
    <n v="2006"/>
    <s v="(a) Juha Gronroos; (a) Jyri Seppala; (b) Pasi Voutilainen; (c) Pentti Seuri; (d) Kauko Koikkalainen"/>
    <s v="(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
    <s v="Peer Reviewed Journal"/>
    <s v="Grönroos, J., Seppälä, J., Voutilainen, P., Seuri, P. and Koikkalainen, K., Energy use in conventional and organic milk and rye bread production in Finland. Agriculture, Ecosystems and Environment 2006, 117, 109-118."/>
    <s v="Yes"/>
    <s v="No"/>
    <s v="Yes"/>
    <s v="Yes"/>
    <s v="Yes"/>
    <s v="Yes"/>
    <s v="Yes"/>
    <s v="No"/>
    <s v="No"/>
    <s v="No"/>
    <s v="No"/>
    <s v="No"/>
    <m/>
    <s v="Cradle to Transport to Retail"/>
    <s v="No"/>
    <s v="Yes"/>
    <s v="1000kg bread transported to retailer"/>
    <s v="Divide quantities by 1000"/>
    <n v="1.61"/>
    <n v="12.18"/>
    <s v=""/>
    <n v="7.57"/>
    <n v="1.61"/>
    <m/>
    <n v="10.57"/>
    <n v="0.45"/>
    <n v="0.71"/>
    <m/>
    <m/>
    <m/>
    <m/>
    <n v="1.61"/>
    <n v="13.3"/>
    <m/>
    <m/>
    <m/>
    <m/>
    <n v="7.57"/>
    <n v="0.45"/>
    <n v="0.71"/>
    <m/>
    <m/>
    <m/>
    <m/>
    <m/>
    <m/>
  </r>
  <r>
    <x v="0"/>
    <x v="0"/>
    <s v="Fresh or Not Specified"/>
    <s v="Conventional Milk"/>
    <s v="Yes"/>
    <s v="Finland"/>
    <n v="2006"/>
    <s v="(a) Juha Gronroos; (a) Jyri Seppala; (b) Pasi Voutilainen; (c) Pentti Seuri; (d) Kauko Koikkalainen"/>
    <s v="(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
    <s v="Peer Reviewed Journal"/>
    <s v="Grönroos, J., Seppälä, J., Voutilainen, P., Seuri, P. and Koikkalainen, K., Energy use in conventional and organic milk and rye bread production in Finland. Agriculture, Ecosystems and Environment 2006, 117, 109-118."/>
    <s v="Yes"/>
    <s v="No"/>
    <s v="Yes"/>
    <s v="Yes"/>
    <s v="Yes"/>
    <s v="Yes"/>
    <s v="Yes"/>
    <s v="No"/>
    <s v="No"/>
    <s v="No"/>
    <s v="No"/>
    <s v="No"/>
    <m/>
    <s v="Cradle to Transport to Retail"/>
    <s v="No"/>
    <s v="Yes"/>
    <s v="1000L of milk transported to retailer"/>
    <s v="Convert to m3 (1L = .001 m3) then multiply by milk density (1035 kg/m3)"/>
    <n v="4.2849000000000004"/>
    <n v="5.3095500000000007"/>
    <s v=""/>
    <n v="1.0246500000000001"/>
    <n v="4.2849000000000004"/>
    <m/>
    <n v="1.0246500000000001"/>
    <n v="1.0349999999999999"/>
    <n v="0.25874999999999998"/>
    <m/>
    <m/>
    <m/>
    <m/>
    <n v="4.2849000000000004"/>
    <n v="6.6139999999999999"/>
    <m/>
    <m/>
    <m/>
    <m/>
    <n v="1.0246500000000001"/>
    <n v="1.0349999999999999"/>
    <n v="0.25874999999999998"/>
    <m/>
    <m/>
    <m/>
    <m/>
    <m/>
    <m/>
  </r>
  <r>
    <x v="0"/>
    <x v="0"/>
    <s v="Fresh or Not Specified"/>
    <s v="Organic Milk"/>
    <s v="Yes"/>
    <s v="Finland"/>
    <n v="2006"/>
    <s v="(a) Juha Gronroos; (a) Jyri Seppala; (b) Pasi Voutilainen; (c) Pentti Seuri; (d) Kauko Koikkalainen"/>
    <s v="(a) Finnish Environment Institute, P.O. Box 140, FIN-00251 Helsinki, Finland; (b) MTT Agrifood Research Finland/Environmental Management, FIN-31600 Jokioinen, Finland; (c) MTT Agrifood Research Finland/Ecological Production, Partala, Huttulantie 1, FIN-51900 Juva, Finland; (d) MTT Agrifood Research Finland/Economic Research, Luutnantintie 13, FIN-00410 Helsinki, Finland  "/>
    <s v="Peer Reviewed Journal"/>
    <s v="Grönroos, J., Seppälä, J., Voutilainen, P., Seuri, P. and Koikkalainen, K., Energy use in conventional and organic milk and rye bread production in Finland. Agriculture, Ecosystems and Environment 2006, 117, 109-118."/>
    <s v="Yes"/>
    <s v="No"/>
    <s v="Yes"/>
    <s v="Yes"/>
    <s v="Yes"/>
    <s v="Yes"/>
    <s v="Yes"/>
    <s v="No"/>
    <s v="No"/>
    <s v="No"/>
    <s v="No"/>
    <s v="No"/>
    <m/>
    <s v="Cradle to Transport to Retail"/>
    <s v="No"/>
    <s v="Yes"/>
    <s v="1000L of milk transported to retailer"/>
    <s v="Convert to m3 (1L = .001 m3) then multiply by milk density (1035 kg/m3)"/>
    <n v="2.2149000000000001"/>
    <n v="3.2395500000000004"/>
    <s v=""/>
    <n v="1.0246500000000001"/>
    <n v="2.2149000000000001"/>
    <m/>
    <n v="1.0246500000000001"/>
    <n v="1.0349999999999999"/>
    <n v="0.30015000000000003"/>
    <m/>
    <m/>
    <m/>
    <m/>
    <n v="2.2149000000000001"/>
    <n v="4.5640000000000001"/>
    <m/>
    <m/>
    <m/>
    <m/>
    <n v="1.0246500000000001"/>
    <n v="1.0349999999999999"/>
    <n v="0.30014999999999997"/>
    <m/>
    <m/>
    <m/>
    <m/>
    <m/>
    <m/>
  </r>
  <r>
    <x v="3"/>
    <x v="44"/>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potato"/>
    <s v="reported value/1000"/>
    <s v=""/>
    <s v=""/>
    <n v="0.215"/>
    <s v=""/>
    <m/>
    <m/>
    <m/>
    <m/>
    <m/>
    <m/>
    <m/>
    <m/>
    <m/>
    <m/>
    <m/>
    <m/>
    <m/>
    <m/>
    <m/>
    <m/>
    <m/>
    <m/>
    <m/>
    <m/>
    <m/>
    <m/>
    <n v="0.215"/>
    <m/>
  </r>
  <r>
    <x v="3"/>
    <x v="44"/>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potato"/>
    <s v="reported value/1000"/>
    <s v=""/>
    <s v=""/>
    <n v="0.19900000000000001"/>
    <s v=""/>
    <m/>
    <m/>
    <m/>
    <m/>
    <m/>
    <m/>
    <m/>
    <m/>
    <m/>
    <m/>
    <m/>
    <m/>
    <m/>
    <m/>
    <m/>
    <m/>
    <m/>
    <m/>
    <m/>
    <m/>
    <m/>
    <m/>
    <n v="0.19900000000000001"/>
    <m/>
  </r>
  <r>
    <x v="5"/>
    <x v="22"/>
    <s v="Fresh or Not Specified"/>
    <s v="Wheat Bread, 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of bread wheat"/>
    <s v="reported value/1000"/>
    <s v=""/>
    <s v=""/>
    <n v="0.80400000000000005"/>
    <s v=""/>
    <m/>
    <m/>
    <m/>
    <m/>
    <m/>
    <m/>
    <m/>
    <m/>
    <m/>
    <m/>
    <m/>
    <m/>
    <m/>
    <m/>
    <m/>
    <m/>
    <m/>
    <m/>
    <m/>
    <m/>
    <m/>
    <m/>
    <n v="0.80400000000000005"/>
    <m/>
  </r>
  <r>
    <x v="5"/>
    <x v="22"/>
    <s v="Fresh or Not Specified"/>
    <s v="Wheat Bread,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of bread wheat"/>
    <s v="reported value/1000"/>
    <s v=""/>
    <s v=""/>
    <n v="0.78600000000000003"/>
    <s v=""/>
    <m/>
    <m/>
    <m/>
    <m/>
    <m/>
    <m/>
    <m/>
    <m/>
    <m/>
    <m/>
    <m/>
    <m/>
    <m/>
    <m/>
    <m/>
    <m/>
    <m/>
    <m/>
    <m/>
    <m/>
    <m/>
    <m/>
    <n v="0.78600000000000003"/>
    <m/>
  </r>
  <r>
    <x v="5"/>
    <x v="45"/>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rapeseed"/>
    <s v="reported value/1000"/>
    <s v=""/>
    <s v=""/>
    <n v="1.71"/>
    <s v=""/>
    <m/>
    <m/>
    <m/>
    <m/>
    <m/>
    <m/>
    <m/>
    <m/>
    <m/>
    <m/>
    <m/>
    <m/>
    <m/>
    <m/>
    <m/>
    <m/>
    <m/>
    <m/>
    <m/>
    <m/>
    <m/>
    <m/>
    <n v="1.71"/>
    <m/>
  </r>
  <r>
    <x v="5"/>
    <x v="45"/>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rapeseed"/>
    <s v="reported value/1000"/>
    <s v=""/>
    <s v=""/>
    <n v="1.62"/>
    <s v=""/>
    <m/>
    <m/>
    <m/>
    <m/>
    <m/>
    <m/>
    <m/>
    <m/>
    <m/>
    <m/>
    <m/>
    <m/>
    <m/>
    <m/>
    <m/>
    <m/>
    <m/>
    <m/>
    <m/>
    <m/>
    <m/>
    <m/>
    <n v="1.62"/>
    <m/>
  </r>
  <r>
    <x v="1"/>
    <x v="3"/>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3.68815592203898"/>
    <s v=""/>
    <m/>
    <m/>
    <m/>
    <m/>
    <m/>
    <m/>
    <m/>
    <m/>
    <m/>
    <m/>
    <m/>
    <m/>
    <m/>
    <m/>
    <m/>
    <m/>
    <m/>
    <m/>
    <m/>
    <m/>
    <m/>
    <m/>
    <n v="23.68815592203898"/>
    <m/>
  </r>
  <r>
    <x v="1"/>
    <x v="3"/>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7.286356821589202"/>
    <s v=""/>
    <m/>
    <m/>
    <m/>
    <m/>
    <m/>
    <m/>
    <m/>
    <m/>
    <m/>
    <m/>
    <m/>
    <m/>
    <m/>
    <m/>
    <m/>
    <m/>
    <m/>
    <m/>
    <m/>
    <m/>
    <m/>
    <m/>
    <n v="27.286356821589202"/>
    <m/>
  </r>
  <r>
    <x v="1"/>
    <x v="3"/>
    <s v="Fresh or Not Specified"/>
    <s v="100% suckler"/>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7.931034482758619"/>
    <s v=""/>
    <m/>
    <m/>
    <m/>
    <m/>
    <m/>
    <m/>
    <m/>
    <m/>
    <m/>
    <m/>
    <m/>
    <m/>
    <m/>
    <m/>
    <m/>
    <m/>
    <m/>
    <m/>
    <m/>
    <m/>
    <m/>
    <m/>
    <n v="37.931034482758619"/>
    <m/>
  </r>
  <r>
    <x v="1"/>
    <x v="3"/>
    <s v="Fresh or Not Specified"/>
    <s v="Lowland"/>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3.38830584707646"/>
    <s v=""/>
    <m/>
    <m/>
    <m/>
    <m/>
    <m/>
    <m/>
    <m/>
    <m/>
    <m/>
    <m/>
    <m/>
    <m/>
    <m/>
    <m/>
    <m/>
    <m/>
    <m/>
    <m/>
    <m/>
    <m/>
    <m/>
    <m/>
    <n v="23.38830584707646"/>
    <m/>
  </r>
  <r>
    <x v="1"/>
    <x v="3"/>
    <s v="Fresh or Not Specified"/>
    <s v="Hill &amp; Upland"/>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67  edible boneless weight = 0.667*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4.587706146926532"/>
    <s v=""/>
    <m/>
    <m/>
    <m/>
    <m/>
    <m/>
    <m/>
    <m/>
    <m/>
    <m/>
    <m/>
    <m/>
    <m/>
    <m/>
    <m/>
    <m/>
    <m/>
    <m/>
    <m/>
    <m/>
    <m/>
    <m/>
    <m/>
    <n v="24.587706146926532"/>
    <m/>
  </r>
  <r>
    <x v="1"/>
    <x v="23"/>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7242798353909468"/>
    <s v=""/>
    <m/>
    <m/>
    <m/>
    <m/>
    <m/>
    <m/>
    <m/>
    <m/>
    <m/>
    <m/>
    <m/>
    <m/>
    <m/>
    <m/>
    <m/>
    <m/>
    <m/>
    <m/>
    <m/>
    <m/>
    <m/>
    <m/>
    <n v="8.7242798353909468"/>
    <m/>
  </r>
  <r>
    <x v="1"/>
    <x v="23"/>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7.7366255144032916"/>
    <s v=""/>
    <m/>
    <m/>
    <m/>
    <m/>
    <m/>
    <m/>
    <m/>
    <m/>
    <m/>
    <m/>
    <m/>
    <m/>
    <m/>
    <m/>
    <m/>
    <m/>
    <m/>
    <m/>
    <m/>
    <m/>
    <m/>
    <m/>
    <n v="7.7366255144032916"/>
    <m/>
  </r>
  <r>
    <x v="1"/>
    <x v="23"/>
    <s v="Fresh or Not Specified"/>
    <s v="Heavier finishing"/>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3401920438957475"/>
    <s v=""/>
    <m/>
    <m/>
    <m/>
    <m/>
    <m/>
    <m/>
    <m/>
    <m/>
    <m/>
    <m/>
    <m/>
    <m/>
    <m/>
    <m/>
    <m/>
    <m/>
    <m/>
    <m/>
    <m/>
    <m/>
    <m/>
    <m/>
    <n v="8.3401920438957475"/>
    <m/>
  </r>
  <r>
    <x v="1"/>
    <x v="23"/>
    <s v="Fresh or Not Specified"/>
    <s v="Indoor breeding"/>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8065843621399171"/>
    <s v=""/>
    <m/>
    <m/>
    <m/>
    <m/>
    <m/>
    <m/>
    <m/>
    <m/>
    <m/>
    <m/>
    <m/>
    <m/>
    <m/>
    <m/>
    <m/>
    <m/>
    <m/>
    <m/>
    <m/>
    <m/>
    <m/>
    <m/>
    <n v="8.8065843621399171"/>
    <m/>
  </r>
  <r>
    <x v="1"/>
    <x v="23"/>
    <s v="Fresh or Not Specified"/>
    <s v="Outdoor breeding"/>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729  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8.6831275720164616"/>
    <s v=""/>
    <m/>
    <m/>
    <m/>
    <m/>
    <m/>
    <m/>
    <m/>
    <m/>
    <m/>
    <m/>
    <m/>
    <m/>
    <m/>
    <m/>
    <m/>
    <m/>
    <m/>
    <m/>
    <m/>
    <m/>
    <m/>
    <m/>
    <n v="8.6831275720164616"/>
    <m/>
  </r>
  <r>
    <x v="1"/>
    <x v="24"/>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 boneless = 77%*carcass (Sonesson, 2010)"/>
    <s v=""/>
    <s v=""/>
    <n v="5.9350649350649354"/>
    <s v=""/>
    <m/>
    <m/>
    <m/>
    <m/>
    <m/>
    <m/>
    <m/>
    <m/>
    <m/>
    <m/>
    <m/>
    <m/>
    <m/>
    <m/>
    <m/>
    <m/>
    <m/>
    <m/>
    <m/>
    <m/>
    <m/>
    <m/>
    <n v="5.9350649350649354"/>
    <m/>
  </r>
  <r>
    <x v="1"/>
    <x v="24"/>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 boneless = 77%*carcass (Sonesson, 2010)"/>
    <s v=""/>
    <s v=""/>
    <n v="8.6753246753246742"/>
    <s v=""/>
    <m/>
    <m/>
    <m/>
    <m/>
    <m/>
    <m/>
    <m/>
    <m/>
    <m/>
    <m/>
    <m/>
    <m/>
    <m/>
    <m/>
    <m/>
    <m/>
    <m/>
    <m/>
    <m/>
    <m/>
    <m/>
    <m/>
    <n v="8.6753246753246742"/>
    <m/>
  </r>
  <r>
    <x v="1"/>
    <x v="24"/>
    <s v="Fresh or Not Specified"/>
    <s v="Free range 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 boneless = 77%*carcass (Sonesson, 2010)"/>
    <s v=""/>
    <s v=""/>
    <n v="7.116883116883117"/>
    <s v=""/>
    <m/>
    <m/>
    <m/>
    <m/>
    <m/>
    <m/>
    <m/>
    <m/>
    <m/>
    <m/>
    <m/>
    <m/>
    <m/>
    <m/>
    <m/>
    <m/>
    <m/>
    <m/>
    <m/>
    <m/>
    <m/>
    <m/>
    <n v="7.116883116883117"/>
    <m/>
  </r>
  <r>
    <x v="1"/>
    <x v="1"/>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58  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6.595744680851062"/>
    <s v=""/>
    <m/>
    <m/>
    <m/>
    <m/>
    <m/>
    <m/>
    <m/>
    <m/>
    <m/>
    <m/>
    <m/>
    <m/>
    <m/>
    <m/>
    <m/>
    <m/>
    <m/>
    <m/>
    <m/>
    <m/>
    <m/>
    <m/>
    <n v="26.595744680851062"/>
    <m/>
  </r>
  <r>
    <x v="1"/>
    <x v="1"/>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Dead weight"/>
    <s v="reported value/1000/.658  boneless yield = 65.8%,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5.349544072948326"/>
    <s v=""/>
    <m/>
    <m/>
    <m/>
    <m/>
    <m/>
    <m/>
    <m/>
    <m/>
    <m/>
    <m/>
    <m/>
    <m/>
    <m/>
    <m/>
    <m/>
    <m/>
    <m/>
    <m/>
    <m/>
    <m/>
    <m/>
    <m/>
    <n v="15.349544072948326"/>
    <m/>
  </r>
  <r>
    <x v="2"/>
    <x v="2"/>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eggs"/>
    <s v="reported value/1000"/>
    <s v=""/>
    <s v=""/>
    <n v="5.53"/>
    <s v=""/>
    <m/>
    <m/>
    <m/>
    <m/>
    <m/>
    <m/>
    <m/>
    <m/>
    <m/>
    <m/>
    <m/>
    <m/>
    <m/>
    <m/>
    <m/>
    <m/>
    <m/>
    <m/>
    <m/>
    <m/>
    <m/>
    <m/>
    <n v="5.53"/>
    <m/>
  </r>
  <r>
    <x v="2"/>
    <x v="2"/>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eggs"/>
    <s v="reported value/1000"/>
    <s v=""/>
    <s v=""/>
    <n v="7"/>
    <s v=""/>
    <m/>
    <m/>
    <m/>
    <m/>
    <m/>
    <m/>
    <m/>
    <m/>
    <m/>
    <m/>
    <m/>
    <m/>
    <m/>
    <m/>
    <m/>
    <m/>
    <m/>
    <m/>
    <m/>
    <m/>
    <m/>
    <m/>
    <n v="7"/>
    <m/>
  </r>
  <r>
    <x v="2"/>
    <x v="2"/>
    <s v="Fresh or Not Specified"/>
    <s v="100% cage 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eggs"/>
    <s v="reported value/1000"/>
    <s v=""/>
    <s v=""/>
    <n v="5.25"/>
    <s v=""/>
    <m/>
    <m/>
    <m/>
    <m/>
    <m/>
    <m/>
    <m/>
    <m/>
    <m/>
    <m/>
    <m/>
    <m/>
    <m/>
    <m/>
    <m/>
    <m/>
    <m/>
    <m/>
    <m/>
    <m/>
    <m/>
    <m/>
    <n v="5.25"/>
    <m/>
  </r>
  <r>
    <x v="2"/>
    <x v="2"/>
    <s v="Fresh or Not Specified"/>
    <s v="100% free range 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eggs"/>
    <s v="reported value/1000"/>
    <s v=""/>
    <s v=""/>
    <n v="6.18"/>
    <s v=""/>
    <m/>
    <m/>
    <m/>
    <m/>
    <m/>
    <m/>
    <m/>
    <m/>
    <m/>
    <m/>
    <m/>
    <m/>
    <m/>
    <m/>
    <m/>
    <m/>
    <m/>
    <m/>
    <m/>
    <m/>
    <m/>
    <m/>
    <n v="6.18"/>
    <m/>
  </r>
  <r>
    <x v="0"/>
    <x v="0"/>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0000 litre milk"/>
    <s v="reported value/10300"/>
    <s v=""/>
    <s v=""/>
    <n v="10.6"/>
    <s v=""/>
    <m/>
    <m/>
    <m/>
    <m/>
    <m/>
    <m/>
    <m/>
    <m/>
    <m/>
    <m/>
    <m/>
    <m/>
    <m/>
    <m/>
    <m/>
    <m/>
    <m/>
    <m/>
    <m/>
    <m/>
    <m/>
    <m/>
    <n v="10.6"/>
    <m/>
  </r>
  <r>
    <x v="0"/>
    <x v="0"/>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0000 litre milk"/>
    <s v="reported value/10300"/>
    <s v=""/>
    <s v=""/>
    <n v="12.3"/>
    <s v=""/>
    <m/>
    <m/>
    <m/>
    <m/>
    <m/>
    <m/>
    <m/>
    <m/>
    <m/>
    <m/>
    <m/>
    <m/>
    <m/>
    <m/>
    <m/>
    <m/>
    <m/>
    <m/>
    <m/>
    <m/>
    <m/>
    <m/>
    <n v="12.3"/>
    <m/>
  </r>
  <r>
    <x v="0"/>
    <x v="0"/>
    <s v="Fresh or Not Specified"/>
    <s v="20% autumn calving herd"/>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0000 litre milk"/>
    <s v="reported value/10300"/>
    <s v=""/>
    <s v=""/>
    <n v="10.3"/>
    <s v=""/>
    <m/>
    <m/>
    <m/>
    <m/>
    <m/>
    <m/>
    <m/>
    <m/>
    <m/>
    <m/>
    <m/>
    <m/>
    <m/>
    <m/>
    <m/>
    <m/>
    <m/>
    <m/>
    <m/>
    <m/>
    <m/>
    <m/>
    <n v="10.3"/>
    <m/>
  </r>
  <r>
    <x v="3"/>
    <x v="18"/>
    <s v="Fresh or Not Specified"/>
    <s v="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tomatoes"/>
    <s v="reported value/1000"/>
    <s v=""/>
    <s v=""/>
    <n v="17.5"/>
    <s v=""/>
    <m/>
    <m/>
    <m/>
    <m/>
    <m/>
    <m/>
    <m/>
    <m/>
    <m/>
    <m/>
    <m/>
    <m/>
    <m/>
    <m/>
    <m/>
    <m/>
    <m/>
    <m/>
    <m/>
    <m/>
    <m/>
    <m/>
    <n v="17.5"/>
    <m/>
  </r>
  <r>
    <x v="3"/>
    <x v="18"/>
    <s v="Fresh or Not Specified"/>
    <s v="Non organic"/>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tomatoes"/>
    <s v="reported value/1000"/>
    <s v=""/>
    <s v=""/>
    <n v="9.1"/>
    <s v=""/>
    <m/>
    <m/>
    <m/>
    <m/>
    <m/>
    <m/>
    <m/>
    <m/>
    <m/>
    <m/>
    <m/>
    <m/>
    <m/>
    <m/>
    <m/>
    <m/>
    <m/>
    <m/>
    <m/>
    <m/>
    <m/>
    <m/>
    <n v="9.1"/>
    <m/>
  </r>
  <r>
    <x v="3"/>
    <x v="18"/>
    <s v="Fresh or Not Specified"/>
    <s v="Nutrient Film Technique"/>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tomatoes"/>
    <s v="reported value/1000"/>
    <s v=""/>
    <s v=""/>
    <n v="9.1"/>
    <s v=""/>
    <m/>
    <m/>
    <m/>
    <m/>
    <m/>
    <m/>
    <m/>
    <m/>
    <m/>
    <m/>
    <m/>
    <m/>
    <m/>
    <m/>
    <m/>
    <m/>
    <m/>
    <m/>
    <m/>
    <m/>
    <m/>
    <m/>
    <n v="9.1"/>
    <m/>
  </r>
  <r>
    <x v="3"/>
    <x v="18"/>
    <s v="Fresh or Not Specified"/>
    <s v="Rockwool base"/>
    <s v="Yes"/>
    <s v="UK"/>
    <n v="2006"/>
    <s v="Williams, A.G. (a) Audsley, E (a); and Sandars, D.L. (a);"/>
    <s v="(a) Natural Resource Management Institute, Cranfield University. Silsoe Research Institute."/>
    <s v="Industry Based Report"/>
    <s v="Williams, A. G. a. E. S. D. L., Determining the environmental burdens and resource use in the production of agricultural and horticultural commoditites. Main report. Defra Research Project IS0205. Bedford: Cranfield University and Defra. 2006,  (Mlc), ."/>
    <s v="Yes"/>
    <s v="Yes"/>
    <s v="No"/>
    <s v="No"/>
    <s v="No"/>
    <s v="No"/>
    <s v="No"/>
    <s v="No"/>
    <s v="No"/>
    <s v="No"/>
    <s v="No"/>
    <s v="Yes"/>
    <m/>
    <s v="Farm gate values reported"/>
    <m/>
    <s v="No"/>
    <s v="1 ton tomatoes"/>
    <s v="reported value/1000"/>
    <s v=""/>
    <s v=""/>
    <n v="12.2"/>
    <s v=""/>
    <m/>
    <m/>
    <m/>
    <m/>
    <m/>
    <m/>
    <m/>
    <m/>
    <m/>
    <m/>
    <m/>
    <m/>
    <m/>
    <m/>
    <m/>
    <m/>
    <m/>
    <m/>
    <m/>
    <m/>
    <m/>
    <m/>
    <n v="12.2"/>
    <m/>
  </r>
  <r>
    <x v="5"/>
    <x v="22"/>
    <s v="Fresh or Not Specified"/>
    <s v="Rye Bread on Industrial Scale"/>
    <s v="Yes"/>
    <s v="Denmark"/>
    <n v="2014"/>
    <s v="Jan Stentoft Arlbjørn; Jesper Kronborg Jensen"/>
    <s v="University of Southern Denmark, Department of Entrepreneurship and Relationship Management"/>
    <s v="Peer Reviewed Journal"/>
    <s v="Jensen, J. K. and Arlbjørn, J. S., Product carbon footprint of rye bread. Journal of Cleaner Production 2014, 82, 45-57."/>
    <s v="Yes"/>
    <s v="No"/>
    <s v="Yes"/>
    <s v="Yes"/>
    <s v="Yes"/>
    <s v="Yes"/>
    <s v="Yes"/>
    <s v="No"/>
    <s v="No"/>
    <s v="No"/>
    <s v="No"/>
    <s v="No"/>
    <m/>
    <s v="Cradle to Grave"/>
    <s v="Yes"/>
    <s v="No"/>
    <s v="1 kg rye bread"/>
    <s v="N/A"/>
    <s v=""/>
    <s v=""/>
    <s v=""/>
    <s v=""/>
    <m/>
    <m/>
    <m/>
    <m/>
    <m/>
    <m/>
    <m/>
    <m/>
    <m/>
    <m/>
    <m/>
    <m/>
    <m/>
    <m/>
    <m/>
    <m/>
    <m/>
    <m/>
    <m/>
    <m/>
    <m/>
    <m/>
    <m/>
    <n v="0.47799999999999998"/>
  </r>
  <r>
    <x v="8"/>
    <x v="46"/>
    <s v="Fresh or Not Specified"/>
    <s v="Palm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1.7"/>
  </r>
  <r>
    <x v="8"/>
    <x v="47"/>
    <s v="Fresh or Not Specified"/>
    <s v="Soybean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1.7"/>
  </r>
  <r>
    <x v="8"/>
    <x v="48"/>
    <s v="Fresh or Not Specified"/>
    <s v="Rapeseed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0.05"/>
  </r>
  <r>
    <x v="8"/>
    <x v="49"/>
    <s v="Fresh or Not Specified"/>
    <s v="Sunflower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3.9"/>
  </r>
  <r>
    <x v="8"/>
    <x v="50"/>
    <s v="Fresh or Not Specified"/>
    <s v="Peanut Oil"/>
    <s v="No"/>
    <m/>
    <n v="2014"/>
    <s v="Ivan Muñoz; Jannick Hoejrup Schmidt; Randi Dalgaard"/>
    <s v="LCA consultants, Skibbrogade 5, 1, 9000, Aalborg, Denmark"/>
    <s v="Conference Proceedings"/>
    <s v="Muñoz, I., Schmidt, J. H. and Dalgaard, R., Comparative life cycle assessment of five different vegetable oils. 9th International Conference LCA of Food San Francisco, USA 8-10 October 2014."/>
    <s v="Yes"/>
    <s v="Yes"/>
    <s v="No"/>
    <s v="Yes"/>
    <s v="No"/>
    <s v="No"/>
    <s v="No"/>
    <s v="No"/>
    <s v="No"/>
    <s v="No"/>
    <s v="No"/>
    <s v="No"/>
    <m/>
    <s v="Cradle to Refinery Gate"/>
    <s v="No"/>
    <s v="No"/>
    <s v="1 ton refined veg oil at refinery gate"/>
    <s v="reported value / 1000"/>
    <s v=""/>
    <s v=""/>
    <s v=""/>
    <s v=""/>
    <m/>
    <m/>
    <m/>
    <m/>
    <m/>
    <m/>
    <m/>
    <m/>
    <m/>
    <m/>
    <m/>
    <m/>
    <m/>
    <m/>
    <m/>
    <m/>
    <m/>
    <m/>
    <m/>
    <m/>
    <m/>
    <m/>
    <m/>
    <n v="1.6"/>
  </r>
  <r>
    <x v="8"/>
    <x v="51"/>
    <s v="Fresh or Not Specified"/>
    <s v="Olive Oil"/>
    <s v="No"/>
    <s v="Cyprus"/>
    <n v="2007"/>
    <s v="M. Avraamides; D. Fatta"/>
    <s v="Department of Civil and Environmental Engineering, University of Cyprus, 75 Kallipoleos Street, 1678 Nicosia, Cyprus"/>
    <s v="Peer Reviewed Journal"/>
    <s v="Avraamides, M. and Fatta, D., Resource consumption and emissions from olive oil production: a life cycle inventory case study in Cyprus. Journal of Cleaner Production 2008, 16 (7), 809-821."/>
    <s v="Yes"/>
    <s v="No"/>
    <s v="Yes"/>
    <s v="Yes"/>
    <s v="No"/>
    <s v="No"/>
    <s v="Yes"/>
    <s v="No"/>
    <s v="No"/>
    <s v="No"/>
    <s v="No"/>
    <s v="No"/>
    <m/>
    <s v="Cradle to Refinery Gate"/>
    <s v="No"/>
    <s v="No"/>
    <s v="1 Liter EVOO extracted"/>
    <s v="reported value / .001 m3 / density of EVOO (920 kg/m3)"/>
    <n v="19.81304347826087"/>
    <n v="22.616086956521741"/>
    <n v="3.9130434782608696"/>
    <n v="4.1706521739130435"/>
    <n v="19.81304347826087"/>
    <m/>
    <n v="2.8030434782608697"/>
    <m/>
    <m/>
    <m/>
    <m/>
    <m/>
    <m/>
    <n v="19.81304347826087"/>
    <n v="22.616086956521741"/>
    <m/>
    <m/>
    <n v="3.9130434782608696"/>
    <m/>
    <n v="0.25760869565217387"/>
    <m/>
    <m/>
    <m/>
    <m/>
    <m/>
    <m/>
    <n v="3.9130434782608696"/>
    <n v="4.1706521739130435"/>
  </r>
  <r>
    <x v="8"/>
    <x v="49"/>
    <s v="Fresh or Not Specified"/>
    <s v="Sunflower Oil"/>
    <s v="No"/>
    <s v="Italy"/>
    <n v="2014"/>
    <s v="(a) Benedetta Nucci; (a) Monica Puccini; (b) Luigi Pelagagge; (a) Sandra Vitolo; (a) Cristiano Nicolella"/>
    <s v="(a) Department of Civil and Industrial Engineering, University of Pisa, Largo Lucio Lazzarino 1, 56122 Pisa, Italy; (b) SALOV e Società Alimentare Lucchese Oli e Vini S.p.A., Via Montramito 1600, 55040 Massarosa, Italy"/>
    <s v="Peer Reviewed Journal"/>
    <s v=" Nucci, B., Puccini, M., Pelagagge, L., Vitolo, S. and Nicolella, C., Improving the environmental performance of vegetable oil processing through LCA. Journal of Cleaner Production 2014, 64, 310-322."/>
    <s v="Yes"/>
    <s v="No"/>
    <s v="Yes"/>
    <s v="Yes"/>
    <s v="Yes"/>
    <s v="Yes"/>
    <s v="Yes"/>
    <s v="No"/>
    <s v="No"/>
    <s v="No"/>
    <s v="Yes"/>
    <s v="No"/>
    <m/>
    <s v="Cradle to Grave"/>
    <s v="No"/>
    <s v="No"/>
    <s v="1 L of sunflower oil refined and packaged"/>
    <s v="reported value / .001 m3 / density of Sun Oil (920 kg/m3)"/>
    <s v=""/>
    <s v=""/>
    <s v=""/>
    <s v=""/>
    <m/>
    <m/>
    <m/>
    <m/>
    <m/>
    <m/>
    <m/>
    <m/>
    <m/>
    <m/>
    <n v="3.2608695652173911"/>
    <m/>
    <m/>
    <m/>
    <m/>
    <m/>
    <m/>
    <m/>
    <m/>
    <m/>
    <m/>
    <m/>
    <m/>
    <m/>
  </r>
  <r>
    <x v="8"/>
    <x v="51"/>
    <s v="Fresh or Not Specified"/>
    <s v="Olive Oil, Scenario 1A"/>
    <s v="Yes"/>
    <s v="Sicily"/>
    <n v="2012"/>
    <s v="Roberta Salomone; Giuseppe Ioppolo"/>
    <s v="Department SEA, University of Messina, Piazza S. Pugliatti, 1, 98122 Messina, Italy"/>
    <s v="Peer Reviewed Journal"/>
    <s v="Salomone, R. and Ioppolo, G., Environmental impacts of olive oil production: A Life Cycle Assessment case study in the province of Messina (Sicily). Journal of Cleaner Production 2012, 28, 88-100."/>
    <s v="Yes"/>
    <s v="No"/>
    <s v="No"/>
    <s v="Yes"/>
    <s v="No"/>
    <s v="No"/>
    <s v="No"/>
    <s v="No"/>
    <s v="No"/>
    <s v="No"/>
    <s v="No"/>
    <s v="No"/>
    <m/>
    <s v="Cradle to Refinery Gate"/>
    <s v="Yes"/>
    <s v="No"/>
    <s v="1000 kg of olives"/>
    <s v="4000kg olives makes 760 liters of oil: reported value*(4000kg/760L)/.001m3/density (920kg/m3)"/>
    <s v=""/>
    <s v=""/>
    <n v="2.5921167048054916"/>
    <n v="2.751716247139588"/>
    <m/>
    <m/>
    <m/>
    <m/>
    <m/>
    <m/>
    <m/>
    <m/>
    <m/>
    <m/>
    <m/>
    <m/>
    <m/>
    <n v="2.5921167048054916"/>
    <m/>
    <n v="0.15959954233409623"/>
    <m/>
    <m/>
    <m/>
    <m/>
    <m/>
    <m/>
    <n v="2.5921167048054916"/>
    <n v="2.751716247139588"/>
  </r>
  <r>
    <x v="8"/>
    <x v="51"/>
    <s v="Fresh or Not Specified"/>
    <s v="Olive Oil, Scenario 4B"/>
    <s v="Yes"/>
    <s v="Sicily"/>
    <n v="2012"/>
    <s v="Roberta Salomone; Giuseppe Ioppolo"/>
    <s v="Department SEA, University of Messina, Piazza S. Pugliatti, 1, 98122 Messina, Italy"/>
    <s v="Peer Reviewed Journal"/>
    <s v="Salomone, R. and Ioppolo, G., Environmental impacts of olive oil production: A Life Cycle Assessment case study in the province of Messina (Sicily). Journal of Cleaner Production 2012, 28, 88-100."/>
    <s v="Yes"/>
    <s v="No"/>
    <s v="No"/>
    <s v="Yes"/>
    <s v="No"/>
    <s v="No"/>
    <s v="No"/>
    <s v="No"/>
    <s v="No"/>
    <s v="No"/>
    <s v="No"/>
    <s v="No"/>
    <m/>
    <s v="Cradle to Refinery Gate"/>
    <s v="Yes"/>
    <s v="No"/>
    <s v="1000 kg of olives"/>
    <s v="4000kg olives makes 800 liters of oil: reported value*(4000kg/800L)/.001m3/density (920kg/m3)"/>
    <s v=""/>
    <s v=""/>
    <n v="2.3910434782608694"/>
    <n v="2.695652173913043"/>
    <m/>
    <m/>
    <m/>
    <m/>
    <m/>
    <m/>
    <m/>
    <m/>
    <m/>
    <m/>
    <m/>
    <m/>
    <m/>
    <n v="2.3910434782608694"/>
    <m/>
    <n v="0.30460869565217386"/>
    <m/>
    <m/>
    <m/>
    <m/>
    <m/>
    <m/>
    <n v="2.3910434782608694"/>
    <n v="2.6956521739130435"/>
  </r>
  <r>
    <x v="8"/>
    <x v="51"/>
    <s v="Fresh or Not Specified"/>
    <s v="Olive Oil, Scenario 5C"/>
    <s v="Yes"/>
    <s v="Sicily"/>
    <n v="2012"/>
    <s v="Roberta Salomone; Giuseppe Ioppolo"/>
    <s v="Department SEA, University of Messina, Piazza S. Pugliatti, 1, 98122 Messina, Italy"/>
    <s v="Peer Reviewed Journal"/>
    <s v="Salomone, R. and Ioppolo, G., Environmental impacts of olive oil production: A Life Cycle Assessment case study in the province of Messina (Sicily). Journal of Cleaner Production 2012, 28, 88-100."/>
    <s v="Yes"/>
    <s v="No"/>
    <s v="No"/>
    <s v="Yes"/>
    <s v="No"/>
    <s v="No"/>
    <s v="No"/>
    <s v="No"/>
    <s v="No"/>
    <s v="No"/>
    <s v="No"/>
    <s v="No"/>
    <m/>
    <s v="Cradle to Refinery Gate"/>
    <s v="Yes"/>
    <s v="No"/>
    <s v="1000 kg of olives"/>
    <s v="4000kg olives makes 800 liters of oil: reported value*(4000kg/800L)/.001m3/density (920kg/m3)"/>
    <s v=""/>
    <s v=""/>
    <s v=""/>
    <s v=""/>
    <m/>
    <m/>
    <m/>
    <m/>
    <m/>
    <m/>
    <m/>
    <m/>
    <m/>
    <m/>
    <m/>
    <m/>
    <m/>
    <m/>
    <m/>
    <m/>
    <m/>
    <m/>
    <m/>
    <m/>
    <m/>
    <m/>
    <m/>
    <n v="-2.6739130434782612"/>
  </r>
  <r>
    <x v="8"/>
    <x v="51"/>
    <s v="Fresh or Not Specified"/>
    <s v="Olive Oil, Scenario 8D"/>
    <s v="Yes"/>
    <s v="Sicily"/>
    <n v="2012"/>
    <s v="Roberta Salomone; Giuseppe Ioppolo"/>
    <s v="Department SEA, University of Messina, Piazza S. Pugliatti, 1, 98122 Messina, Italy"/>
    <s v="Peer Reviewed Journal"/>
    <s v="Salomone, R. and Ioppolo, G., Environmental impacts of olive oil production: A Life Cycle Assessment case study in the province of Messina (Sicily). Journal of Cleaner Production 2012, 28, 88-100."/>
    <s v="Yes"/>
    <s v="No"/>
    <s v="No"/>
    <s v="Yes"/>
    <s v="No"/>
    <s v="No"/>
    <s v="No"/>
    <s v="No"/>
    <s v="No"/>
    <s v="No"/>
    <s v="No"/>
    <s v="No"/>
    <m/>
    <s v="Cradle to Refinery Gate"/>
    <s v="Yes"/>
    <s v="No"/>
    <s v="1000 kg of olives"/>
    <s v="2000kg olives makes 400 liters of oil: reported value*(2000kg/400L)/.001m3/density (920kg/m3)"/>
    <s v=""/>
    <s v=""/>
    <s v=""/>
    <s v=""/>
    <m/>
    <m/>
    <m/>
    <m/>
    <m/>
    <m/>
    <m/>
    <m/>
    <m/>
    <m/>
    <m/>
    <m/>
    <m/>
    <m/>
    <m/>
    <m/>
    <m/>
    <m/>
    <m/>
    <m/>
    <m/>
    <m/>
    <m/>
    <n v="-3.4347826086956519"/>
  </r>
  <r>
    <x v="1"/>
    <x v="23"/>
    <s v="Fresh or Not Specified"/>
    <s v="National Pork production, Swedish industry 2005"/>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SIK Report No. 793, 2009, 1-97."/>
    <s v="Yes"/>
    <s v="No"/>
    <s v="No"/>
    <s v="No"/>
    <s v="No"/>
    <s v="No"/>
    <s v="No"/>
    <s v="No"/>
    <s v="No"/>
    <s v="No"/>
    <s v="No"/>
    <s v="No"/>
    <m/>
    <s v="GHG during production - feed and manure"/>
    <s v="No"/>
    <s v="Yes"/>
    <s v="1 kg carcass weight"/>
    <s v="edible boneless weight = 0.729*carcass weight"/>
    <s v=""/>
    <s v=""/>
    <n v="4.6639231824417013"/>
    <s v=""/>
    <m/>
    <m/>
    <m/>
    <m/>
    <m/>
    <m/>
    <m/>
    <m/>
    <m/>
    <m/>
    <m/>
    <m/>
    <m/>
    <m/>
    <m/>
    <m/>
    <m/>
    <m/>
    <m/>
    <m/>
    <m/>
    <m/>
    <n v="4.6639231824417013"/>
    <m/>
  </r>
  <r>
    <x v="1"/>
    <x v="3"/>
    <s v="Fresh or Not Specified"/>
    <s v="National Beef production, Swedish industry 2005"/>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SIK Report No. 793, 2009, 1-97."/>
    <s v="Yes"/>
    <s v="No"/>
    <s v="No"/>
    <s v="No"/>
    <s v="No"/>
    <s v="No"/>
    <s v="No"/>
    <s v="No"/>
    <s v="No"/>
    <s v="No"/>
    <s v="No"/>
    <s v="No"/>
    <m/>
    <s v="GHG during production - feed and manure"/>
    <s v="No"/>
    <s v="Yes"/>
    <s v="1 kg carcass weight"/>
    <s v="edible boneless weight = 0.667*carcass weight"/>
    <s v=""/>
    <s v=""/>
    <n v="29.685157421289354"/>
    <s v=""/>
    <m/>
    <m/>
    <m/>
    <m/>
    <m/>
    <m/>
    <m/>
    <m/>
    <m/>
    <m/>
    <m/>
    <m/>
    <m/>
    <m/>
    <m/>
    <m/>
    <m/>
    <m/>
    <m/>
    <m/>
    <m/>
    <m/>
    <n v="29.685157421289354"/>
    <m/>
  </r>
  <r>
    <x v="0"/>
    <x v="0"/>
    <s v="Fresh or Not Specified"/>
    <s v="Energy Corrected Milk, Sweden 2005"/>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SIK Report No. 793, 2009, 1-97."/>
    <s v="Yes"/>
    <s v="No"/>
    <s v="No"/>
    <s v="No"/>
    <s v="No"/>
    <s v="No"/>
    <s v="No"/>
    <s v="No"/>
    <s v="No"/>
    <s v="No"/>
    <s v="No"/>
    <s v="No"/>
    <m/>
    <s v="GHG during production - feed and manure"/>
    <s v="No"/>
    <s v="Yes"/>
    <s v="1 kg milk"/>
    <m/>
    <s v=""/>
    <s v=""/>
    <n v="1.02"/>
    <s v=""/>
    <m/>
    <m/>
    <m/>
    <m/>
    <m/>
    <m/>
    <m/>
    <m/>
    <m/>
    <m/>
    <m/>
    <m/>
    <m/>
    <m/>
    <m/>
    <m/>
    <m/>
    <m/>
    <m/>
    <m/>
    <m/>
    <m/>
    <n v="1.02"/>
    <m/>
  </r>
  <r>
    <x v="1"/>
    <x v="24"/>
    <s v="Fresh or Not Specified"/>
    <s v="National Chicken production, Swedish industry 2005"/>
    <s v="No"/>
    <s v="Sweden"/>
    <n v="2009"/>
    <s v="Christel Cederberg; Ulf Sonesson; Maria Henriksson; Veronica Sund; Jennifer Davis"/>
    <s v="The Swedish Institute for Food and Biotechnology"/>
    <s v="Industry Based Report"/>
    <s v="Cederberg, C., Sonesson, U., Henriksson, M., Sund, V. and Davis, J., Greenhouse gas emissions from Swedish consumption of meat, milk and eggs 1990 and 2005. SIK Report No. 793, 2009, 1-97."/>
    <s v="Yes"/>
    <s v="No"/>
    <s v="No"/>
    <s v="No"/>
    <s v="No"/>
    <s v="No"/>
    <s v="No"/>
    <s v="No"/>
    <s v="No"/>
    <s v="No"/>
    <s v="No"/>
    <s v="No"/>
    <m/>
    <s v="GHG during production - feed and manure"/>
    <s v="No"/>
    <s v="Yes"/>
    <s v="1 kg carcass weight"/>
    <s v="edible boneless weight = 0.667*carcass weight"/>
    <s v=""/>
    <s v=""/>
    <n v="2.8485757121439277"/>
    <s v=""/>
    <m/>
    <m/>
    <m/>
    <m/>
    <m/>
    <m/>
    <m/>
    <m/>
    <m/>
    <m/>
    <m/>
    <m/>
    <m/>
    <m/>
    <m/>
    <m/>
    <m/>
    <m/>
    <m/>
    <m/>
    <m/>
    <m/>
    <n v="2.8485757121439277"/>
    <m/>
  </r>
  <r>
    <x v="9"/>
    <x v="52"/>
    <s v="Fresh or Not Specified"/>
    <s v="Honey Production in the US"/>
    <s v="No"/>
    <s v="USA"/>
    <n v="2012"/>
    <s v="(a) Alissa Kendall; (b) Juhong Yuan; (c) Sonja B. Brodt"/>
    <s v="(a) Department of Civil and Environmental Engineering, University of California, Davis, One Shields Ave., Davis, CA 95616, USA; (b) Institute of Transportation Studies, University of California, Davis, One Shields Ave., Davis, CA, USA; (c) Agricultural Sustainability Institute, University of California, Davis, One Shields Ave., Davis, CA, USA "/>
    <m/>
    <s v="Kendall, A., Yuan, J. and Brodt, S. B., Carbon footprint and air emissions inventories for US honey production: Case studies. International Journal of Life Cycle Assessment 2013, 18 (2), 392-400."/>
    <s v="Yes"/>
    <s v="No"/>
    <s v="Yes"/>
    <s v="Yes"/>
    <s v="No"/>
    <s v="No"/>
    <s v="No"/>
    <s v="No"/>
    <s v="No"/>
    <s v="No"/>
    <s v="No"/>
    <s v="No"/>
    <m/>
    <s v="Starts at hive management (not construction) through processing"/>
    <s v="No"/>
    <s v="No"/>
    <s v="1 kg of processed honey"/>
    <s v="None"/>
    <s v=""/>
    <s v=""/>
    <s v=""/>
    <s v=""/>
    <m/>
    <m/>
    <m/>
    <m/>
    <m/>
    <m/>
    <m/>
    <m/>
    <m/>
    <m/>
    <m/>
    <m/>
    <m/>
    <m/>
    <m/>
    <m/>
    <m/>
    <m/>
    <m/>
    <m/>
    <m/>
    <m/>
    <m/>
    <n v="0.81"/>
  </r>
  <r>
    <x v="4"/>
    <x v="53"/>
    <s v="Fresh or Not Specified"/>
    <s v="Wine Grapes in Napa California"/>
    <s v="Yes"/>
    <s v="USA, Napa CA"/>
    <n v="2015"/>
    <s v="(a) Kerri L. Steenwerth; (b) Emma B. Strong; (a) Rachel F. Greenhut; (c) Larry Williams; (b) Alissa Kendall"/>
    <s v="(a) USDA/ARS Crops Pathology and Genetics Research Unit,_x000a_ Davis, CA 95616, USA; (b) Civil and Environmental Engineering Department, U. C. Davis,_x000a_ Davis, CA 95616, USA; (c) Viticulture and Enology Department, U. C. Davis, Davis, CA 95616,_x000a_ USA"/>
    <m/>
    <s v="Steenwerth, K. L., Strong, E. B., Greenhut, R. F., Williams, L. and Kendall, A., Life cycle greenhouse gas, energy, and water assessment of wine grape production in California. The International Journal of Life Cycle Assessment 2015, 20 (9), 1243-1253."/>
    <s v="Yes"/>
    <s v="No"/>
    <s v="Yes"/>
    <s v="No"/>
    <s v="No"/>
    <s v="No"/>
    <s v="No"/>
    <s v="No"/>
    <s v="No"/>
    <s v="No"/>
    <s v="No"/>
    <s v="No"/>
    <m/>
    <s v="Cradle to Farm-gate"/>
    <s v="No"/>
    <s v="No"/>
    <s v="1 tonne wine grapes"/>
    <s v="Reported Value / 1000"/>
    <s v=""/>
    <s v=""/>
    <s v=""/>
    <s v=""/>
    <m/>
    <m/>
    <m/>
    <m/>
    <m/>
    <m/>
    <m/>
    <m/>
    <m/>
    <m/>
    <n v="6.5289999999999999"/>
    <m/>
    <m/>
    <m/>
    <m/>
    <m/>
    <m/>
    <m/>
    <m/>
    <m/>
    <m/>
    <m/>
    <m/>
    <n v="0.45600000000000002"/>
  </r>
  <r>
    <x v="4"/>
    <x v="53"/>
    <s v="Fresh or Not Specified"/>
    <s v="Wine Grapes in Lodi California"/>
    <s v="Yes"/>
    <s v="USA, Lodi CA"/>
    <n v="2015"/>
    <s v="(a) Kerri L. Steenwerth; (b) Emma B. Strong; (a) Rachel F. Greenhut; (c) Larry Williams; (b) Alissa Kendall"/>
    <s v="(a) USDA/ARS Crops Pathology and Genetics Research Unit,_x000a_ Davis, CA 95616, USA; (b) Civil and Environmental Engineering Department, U. C. Davis,_x000a_ Davis, CA 95616, USA; (c) Viticulture and Enology Department, U. C. Davis, Davis, CA 95616,_x000a_ USA"/>
    <m/>
    <s v="Steenwerth, K. L., Strong, E. B., Greenhut, R. F., Williams, L. and Kendall, A., Life cycle greenhouse gas, energy, and water assessment of wine grape production in California. The International Journal of Life Cycle Assessment 2015, 20 (9), 1243-1253."/>
    <s v="Yes"/>
    <s v="No"/>
    <s v="Yes"/>
    <s v="No"/>
    <s v="No"/>
    <s v="No"/>
    <s v="No"/>
    <s v="No"/>
    <s v="No"/>
    <s v="No"/>
    <s v="No"/>
    <s v="No"/>
    <m/>
    <s v="Cradle to Farm-gate"/>
    <s v="No"/>
    <s v="No"/>
    <s v="1 tonne wine grapes"/>
    <s v="Reported Value / 1000"/>
    <s v=""/>
    <s v=""/>
    <s v=""/>
    <s v=""/>
    <m/>
    <m/>
    <m/>
    <m/>
    <m/>
    <m/>
    <m/>
    <m/>
    <m/>
    <m/>
    <n v="2.7589999999999999"/>
    <m/>
    <m/>
    <m/>
    <m/>
    <m/>
    <m/>
    <m/>
    <m/>
    <m/>
    <m/>
    <m/>
    <m/>
    <n v="0.20300000000000001"/>
  </r>
  <r>
    <x v="3"/>
    <x v="44"/>
    <s v="Fresh or Not Specified"/>
    <s v="Organic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otato"/>
    <m/>
    <s v=""/>
    <s v=""/>
    <n v="0.126"/>
    <s v=""/>
    <m/>
    <m/>
    <m/>
    <m/>
    <m/>
    <m/>
    <m/>
    <m/>
    <m/>
    <m/>
    <m/>
    <m/>
    <m/>
    <n v="0.126"/>
    <m/>
    <m/>
    <m/>
    <n v="6.8000000000000005E-2"/>
    <m/>
    <m/>
    <m/>
    <m/>
    <n v="0.126"/>
    <n v="0.19400000000000001"/>
  </r>
  <r>
    <x v="3"/>
    <x v="44"/>
    <s v="Fresh or Not Specified"/>
    <s v="Conventional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otato"/>
    <m/>
    <s v=""/>
    <s v=""/>
    <n v="0.14499999999999999"/>
    <s v=""/>
    <m/>
    <m/>
    <m/>
    <m/>
    <m/>
    <m/>
    <m/>
    <m/>
    <m/>
    <m/>
    <m/>
    <m/>
    <m/>
    <n v="0.14499999999999999"/>
    <m/>
    <m/>
    <m/>
    <n v="4.2000000000000003E-2"/>
    <m/>
    <m/>
    <m/>
    <m/>
    <n v="0.14499999999999999"/>
    <n v="0.187"/>
  </r>
  <r>
    <x v="3"/>
    <x v="54"/>
    <s v="Fresh or Not Specified"/>
    <s v="Peeled organic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eeled potato"/>
    <m/>
    <s v=""/>
    <s v=""/>
    <n v="0.151"/>
    <n v="0.17799999999999999"/>
    <m/>
    <m/>
    <m/>
    <m/>
    <m/>
    <m/>
    <m/>
    <m/>
    <m/>
    <m/>
    <m/>
    <m/>
    <m/>
    <n v="0.151"/>
    <m/>
    <n v="2.7E-2"/>
    <m/>
    <n v="6.9000000000000006E-2"/>
    <m/>
    <m/>
    <m/>
    <m/>
    <n v="0.151"/>
    <n v="0.247"/>
  </r>
  <r>
    <x v="3"/>
    <x v="54"/>
    <s v="Fresh or Not Specified"/>
    <s v="Peeled conventional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eeled potato"/>
    <m/>
    <s v=""/>
    <s v=""/>
    <n v="0.17399999999999999"/>
    <n v="0.20099999999999998"/>
    <m/>
    <m/>
    <m/>
    <m/>
    <m/>
    <m/>
    <m/>
    <m/>
    <m/>
    <m/>
    <m/>
    <m/>
    <m/>
    <n v="0.17399999999999999"/>
    <m/>
    <n v="2.7E-2"/>
    <m/>
    <n v="6.0999999999999999E-2"/>
    <m/>
    <m/>
    <m/>
    <m/>
    <n v="0.17399999999999999"/>
    <n v="0.26200000000000001"/>
  </r>
  <r>
    <x v="3"/>
    <x v="55"/>
    <s v="Fresh or Not Specified"/>
    <s v="Mashed organic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mashed potato"/>
    <m/>
    <s v=""/>
    <s v=""/>
    <n v="0.82899999999999996"/>
    <n v="2.7759999999999998"/>
    <m/>
    <m/>
    <m/>
    <m/>
    <m/>
    <m/>
    <m/>
    <m/>
    <m/>
    <m/>
    <m/>
    <m/>
    <m/>
    <n v="0.82899999999999996"/>
    <m/>
    <n v="1.9470000000000001"/>
    <m/>
    <n v="0.41499999999999998"/>
    <m/>
    <m/>
    <m/>
    <m/>
    <n v="0.82899999999999996"/>
    <n v="3.1920000000000002"/>
  </r>
  <r>
    <x v="3"/>
    <x v="55"/>
    <s v="Fresh or Not Specified"/>
    <s v="Mashed conventional potatoes"/>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mashed potato"/>
    <m/>
    <s v=""/>
    <s v=""/>
    <n v="0.95499999999999996"/>
    <n v="2.9020000000000001"/>
    <m/>
    <m/>
    <m/>
    <m/>
    <m/>
    <m/>
    <m/>
    <m/>
    <m/>
    <m/>
    <m/>
    <m/>
    <m/>
    <n v="0.95499999999999996"/>
    <m/>
    <n v="1.9470000000000001"/>
    <m/>
    <n v="0.29899999999999999"/>
    <m/>
    <m/>
    <m/>
    <m/>
    <n v="0.95499999999999996"/>
    <n v="3.2010000000000001"/>
  </r>
  <r>
    <x v="10"/>
    <x v="56"/>
    <s v="Fresh or Not Specified"/>
    <s v="Potato chips - organic"/>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otato chips"/>
    <m/>
    <s v=""/>
    <s v=""/>
    <n v="0.44"/>
    <n v="1.72"/>
    <m/>
    <m/>
    <m/>
    <m/>
    <m/>
    <m/>
    <m/>
    <m/>
    <m/>
    <m/>
    <m/>
    <m/>
    <m/>
    <n v="0.44"/>
    <m/>
    <n v="1.28"/>
    <m/>
    <n v="0.55200000000000005"/>
    <m/>
    <m/>
    <m/>
    <m/>
    <n v="0.44"/>
    <n v="2.2709999999999999"/>
  </r>
  <r>
    <x v="3"/>
    <x v="44"/>
    <s v="Fresh or Not Specified"/>
    <s v="Potato chips - conventional"/>
    <s v="Yes"/>
    <s v="Czech Republic"/>
    <n v="2013"/>
    <s v="Jan Moudrý Jr; Zuzana Jelínková; Martina Jarešová; Radek Plch; Jan Moudrý; Petr Konvalina;"/>
    <s v="The Department of Applied Plant Biotechnology, Faculty of Agriculture, University of South Bohemia, Studentská 13, 37005 Cveské Budevjovice, Czech Republic."/>
    <s v="Peer Reviewed Journal"/>
    <s v="Moudry Jr, J., Jelinkova, Z., Jaresova, M., Plch, R., Moudry, J. and Konvalina, P., Assessing greenhouse gas emissions from potato production and processing in the Czech Republic. Outlook on Agriculture 2013, 42 (3), 179-183."/>
    <s v="Yes"/>
    <s v="No"/>
    <s v="Yes"/>
    <s v="Yes"/>
    <s v="No"/>
    <s v="Yes"/>
    <s v="No"/>
    <s v="No"/>
    <s v="No"/>
    <s v="No"/>
    <s v="No"/>
    <s v="No"/>
    <m/>
    <s v="Cradle to food preparation facility"/>
    <s v="No"/>
    <s v="Yes"/>
    <s v="1 kg potato chips"/>
    <m/>
    <s v=""/>
    <s v=""/>
    <n v="0.50600000000000001"/>
    <n v="1.786"/>
    <m/>
    <m/>
    <m/>
    <m/>
    <m/>
    <m/>
    <m/>
    <m/>
    <m/>
    <m/>
    <m/>
    <m/>
    <m/>
    <n v="0.50600000000000001"/>
    <m/>
    <n v="1.28"/>
    <m/>
    <n v="0.28599999999999998"/>
    <m/>
    <m/>
    <m/>
    <m/>
    <n v="0.50600000000000001"/>
    <n v="2.0720000000000001"/>
  </r>
  <r>
    <x v="3"/>
    <x v="44"/>
    <s v="Fresh or Not Specified"/>
    <s v="King Edward table potatoes, Ostergotland"/>
    <s v="No"/>
    <s v="Sweden"/>
    <n v="2010"/>
    <s v="Elin Röös; Cecilia Sundberg; Per-Anders Hansson"/>
    <s v="Department of Energy and Technology, Swedish University of Agricultural Sciences, P.O. Box 7032, 750 07 Uppsala, Sweden"/>
    <s v="Peer Reviewed Journal"/>
    <s v="Röös, E., Sundberg, C. and Hansson, P. A., Uncertainties in the carbon footprint of food products: A case study on table potatoes. International Journal of Life Cycle Assessment 2010, 15 (5), 478-488."/>
    <s v="Yes"/>
    <s v="No"/>
    <s v="Yes"/>
    <s v="No"/>
    <s v="Yes"/>
    <s v="Yes"/>
    <s v="No"/>
    <s v="No"/>
    <s v="No"/>
    <s v="No"/>
    <s v="No"/>
    <s v="Yes"/>
    <m/>
    <s v="Cradle to Retail"/>
    <s v="Yes"/>
    <s v="No"/>
    <s v="1 kg table potatoes in 2 kg bag"/>
    <s v="none"/>
    <s v=""/>
    <s v=""/>
    <s v=""/>
    <s v=""/>
    <m/>
    <m/>
    <m/>
    <m/>
    <m/>
    <m/>
    <m/>
    <m/>
    <m/>
    <m/>
    <m/>
    <m/>
    <m/>
    <m/>
    <m/>
    <m/>
    <m/>
    <m/>
    <m/>
    <m/>
    <m/>
    <m/>
    <m/>
    <n v="0.12"/>
  </r>
  <r>
    <x v="3"/>
    <x v="57"/>
    <s v="Fresh or Not Specified"/>
    <s v="Organic Lettuce"/>
    <s v="Yes"/>
    <s v="Greece"/>
    <n v="2015"/>
    <s v="Spyros Foteinis (a); Efthalia Chatzisymeon (b);"/>
    <s v="(a) School of Environmental Engineering, Technical University of Crete, Polytechneioupolis, GR-73100 Chania, Greece; (b) Institute for Infrastructure and Environment, School of Engineering, The University of Edinburgh, Edinburgh EH9 3JL, United Kingdom"/>
    <s v="Peer Reviewed Journal"/>
    <s v="Foteinis, S. and Chatzisymeon, E., Life cycle assessment of organic versus conventional agriculture. A case study of lettuce cultivation in Greece. Journal of Cleaner Production 2016, 112, 2462-2471."/>
    <s v="Yes"/>
    <s v="No"/>
    <s v="No"/>
    <s v="No"/>
    <s v="No"/>
    <s v="No"/>
    <s v="No"/>
    <s v="No"/>
    <s v="No"/>
    <s v="No"/>
    <s v="No"/>
    <s v="Yes"/>
    <m/>
    <s v="Until farm gate"/>
    <s v="No"/>
    <s v="Yes"/>
    <s v="I ton Lettuce"/>
    <s v="/1000"/>
    <s v=""/>
    <s v=""/>
    <n v="0.12819999999999998"/>
    <s v=""/>
    <m/>
    <m/>
    <m/>
    <m/>
    <m/>
    <m/>
    <m/>
    <m/>
    <m/>
    <m/>
    <m/>
    <m/>
    <m/>
    <m/>
    <m/>
    <m/>
    <m/>
    <m/>
    <m/>
    <m/>
    <m/>
    <m/>
    <n v="0.12819999999999998"/>
    <m/>
  </r>
  <r>
    <x v="3"/>
    <x v="57"/>
    <s v="Fresh or Not Specified"/>
    <s v="Conventional Lettuce"/>
    <s v="Yes"/>
    <s v="Greece"/>
    <n v="2015"/>
    <s v="Spyros Foteinis (a); Efthalia Chatzisymeon (b);"/>
    <s v="(a) School of Environmental Engineering, Technical University of Crete, Polytechneioupolis, GR-73100 Chania, Greece; (b) Institute for Infrastructure and Environment, School of Engineering, The University of Edinburgh, Edinburgh EH9 3JL, United Kingdom"/>
    <s v="Peer Reviewed Journal"/>
    <s v="Foteinis, S. and Chatzisymeon, E., Life cycle assessment of organic versus conventional agriculture. A case study of lettuce cultivation in Greece. Journal of Cleaner Production 2016, 112, 2462-2471."/>
    <s v="Yes"/>
    <s v="No"/>
    <s v="No"/>
    <s v="No"/>
    <s v="No"/>
    <s v="No"/>
    <s v="No"/>
    <s v="No"/>
    <s v="No"/>
    <s v="No"/>
    <s v="No"/>
    <s v="Yes"/>
    <m/>
    <s v="Until farm gate"/>
    <s v="No"/>
    <s v="Yes"/>
    <s v="I ton Lettuce"/>
    <s v="/1001"/>
    <s v=""/>
    <s v=""/>
    <n v="6.3100000000000003E-2"/>
    <s v=""/>
    <m/>
    <m/>
    <m/>
    <m/>
    <m/>
    <m/>
    <m/>
    <m/>
    <m/>
    <m/>
    <m/>
    <m/>
    <m/>
    <m/>
    <m/>
    <m/>
    <m/>
    <m/>
    <m/>
    <m/>
    <m/>
    <m/>
    <n v="6.3100000000000003E-2"/>
    <m/>
  </r>
  <r>
    <x v="5"/>
    <x v="58"/>
    <s v="Fresh or Not Specified"/>
    <s v="Open Field Barley"/>
    <s v="Yes"/>
    <s v="Spain"/>
    <n v="2015"/>
    <s v="G. Bartzas (a); D. Zaharaki (b); K. Komnitsas (b);"/>
    <s v="(a) 6 National Technical University of Athens, School of Mining and Metallurgical Engineering, 15780 Athens, Greece; (b) 7 Technical University of Crete, School of Mineral Resources Engineering, 73100 Chania, Greece"/>
    <s v="Peer Reviewed Journal"/>
    <s v="Bartzas, G., Zaharaki, D. and Komnitsas, K., Life cycle assessment of open field and greenhouse cultivation of lettuce and barley. Information Processing in Agriculture 2015, 2(3-4), 191-207."/>
    <s v="Yes"/>
    <s v="No"/>
    <s v="No"/>
    <s v="No"/>
    <s v="No"/>
    <s v="No"/>
    <s v="No"/>
    <s v="No"/>
    <s v="No"/>
    <s v="No"/>
    <s v="No"/>
    <s v="Yes"/>
    <m/>
    <s v="Cradle to farm gate"/>
    <s v="Yes"/>
    <s v="No"/>
    <s v="1 kg barley"/>
    <m/>
    <s v=""/>
    <s v=""/>
    <n v="0.17100000000000001"/>
    <s v=""/>
    <m/>
    <m/>
    <m/>
    <m/>
    <m/>
    <m/>
    <m/>
    <m/>
    <m/>
    <m/>
    <m/>
    <m/>
    <m/>
    <m/>
    <m/>
    <m/>
    <m/>
    <m/>
    <m/>
    <m/>
    <m/>
    <m/>
    <n v="0.17100000000000001"/>
    <m/>
  </r>
  <r>
    <x v="3"/>
    <x v="59"/>
    <s v="Fresh or Not Specified"/>
    <s v="Standard Greenhouse"/>
    <s v="Yes"/>
    <s v="Spain"/>
    <n v="2015"/>
    <s v="G. Bartzas (a); D. Zaharaki (b); K. Komnitsas (b);"/>
    <s v="(a) 6 National Technical University of Athens, School of Mining and Metallurgical Engineering, 15780 Athens, Greece; (b) 7 Technical University of Crete, School of Mineral Resources Engineering, 73100 Chania, Greece"/>
    <s v="Peer Reviewed Journal"/>
    <s v="Bartzas, G., Zaharaki, D. and Komnitsas, K., Life cycle assessment of open field and greenhouse cultivation of lettuce and barley. Information Processing in Agriculture 2015, 2(3-4), 191-207."/>
    <s v="Yes"/>
    <s v="No"/>
    <s v="No"/>
    <s v="No"/>
    <s v="No"/>
    <s v="No"/>
    <s v="No"/>
    <s v="No"/>
    <s v="No"/>
    <s v="No"/>
    <s v="No"/>
    <s v="Yes"/>
    <m/>
    <s v="Cradle to farm gate"/>
    <s v="Yes"/>
    <s v="No"/>
    <s v="1 kg lettuce"/>
    <m/>
    <s v=""/>
    <s v=""/>
    <n v="0.22500000000000001"/>
    <s v=""/>
    <m/>
    <m/>
    <m/>
    <m/>
    <m/>
    <m/>
    <m/>
    <m/>
    <m/>
    <m/>
    <m/>
    <m/>
    <m/>
    <m/>
    <m/>
    <m/>
    <m/>
    <m/>
    <m/>
    <m/>
    <m/>
    <m/>
    <n v="0.22500000000000001"/>
    <m/>
  </r>
  <r>
    <x v="3"/>
    <x v="57"/>
    <s v="Fresh or Not Specified"/>
    <s v="Open Field Lettuce"/>
    <s v="Yes"/>
    <s v="Italy"/>
    <n v="2015"/>
    <s v="G. Bartzas (a); D. Zaharaki (b); K. Komnitsas (b);"/>
    <s v="(a) 6 National Technical University of Athens, School of Mining and Metallurgical Engineering, 15780 Athens, Greece; (b) 7 Technical University of Crete, School of Mineral Resources Engineering, 73100 Chania, Greece"/>
    <s v="Peer Reviewed Journal"/>
    <s v="Bartzas, G., Zaharaki, D. and Komnitsas, K., Life cycle assessment of open field and greenhouse cultivation of lettuce and barley. Information Processing in Agriculture 2015, 2(3-4), 191-207."/>
    <s v="Yes"/>
    <s v="No"/>
    <s v="No"/>
    <s v="No"/>
    <s v="No"/>
    <s v="No"/>
    <s v="No"/>
    <s v="No"/>
    <s v="No"/>
    <s v="No"/>
    <s v="No"/>
    <s v="Yes"/>
    <m/>
    <s v="Cradle to farm gate"/>
    <s v="Yes"/>
    <s v="No"/>
    <s v="1 kg lettuce"/>
    <m/>
    <s v=""/>
    <s v=""/>
    <n v="0.24299999999999999"/>
    <s v=""/>
    <m/>
    <m/>
    <m/>
    <m/>
    <m/>
    <m/>
    <m/>
    <m/>
    <m/>
    <m/>
    <m/>
    <m/>
    <m/>
    <m/>
    <m/>
    <m/>
    <m/>
    <m/>
    <m/>
    <m/>
    <m/>
    <m/>
    <n v="0.24299999999999999"/>
    <m/>
  </r>
  <r>
    <x v="3"/>
    <x v="59"/>
    <s v="Fresh or Not Specified"/>
    <s v="Standard Greenhouse"/>
    <s v="Yes"/>
    <s v="Italy"/>
    <n v="2015"/>
    <s v="G. Bartzas (a); D. Zaharaki (b); K. Komnitsas (b);"/>
    <s v="(a) 6 National Technical University of Athens, School of Mining and Metallurgical Engineering, 15780 Athens, Greece; (b) 7 Technical University of Crete, School of Mineral Resources Engineering, 73100 Chania, Greece"/>
    <s v="Peer Reviewed Journal"/>
    <s v="Bartzas, G., Zaharaki, D. and Komnitsas, K., Life cycle assessment of open field and greenhouse cultivation of lettuce and barley. Information Processing in Agriculture 2015, 2(3-4), 191-207."/>
    <s v="Yes"/>
    <s v="No"/>
    <s v="No"/>
    <s v="No"/>
    <s v="No"/>
    <s v="No"/>
    <s v="No"/>
    <s v="No"/>
    <s v="No"/>
    <s v="No"/>
    <s v="No"/>
    <s v="Yes"/>
    <m/>
    <s v="Cradle to farm gate"/>
    <s v="Yes"/>
    <s v="No"/>
    <s v="1 kg lettuce"/>
    <m/>
    <s v=""/>
    <s v=""/>
    <n v="0.20499999999999999"/>
    <s v=""/>
    <m/>
    <m/>
    <m/>
    <m/>
    <m/>
    <m/>
    <m/>
    <m/>
    <m/>
    <m/>
    <m/>
    <m/>
    <m/>
    <m/>
    <m/>
    <m/>
    <m/>
    <m/>
    <m/>
    <m/>
    <m/>
    <m/>
    <n v="0.20499999999999999"/>
    <m/>
  </r>
  <r>
    <x v="3"/>
    <x v="57"/>
    <s v="Fresh or Not Specified"/>
    <s v="Open Field"/>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lettuce"/>
    <s v="/1000"/>
    <s v=""/>
    <s v=""/>
    <n v="2.5000000000000001E-2"/>
    <s v=""/>
    <m/>
    <m/>
    <m/>
    <m/>
    <m/>
    <m/>
    <m/>
    <m/>
    <m/>
    <m/>
    <m/>
    <m/>
    <m/>
    <m/>
    <m/>
    <m/>
    <m/>
    <m/>
    <m/>
    <m/>
    <m/>
    <m/>
    <n v="2.5000000000000001E-2"/>
    <m/>
  </r>
  <r>
    <x v="3"/>
    <x v="57"/>
    <s v="Fresh or Not Specified"/>
    <s v="Plastic mulch"/>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lettuce"/>
    <m/>
    <s v=""/>
    <s v=""/>
    <n v="3.6700000000000003E-2"/>
    <s v=""/>
    <m/>
    <m/>
    <m/>
    <m/>
    <m/>
    <m/>
    <m/>
    <m/>
    <m/>
    <m/>
    <m/>
    <m/>
    <m/>
    <m/>
    <m/>
    <m/>
    <m/>
    <m/>
    <m/>
    <m/>
    <m/>
    <m/>
    <n v="3.6700000000000003E-2"/>
    <m/>
  </r>
  <r>
    <x v="3"/>
    <x v="57"/>
    <s v="Fresh or Not Specified"/>
    <s v="Plastic mulch combined with fleece"/>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lettuce"/>
    <m/>
    <s v=""/>
    <s v=""/>
    <n v="3.5799999999999998E-2"/>
    <s v=""/>
    <m/>
    <m/>
    <m/>
    <m/>
    <m/>
    <m/>
    <m/>
    <m/>
    <m/>
    <m/>
    <m/>
    <m/>
    <m/>
    <m/>
    <m/>
    <m/>
    <m/>
    <m/>
    <m/>
    <m/>
    <m/>
    <m/>
    <n v="3.5799999999999998E-2"/>
    <m/>
  </r>
  <r>
    <x v="3"/>
    <x v="59"/>
    <s v="Fresh or Not Specified"/>
    <s v="greenhouse grown"/>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lettuce"/>
    <m/>
    <s v=""/>
    <s v=""/>
    <n v="0.20899999999999999"/>
    <s v=""/>
    <m/>
    <m/>
    <m/>
    <m/>
    <m/>
    <m/>
    <m/>
    <m/>
    <m/>
    <m/>
    <m/>
    <m/>
    <m/>
    <m/>
    <m/>
    <m/>
    <m/>
    <m/>
    <m/>
    <m/>
    <m/>
    <m/>
    <n v="0.20899999999999999"/>
    <m/>
  </r>
  <r>
    <x v="3"/>
    <x v="60"/>
    <s v="Fresh or Not Specified"/>
    <s v="Open Field"/>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escarole"/>
    <m/>
    <n v="0.74"/>
    <s v=""/>
    <n v="5.7299999999999997E-2"/>
    <s v=""/>
    <m/>
    <m/>
    <m/>
    <m/>
    <m/>
    <m/>
    <m/>
    <m/>
    <m/>
    <n v="0.74"/>
    <m/>
    <m/>
    <m/>
    <m/>
    <m/>
    <m/>
    <m/>
    <m/>
    <m/>
    <m/>
    <m/>
    <m/>
    <n v="5.7299999999999997E-2"/>
    <m/>
  </r>
  <r>
    <x v="3"/>
    <x v="60"/>
    <s v="Fresh or Not Specified"/>
    <s v="Plastic mulch"/>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escarole"/>
    <m/>
    <n v="1.29"/>
    <s v=""/>
    <n v="5.8299999999999998E-2"/>
    <s v=""/>
    <m/>
    <m/>
    <m/>
    <m/>
    <m/>
    <m/>
    <m/>
    <m/>
    <m/>
    <n v="1.29"/>
    <m/>
    <m/>
    <m/>
    <m/>
    <m/>
    <m/>
    <m/>
    <m/>
    <m/>
    <m/>
    <m/>
    <m/>
    <n v="5.8299999999999998E-2"/>
    <m/>
  </r>
  <r>
    <x v="3"/>
    <x v="60"/>
    <s v="Fresh or Not Specified"/>
    <s v="Plastic mulch combined with fleece"/>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escarole"/>
    <m/>
    <n v="1.1499999999999999"/>
    <s v=""/>
    <n v="5.1400000000000001E-2"/>
    <s v=""/>
    <m/>
    <m/>
    <m/>
    <m/>
    <m/>
    <m/>
    <m/>
    <m/>
    <m/>
    <n v="1.1499999999999999"/>
    <m/>
    <m/>
    <m/>
    <m/>
    <m/>
    <m/>
    <m/>
    <m/>
    <m/>
    <m/>
    <m/>
    <m/>
    <n v="5.1400000000000001E-2"/>
    <m/>
  </r>
  <r>
    <x v="3"/>
    <x v="61"/>
    <s v="Fresh or Not Specified"/>
    <s v="Greenhouse"/>
    <s v="Yes"/>
    <s v="Spain"/>
    <n v="2013"/>
    <s v="Mercedes Romero-Gámeza (a); Eric Audsley (b); Elisa M. Suárez-Reya (a)"/>
    <s v="(a) IFAPA (Instituto de Investigación y Formación Agraria y Pesquera), Camino de Purchil S/N, 18004 Granada, Spain (b) Centre for Environmental Risks and Futures, Cranfield University, Cranfield, Bedford MK43 0AL, UK"/>
    <s v="Peer Reviewed Journal"/>
    <s v="Romero-Gámez, M., Audsley, E. and Suárez-Rey, E. M., Life cycle assessment of cultivating lettuce and escarole in Spain. Journal of Cleaner Production 2014, 73, 193-203."/>
    <s v="Yes"/>
    <s v="No"/>
    <s v="No"/>
    <s v="No"/>
    <s v="No"/>
    <s v="No"/>
    <s v="No"/>
    <s v="No"/>
    <s v="No"/>
    <s v="No"/>
    <s v="No"/>
    <s v="No"/>
    <m/>
    <s v="Until farm gate (impacts of 6 levels of N use were reported in study, the &quot;optimum&quot; declared value is reported here)"/>
    <s v="Yes"/>
    <s v="No"/>
    <s v="1 tonne escarole"/>
    <m/>
    <n v="5.22"/>
    <s v=""/>
    <n v="0.30299999999999999"/>
    <s v=""/>
    <m/>
    <m/>
    <m/>
    <m/>
    <m/>
    <m/>
    <m/>
    <m/>
    <m/>
    <n v="5.22"/>
    <m/>
    <m/>
    <m/>
    <m/>
    <m/>
    <m/>
    <m/>
    <m/>
    <m/>
    <m/>
    <m/>
    <m/>
    <n v="0.30299999999999999"/>
    <m/>
  </r>
  <r>
    <x v="3"/>
    <x v="62"/>
    <s v="Fresh or Not Specified"/>
    <s v="Romaine/cos"/>
    <s v="No"/>
    <s v="Australia"/>
    <n v="2012"/>
    <s v="Maria G.A. Gunady (a); Wahidul Biswas (b); Vicky A. Solah (a); Anthony P. James (a)"/>
    <s v="(a) School of Public Health, Curtin Health Innovation Research Institute, Curtin University, GPO Box U1987, Perth 6845, Western Australia, Australia; (b) Centre for Excellence in Cleaner Production, Curtin University, GPO Box U1987, Perth 6845, Western Australia, Australia"/>
    <s v="Peer Reviewed Journal"/>
    <s v="Gunady, M. G. A., Biswas, W., Solah, V. A. and James, A. P., Evaluating the global warming potential of the fresh produce supply chain for strawberries, romaine/cos lettuces (Lactuca sativa), and button mushrooms (Agaricus bisporus) in Western Australia using life cycle assessment (LCA). Journal of Cleaner Production 2012, 28, 81-87."/>
    <s v="Yes"/>
    <s v="No"/>
    <s v="Yes"/>
    <s v="No"/>
    <s v="Yes"/>
    <s v="Yes"/>
    <s v="No"/>
    <s v="No"/>
    <s v="No"/>
    <s v="No"/>
    <s v="No"/>
    <s v="Yes"/>
    <m/>
    <s v="No processing has been mentioned here, only packaging"/>
    <s v="No"/>
    <s v="Yes"/>
    <s v="1 kJ of nutritional energy"/>
    <s v="CO2 emitted in g/1.38g lettuce per kJ"/>
    <s v=""/>
    <s v=""/>
    <n v="2.2971014492753623"/>
    <n v="2.4130434782608692"/>
    <m/>
    <m/>
    <m/>
    <m/>
    <m/>
    <m/>
    <m/>
    <m/>
    <m/>
    <m/>
    <m/>
    <m/>
    <m/>
    <n v="2.2898550724637676"/>
    <n v="0.12318840579710147"/>
    <m/>
    <n v="0.66304347826086962"/>
    <n v="0.66304347826086962"/>
    <m/>
    <m/>
    <m/>
    <m/>
    <n v="2.2971014492753623"/>
    <n v="3.760869565217392"/>
  </r>
  <r>
    <x v="3"/>
    <x v="63"/>
    <s v="Fresh or Not Specified"/>
    <s v="Button mushroom"/>
    <s v="No"/>
    <s v="Australia"/>
    <n v="2012"/>
    <s v="Maria G.A. Gunady (a); Wahidul Biswas (b); Vicky A. Solah (a); Anthony P. James (a)"/>
    <s v="(a) School of Public Health, Curtin Health Innovation Research Institute, Curtin University, GPO Box U1987, Perth 6845, Western Australia, Australia; (b) Centre for Excellence in Cleaner Production, Curtin University, GPO Box U1987, Perth 6845, Western Australia, Australia"/>
    <s v="Peer Reviewed Journal"/>
    <s v="Gunady, M. G. A., Biswas, W., Solah, V. A. and James, A. P., Evaluating the global warming potential of the fresh produce supply chain for strawberries, romaine/cos lettuces (Lactuca sativa), and button mushrooms (Agaricus bisporus) in Western Australia using life cycle assessment (LCA). Journal of Cleaner Production 2012, 28, 81-87."/>
    <s v="Yes"/>
    <s v="No"/>
    <s v="Yes"/>
    <s v="No"/>
    <s v="Yes"/>
    <s v="Yes"/>
    <s v="No"/>
    <s v="No"/>
    <s v="No"/>
    <s v="No"/>
    <s v="No"/>
    <s v="Yes"/>
    <m/>
    <s v="No processing has been mentioned here, only packaging"/>
    <s v="No"/>
    <s v="Yes"/>
    <s v="1 kJ of energy"/>
    <s v="CO2 emitted in g/1.09 g mushrooms per kJ"/>
    <s v=""/>
    <s v=""/>
    <n v="2.1467889908256876"/>
    <n v="2.2935779816513762"/>
    <m/>
    <m/>
    <m/>
    <m/>
    <m/>
    <m/>
    <m/>
    <m/>
    <m/>
    <m/>
    <m/>
    <m/>
    <m/>
    <n v="2.1376146788990824"/>
    <n v="0.15596330275229359"/>
    <m/>
    <n v="0.2293577981651376"/>
    <n v="0.2293577981651376"/>
    <m/>
    <m/>
    <m/>
    <m/>
    <n v="2.1467889908256876"/>
    <n v="2.7614678899082565"/>
  </r>
  <r>
    <x v="4"/>
    <x v="64"/>
    <s v="Fresh or Not Specified"/>
    <s v="Generic Strawberries"/>
    <s v="No"/>
    <s v="Australia"/>
    <n v="2012"/>
    <s v="Maria G.A. Gunady (a); Wahidul Biswas (b); Vicky A. Solah (a); Anthony P. James (a)"/>
    <s v="(a) School of Public Health, Curtin Health Innovation Research Institute, Curtin University, GPO Box U1987, Perth 6845, Western Australia, Australia; (b) Centre for Excellence in Cleaner Production, Curtin University, GPO Box U1987, Perth 6845, Western Australia, Australia"/>
    <s v="Peer Reviewed Journal"/>
    <s v="Gunady, M. G. A., Biswas, W., Solah, V. A. and James, A. P., Evaluating the global warming potential of the fresh produce supply chain for strawberries, romaine/cos lettuces (Lactuca sativa), and button mushrooms (Agaricus bisporus) in Western Australia using life cycle assessment (LCA). Journal of Cleaner Production 2012, 28, 81-87."/>
    <s v="Yes"/>
    <s v="No"/>
    <s v="Yes"/>
    <s v="No"/>
    <s v="Yes"/>
    <s v="Yes"/>
    <s v="No"/>
    <s v="No"/>
    <s v="No"/>
    <s v="No"/>
    <s v="No"/>
    <s v="Yes"/>
    <m/>
    <s v="No processing has been mentioned here, only packaging"/>
    <s v="No"/>
    <s v="Yes"/>
    <s v="1 kJ of energy"/>
    <s v="CO2 emitted in g/0.746 g strawberries per kJ"/>
    <s v=""/>
    <s v=""/>
    <n v="2.2252010723860591"/>
    <n v="2.4530831099195711"/>
    <m/>
    <m/>
    <m/>
    <m/>
    <m/>
    <m/>
    <m/>
    <m/>
    <m/>
    <m/>
    <m/>
    <m/>
    <m/>
    <n v="2.2252010723860591"/>
    <n v="0.22788203753351208"/>
    <m/>
    <n v="0.42225201072386059"/>
    <n v="0.42225201072386059"/>
    <m/>
    <m/>
    <m/>
    <m/>
    <n v="2.2252010723860591"/>
    <n v="3.2975871313672922"/>
  </r>
  <r>
    <x v="7"/>
    <x v="65"/>
    <s v="Other (Specify)"/>
    <s v="NFC Orange juic"/>
    <s v="No"/>
    <s v="Spain"/>
    <n v="2012"/>
    <s v="Geneviève Doublet _x000a_(a); Niels Jungbluth (a); Matthias Stucki (a); Salome Schori"/>
    <s v="(a) ESU-services Ltd."/>
    <s v="Industry Based Report"/>
    <s v="Doublet, G., Jungbluth, N., Flury, K., Stucki, M. and Schori, S., Life cycle assessment of orange juice. SENSE-Harmonised Environmental Sustainability in the European food and drink chain, Zürich: ESU-services Ltd; 2013."/>
    <s v="Yes"/>
    <s v="Yes"/>
    <s v="Yes"/>
    <s v="Yes"/>
    <s v="Yes"/>
    <s v="No"/>
    <s v="No"/>
    <s v="No"/>
    <s v="No"/>
    <s v="No"/>
    <s v="No"/>
    <s v="Yes"/>
    <m/>
    <s v="Farm to finished product, transport to retail and downstream not included"/>
    <s v="Yes"/>
    <s v="Yes"/>
    <s v="1 litre orange juice"/>
    <s v="*1.048 kg/l"/>
    <s v=""/>
    <s v=""/>
    <n v="0.15744274809160305"/>
    <n v="0.29580152671755722"/>
    <m/>
    <m/>
    <m/>
    <m/>
    <m/>
    <m/>
    <m/>
    <m/>
    <m/>
    <m/>
    <m/>
    <m/>
    <m/>
    <n v="0.15744274809160305"/>
    <m/>
    <n v="0.13835877862595419"/>
    <n v="0.32347328244274809"/>
    <m/>
    <m/>
    <m/>
    <m/>
    <m/>
    <n v="0.15744274809160305"/>
    <n v="0.63740458015267176"/>
  </r>
  <r>
    <x v="7"/>
    <x v="65"/>
    <s v="Other (Specify)"/>
    <s v="NFC, without resetting trees"/>
    <s v="Yes"/>
    <s v="USA, Florida"/>
    <n v="2012"/>
    <s v="Puneet Dwivedi (a); Thomas Spreen (b); Renée Goodrich-Schneider (c)"/>
    <s v="(a) School of Forestry &amp; Environmental Studies, Yale University, New Haven, CT, USA_x000a_; (b) Food and Resource Economics Department, University of Florida, Gainesville, FL, USA; (c) Food Science and Human Nutrition, University of Florida, Gainesville, FL, USA"/>
    <s v="Peer Reviewed Journal"/>
    <s v="Dwivedi, P., Spreen, T. and Goodrich-Schneider, R., Global warming impact of Florida's Not-From-Concentrate (NFC) orange juice. Agricultural Systems 2012, 108, 104-111."/>
    <s v="Yes"/>
    <s v="No"/>
    <s v="Yes"/>
    <s v="Yes"/>
    <s v="Yes"/>
    <s v="Yes"/>
    <s v="Yes"/>
    <s v="No"/>
    <s v="No"/>
    <s v="No"/>
    <s v="No"/>
    <s v="No"/>
    <m/>
    <s v="Until point of sale."/>
    <s v="No"/>
    <s v="Yes"/>
    <s v="1.893 L carton"/>
    <s v="*(1.048 kg/l)/1.893L"/>
    <s v=""/>
    <s v=""/>
    <n v="0.54616135235076602"/>
    <n v="0.8129553523507661"/>
    <m/>
    <m/>
    <m/>
    <m/>
    <m/>
    <m/>
    <m/>
    <m/>
    <m/>
    <m/>
    <m/>
    <m/>
    <m/>
    <n v="0.54616135235076602"/>
    <n v="2.6800000000000001E-2"/>
    <n v="0.23999400000000001"/>
    <n v="4.6626000000000001E-2"/>
    <n v="2.2255E-2"/>
    <n v="8.8413000000000005E-2"/>
    <m/>
    <m/>
    <m/>
    <n v="0.54616135235076602"/>
    <n v="0.9732614896988907"/>
  </r>
  <r>
    <x v="7"/>
    <x v="65"/>
    <s v="Other (Specify)"/>
    <s v="NFC, with resetting of trees"/>
    <s v="Yes"/>
    <s v="USA, Florida"/>
    <n v="2012"/>
    <s v="Puneet Dwivedi (a); Thomas Spreen (b); Renée Goodrich-Schneider (c)"/>
    <s v="(a) School of Forestry &amp; Environmental Studies, Yale University, New Haven, CT, USA_x000a_; (b) Food and Resource Economics Department, University of Florida, Gainesville, FL, USA; (c) Food Science and Human Nutrition, University of Florida, Gainesville, FL, USA"/>
    <s v="Peer Reviewed Journal"/>
    <s v="Dwivedi, P., Spreen, T. and Goodrich-Schneider, R., Global warming impact of Florida's Not-From-Concentrate (NFC) orange juice. Agricultural Systems 2012, 108, 104-111."/>
    <s v="Yes"/>
    <s v="No"/>
    <s v="Yes"/>
    <s v="Yes"/>
    <s v="Yes"/>
    <s v="Yes"/>
    <s v="Yes"/>
    <s v="No"/>
    <s v="No"/>
    <s v="No"/>
    <s v="No"/>
    <s v="No"/>
    <m/>
    <s v="Until point of sale."/>
    <s v="No"/>
    <s v="Yes"/>
    <s v="1.893 L carton"/>
    <s v="*(1.048 kg/l)/1.893L"/>
    <s v=""/>
    <s v=""/>
    <n v="0.45408904384574755"/>
    <n v="0.71617304384574754"/>
    <m/>
    <m/>
    <m/>
    <m/>
    <m/>
    <m/>
    <m/>
    <m/>
    <m/>
    <m/>
    <m/>
    <m/>
    <m/>
    <n v="0.45408904384574755"/>
    <n v="2.2089999999999999E-2"/>
    <n v="0.23999400000000001"/>
    <n v="4.6626000000000001E-2"/>
    <n v="2.2255E-2"/>
    <n v="8.8413000000000005E-2"/>
    <m/>
    <m/>
    <m/>
    <n v="0.45408904384574755"/>
    <n v="0.87693185419968311"/>
  </r>
  <r>
    <x v="4"/>
    <x v="66"/>
    <s v="Fresh or Not Specified"/>
    <s v="Swedish IP certified"/>
    <s v="Yes"/>
    <s v="Sweden"/>
    <n v="2015"/>
    <s v="Davida Johansson (a); Helena Karlén (a); Lars Mogren (a);"/>
    <s v="(a) Swedish University of Agricultural Sciences,_x000a_ Department of Biosystems and Technology"/>
    <s v="Master's Thesis"/>
    <s v="Johansson, D., Life cycle assessment ( LCA ) of apples- A comparison between apples produced in Sweden, Italy and Argentina. Master thesis, Swedish University of Agricultural Sciences, Alnarp, 2015."/>
    <s v="Yes"/>
    <s v="Yes"/>
    <s v="Yes"/>
    <s v="Yes"/>
    <s v="Yes"/>
    <s v="Yes"/>
    <s v="No"/>
    <s v="No"/>
    <s v="No"/>
    <s v="No"/>
    <s v="No"/>
    <s v="No"/>
    <m/>
    <s v="No processing, instead sorting has been accounted for"/>
    <s v="No"/>
    <s v="Yes"/>
    <s v="1 kg apples"/>
    <m/>
    <s v=""/>
    <s v=""/>
    <n v="5.5E-2"/>
    <s v=""/>
    <m/>
    <m/>
    <m/>
    <m/>
    <m/>
    <m/>
    <m/>
    <m/>
    <m/>
    <m/>
    <m/>
    <m/>
    <m/>
    <n v="5.5E-2"/>
    <m/>
    <m/>
    <n v="0.23400000000000001"/>
    <n v="4.1000000000000002E-2"/>
    <m/>
    <m/>
    <m/>
    <m/>
    <n v="5.5E-2"/>
    <n v="0.32900000000000001"/>
  </r>
  <r>
    <x v="4"/>
    <x v="66"/>
    <s v="Fresh or Not Specified"/>
    <s v="Swedish organic certified"/>
    <s v="Yes"/>
    <s v="Sweden"/>
    <n v="2015"/>
    <s v="Davida Johansson (a); Helena Karlén (a); Lars Mogren (a);"/>
    <s v="(a) Swedish University of Agricultural Sciences,_x000a_ Department of Biosystems and Technology"/>
    <s v="Master's Thesis"/>
    <s v="Johansson, D., Life cycle assessment ( LCA ) of apples- A comparison between apples produced in Sweden, Italy and Argentina. Master thesis, Swedish University of Agricultural Sciences, Alnarp, 2015."/>
    <s v="Yes"/>
    <s v="Yes"/>
    <s v="No"/>
    <s v="No"/>
    <s v="No"/>
    <s v="No"/>
    <s v="No"/>
    <s v="No"/>
    <s v="No"/>
    <s v="No"/>
    <s v="No"/>
    <s v="No"/>
    <m/>
    <s v="Only production"/>
    <s v="No"/>
    <s v="Yes"/>
    <s v="1 kg apples"/>
    <m/>
    <s v=""/>
    <s v=""/>
    <n v="1.04"/>
    <s v=""/>
    <m/>
    <m/>
    <m/>
    <m/>
    <m/>
    <m/>
    <m/>
    <m/>
    <m/>
    <m/>
    <m/>
    <m/>
    <m/>
    <m/>
    <m/>
    <m/>
    <m/>
    <m/>
    <m/>
    <m/>
    <m/>
    <m/>
    <n v="1.04"/>
    <n v="1.0409999999999999"/>
  </r>
  <r>
    <x v="4"/>
    <x v="66"/>
    <s v="Fresh or Not Specified"/>
    <s v="Italian IP certified"/>
    <s v="Yes"/>
    <s v="Italy"/>
    <n v="2015"/>
    <s v="Davida Johansson (a); Helena Karlén (a); Lars Mogren (a);"/>
    <s v="(a) Swedish University of Agricultural Sciences,_x000a_ Department of Biosystems and Technology"/>
    <s v="Master's Thesis"/>
    <s v="Johansson, D., Life cycle assessment ( LCA ) of apples- A comparison between apples produced in Sweden, Italy and Argentina. Master thesis, Swedish University of Agricultural Sciences, Alnarp, 2015."/>
    <s v="Yes"/>
    <s v="Yes"/>
    <s v="Yes"/>
    <s v="Yes"/>
    <s v="Yes"/>
    <s v="Yes"/>
    <s v="No"/>
    <s v="No"/>
    <s v="No"/>
    <s v="No"/>
    <s v="No"/>
    <s v="No"/>
    <m/>
    <s v="No processing, instead sorting has been accounted for"/>
    <s v="No"/>
    <s v="Yes"/>
    <s v="1 kg apples"/>
    <m/>
    <s v=""/>
    <s v=""/>
    <n v="0.24399999999999999"/>
    <s v=""/>
    <m/>
    <m/>
    <m/>
    <m/>
    <m/>
    <m/>
    <m/>
    <m/>
    <m/>
    <m/>
    <m/>
    <m/>
    <m/>
    <n v="0.24399999999999999"/>
    <m/>
    <m/>
    <n v="0"/>
    <n v="0.21099999999999999"/>
    <m/>
    <m/>
    <m/>
    <m/>
    <n v="0.24399999999999999"/>
    <n v="0.45700000000000002"/>
  </r>
  <r>
    <x v="4"/>
    <x v="66"/>
    <s v="Fresh or Not Specified"/>
    <s v="Hawkes Bay region"/>
    <s v="Yes"/>
    <s v="New Zealand"/>
    <n v="2005"/>
    <s v="L. Mila` i Canals (a); G.M. Burnip (b); S.J. Cowell (c)"/>
    <s v="(a) Chemistry Department, Universitat Auto`noma de Barcelona, ES-08193 Bellaterra, Barcelona, Catalonia, Spain; (b) The Horticulture and Food Research Institute of New Zealand Ltd., P.O. Box 51, Lincoln (Canterbury), New Zealand; (c) Centre for Environmental Strategy, The University of Surrey, Guildford (Surrey) GU2 7XH, United Kingdom; "/>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s v="Reported values from farm alone - the paper also had &quot;reference&quot; values from industry standard procedure"/>
    <s v="No"/>
    <s v="Yes"/>
    <s v="1 tonne apples"/>
    <s v="/1000"/>
    <s v=""/>
    <s v=""/>
    <n v="4.0909000000000001E-2"/>
    <s v=""/>
    <m/>
    <m/>
    <m/>
    <m/>
    <m/>
    <m/>
    <m/>
    <m/>
    <m/>
    <m/>
    <m/>
    <m/>
    <m/>
    <m/>
    <m/>
    <m/>
    <m/>
    <m/>
    <m/>
    <m/>
    <m/>
    <m/>
    <n v="4.0909000000000001E-2"/>
    <m/>
  </r>
  <r>
    <x v="4"/>
    <x v="66"/>
    <s v="Fresh or Not Specified"/>
    <s v="Central Otago region"/>
    <s v="Yes"/>
    <s v="New Zealand"/>
    <n v="2005"/>
    <s v="L. Mila` i Canals (a); G.M. Burnip (b); S.J. Cowell (c)"/>
    <s v="(a) Chemistry Department, Universitat Auto`noma de Barcelona, ES-08193 Bellaterra, Barcelona, Catalonia, Spain; (b) The Horticulture and Food Research Institute of New Zealand Ltd., P.O. Box 51, Lincoln (Canterbury), New Zealand; (c) Centre for Environmental Strategy, The University of Surrey, Guildford (Surrey) GU2 7XH, United Kingdom; "/>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s v="Reported values from farm alone - the paper also had &quot;reference&quot; values from industry standard procedure"/>
    <s v="No"/>
    <s v="Yes"/>
    <s v="1 tonne apples"/>
    <s v="/1000"/>
    <s v=""/>
    <s v=""/>
    <n v="6.3182000000000002E-2"/>
    <s v=""/>
    <m/>
    <m/>
    <m/>
    <m/>
    <m/>
    <m/>
    <m/>
    <m/>
    <m/>
    <m/>
    <m/>
    <m/>
    <m/>
    <m/>
    <m/>
    <m/>
    <m/>
    <m/>
    <m/>
    <m/>
    <m/>
    <m/>
    <n v="6.3182000000000002E-2"/>
    <m/>
  </r>
  <r>
    <x v="4"/>
    <x v="66"/>
    <s v="Fresh or Not Specified"/>
    <s v="Fresh Fruit"/>
    <s v="No"/>
    <s v="Switzerland"/>
    <n v="2006"/>
    <s v="Patrik Mouron (a); Thomas Nemecek (b)_x000a_; Roland W. Scholz (a); Olaf Weber (a)"/>
    <s v="(a) Swiss Federal Institute of Technology, Department of Environmental Sciences, Institute for Human-Environment Systems, ETH Zentrum, CHN J76.1, CH-8092 Zurich, Switzerland (b) Agroscope FAL Reckenholz, Swiss Federal Research Station of Agroecology and Agriculture, CH-8046 Zurich, Switzerland"/>
    <s v="Peer Reviewed Journal"/>
    <s v="Mouron, P., Nemecek, T., Scholz, R. W. and Weber, O., Management influence on environmental impacts in an apple production system on Swiss fruit farms: Combining life cycle assessment with statistical risk assessment. Agriculture, Ecosystems and Environment 2006, 114 (2-4), 311-322."/>
    <s v="Yes"/>
    <s v="No"/>
    <s v="No"/>
    <s v="No"/>
    <s v="No"/>
    <s v="No"/>
    <s v="No"/>
    <s v="No"/>
    <s v="No"/>
    <s v="No"/>
    <s v="No"/>
    <s v="Yes"/>
    <m/>
    <s v="Only average values reported in paper are transferred here. Compares management practices on different farms, but has more of a manager/people focus than process focus."/>
    <s v="No"/>
    <s v="Yes"/>
    <s v="1 ha tilled"/>
    <s v="Avg yield = 31.4 t/ha. Conversion = /31400 (assumed metric ton)"/>
    <s v=""/>
    <s v=""/>
    <n v="8.2802547770700632E-2"/>
    <s v=""/>
    <m/>
    <m/>
    <m/>
    <m/>
    <m/>
    <m/>
    <m/>
    <m/>
    <m/>
    <m/>
    <m/>
    <s v="SALCA database Version 031a"/>
    <m/>
    <m/>
    <m/>
    <m/>
    <m/>
    <m/>
    <m/>
    <m/>
    <m/>
    <m/>
    <n v="8.2802547770700632E-2"/>
    <m/>
  </r>
  <r>
    <x v="4"/>
    <x v="66"/>
    <s v="Fresh or Not Specified"/>
    <s v="Conventional production"/>
    <s v="Yes"/>
    <s v="Canada"/>
    <n v="2013"/>
    <s v="Sarah Keyes;"/>
    <s v="Dalhousie University, Halifax, Nova Scotia"/>
    <s v="Master's Thesis"/>
    <s v="Keyes, S., Evaluating the Environmental Impacts of Conventional and Organic Apple Production in Nova Scotia, Canada, through Life Cycle Assessment. Master thesis, Dalhousie University, Halifax, Nova Scotia, 2013."/>
    <s v="Yes"/>
    <s v="No"/>
    <s v="Yes"/>
    <s v="Yes"/>
    <s v="Yes"/>
    <s v="Yes"/>
    <s v="No"/>
    <s v="No"/>
    <s v="No"/>
    <s v="No"/>
    <s v="No"/>
    <s v="Yes"/>
    <m/>
    <s v="Cradle to retail"/>
    <s v="No"/>
    <s v="Yes"/>
    <s v="1 ton apples"/>
    <s v="/1000"/>
    <n v="1.1000000000000001"/>
    <n v="1.1576000000000002"/>
    <n v="6.4100000000000004E-2"/>
    <n v="6.787E-2"/>
    <n v="1.1000000000000001"/>
    <n v="5.7599999999999998E-2"/>
    <n v="0"/>
    <n v="2.665"/>
    <n v="0.28299999999999997"/>
    <m/>
    <m/>
    <m/>
    <n v="0"/>
    <n v="1.1000000000000001"/>
    <n v="4.0999999999999996"/>
    <m/>
    <m/>
    <n v="6.4100000000000004E-2"/>
    <n v="3.7699999999999999E-3"/>
    <n v="0"/>
    <n v="0.19299999999999998"/>
    <n v="1.4500000000000001E-2"/>
    <m/>
    <m/>
    <m/>
    <n v="4.9499999999999995E-3"/>
    <n v="6.4100000000000004E-2"/>
    <n v="0.27600000000000002"/>
  </r>
  <r>
    <x v="4"/>
    <x v="66"/>
    <s v="Fresh or Not Specified"/>
    <s v="Organic production"/>
    <s v="Yes"/>
    <s v="Canada"/>
    <n v="2013"/>
    <s v="Sarah Keyes;"/>
    <s v="Dalhousie University, Halifax, Nova Scotia"/>
    <s v="Master's Thesis"/>
    <s v="Keyes, S., Evaluating the Environmental Impacts of Conventional and Organic Apple Production in Nova Scotia, Canada, through Life Cycle Assessment. Master thesis, Dalhousie University, Halifax, Nova Scotia, 2013."/>
    <s v="Yes"/>
    <s v="No"/>
    <s v="Yes"/>
    <s v="Yes"/>
    <s v="Yes"/>
    <s v="Yes"/>
    <s v="No"/>
    <s v="No"/>
    <s v="No"/>
    <s v="No"/>
    <s v="No"/>
    <s v="Yes"/>
    <m/>
    <s v="Cradle to retail"/>
    <s v="No"/>
    <s v="Yes"/>
    <s v="1 ton apples"/>
    <s v="/1000"/>
    <n v="1.76"/>
    <n v="1.591"/>
    <n v="7.3200000000000001E-2"/>
    <n v="7.5020000000000003E-2"/>
    <n v="1.56"/>
    <n v="3.1E-2"/>
    <n v="0"/>
    <n v="2.6350000000000002"/>
    <n v="0.23300000000000001"/>
    <m/>
    <m/>
    <m/>
    <n v="0.29959999999999998"/>
    <n v="1.76"/>
    <n v="4.82"/>
    <m/>
    <m/>
    <n v="7.3200000000000001E-2"/>
    <n v="1.82E-3"/>
    <n v="0"/>
    <n v="0.19299999999999998"/>
    <n v="1.4500000000000001E-2"/>
    <m/>
    <m/>
    <m/>
    <n v="1.17363E-2"/>
    <n v="7.3200000000000001E-2"/>
    <n v="0.28299999999999997"/>
  </r>
  <r>
    <x v="3"/>
    <x v="44"/>
    <s v="Fresh or Not Specified"/>
    <s v="Table potatoes"/>
    <s v="No"/>
    <s v="Netherlands"/>
    <n v="2011"/>
    <s v="Tommie Ponsioen (a); Hans Blonk (a)"/>
    <m/>
    <s v="NGO Report"/>
    <s v="Ponsioen, T. and Blonk, H., Case studies for more insight into the methodology and composition of carbon footprints of table potatoes and chips. Blonk Milieuadvies; 2011,  (July), 27."/>
    <s v="Yes"/>
    <s v="No"/>
    <s v="Yes"/>
    <s v="Yes"/>
    <s v="Yes"/>
    <s v="Yes"/>
    <s v="Yes"/>
    <s v="Yes"/>
    <s v="Yes"/>
    <s v="Yes"/>
    <s v="Yes"/>
    <s v="No"/>
    <m/>
    <s v="Cradle to retail"/>
    <s v="Yes"/>
    <s v="Yes"/>
    <s v="1 ton of potatoes"/>
    <s v="/1000"/>
    <s v=""/>
    <s v=""/>
    <n v="0.17"/>
    <n v="0.21000000000000002"/>
    <m/>
    <m/>
    <m/>
    <m/>
    <m/>
    <m/>
    <m/>
    <m/>
    <m/>
    <m/>
    <m/>
    <m/>
    <m/>
    <n v="0.17"/>
    <n v="0.04"/>
    <m/>
    <m/>
    <m/>
    <m/>
    <n v="0.30499999999999999"/>
    <m/>
    <m/>
    <n v="0.17"/>
    <n v="0.52"/>
  </r>
  <r>
    <x v="10"/>
    <x v="56"/>
    <s v="Fresh or Not Specified"/>
    <s v="Potato Chips"/>
    <s v="No"/>
    <s v="Netherlands"/>
    <n v="2011"/>
    <s v="Tommie Ponsioen (a); Hans Blonk (a)"/>
    <m/>
    <s v="NGO Report"/>
    <s v="Ponsioen, T. and Blonk, H., Case studies for more insight into the methodology and composition of carbon footprints of table potatoes and chips. Blonk Milieuadvies; 2011,  (July), 27."/>
    <s v="Yes"/>
    <s v="No"/>
    <s v="Yes"/>
    <s v="Yes"/>
    <s v="Yes"/>
    <s v="Yes"/>
    <s v="Yes"/>
    <s v="Yes"/>
    <s v="Yes"/>
    <s v="Yes"/>
    <s v="Yes"/>
    <s v="No"/>
    <m/>
    <s v="Cradle to retail"/>
    <s v="Yes"/>
    <s v="Yes"/>
    <s v="1 ton of frozen chips"/>
    <s v="/1000"/>
    <s v=""/>
    <s v=""/>
    <n v="0.25"/>
    <n v="0.92999999999999994"/>
    <m/>
    <m/>
    <m/>
    <m/>
    <m/>
    <m/>
    <m/>
    <m/>
    <m/>
    <m/>
    <m/>
    <m/>
    <m/>
    <n v="0.25"/>
    <n v="0.04"/>
    <n v="0.64"/>
    <m/>
    <m/>
    <m/>
    <n v="1.1199999999999997"/>
    <m/>
    <m/>
    <n v="0.25"/>
    <n v="2.06"/>
  </r>
  <r>
    <x v="5"/>
    <x v="67"/>
    <s v="Fresh or Not Specified"/>
    <s v="Winter wheat - small holdings"/>
    <s v="No"/>
    <s v="Poland"/>
    <n v="2015"/>
    <s v="Alina Syp (a); Antoni Faber (a); Magdalena Borzęcka-Walker (a); Dariusz Osuch (b)"/>
    <s v="(a) Institute of Soil Science and Plant Cultivation – State Research Institute, Department of Agrometorology and Applied Informatics, Czartoryskich 8, 24-100 Puławy, Poland; (b) Institute of Agricultural and Food Economics – National Research Institute, Agricultural Accountancy Department, Świętokrzyska 20, 00-002 Warsaw, Poland"/>
    <s v="Peer Reviewed Journal"/>
    <s v="Syp, A., Faber, A., Borzecka-Walker, M. and Osuch, D., Assessment of Greenhouse Gas Emissions in Winter Wheat Farms Using Data Envelopment Analysis Approach. Polish Journal of Environmental Studies 2015, 24 (5), 2197-2203."/>
    <s v="Yes"/>
    <s v="No"/>
    <s v="No"/>
    <s v="No"/>
    <s v="No"/>
    <s v="No"/>
    <s v="No"/>
    <s v="No"/>
    <s v="No"/>
    <s v="No"/>
    <s v="No"/>
    <s v="No"/>
    <m/>
    <s v="DEA study instead of LCA - appears to talk only about ag production"/>
    <s v="No"/>
    <s v="No"/>
    <s v="1 kg wheat"/>
    <m/>
    <s v=""/>
    <s v=""/>
    <n v="0.44800000000000001"/>
    <s v=""/>
    <m/>
    <m/>
    <m/>
    <m/>
    <m/>
    <m/>
    <m/>
    <m/>
    <m/>
    <m/>
    <m/>
    <m/>
    <m/>
    <m/>
    <m/>
    <m/>
    <m/>
    <m/>
    <m/>
    <m/>
    <m/>
    <m/>
    <n v="0.44800000000000001"/>
    <m/>
  </r>
  <r>
    <x v="5"/>
    <x v="67"/>
    <s v="Fresh or Not Specified"/>
    <s v="Winter wheat - medium holdings"/>
    <s v="No"/>
    <s v="Poland"/>
    <n v="2015"/>
    <s v="Alina Syp (a); Antoni Faber (a); Magdalena Borzęcka-Walker (a); Dariusz Osuch (b)"/>
    <s v="(a) Institute of Soil Science and Plant Cultivation – State Research Institute, Department of Agrometorology and Applied Informatics, Czartoryskich 8, 24-100 Puławy, Poland; (b) Institute of Agricultural and Food Economics – National Research Institute, Agricultural Accountancy Department, Świętokrzyska 20, 00-002 Warsaw, Poland"/>
    <s v="Peer Reviewed Journal"/>
    <s v="Syp, A., Faber, A., Borzecka-Walker, M. and Osuch, D., Assessment of Greenhouse Gas Emissions in Winter Wheat Farms Using Data Envelopment Analysis Approach. Polish Journal of Environmental Studies 2015, 24 (5), 2197-2203."/>
    <s v="Yes"/>
    <s v="No"/>
    <s v="No"/>
    <s v="No"/>
    <s v="No"/>
    <s v="No"/>
    <s v="No"/>
    <s v="No"/>
    <s v="No"/>
    <s v="No"/>
    <s v="No"/>
    <s v="No"/>
    <m/>
    <s v="DEA study instead of LCA - appears to talk only about ag production"/>
    <s v="No"/>
    <s v="No"/>
    <s v="1 kg wheat"/>
    <m/>
    <s v=""/>
    <s v=""/>
    <n v="0.48099999999999998"/>
    <s v=""/>
    <m/>
    <m/>
    <m/>
    <m/>
    <m/>
    <m/>
    <m/>
    <m/>
    <m/>
    <m/>
    <m/>
    <m/>
    <m/>
    <m/>
    <m/>
    <m/>
    <m/>
    <m/>
    <m/>
    <m/>
    <m/>
    <m/>
    <n v="0.48099999999999998"/>
    <m/>
  </r>
  <r>
    <x v="5"/>
    <x v="67"/>
    <s v="Fresh or Not Specified"/>
    <s v="Winter wheat - large holdings"/>
    <s v="No"/>
    <s v="Poland"/>
    <n v="2015"/>
    <s v="Alina Syp (a); Antoni Faber (a); Magdalena Borzęcka-Walker (a); Dariusz Osuch (b)"/>
    <s v="(a) Institute of Soil Science and Plant Cultivation – State Research Institute, Department of Agrometorology and Applied Informatics, Czartoryskich 8, 24-100 Puławy, Poland; (b) Institute of Agricultural and Food Economics – National Research Institute, Agricultural Accountancy Department, Świętokrzyska 20, 00-002 Warsaw, Poland"/>
    <s v="Peer Reviewed Journal"/>
    <s v="Syp, A., Faber, A., Borzecka-Walker, M. and Osuch, D., Assessment of Greenhouse Gas Emissions in Winter Wheat Farms Using Data Envelopment Analysis Approach. Polish Journal of Environmental Studies 2015, 24 (5), 2197-2203."/>
    <s v="Yes"/>
    <s v="No"/>
    <s v="No"/>
    <s v="No"/>
    <s v="No"/>
    <s v="No"/>
    <s v="No"/>
    <s v="No"/>
    <s v="No"/>
    <s v="No"/>
    <s v="No"/>
    <s v="No"/>
    <m/>
    <s v="DEA study instead of LCA - appears to talk only about ag production"/>
    <s v="No"/>
    <s v="No"/>
    <s v="1 kg wheat"/>
    <m/>
    <s v=""/>
    <s v=""/>
    <n v="0.41099999999999998"/>
    <s v=""/>
    <m/>
    <m/>
    <m/>
    <m/>
    <m/>
    <m/>
    <m/>
    <m/>
    <m/>
    <m/>
    <m/>
    <m/>
    <m/>
    <m/>
    <m/>
    <m/>
    <m/>
    <m/>
    <m/>
    <m/>
    <m/>
    <m/>
    <n v="0.41099999999999998"/>
    <m/>
  </r>
  <r>
    <x v="3"/>
    <x v="63"/>
    <s v="Fresh or Not Specified"/>
    <s v="Mushroom"/>
    <s v="No"/>
    <s v="Spain"/>
    <n v="2015"/>
    <s v="F.J. Leivaa(a); J.C. Saenz-Díez (b); E. Martínez (a); E. Jiménez (b); J. Blancoa (a);"/>
    <s v="(a) Department of Mechanical Engineering, University of la Rioja, Edificio Departamental—C/Luis de Ulloa, 20, 26004 Logro ̃no, La Rioja, Spain (b) Department of Electrical Engineering, University of la Rioja, Edificio Departamental—C/Luis de Ulloa, 20, 26004 Logro ̃no, La Rioja, Spain"/>
    <s v="Peer Reviewed Journal"/>
    <s v="Leiva, F. J., Saenz-Díez, J. C., Martínez, E., Jiménez, E. and Blanco, J., Environmental impact of Agaricus bisporus cultivation process. European Journal of Agronomy 2015, 71, 141-148."/>
    <s v="Yes"/>
    <s v="No"/>
    <s v="No"/>
    <s v="No"/>
    <s v="Yes"/>
    <s v="No"/>
    <s v="No"/>
    <s v="Yes"/>
    <s v="No"/>
    <s v="No"/>
    <s v="No"/>
    <s v="No"/>
    <m/>
    <s v="Assumed all produce is distributed as soon as it is grown. Cradle to farm gate to consumer"/>
    <s v="Yes"/>
    <s v="Yes"/>
    <s v="1 kg mushroom"/>
    <m/>
    <s v=""/>
    <s v=""/>
    <n v="4.42"/>
    <s v=""/>
    <m/>
    <m/>
    <m/>
    <m/>
    <m/>
    <m/>
    <m/>
    <m/>
    <m/>
    <m/>
    <m/>
    <m/>
    <m/>
    <m/>
    <m/>
    <m/>
    <m/>
    <m/>
    <m/>
    <m/>
    <m/>
    <m/>
    <n v="4.42"/>
    <m/>
  </r>
  <r>
    <x v="4"/>
    <x v="68"/>
    <s v="Fresh or Not Specified"/>
    <s v="Seasonal - May supply"/>
    <s v="Yes"/>
    <s v="Spain, UK"/>
    <n v="2014"/>
    <s v="Chris Foster (a); Catarina Guében (a); Mark Holmes (b); Jeremy Wiltshire (b); Sarah Wynn (b);"/>
    <s v="(a) EuGeos Limited, UK; (b) ADAS, UK;"/>
    <s v="Peer Reviewed Journal"/>
    <s v="Foster, C., Guében, C., Holmes, M., Wiltshire, J. and Wynn, S., The environmental effects of seasonal food purchase: a raspberry case study. Journal of Cleaner Production 2014, 73, 269-274."/>
    <s v="Yes"/>
    <s v="Yes"/>
    <s v="Yes"/>
    <s v="Yes"/>
    <s v="Yes"/>
    <s v="Yes"/>
    <s v="Yes"/>
    <s v="No"/>
    <s v="No"/>
    <s v="No"/>
    <s v="No"/>
    <s v="No"/>
    <m/>
    <s v="Until retail"/>
    <s v="No"/>
    <s v="No"/>
    <s v="1 kg raspberry"/>
    <m/>
    <s v=""/>
    <s v=""/>
    <s v=""/>
    <s v=""/>
    <m/>
    <m/>
    <m/>
    <m/>
    <m/>
    <m/>
    <m/>
    <m/>
    <m/>
    <m/>
    <m/>
    <m/>
    <m/>
    <m/>
    <m/>
    <m/>
    <m/>
    <m/>
    <m/>
    <m/>
    <m/>
    <m/>
    <m/>
    <n v="7.3"/>
  </r>
  <r>
    <x v="4"/>
    <x v="68"/>
    <s v="Fresh or Not Specified"/>
    <s v="Seasonal - July supply"/>
    <s v="Yes"/>
    <s v="UK"/>
    <n v="2014"/>
    <s v="Chris Foster (a); Catarina Guében (a); Mark Holmes (b); Jeremy Wiltshire (b); Sarah Wynn (b);"/>
    <s v="(a) EuGeos Limited, UK; (b) ADAS, UK;"/>
    <s v="Peer Reviewed Journal"/>
    <s v="Foster, C., Guében, C., Holmes, M., Wiltshire, J. and Wynn, S., The environmental effects of seasonal food purchase: a raspberry case study. Journal of Cleaner Production 2014, 73, 269-274."/>
    <s v="Yes"/>
    <s v="Yes"/>
    <s v="Yes"/>
    <s v="Yes"/>
    <s v="Yes"/>
    <s v="Yes"/>
    <s v="Yes"/>
    <s v="No"/>
    <s v="No"/>
    <s v="No"/>
    <s v="No"/>
    <s v="No"/>
    <m/>
    <s v="Until retail"/>
    <s v="No"/>
    <s v="No"/>
    <s v="1 kg raspberry"/>
    <m/>
    <s v=""/>
    <s v=""/>
    <s v=""/>
    <s v=""/>
    <m/>
    <m/>
    <m/>
    <m/>
    <m/>
    <m/>
    <m/>
    <m/>
    <m/>
    <m/>
    <m/>
    <m/>
    <m/>
    <m/>
    <m/>
    <m/>
    <m/>
    <m/>
    <m/>
    <m/>
    <m/>
    <m/>
    <m/>
    <n v="7.4"/>
  </r>
  <r>
    <x v="4"/>
    <x v="68"/>
    <s v="Fresh or Not Specified"/>
    <s v="Seasonal - November supply"/>
    <s v="Yes"/>
    <s v="UK"/>
    <n v="2014"/>
    <s v="Chris Foster (a); Catarina Guében (a); Mark Holmes (b); Jeremy Wiltshire (b); Sarah Wynn (b);"/>
    <s v="(a) EuGeos Limited, UK; (b) ADAS, UK;"/>
    <s v="Peer Reviewed Journal"/>
    <s v="Foster, C., Guében, C., Holmes, M., Wiltshire, J. and Wynn, S., The environmental effects of seasonal food purchase: a raspberry case study. Journal of Cleaner Production 2014, 73, 269-274."/>
    <s v="Yes"/>
    <s v="Yes"/>
    <s v="Yes"/>
    <s v="Yes"/>
    <s v="Yes"/>
    <s v="Yes"/>
    <s v="Yes"/>
    <s v="No"/>
    <s v="No"/>
    <s v="No"/>
    <s v="No"/>
    <s v="No"/>
    <m/>
    <s v="Until retail"/>
    <s v="No"/>
    <s v="No"/>
    <s v="1 kg raspberry"/>
    <m/>
    <s v=""/>
    <s v=""/>
    <s v=""/>
    <s v=""/>
    <m/>
    <m/>
    <m/>
    <m/>
    <m/>
    <m/>
    <m/>
    <m/>
    <m/>
    <m/>
    <m/>
    <m/>
    <m/>
    <m/>
    <m/>
    <m/>
    <m/>
    <m/>
    <m/>
    <m/>
    <m/>
    <m/>
    <m/>
    <n v="7.7"/>
  </r>
  <r>
    <x v="4"/>
    <x v="69"/>
    <s v="Fresh or Not Specified"/>
    <s v="Conventional - Average of mandarins and orang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4699999999999999"/>
    <s v=""/>
    <m/>
    <m/>
    <m/>
    <m/>
    <m/>
    <m/>
    <m/>
    <m/>
    <m/>
    <m/>
    <m/>
    <m/>
    <m/>
    <n v="0.14699999999999999"/>
    <m/>
    <m/>
    <m/>
    <m/>
    <m/>
    <m/>
    <m/>
    <n v="6.0000000000000001E-3"/>
    <n v="0.14699999999999999"/>
    <m/>
  </r>
  <r>
    <x v="4"/>
    <x v="70"/>
    <s v="Fresh or Not Specified"/>
    <s v="Conventional - Average of apples, pears, plums, table grapes, peach, apricot, fig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1799999999999999"/>
    <s v=""/>
    <m/>
    <m/>
    <m/>
    <m/>
    <m/>
    <m/>
    <m/>
    <m/>
    <m/>
    <m/>
    <m/>
    <m/>
    <m/>
    <n v="0.11799999999999999"/>
    <m/>
    <m/>
    <m/>
    <m/>
    <m/>
    <m/>
    <m/>
    <n v="8.9999999999999993E-3"/>
    <n v="0.11799999999999999"/>
    <m/>
  </r>
  <r>
    <x v="4"/>
    <x v="71"/>
    <s v="Fresh or Not Specified"/>
    <s v="Conventional - Average of Avocado, mango, banana"/>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30099999999999999"/>
    <s v=""/>
    <m/>
    <m/>
    <m/>
    <m/>
    <m/>
    <m/>
    <m/>
    <m/>
    <m/>
    <m/>
    <m/>
    <m/>
    <m/>
    <n v="0.30099999999999999"/>
    <m/>
    <m/>
    <m/>
    <m/>
    <m/>
    <m/>
    <m/>
    <n v="1.4999999999999999E-2"/>
    <n v="0.30099999999999999"/>
    <m/>
  </r>
  <r>
    <x v="11"/>
    <x v="72"/>
    <s v="Fresh or Not Specified"/>
    <s v="Conventional - Average of Almond,hazelnut, carob tree"/>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97199999999999998"/>
    <s v=""/>
    <m/>
    <m/>
    <m/>
    <m/>
    <m/>
    <m/>
    <m/>
    <m/>
    <m/>
    <m/>
    <m/>
    <m/>
    <m/>
    <n v="0.97199999999999998"/>
    <m/>
    <m/>
    <m/>
    <m/>
    <m/>
    <m/>
    <m/>
    <n v="0.109"/>
    <n v="0.97199999999999998"/>
    <m/>
  </r>
  <r>
    <x v="4"/>
    <x v="53"/>
    <s v="Fresh or Not Specified"/>
    <s v="Conventional - wine grap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58"/>
    <s v=""/>
    <m/>
    <m/>
    <m/>
    <m/>
    <m/>
    <m/>
    <m/>
    <m/>
    <m/>
    <m/>
    <m/>
    <m/>
    <m/>
    <n v="0.158"/>
    <m/>
    <m/>
    <m/>
    <m/>
    <m/>
    <m/>
    <m/>
    <n v="6.0000000000000001E-3"/>
    <n v="0.158"/>
    <m/>
  </r>
  <r>
    <x v="4"/>
    <x v="73"/>
    <s v="Fresh or Not Specified"/>
    <s v="Conventional - oliv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32400000000000001"/>
    <s v=""/>
    <m/>
    <m/>
    <m/>
    <m/>
    <m/>
    <m/>
    <m/>
    <m/>
    <m/>
    <m/>
    <m/>
    <m/>
    <m/>
    <n v="0.32400000000000001"/>
    <m/>
    <m/>
    <m/>
    <m/>
    <m/>
    <m/>
    <m/>
    <n v="0.01"/>
    <n v="0.32400000000000001"/>
    <m/>
  </r>
  <r>
    <x v="4"/>
    <x v="69"/>
    <s v="Fresh or Not Specified"/>
    <s v="organic - Average of mandarins and orang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83"/>
    <s v=""/>
    <m/>
    <m/>
    <m/>
    <m/>
    <m/>
    <m/>
    <m/>
    <m/>
    <m/>
    <m/>
    <m/>
    <m/>
    <m/>
    <n v="0.83"/>
    <m/>
    <m/>
    <m/>
    <m/>
    <m/>
    <m/>
    <m/>
    <n v="1.2999999999999999E-2"/>
    <n v="0.83"/>
    <m/>
  </r>
  <r>
    <x v="4"/>
    <x v="70"/>
    <s v="Fresh or Not Specified"/>
    <s v="Organic - Average of apples, pears, plums, table grapes, peach, apricot, fig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94"/>
    <s v=""/>
    <m/>
    <m/>
    <m/>
    <m/>
    <m/>
    <m/>
    <m/>
    <m/>
    <m/>
    <m/>
    <m/>
    <m/>
    <m/>
    <n v="0.94"/>
    <m/>
    <m/>
    <m/>
    <m/>
    <m/>
    <m/>
    <m/>
    <n v="1.7000000000000001E-2"/>
    <n v="0.94"/>
    <m/>
  </r>
  <r>
    <x v="4"/>
    <x v="71"/>
    <s v="Fresh or Not Specified"/>
    <s v="Organic - Average of Avocado, mango, banana"/>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13"/>
    <s v=""/>
    <m/>
    <m/>
    <m/>
    <m/>
    <m/>
    <m/>
    <m/>
    <m/>
    <m/>
    <m/>
    <m/>
    <m/>
    <m/>
    <n v="0.113"/>
    <m/>
    <m/>
    <m/>
    <m/>
    <m/>
    <m/>
    <m/>
    <n v="1.4999999999999999E-2"/>
    <n v="0.113"/>
    <m/>
  </r>
  <r>
    <x v="11"/>
    <x v="72"/>
    <s v="Fresh or Not Specified"/>
    <s v="organic - Average of Almond,hazelnut, carob tree"/>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95499999999999996"/>
    <s v=""/>
    <m/>
    <m/>
    <m/>
    <m/>
    <m/>
    <m/>
    <m/>
    <m/>
    <m/>
    <m/>
    <m/>
    <m/>
    <m/>
    <n v="0.95499999999999996"/>
    <m/>
    <m/>
    <m/>
    <m/>
    <m/>
    <m/>
    <m/>
    <n v="0.121"/>
    <n v="0.95499999999999996"/>
    <m/>
  </r>
  <r>
    <x v="4"/>
    <x v="53"/>
    <s v="Fresh or Not Specified"/>
    <s v="Organic - wine grap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106"/>
    <s v=""/>
    <m/>
    <m/>
    <m/>
    <m/>
    <m/>
    <m/>
    <m/>
    <m/>
    <m/>
    <m/>
    <m/>
    <m/>
    <m/>
    <n v="0.106"/>
    <m/>
    <m/>
    <m/>
    <m/>
    <m/>
    <m/>
    <m/>
    <n v="8.0000000000000002E-3"/>
    <n v="0.106"/>
    <m/>
  </r>
  <r>
    <x v="4"/>
    <x v="74"/>
    <s v="Fresh or Not Specified"/>
    <s v="Organic - olives"/>
    <s v="Yes"/>
    <s v="Spain"/>
    <n v="2014"/>
    <s v="Eduardo Aguilera (a); Gloria Guzmán (a); Antonio Alonso(a); "/>
    <s v="(a) Agro-ecosystems History Laboratory, Universidad Pablo de Olavide, Carretera de Utrera, km. 1, 41013 Seville, Spain"/>
    <s v="Peer Reviewed Journal"/>
    <s v="Aguilera, E., Guzmán, G. and Alonso, A., Greenhouse gas emissions from conventional and organic cropping systems in Spain. II. Fruit tree orchards. Agronomy for Sustainable Development 2015, 35 (2), 725-737."/>
    <s v="Yes"/>
    <s v="No"/>
    <s v="No"/>
    <s v="No"/>
    <s v="No"/>
    <s v="No"/>
    <s v="No"/>
    <s v="No"/>
    <s v="No"/>
    <s v="No"/>
    <s v="No"/>
    <s v="Yes"/>
    <m/>
    <s v="Until farm gate"/>
    <s v="No"/>
    <s v="Yes"/>
    <s v="1 kg product"/>
    <m/>
    <s v=""/>
    <s v=""/>
    <n v="-0.01"/>
    <s v=""/>
    <m/>
    <m/>
    <m/>
    <m/>
    <m/>
    <m/>
    <m/>
    <m/>
    <m/>
    <m/>
    <m/>
    <m/>
    <m/>
    <n v="-0.01"/>
    <m/>
    <m/>
    <m/>
    <m/>
    <m/>
    <m/>
    <m/>
    <n v="8.9999999999999993E-3"/>
    <n v="-0.01"/>
    <m/>
  </r>
  <r>
    <x v="3"/>
    <x v="75"/>
    <s v="Fresh or Not Specified"/>
    <s v="UK grown broccoli sold 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m/>
    <s v="Capital goods - Machinery included but not buildings. Land Use reported in sq. m. includes cropping, retail, transport, waste disposal, etc."/>
    <s v="Yes"/>
    <s v="Yes"/>
    <s v="1 kg broccoli on plate"/>
    <m/>
    <n v="4.05"/>
    <n v="4.8499999999999996"/>
    <n v="0.4"/>
    <n v="0.42000000000000004"/>
    <n v="4.05"/>
    <m/>
    <n v="0.8"/>
    <m/>
    <n v="2"/>
    <m/>
    <n v="24.05"/>
    <n v="0.8"/>
    <m/>
    <n v="4.05"/>
    <n v="31.6"/>
    <m/>
    <m/>
    <n v="0.4"/>
    <m/>
    <n v="0.02"/>
    <m/>
    <n v="0.15"/>
    <m/>
    <n v="1.3"/>
    <n v="0.2"/>
    <m/>
    <n v="0.4"/>
    <n v="2.0700000000000003"/>
  </r>
  <r>
    <x v="3"/>
    <x v="75"/>
    <s v="Frozen"/>
    <s v="UK grown broccoli sold 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broccoli on plate"/>
    <m/>
    <n v="3.45"/>
    <n v="5.5500000000000007"/>
    <n v="0.2"/>
    <n v="0.35"/>
    <n v="3.45"/>
    <m/>
    <n v="2.1"/>
    <m/>
    <n v="15.1"/>
    <m/>
    <n v="25.45"/>
    <n v="0.9"/>
    <m/>
    <n v="3.45"/>
    <n v="46.9"/>
    <m/>
    <m/>
    <n v="0.2"/>
    <m/>
    <n v="0.15"/>
    <m/>
    <n v="0.75"/>
    <m/>
    <n v="1.3"/>
    <n v="0.2"/>
    <m/>
    <n v="0.2"/>
    <n v="2.6000000000000005"/>
  </r>
  <r>
    <x v="3"/>
    <x v="75"/>
    <s v="Fresh or Not Specified"/>
    <s v="Spanish grown broccoli sold in UK"/>
    <s v="Yes"/>
    <s v="Spain"/>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broccoli on plate"/>
    <m/>
    <n v="7.15"/>
    <n v="9.3000000000000007"/>
    <n v="0.2"/>
    <n v="0.37"/>
    <n v="7.15"/>
    <m/>
    <n v="2.15"/>
    <m/>
    <n v="4.7"/>
    <m/>
    <n v="24.1"/>
    <n v="1.05"/>
    <m/>
    <n v="7.15"/>
    <n v="39.107140000000001"/>
    <m/>
    <m/>
    <n v="0.2"/>
    <m/>
    <n v="0.17"/>
    <m/>
    <n v="0.37"/>
    <m/>
    <n v="1.4"/>
    <n v="0.2"/>
    <m/>
    <n v="0.2"/>
    <n v="2.34"/>
  </r>
  <r>
    <x v="3"/>
    <x v="57"/>
    <s v="Fresh or Not Specified"/>
    <s v="UK outdoor grown lettuce, sold 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No"/>
    <s v="No"/>
    <s v="Yes"/>
    <s v="Waste disposal"/>
    <s v="Capital goods - Machinery included but not buildings. Land Use reported in sq. m. includes cropping, retail, transport, waste disposal, etc."/>
    <s v="Yes"/>
    <s v="Yes"/>
    <s v="1 kg lettuce at market"/>
    <m/>
    <n v="3.7"/>
    <n v="4.45"/>
    <n v="0.28899999999999998"/>
    <n v="0.34499999999999997"/>
    <n v="3.7"/>
    <m/>
    <n v="0.75"/>
    <m/>
    <n v="1.85"/>
    <m/>
    <n v="0.1"/>
    <n v="0.05"/>
    <m/>
    <n v="3.7"/>
    <n v="6.52"/>
    <m/>
    <m/>
    <n v="0.28899999999999998"/>
    <m/>
    <n v="5.6000000000000001E-2"/>
    <m/>
    <n v="0.108"/>
    <m/>
    <n v="9.6699999999999994E-2"/>
    <n v="8.5000000000000006E-2"/>
    <m/>
    <n v="0.28899999999999998"/>
    <n v="0.63469999999999993"/>
  </r>
  <r>
    <x v="3"/>
    <x v="59"/>
    <s v="Fresh or Not Specified"/>
    <s v="UK indoor grown lettuce, sold 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No"/>
    <s v="No"/>
    <s v="Yes"/>
    <s v="Waste disposal"/>
    <s v="Capital goods - Machinery included but not buildings. Land Use reported in sq. m. includes cropping, retail, transport, waste disposal, etc."/>
    <s v="Yes"/>
    <s v="Yes"/>
    <s v="1 kg lettuce on plate"/>
    <m/>
    <n v="64.099999999999994"/>
    <n v="65.75"/>
    <n v="2.9725000000000001"/>
    <n v="2.9975000000000001"/>
    <n v="64.099999999999994"/>
    <m/>
    <n v="1.65"/>
    <m/>
    <n v="2.25"/>
    <m/>
    <n v="0.05"/>
    <n v="2.5000000000000001E-2"/>
    <m/>
    <n v="64.099999999999994"/>
    <n v="68"/>
    <m/>
    <m/>
    <n v="2.9725000000000001"/>
    <m/>
    <n v="2.5000000000000001E-2"/>
    <m/>
    <n v="0.29799999999999999"/>
    <m/>
    <n v="8.1000000000000003E-2"/>
    <n v="8.5000000000000006E-2"/>
    <m/>
    <n v="2.9725000000000001"/>
    <n v="3.4615"/>
  </r>
  <r>
    <x v="3"/>
    <x v="57"/>
    <s v="Fresh or Not Specified"/>
    <s v="Spanish grown lettuce sold in UK"/>
    <s v="Yes"/>
    <s v="Spain"/>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No"/>
    <s v="No"/>
    <s v="Yes"/>
    <s v="Waste disposal"/>
    <s v="Capital goods - Machinery included but not buildings. Land Use reported in sq. m. includes cropping, retail, transport, waste disposal, etc."/>
    <s v="Yes"/>
    <s v="Yes"/>
    <s v="1 kg lettuce on plate"/>
    <m/>
    <n v="4.5999999999999996"/>
    <n v="4.8999999999999995"/>
    <n v="0.214"/>
    <n v="0.2205"/>
    <n v="4.5999999999999996"/>
    <m/>
    <n v="0.3"/>
    <m/>
    <n v="5.45"/>
    <m/>
    <n v="0.05"/>
    <n v="2.5000000000000001E-2"/>
    <m/>
    <n v="4.5999999999999996"/>
    <n v="10.36145"/>
    <m/>
    <m/>
    <n v="0.214"/>
    <m/>
    <n v="6.4999999999999997E-3"/>
    <m/>
    <n v="0.52"/>
    <m/>
    <n v="0.104"/>
    <n v="8.5000000000000006E-2"/>
    <m/>
    <n v="0.214"/>
    <n v="0.92949999999999999"/>
  </r>
  <r>
    <x v="3"/>
    <x v="76"/>
    <s v="Fresh or Not Specified"/>
    <s v="Ugandan lettuce sold in UK"/>
    <s v="Yes"/>
    <s v="Uganda"/>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No"/>
    <s v="No"/>
    <s v="Yes"/>
    <s v="Waste disposal"/>
    <s v="Capital goods - Machinery included but not buildings. Land Use reported in sq. m. includes cropping, retail, transport, waste disposal, etc."/>
    <s v="Yes"/>
    <s v="Yes"/>
    <s v="1 kg lettuce on plate"/>
    <m/>
    <n v="0.5"/>
    <s v=""/>
    <n v="0.05"/>
    <s v=""/>
    <n v="0.5"/>
    <m/>
    <n v="0"/>
    <m/>
    <n v="147.44"/>
    <m/>
    <n v="0.05"/>
    <n v="2.5000000000000001E-2"/>
    <m/>
    <n v="0.5"/>
    <n v="148.01500000000001"/>
    <m/>
    <m/>
    <n v="0.05"/>
    <m/>
    <n v="0"/>
    <m/>
    <n v="9.9"/>
    <m/>
    <n v="7.3999999999999996E-2"/>
    <n v="8.5000000000000006E-2"/>
    <m/>
    <n v="0.05"/>
    <n v="10.109000000000002"/>
  </r>
  <r>
    <x v="3"/>
    <x v="77"/>
    <s v="Fresh or Not Specified"/>
    <s v="UK grown beans sold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green beans on plate"/>
    <m/>
    <n v="6.1"/>
    <n v="7.1"/>
    <n v="0.52"/>
    <n v="0.54"/>
    <n v="6.1"/>
    <m/>
    <n v="1"/>
    <m/>
    <n v="0.95"/>
    <m/>
    <n v="11.8"/>
    <n v="1.05"/>
    <m/>
    <n v="6.1"/>
    <n v="20.828399999999998"/>
    <m/>
    <m/>
    <n v="0.52"/>
    <m/>
    <n v="0.02"/>
    <m/>
    <n v="0.12"/>
    <m/>
    <n v="0.7"/>
    <n v="0.27"/>
    <m/>
    <n v="0.52"/>
    <n v="1.63"/>
  </r>
  <r>
    <x v="3"/>
    <x v="77"/>
    <s v="Frozen"/>
    <s v="UK grown beans soldin UK"/>
    <s v="Yes"/>
    <s v="UK"/>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green beans on plate"/>
    <m/>
    <n v="4.05"/>
    <n v="6.85"/>
    <n v="0.31"/>
    <n v="0.45999999999999996"/>
    <n v="4.05"/>
    <m/>
    <n v="2.8"/>
    <m/>
    <n v="7.5"/>
    <m/>
    <n v="13.1"/>
    <n v="1.05"/>
    <m/>
    <n v="4.05"/>
    <n v="28.402370000000001"/>
    <m/>
    <m/>
    <n v="0.31"/>
    <m/>
    <n v="0.15"/>
    <m/>
    <n v="0.41"/>
    <m/>
    <n v="0.7"/>
    <n v="0.27"/>
    <m/>
    <n v="0.31"/>
    <n v="1.8399999999999999"/>
  </r>
  <r>
    <x v="3"/>
    <x v="78"/>
    <s v="Fresh or Not Specified"/>
    <s v="Ugandan beans sold in UK"/>
    <s v="Yes"/>
    <s v="Uganda"/>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green beans on plate"/>
    <m/>
    <n v="0.5"/>
    <s v=""/>
    <n v="0.12"/>
    <s v=""/>
    <n v="0.5"/>
    <m/>
    <n v="0"/>
    <m/>
    <n v="145"/>
    <m/>
    <n v="11"/>
    <n v="1.1000000000000001"/>
    <m/>
    <n v="0.5"/>
    <n v="157.15979999999999"/>
    <m/>
    <m/>
    <n v="0.12"/>
    <m/>
    <n v="0"/>
    <m/>
    <n v="9.81"/>
    <m/>
    <n v="0.7"/>
    <n v="0.27"/>
    <m/>
    <n v="0.12"/>
    <n v="10.899999999999999"/>
  </r>
  <r>
    <x v="3"/>
    <x v="78"/>
    <s v="Fresh or Not Specified"/>
    <s v="Kenyan beans sold in UK"/>
    <s v="Yes"/>
    <s v="Kenya"/>
    <n v="2008"/>
    <s v="Llorenç Milà i Canals (a); Ivan Muñoz (a); Almudena Hospido (a); Katharina Plassmann (b); Sarah McLaren (a);"/>
    <s v="(a) Centre for Environmental Strategy, University of Surrey (UK) (b) Bangor University, (UK)"/>
    <s v="NGO Report"/>
    <s v="Canals, L. M. I., Muñoz, I., Hospido, A., Plassmann, K. and Mclaren, S., Life Cycle Assessment (LCA) of domestic vs. imported vegetables. Case studies on broccoli, salad crops and green beans. United Kingdom, Centre for Environmental Strategy, University of Surrey 2008, 46-46."/>
    <s v="Yes"/>
    <s v="Yes"/>
    <s v="Yes"/>
    <s v="Yes"/>
    <s v="Yes"/>
    <s v="Yes"/>
    <s v="Yes"/>
    <s v="Yes"/>
    <s v="Yes"/>
    <s v="Yes"/>
    <s v="No"/>
    <s v="Yes"/>
    <s v="Waste disposal"/>
    <s v="Capital goods - Machinery included but not buildings. Land Use reported in sq. m. includes cropping, retail, transport, waste disposal, etc."/>
    <s v="Yes"/>
    <s v="Yes"/>
    <s v="1 kg green beans on plate"/>
    <m/>
    <n v="1.1000000000000001"/>
    <s v=""/>
    <n v="0.06"/>
    <s v=""/>
    <n v="1.1000000000000001"/>
    <m/>
    <n v="0"/>
    <m/>
    <n v="144.9"/>
    <m/>
    <n v="11"/>
    <n v="1.1000000000000001"/>
    <m/>
    <n v="1.1000000000000001"/>
    <n v="158.10650000000001"/>
    <m/>
    <m/>
    <n v="0.06"/>
    <m/>
    <n v="0"/>
    <m/>
    <n v="9.6999999999999993"/>
    <m/>
    <n v="0.7"/>
    <n v="0.27"/>
    <m/>
    <n v="0.06"/>
    <n v="10.729999999999999"/>
  </r>
  <r>
    <x v="4"/>
    <x v="68"/>
    <s v="Fresh or Not Specified"/>
    <s v="Raspberry"/>
    <s v="No"/>
    <s v="Italy"/>
    <n v="2013"/>
    <s v="Vincenzo Girgenti (a); Cristiana Peano (a); Michele Bounous (a); Claudio Baudino (b);"/>
    <s v="(a) Dipartimento di Scienze Agrarie, Forestali e Alimentari, Università degli Studi di Torino, Via Leonardo da Vinci 44, 10095 Grugliasco, TO, Italy; (b) AgrifruttaSoc. Coop. Agr., Via Beinette 6, 12016 Peveragno, CN, Italy"/>
    <s v="Peer Reviewed Journal"/>
    <s v="Girgenti, V., Peano, C., Bounous, M. and Baudino, C., A life cycle assessment of non-renewable energy use and greenhouse gas emissions associated with blueberry and raspberry production in northern Italy. The Science of the total environment 2013, 458-460, 414-8."/>
    <s v="Yes"/>
    <s v="No"/>
    <s v="Yes"/>
    <s v="Yes"/>
    <s v="Yes"/>
    <s v="Yes"/>
    <s v="Yes"/>
    <s v="No"/>
    <s v="No"/>
    <s v="No"/>
    <s v="No"/>
    <s v="No"/>
    <s v="waste disposal - packaging"/>
    <s v="Cradle to grave, without use phase, but with packaging disposal"/>
    <s v="No"/>
    <s v="Yes"/>
    <s v="125 g box"/>
    <s v="values/0.125"/>
    <n v="6.3972093023255825"/>
    <s v=""/>
    <n v="0.26295652173913026"/>
    <s v=""/>
    <n v="6.3972093023255825"/>
    <m/>
    <m/>
    <n v="2.9525581395348839"/>
    <n v="0.24604651162790703"/>
    <n v="0.24604651162790703"/>
    <m/>
    <m/>
    <m/>
    <n v="6.3972093023255825"/>
    <n v="9.8418604651162802"/>
    <m/>
    <m/>
    <n v="0.26295652173913026"/>
    <m/>
    <m/>
    <n v="0.15026086956521728"/>
    <n v="9.3913043478260801E-3"/>
    <n v="1.408695652173912E-2"/>
    <m/>
    <n v="1.408695652173912E-2"/>
    <m/>
    <n v="0.26295652173913026"/>
    <n v="0.4507826086956519"/>
  </r>
  <r>
    <x v="4"/>
    <x v="79"/>
    <s v="Fresh or Not Specified"/>
    <s v="Blueberry"/>
    <s v="No"/>
    <s v="Italy"/>
    <n v="2013"/>
    <s v="Vincenzo Girgenti (a); Cristiana Peano (a); Michele Bounous (a); Claudio Baudino (b);"/>
    <s v="(a) Dipartimento di Scienze Agrarie, Forestali e Alimentari, Università degli Studi di Torino, Via Leonardo da Vinci 44, 10095 Grugliasco, TO, Italy; (b) AgrifruttaSoc. Coop. Agr., Via Beinette 6, 12016 Peveragno, CN, Italy"/>
    <s v="Peer Reviewed Journal"/>
    <s v="Girgenti, V., Peano, C., Bounous, M. and Baudino, C., A life cycle assessment of non-renewable energy use and greenhouse gas emissions associated with blueberry and raspberry production in northern Italy. The Science of the total environment 2013, 458-460, 414-8."/>
    <s v="Yes"/>
    <s v="No"/>
    <s v="Yes"/>
    <s v="Yes"/>
    <s v="Yes"/>
    <s v="Yes"/>
    <s v="Yes"/>
    <s v="No"/>
    <s v="No"/>
    <s v="No"/>
    <s v="No"/>
    <s v="No"/>
    <s v="waste disposal - packaging"/>
    <s v="Cradle to grave, without use phase, but with packaging disposal"/>
    <s v="No"/>
    <s v="Yes"/>
    <s v="125 g box"/>
    <s v="values/0.125"/>
    <n v="3.4533333333333345"/>
    <s v=""/>
    <n v="0.16947368421052647"/>
    <s v=""/>
    <n v="3.4533333333333345"/>
    <m/>
    <m/>
    <n v="4.9333333333333353"/>
    <n v="0.2960000000000001"/>
    <n v="1.1840000000000004"/>
    <m/>
    <m/>
    <m/>
    <n v="3.4533333333333345"/>
    <n v="9.8666666666666671"/>
    <m/>
    <m/>
    <n v="0.16947368421052647"/>
    <m/>
    <m/>
    <n v="0.19368421052631601"/>
    <n v="1.45263157894737E-2"/>
    <n v="8.23157894736843E-2"/>
    <m/>
    <n v="2.4210526315789502E-2"/>
    <m/>
    <n v="0.16947368421052647"/>
    <n v="0.48421052631578998"/>
  </r>
  <r>
    <x v="4"/>
    <x v="79"/>
    <s v="Fresh or Not Specified"/>
    <s v="Conventional - highbush"/>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82899999999999996"/>
    <s v=""/>
    <m/>
    <m/>
    <m/>
    <m/>
    <m/>
    <m/>
    <m/>
    <m/>
    <m/>
    <m/>
    <m/>
    <m/>
    <m/>
    <m/>
    <m/>
    <m/>
    <m/>
    <m/>
    <m/>
    <m/>
    <m/>
    <m/>
    <n v="0.82899999999999996"/>
    <m/>
  </r>
  <r>
    <x v="4"/>
    <x v="79"/>
    <s v="Fresh or Not Specified"/>
    <s v="Organic - highbush"/>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72299999999999998"/>
    <s v=""/>
    <m/>
    <m/>
    <m/>
    <m/>
    <m/>
    <m/>
    <m/>
    <m/>
    <m/>
    <m/>
    <m/>
    <m/>
    <m/>
    <m/>
    <m/>
    <m/>
    <m/>
    <m/>
    <m/>
    <m/>
    <m/>
    <m/>
    <n v="0.72299999999999998"/>
    <m/>
  </r>
  <r>
    <x v="4"/>
    <x v="66"/>
    <s v="Fresh or Not Specified"/>
    <s v="Conventional - Fuji"/>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188"/>
    <s v=""/>
    <m/>
    <m/>
    <m/>
    <m/>
    <m/>
    <m/>
    <m/>
    <m/>
    <m/>
    <m/>
    <m/>
    <m/>
    <m/>
    <m/>
    <m/>
    <m/>
    <m/>
    <m/>
    <m/>
    <m/>
    <m/>
    <m/>
    <n v="0.188"/>
    <m/>
  </r>
  <r>
    <x v="4"/>
    <x v="66"/>
    <s v="Fresh or Not Specified"/>
    <s v="Organic - McIntosh, Golden Delicious"/>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26700000000000002"/>
    <s v=""/>
    <m/>
    <m/>
    <m/>
    <m/>
    <m/>
    <m/>
    <m/>
    <m/>
    <m/>
    <m/>
    <m/>
    <m/>
    <m/>
    <m/>
    <m/>
    <m/>
    <m/>
    <m/>
    <m/>
    <m/>
    <m/>
    <m/>
    <n v="0.26700000000000002"/>
    <m/>
  </r>
  <r>
    <x v="4"/>
    <x v="66"/>
    <s v="Fresh or Not Specified"/>
    <s v="Conventional - Granny Smith"/>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108"/>
    <s v=""/>
    <m/>
    <m/>
    <m/>
    <m/>
    <m/>
    <m/>
    <m/>
    <m/>
    <m/>
    <m/>
    <m/>
    <m/>
    <m/>
    <m/>
    <m/>
    <m/>
    <m/>
    <m/>
    <m/>
    <m/>
    <m/>
    <m/>
    <n v="0.108"/>
    <m/>
  </r>
  <r>
    <x v="4"/>
    <x v="66"/>
    <s v="Fresh or Not Specified"/>
    <s v="Organic - Granny Smith, Golden delicious"/>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land use change assumed from conventional to organic hence increase in soil carbon"/>
    <s v="No"/>
    <s v="No"/>
    <s v="1 kg product"/>
    <m/>
    <s v=""/>
    <s v=""/>
    <n v="0.17599999999999999"/>
    <s v=""/>
    <m/>
    <m/>
    <m/>
    <m/>
    <m/>
    <m/>
    <m/>
    <m/>
    <m/>
    <m/>
    <m/>
    <m/>
    <m/>
    <m/>
    <m/>
    <m/>
    <m/>
    <m/>
    <m/>
    <m/>
    <m/>
    <m/>
    <n v="0.17599999999999999"/>
    <m/>
  </r>
  <r>
    <x v="4"/>
    <x v="53"/>
    <s v="Fresh or Not Specified"/>
    <s v="Conventional - Chardonnay"/>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s v="No"/>
    <s v="No"/>
    <s v="1 kg product"/>
    <m/>
    <s v=""/>
    <s v=""/>
    <n v="0.27200000000000002"/>
    <s v=""/>
    <m/>
    <m/>
    <m/>
    <m/>
    <m/>
    <m/>
    <m/>
    <m/>
    <m/>
    <m/>
    <m/>
    <m/>
    <m/>
    <m/>
    <m/>
    <m/>
    <m/>
    <m/>
    <m/>
    <m/>
    <m/>
    <m/>
    <n v="0.27200000000000002"/>
    <m/>
  </r>
  <r>
    <x v="4"/>
    <x v="53"/>
    <s v="Fresh or Not Specified"/>
    <s v="Organic - Chardonnay"/>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land use change assumed from conventional to organic hence increase in soil carbon"/>
    <s v="No"/>
    <s v="No"/>
    <s v="1 kg product"/>
    <m/>
    <s v=""/>
    <s v=""/>
    <n v="0.24399999999999999"/>
    <s v=""/>
    <m/>
    <m/>
    <m/>
    <m/>
    <m/>
    <m/>
    <m/>
    <m/>
    <m/>
    <m/>
    <m/>
    <m/>
    <m/>
    <m/>
    <m/>
    <m/>
    <m/>
    <m/>
    <m/>
    <m/>
    <m/>
    <m/>
    <n v="0.24399999999999999"/>
    <m/>
  </r>
  <r>
    <x v="4"/>
    <x v="53"/>
    <s v="Fresh or Not Specified"/>
    <s v="Convenetional - Cabarnet sauvignon"/>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s v="No"/>
    <s v="No"/>
    <s v="1 kg product"/>
    <m/>
    <s v=""/>
    <s v=""/>
    <n v="0.20499999999999999"/>
    <s v=""/>
    <m/>
    <m/>
    <m/>
    <m/>
    <m/>
    <m/>
    <m/>
    <m/>
    <m/>
    <m/>
    <m/>
    <m/>
    <m/>
    <m/>
    <m/>
    <m/>
    <m/>
    <m/>
    <m/>
    <m/>
    <m/>
    <m/>
    <n v="0.20499999999999999"/>
    <m/>
  </r>
  <r>
    <x v="4"/>
    <x v="53"/>
    <s v="Fresh or Not Specified"/>
    <s v="Organic - Cabarnet sauvignon"/>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land use change assumed from conventional to organic hence increase in soil carbon"/>
    <s v="No"/>
    <s v="No"/>
    <s v="1 kg product"/>
    <m/>
    <s v=""/>
    <s v=""/>
    <n v="0.17899999999999999"/>
    <s v=""/>
    <m/>
    <m/>
    <m/>
    <m/>
    <m/>
    <m/>
    <m/>
    <m/>
    <m/>
    <m/>
    <m/>
    <m/>
    <m/>
    <m/>
    <m/>
    <m/>
    <m/>
    <m/>
    <m/>
    <m/>
    <m/>
    <m/>
    <n v="0.17899999999999999"/>
    <m/>
  </r>
  <r>
    <x v="4"/>
    <x v="80"/>
    <s v="Fresh or Not Specified"/>
    <s v="Conventional - Thompson Seedless"/>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66700000000000004"/>
    <s v=""/>
    <m/>
    <m/>
    <m/>
    <m/>
    <m/>
    <m/>
    <m/>
    <m/>
    <m/>
    <m/>
    <m/>
    <m/>
    <m/>
    <m/>
    <m/>
    <m/>
    <m/>
    <m/>
    <m/>
    <m/>
    <m/>
    <m/>
    <n v="0.66700000000000004"/>
    <m/>
  </r>
  <r>
    <x v="4"/>
    <x v="80"/>
    <s v="Fresh or Not Specified"/>
    <s v="Organic - Thompson seedless"/>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7"/>
    <s v=""/>
    <m/>
    <m/>
    <m/>
    <m/>
    <m/>
    <m/>
    <m/>
    <m/>
    <m/>
    <m/>
    <m/>
    <m/>
    <m/>
    <m/>
    <m/>
    <m/>
    <m/>
    <m/>
    <m/>
    <m/>
    <m/>
    <m/>
    <n v="0.7"/>
    <m/>
  </r>
  <r>
    <x v="4"/>
    <x v="81"/>
    <s v="Fresh or Not Specified"/>
    <s v="Conventional"/>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33700000000000002"/>
    <s v=""/>
    <m/>
    <m/>
    <m/>
    <m/>
    <m/>
    <m/>
    <m/>
    <m/>
    <m/>
    <m/>
    <m/>
    <m/>
    <m/>
    <m/>
    <m/>
    <m/>
    <m/>
    <m/>
    <m/>
    <m/>
    <m/>
    <m/>
    <n v="0.33700000000000002"/>
    <m/>
  </r>
  <r>
    <x v="4"/>
    <x v="81"/>
    <s v="Fresh or Not Specified"/>
    <s v="Organic"/>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23400000000000001"/>
    <s v=""/>
    <m/>
    <m/>
    <m/>
    <m/>
    <m/>
    <m/>
    <m/>
    <m/>
    <m/>
    <m/>
    <m/>
    <m/>
    <m/>
    <m/>
    <m/>
    <m/>
    <m/>
    <m/>
    <m/>
    <m/>
    <m/>
    <m/>
    <n v="0.23400000000000001"/>
    <m/>
  </r>
  <r>
    <x v="11"/>
    <x v="82"/>
    <s v="Fresh or Not Specified"/>
    <s v="Conventional"/>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2.4790000000000001"/>
    <s v=""/>
    <m/>
    <m/>
    <m/>
    <m/>
    <m/>
    <m/>
    <m/>
    <m/>
    <m/>
    <m/>
    <m/>
    <m/>
    <m/>
    <m/>
    <m/>
    <m/>
    <m/>
    <m/>
    <m/>
    <m/>
    <m/>
    <m/>
    <n v="2.4790000000000001"/>
    <m/>
  </r>
  <r>
    <x v="11"/>
    <x v="82"/>
    <s v="Fresh or Not Specified"/>
    <s v="Organic"/>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3.7709999999999999"/>
    <s v=""/>
    <m/>
    <m/>
    <m/>
    <m/>
    <m/>
    <m/>
    <m/>
    <m/>
    <m/>
    <m/>
    <m/>
    <m/>
    <m/>
    <m/>
    <m/>
    <m/>
    <m/>
    <m/>
    <m/>
    <m/>
    <m/>
    <m/>
    <n v="3.7709999999999999"/>
    <m/>
  </r>
  <r>
    <x v="11"/>
    <x v="83"/>
    <s v="Fresh or Not Specified"/>
    <s v="Conventional - Chandler"/>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499"/>
    <s v=""/>
    <m/>
    <m/>
    <m/>
    <m/>
    <m/>
    <m/>
    <m/>
    <m/>
    <m/>
    <m/>
    <m/>
    <m/>
    <m/>
    <m/>
    <m/>
    <m/>
    <m/>
    <m/>
    <m/>
    <m/>
    <m/>
    <m/>
    <n v="0.499"/>
    <m/>
  </r>
  <r>
    <x v="11"/>
    <x v="83"/>
    <s v="Fresh or Not Specified"/>
    <s v="Organic - Terminal bearing"/>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2.9420000000000002"/>
    <s v=""/>
    <m/>
    <m/>
    <m/>
    <m/>
    <m/>
    <m/>
    <m/>
    <m/>
    <m/>
    <m/>
    <m/>
    <m/>
    <m/>
    <m/>
    <m/>
    <m/>
    <m/>
    <m/>
    <m/>
    <m/>
    <m/>
    <m/>
    <n v="2.9420000000000002"/>
    <m/>
  </r>
  <r>
    <x v="3"/>
    <x v="75"/>
    <s v="Fresh or Not Specified"/>
    <s v="Conventional"/>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35299999999999998"/>
    <s v=""/>
    <m/>
    <m/>
    <m/>
    <m/>
    <m/>
    <m/>
    <m/>
    <m/>
    <m/>
    <m/>
    <m/>
    <m/>
    <m/>
    <m/>
    <m/>
    <m/>
    <m/>
    <m/>
    <m/>
    <m/>
    <m/>
    <m/>
    <n v="0.35299999999999998"/>
    <m/>
  </r>
  <r>
    <x v="3"/>
    <x v="75"/>
    <s v="Fresh or Not Specified"/>
    <s v="Organic"/>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40899999999999997"/>
    <s v=""/>
    <m/>
    <m/>
    <m/>
    <m/>
    <m/>
    <m/>
    <m/>
    <m/>
    <m/>
    <m/>
    <m/>
    <m/>
    <m/>
    <m/>
    <m/>
    <m/>
    <m/>
    <m/>
    <m/>
    <m/>
    <m/>
    <m/>
    <n v="0.40899999999999997"/>
    <m/>
  </r>
  <r>
    <x v="3"/>
    <x v="57"/>
    <s v="Fresh or Not Specified"/>
    <s v="Conventional - Iceberg"/>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No"/>
    <s v="No"/>
    <s v="No"/>
    <s v="No"/>
    <s v="No"/>
    <s v="No"/>
    <s v="No"/>
    <s v="No"/>
    <s v="No"/>
    <s v="No"/>
    <s v="No"/>
    <m/>
    <s v="Until Farm gate"/>
    <s v="No"/>
    <s v="No"/>
    <s v="1 kg product"/>
    <m/>
    <s v=""/>
    <s v=""/>
    <n v="0.192"/>
    <s v=""/>
    <m/>
    <m/>
    <m/>
    <m/>
    <m/>
    <m/>
    <m/>
    <m/>
    <m/>
    <m/>
    <m/>
    <m/>
    <m/>
    <m/>
    <m/>
    <m/>
    <m/>
    <m/>
    <m/>
    <m/>
    <m/>
    <m/>
    <n v="0.192"/>
    <m/>
  </r>
  <r>
    <x v="3"/>
    <x v="57"/>
    <s v="Fresh or Not Specified"/>
    <s v="Organic - Leaf"/>
    <s v="Yes"/>
    <s v="USA"/>
    <n v="2012"/>
    <s v="Kumar Venkat;"/>
    <s v="CleanMetrics Corp, Portland, USA"/>
    <s v="Peer Reviewed Journal"/>
    <s v="Venkat, K., Comparison of Twelve Organic and Conventional Farming Systems: A Life Cycle Greenhouse Gas Emissions Perspective. Journal of Sustainable Agriculture 2012, 36 (6), 620-649."/>
    <s v="Yes"/>
    <s v="Yes"/>
    <s v="No"/>
    <s v="No"/>
    <s v="No"/>
    <s v="No"/>
    <s v="No"/>
    <s v="No"/>
    <s v="No"/>
    <s v="No"/>
    <s v="No"/>
    <s v="No"/>
    <m/>
    <s v="Until Farm gate, land use change assumed from conventional to organic hence increase in soil carbon"/>
    <s v="No"/>
    <s v="No"/>
    <s v="1 kg product"/>
    <m/>
    <s v=""/>
    <s v=""/>
    <n v="0.26800000000000002"/>
    <s v=""/>
    <m/>
    <m/>
    <m/>
    <m/>
    <m/>
    <m/>
    <m/>
    <m/>
    <m/>
    <m/>
    <m/>
    <m/>
    <m/>
    <m/>
    <m/>
    <m/>
    <m/>
    <m/>
    <m/>
    <m/>
    <m/>
    <m/>
    <n v="0.26800000000000002"/>
    <m/>
  </r>
  <r>
    <x v="4"/>
    <x v="43"/>
    <s v="Fresh or Not Specified"/>
    <s v="Pineapple"/>
    <s v="No"/>
    <s v="Costa Rica"/>
    <n v="2012"/>
    <s v="Wesley W. Ingwersen;"/>
    <s v="US Environmental Protection Agency, National Risk Management Research Laboratory, Sustainable Technology Division;"/>
    <s v="Peer Reviewed Journal"/>
    <s v="Ingwersen, W. W., Life cycle assessment of fresh pineapple from Costa Rica. Journal of Cleaner Production 2012, 35, 152-163."/>
    <s v="Yes"/>
    <s v="Yes"/>
    <s v="Yes"/>
    <s v="Yes"/>
    <s v="Yes"/>
    <s v="Yes"/>
    <s v="Yes"/>
    <s v="No"/>
    <s v="No"/>
    <s v="No"/>
    <s v="No"/>
    <s v="No"/>
    <m/>
    <s v="Cradle to shelf"/>
    <s v="No"/>
    <s v="Yes"/>
    <s v="1 serving of fruit"/>
    <s v="reported value/0.165 (1 serving pineapple = 165 g)"/>
    <n v="2.8666666666666667"/>
    <s v=""/>
    <n v="0.32727272727272722"/>
    <s v=""/>
    <n v="2.8666666666666667"/>
    <m/>
    <m/>
    <n v="1.9393939392999999"/>
    <n v="1.2121212100000001"/>
    <m/>
    <m/>
    <m/>
    <m/>
    <n v="2.8666666666666667"/>
    <n v="6.0606060606060606"/>
    <m/>
    <m/>
    <n v="0.32727272727272722"/>
    <m/>
    <m/>
    <n v="0.13636363000000001"/>
    <n v="8.1818181000000004E-2"/>
    <m/>
    <m/>
    <m/>
    <m/>
    <n v="0.32727272727272722"/>
    <n v="0.54545454545454541"/>
  </r>
  <r>
    <x v="3"/>
    <x v="84"/>
    <s v="Fresh or Not Specified"/>
    <s v="asparagus"/>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
    <m/>
    <s v=""/>
    <s v=""/>
    <s v=""/>
    <s v=""/>
    <m/>
    <m/>
    <m/>
    <m/>
    <m/>
    <m/>
    <m/>
    <m/>
    <m/>
    <m/>
    <m/>
    <m/>
    <m/>
    <m/>
    <m/>
    <m/>
    <m/>
    <m/>
    <m/>
    <m/>
    <m/>
    <m/>
    <m/>
    <n v="8.8699999999999992"/>
  </r>
  <r>
    <x v="3"/>
    <x v="57"/>
    <s v="Fresh or Not Specified"/>
    <s v="lettuce"/>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
    <m/>
    <s v=""/>
    <s v=""/>
    <s v=""/>
    <s v=""/>
    <m/>
    <m/>
    <m/>
    <m/>
    <m/>
    <m/>
    <m/>
    <m/>
    <m/>
    <m/>
    <m/>
    <m/>
    <m/>
    <m/>
    <m/>
    <m/>
    <m/>
    <m/>
    <m/>
    <m/>
    <m/>
    <m/>
    <m/>
    <n v="3.24"/>
  </r>
  <r>
    <x v="4"/>
    <x v="20"/>
    <s v="Fresh or Not Specified"/>
    <s v="banana"/>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5"/>
  </r>
  <r>
    <x v="3"/>
    <x v="19"/>
    <s v="Fresh or Not Specified"/>
    <s v="tomato"/>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69"/>
  </r>
  <r>
    <x v="4"/>
    <x v="85"/>
    <s v="Fresh or Not Specified"/>
    <s v="pear"/>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8999999999999998"/>
  </r>
  <r>
    <x v="4"/>
    <x v="69"/>
    <s v="Fresh or Not Specified"/>
    <s v="Citrus Fruits"/>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31"/>
  </r>
  <r>
    <x v="3"/>
    <x v="86"/>
    <s v="Fresh or Not Specified"/>
    <s v="cucumber"/>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n v="1.25"/>
    <s v=""/>
    <m/>
    <m/>
    <m/>
    <m/>
    <m/>
    <m/>
    <m/>
    <m/>
    <m/>
    <m/>
    <m/>
    <m/>
    <m/>
    <m/>
    <m/>
    <m/>
    <m/>
    <m/>
    <m/>
    <m/>
    <m/>
    <m/>
    <n v="1.25"/>
    <m/>
  </r>
  <r>
    <x v="4"/>
    <x v="66"/>
    <s v="Fresh or Not Specified"/>
    <s v="apple"/>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7"/>
  </r>
  <r>
    <x v="3"/>
    <x v="19"/>
    <s v="Fresh or Not Specified"/>
    <s v="vine tomato"/>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67"/>
  </r>
  <r>
    <x v="4"/>
    <x v="87"/>
    <s v="Fresh or Not Specified"/>
    <s v="grapes"/>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8999999999999998"/>
  </r>
  <r>
    <x v="3"/>
    <x v="88"/>
    <s v="Fresh or Not Specified"/>
    <s v="bell pepper"/>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88"/>
  </r>
  <r>
    <x v="3"/>
    <x v="44"/>
    <s v="Fresh or Not Specified"/>
    <s v="potato"/>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16"/>
  </r>
  <r>
    <x v="4"/>
    <x v="89"/>
    <s v="Fresh or Not Specified"/>
    <s v="avocado"/>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1.27"/>
  </r>
  <r>
    <x v="4"/>
    <x v="90"/>
    <s v="Fresh or Not Specified"/>
    <s v="melon"/>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7"/>
  </r>
  <r>
    <x v="4"/>
    <x v="91"/>
    <s v="Fresh or Not Specified"/>
    <s v="kiwi"/>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6"/>
  </r>
  <r>
    <x v="4"/>
    <x v="81"/>
    <s v="Fresh or Not Specified"/>
    <s v="strawberry"/>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28000000000000003"/>
  </r>
  <r>
    <x v="3"/>
    <x v="92"/>
    <s v="Fresh or Not Specified"/>
    <s v="leek"/>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r>
  <r>
    <x v="3"/>
    <x v="93"/>
    <s v="Fresh or Not Specified"/>
    <s v="onion"/>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r>
  <r>
    <x v="3"/>
    <x v="94"/>
    <s v="Fresh or Not Specified"/>
    <s v="carrot"/>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r>
  <r>
    <x v="3"/>
    <x v="95"/>
    <s v="Fresh or Not Specified"/>
    <s v="cauliflower"/>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39"/>
  </r>
  <r>
    <x v="4"/>
    <x v="43"/>
    <s v="Fresh or Not Specified"/>
    <s v="pineapple"/>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34"/>
  </r>
  <r>
    <x v="3"/>
    <x v="96"/>
    <s v="Fresh or Not Specified"/>
    <s v="fennel"/>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r>
  <r>
    <x v="3"/>
    <x v="75"/>
    <s v="Fresh or Not Specified"/>
    <s v="broccoli"/>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3"/>
  </r>
  <r>
    <x v="3"/>
    <x v="97"/>
    <s v="Fresh or Not Specified"/>
    <s v="eggplant"/>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1.3"/>
  </r>
  <r>
    <x v="3"/>
    <x v="98"/>
    <s v="Fresh or Not Specified"/>
    <s v="fennel, cauliflower, broccoli"/>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48"/>
  </r>
  <r>
    <x v="3"/>
    <x v="99"/>
    <s v="Fresh or Not Specified"/>
    <s v="zucchini"/>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3"/>
  </r>
  <r>
    <x v="3"/>
    <x v="100"/>
    <s v="Fresh or Not Specified"/>
    <s v="spinach"/>
    <s v="No"/>
    <s v="Switzerland"/>
    <n v="2012"/>
    <s v="Franziska Stoessel (a); Ronnie Juraske (a); Stephan Pfister (a); Stefanie Hellweg (a);"/>
    <s v="(a) Institute of Environmental Engineering, ETH Zurich, CH-8093 Zürich"/>
    <s v="Peer Reviewed Journal"/>
    <s v="Stoessel, F., Juraske, R., Pfister, S. and Hellweg, S., Life cycle inventory and carbon and water foodprint of fruits and vegetables: Application to a swiss retailer. Environmental Science and Technology 2012, 46 (6), 3253-3262."/>
    <s v="Yes"/>
    <s v="No"/>
    <s v="Yes"/>
    <s v="Yes"/>
    <s v="Yes"/>
    <s v="Yes"/>
    <s v="No"/>
    <s v="No"/>
    <s v="No"/>
    <s v="No"/>
    <s v="No"/>
    <s v="No"/>
    <m/>
    <s v="Until point of sale. Machinery on farm considered but only fuel use - not manufacture/buildings"/>
    <s v="No"/>
    <s v="No"/>
    <s v="1 kg of product"/>
    <m/>
    <s v=""/>
    <s v=""/>
    <s v=""/>
    <s v=""/>
    <m/>
    <m/>
    <m/>
    <m/>
    <m/>
    <m/>
    <m/>
    <m/>
    <m/>
    <m/>
    <m/>
    <m/>
    <m/>
    <m/>
    <m/>
    <m/>
    <m/>
    <m/>
    <m/>
    <m/>
    <m/>
    <m/>
    <m/>
    <n v="0.13"/>
  </r>
  <r>
    <x v="1"/>
    <x v="23"/>
    <s v="Fresh or Not Specified"/>
    <s v="scan level, average US"/>
    <s v="Yes"/>
    <s v="US"/>
    <n v="2011"/>
    <s v="Thoma, Greg; Nutter, Darin; Ulrich, Rick; Maxwell, Charles; Frank, Jason; East, Cashion"/>
    <s v="University of Arkansas"/>
    <s v="Industry Based Report"/>
    <s v="Thoma, G., Martin, R. E., Nutter, D., Ulrich, R., Maxwell, C., Frank, J. and East, C., National Life Cycle Carbon Footprint Study for Production of US Swine. National Pork Board; 2011."/>
    <s v="Yes"/>
    <s v="No"/>
    <s v="Yes"/>
    <s v="Yes"/>
    <s v="Yes"/>
    <s v="Yes"/>
    <s v="Yes"/>
    <s v="Yes"/>
    <s v="Yes"/>
    <s v="Yes"/>
    <s v="No"/>
    <s v="No"/>
    <m/>
    <s v="cradle to grave, although farm gate reported explicitly"/>
    <s v="Yes"/>
    <s v="Yes"/>
    <s v="4 oz boneless serving"/>
    <s v="4 oz = 0.113 kg"/>
    <s v=""/>
    <s v=""/>
    <n v="6.2640707964601781"/>
    <n v="6.8240707964601786"/>
    <m/>
    <m/>
    <m/>
    <m/>
    <m/>
    <m/>
    <m/>
    <m/>
    <m/>
    <m/>
    <m/>
    <m/>
    <m/>
    <n v="6.2640707964601781"/>
    <m/>
    <n v="0.56000000000000005"/>
    <n v="0.13182300884955753"/>
    <m/>
    <n v="0.71957522123893813"/>
    <n v="2.2499115044247793"/>
    <m/>
    <m/>
    <n v="6.2640707964601781"/>
    <n v="9.9115044247787623"/>
  </r>
  <r>
    <x v="1"/>
    <x v="23"/>
    <s v="Fresh or Not Specified"/>
    <s v="Northern Germany, 2010/2011"/>
    <s v="No"/>
    <s v="Germany"/>
    <n v="2013"/>
    <s v="K, Reckmann; I. Traulsen; J. Krieter"/>
    <s v="Institute of Animal Breeding and Husbandry, Christian-Albrechts-University, Olshausenstraße 40, D-24098 Kiel, Germany"/>
    <s v="Peer Reviewed Journal"/>
    <s v="Reckmann, K., Traulsen, I. and Krieter, J., Life Cycle Assessment of pork production: A data inventory for the case of Germany. Livestock Science 2013, 157 (2-3), 586-596."/>
    <s v="Yes"/>
    <s v="No"/>
    <s v="Yes"/>
    <s v="Yes"/>
    <s v="No"/>
    <s v="No"/>
    <s v="No"/>
    <s v="No"/>
    <s v="No"/>
    <s v="No"/>
    <s v="No"/>
    <s v="No"/>
    <m/>
    <m/>
    <s v="No"/>
    <m/>
    <s v="1 kg slaughter weight pork"/>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23.319615912208505"/>
    <n v="26.748970912208506"/>
    <n v="4.1289437585733877"/>
    <n v="4.4170097585733874"/>
    <n v="23.319615912208505"/>
    <m/>
    <n v="3.4293550000000002"/>
    <m/>
    <m/>
    <m/>
    <m/>
    <m/>
    <m/>
    <n v="23.319615912208505"/>
    <n v="26.748971193415638"/>
    <m/>
    <m/>
    <n v="4.1289437585733877"/>
    <m/>
    <n v="0.28806599999999999"/>
    <m/>
    <m/>
    <m/>
    <m/>
    <m/>
    <m/>
    <n v="4.1289437585733877"/>
    <n v="4.4170096021947876"/>
  </r>
  <r>
    <x v="1"/>
    <x v="23"/>
    <s v="Fresh or Not Specified"/>
    <s v="Flanders"/>
    <m/>
    <s v="Belgium"/>
    <n v="2016"/>
    <s v="Graham A. McAuliffe a,b,⁎, Deborah V. Chapman b, Colin L. Sage a"/>
    <s v="a Department of Geography, University College Cork, O'Donovan's Road, Cork, Ireland; b School of Biological, Earth and Environmental Sciences, University College Cork, Distillery Fields, North Mall, Cork, Ireland"/>
    <s v="Peer Reviewed Journal"/>
    <s v="Mcauliffe, G. A., Chapman, D. V. and Sage, C. L., A thematic review of life cycle assessment (LCA) applied to pig production. Environmental Impact Assessment Review 2016, 56, 12-22."/>
    <s v="Yes"/>
    <m/>
    <s v="Yes"/>
    <s v="Yes"/>
    <m/>
    <m/>
    <m/>
    <m/>
    <m/>
    <m/>
    <m/>
    <m/>
    <m/>
    <m/>
    <m/>
    <m/>
    <s v="1 kg deboned pig meat"/>
    <m/>
    <s v=""/>
    <s v=""/>
    <s v=""/>
    <s v=""/>
    <m/>
    <m/>
    <m/>
    <m/>
    <m/>
    <m/>
    <m/>
    <m/>
    <m/>
    <m/>
    <m/>
    <m/>
    <m/>
    <m/>
    <m/>
    <m/>
    <m/>
    <m/>
    <m/>
    <m/>
    <m/>
    <m/>
    <m/>
    <n v="4.8"/>
  </r>
  <r>
    <x v="1"/>
    <x v="23"/>
    <s v="Fresh or Not Specified"/>
    <m/>
    <m/>
    <s v="Belgium"/>
    <n v="2016"/>
    <s v="Graham A. McAuliffe a,b,⁎, Deborah V. Chapman b, Colin L. Sage a"/>
    <s v="a Department of Geography, University College Cork, O'Donovan's Road, Cork, Ireland; b School of Biological, Earth and Environmental Sciences, University College Cork, Distillery Fields, North Mall, Cork, Ireland"/>
    <s v="Peer Reviewed Journal"/>
    <s v="Mcauliffe, G. A., Chapman, D. V. and Sage, C. L., A thematic review of life cycle assessment (LCA) applied to pig production. Environmental Impact Assessment Review 2016, 56, 12-22."/>
    <m/>
    <m/>
    <m/>
    <m/>
    <m/>
    <m/>
    <m/>
    <m/>
    <m/>
    <m/>
    <m/>
    <m/>
    <m/>
    <s v="crop production to delivery of pork to Antwerp in Belgium"/>
    <m/>
    <m/>
    <s v="1 kg carcass weight pig mea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m/>
    <m/>
    <m/>
    <m/>
    <m/>
    <m/>
    <m/>
    <m/>
    <m/>
    <m/>
    <m/>
    <m/>
    <m/>
    <n v="3.4979423868312756"/>
  </r>
  <r>
    <x v="1"/>
    <x v="23"/>
    <s v="Fresh or Not Specified"/>
    <s v="organic; indoor fattening"/>
    <s v="Yes"/>
    <s v="Denmark"/>
    <n v="2010"/>
    <s v="Niels Halberg1*, John E. Hermansen2, Ib Sillebak Kristensen2, Jørgen Eriksen2, Niels Tvedegaard3,Bjørn Molt Petersen2"/>
    <s v="1 International Centre for Research in Organic Food Systems, PO Box 50, 8830 Tjele, Denmark; 2 Faculty of Agricultural Sciences, University of Aarhus, Department of Agroecology &amp; Environment, PO Box 50, 8830 Tjele, Denmark;3 Institute of Food and Resource Economics, Rolighedsvej 25, 1958 Frederiksberg C, Denmark"/>
    <s v="Peer Reviewed Journal"/>
    <s v="Halberg, N., Hermansen, J. E., Kristensen, I. S., Eriksen, J., Tvedegaard, N. and Petersen, B. M., Impact of organic pig production systems on CO2 emission, C sequestration and nitrate pollution. Agronomy for Sustainable Development 2010, 30 (4), 721-731."/>
    <s v="Yes"/>
    <s v="No"/>
    <s v="No"/>
    <s v="No"/>
    <s v="No"/>
    <s v="No"/>
    <s v="No"/>
    <s v="No"/>
    <s v="No"/>
    <s v="No"/>
    <s v="No"/>
    <s v="No"/>
    <m/>
    <s v="pig production only"/>
    <s v="No"/>
    <s v="Yes"/>
    <s v="kg live weight"/>
    <s v="dressing yield=72.4%, boneless = 0.729*carcass  from Weights, Measures, and Conversion Factors for Agricultural Commodities and Their Products."/>
    <s v=""/>
    <s v=""/>
    <n v="5.5324405641573637"/>
    <s v=""/>
    <m/>
    <m/>
    <m/>
    <m/>
    <m/>
    <m/>
    <m/>
    <m/>
    <m/>
    <m/>
    <m/>
    <m/>
    <m/>
    <m/>
    <m/>
    <m/>
    <m/>
    <m/>
    <m/>
    <m/>
    <m/>
    <m/>
    <n v="5.5324405641573637"/>
    <m/>
  </r>
  <r>
    <x v="1"/>
    <x v="23"/>
    <s v="Fresh or Not Specified"/>
    <s v="organic; free range"/>
    <s v="Yes"/>
    <s v="Denmark"/>
    <n v="2010"/>
    <s v="Niels Halberg1*, John E. Hermansen2, Ib Sillebak Kristensen2, Jørgen Eriksen2, Niels Tvedegaard3,Bjørn Molt Petersen2"/>
    <s v="1 International Centre for Research in Organic Food Systems, PO Box 50, 8830 Tjele, Denmark; 2 Faculty of Agricultural Sciences, University of Aarhus, Department of Agroecology &amp; Environment, PO Box 50, 8830 Tjele, Denmark;3 Institute of Food and Resource Economics, Rolighedsvej 25, 1958 Frederiksberg C, Denmark"/>
    <s v="Peer Reviewed Journal"/>
    <s v="Halberg, N., Hermansen, J. E., Kristensen, I. S., Eriksen, J., Tvedegaard, N. and Petersen, B. M., Impact of organic pig production systems on CO2 emission, C sequestration and nitrate pollution. Agronomy for Sustainable Development 2010, 30 (4), 721-731."/>
    <s v="Yes"/>
    <s v="No"/>
    <s v="No"/>
    <s v="No"/>
    <s v="No"/>
    <s v="No"/>
    <s v="No"/>
    <s v="No"/>
    <s v="No"/>
    <s v="No"/>
    <s v="No"/>
    <s v="No"/>
    <m/>
    <s v="pig production only"/>
    <s v="No"/>
    <s v="Yes"/>
    <s v="kg live weight"/>
    <s v="dressing yield=72.4%, boneless = 0.729*carcass  from Weights, Measures, and Conversion Factors for Agricultural Commodities and Their Products."/>
    <s v=""/>
    <s v=""/>
    <n v="6.2903091345898794"/>
    <s v=""/>
    <m/>
    <m/>
    <m/>
    <m/>
    <m/>
    <m/>
    <m/>
    <m/>
    <m/>
    <m/>
    <m/>
    <m/>
    <m/>
    <m/>
    <m/>
    <m/>
    <m/>
    <m/>
    <m/>
    <m/>
    <m/>
    <m/>
    <n v="6.2903091345898794"/>
    <m/>
  </r>
  <r>
    <x v="1"/>
    <x v="23"/>
    <s v="Fresh or Not Specified"/>
    <s v="organic; tent system"/>
    <s v="Yes"/>
    <s v="Denmark"/>
    <n v="2010"/>
    <s v="Niels Halberg1*, John E. Hermansen2, Ib Sillebak Kristensen2, Jørgen Eriksen2, Niels Tvedegaard3,Bjørn Molt Petersen2"/>
    <s v="1 International Centre for Research in Organic Food Systems, PO Box 50, 8830 Tjele, Denmark; 2 Faculty of Agricultural Sciences, University of Aarhus, Department of Agroecology &amp; Environment, PO Box 50, 8830 Tjele, Denmark;3 Institute of Food and Resource Economics, Rolighedsvej 25, 1958 Frederiksberg C, Denmark"/>
    <s v="Peer Reviewed Journal"/>
    <s v="Halberg, N., Hermansen, J. E., Kristensen, I. S., Eriksen, J., Tvedegaard, N. and Petersen, B. M., Impact of organic pig production systems on CO2 emission, C sequestration and nitrate pollution. Agronomy for Sustainable Development 2010, 30 (4), 721-731."/>
    <s v="Yes"/>
    <s v="No"/>
    <s v="No"/>
    <s v="No"/>
    <s v="No"/>
    <s v="No"/>
    <s v="No"/>
    <s v="No"/>
    <s v="No"/>
    <s v="No"/>
    <s v="No"/>
    <s v="No"/>
    <m/>
    <s v="pig production only"/>
    <s v="No"/>
    <s v="Yes"/>
    <s v="kg live weight"/>
    <s v="dressing yield=72.4%, boneless = 0.729*carcass  from Weights, Measures, and Conversion Factors for Agricultural Commodities and Their Products."/>
    <s v=""/>
    <s v=""/>
    <n v="5.3619201358100481"/>
    <s v=""/>
    <m/>
    <m/>
    <m/>
    <m/>
    <m/>
    <m/>
    <m/>
    <m/>
    <m/>
    <m/>
    <m/>
    <m/>
    <m/>
    <m/>
    <m/>
    <m/>
    <m/>
    <m/>
    <m/>
    <m/>
    <m/>
    <m/>
    <n v="5.3619201358100481"/>
    <m/>
  </r>
  <r>
    <x v="1"/>
    <x v="23"/>
    <s v="Fresh or Not Specified"/>
    <s v="commodity production, high profitability"/>
    <s v="Yes"/>
    <s v="Upper Midwest US"/>
    <n v="2010"/>
    <s v="N. Pelletier, P. Lammers, D. Stender, R. Pirog"/>
    <s v="a School for Resource and Environmental Studies, Dalhousie University, Canada; b Department of Animal Science, Iowa State University, United States; c Iowa State University Extension, United States; d Leopold Center for Sustainable Agriculture, Iowa State University, United States"/>
    <s v="Peer Reviewed Journal"/>
    <s v="Pelletier, N., Lammers, P., Stender, D. and Pirog, R., Life cycle assessment of high- and low-profitability commodity and deep-bedded niche swine production systems in the Upper Midwestern United States. Agricultural Systems 2010, 103 (9), 599-608."/>
    <s v="Yes"/>
    <s v="No"/>
    <s v="No"/>
    <s v="No"/>
    <s v="No"/>
    <s v="No"/>
    <s v="No"/>
    <s v="No"/>
    <s v="No"/>
    <s v="No"/>
    <s v="No"/>
    <s v="No"/>
    <m/>
    <s v="cradle to farm gate"/>
    <s v="No"/>
    <s v="No"/>
    <s v="kg live weight"/>
    <s v="dressing yield=72.4%, boneless = 0.729*carcass  from Weights, Measures, and Conversion Factors for Agricultural Commodities and Their Products."/>
    <n v="18.378312832988502"/>
    <s v=""/>
    <n v="4.6798384224207838"/>
    <s v=""/>
    <m/>
    <m/>
    <m/>
    <m/>
    <m/>
    <m/>
    <m/>
    <m/>
    <m/>
    <n v="18.378312832988502"/>
    <m/>
    <m/>
    <m/>
    <m/>
    <m/>
    <m/>
    <m/>
    <m/>
    <m/>
    <m/>
    <m/>
    <m/>
    <n v="4.6798384224207838"/>
    <m/>
  </r>
  <r>
    <x v="1"/>
    <x v="23"/>
    <s v="Fresh or Not Specified"/>
    <s v="commodity production, low profitability"/>
    <s v="Yes"/>
    <s v="Upper Midwest US"/>
    <n v="2010"/>
    <s v="N. Pelletier, P. Lammers, D. Stender, R. Pirog"/>
    <s v="a School for Resource and Environmental Studies, Dalhousie University, Canada; b Department of Animal Science, Iowa State University, United States; c Iowa State University Extension, United States; d Leopold Center for Sustainable Agriculture, Iowa State University, United States"/>
    <s v="Peer Reviewed Journal"/>
    <s v="Pelletier, N., Lammers, P., Stender, D. and Pirog, R., Life cycle assessment of high- and low-profitability commodity and deep-bedded niche swine production systems in the Upper Midwestern United States. Agricultural Systems 2010, 103 (9), 599-608."/>
    <s v="Yes"/>
    <s v="No"/>
    <s v="No"/>
    <s v="No"/>
    <s v="No"/>
    <s v="No"/>
    <s v="No"/>
    <s v="No"/>
    <s v="No"/>
    <s v="No"/>
    <s v="No"/>
    <s v="No"/>
    <m/>
    <s v="cradle to farm gate"/>
    <s v="No"/>
    <s v="No"/>
    <s v="kg live weight"/>
    <s v="dressing yield=72.4%, boneless = 0.729*carcass  from Weights, Measures, and Conversion Factors for Agricultural Commodities and Their Products."/>
    <n v="22.546589970367343"/>
    <s v=""/>
    <n v="5.7787478495479316"/>
    <s v=""/>
    <m/>
    <m/>
    <m/>
    <m/>
    <m/>
    <m/>
    <m/>
    <m/>
    <m/>
    <n v="22.546589970367343"/>
    <m/>
    <m/>
    <m/>
    <m/>
    <m/>
    <m/>
    <m/>
    <m/>
    <m/>
    <m/>
    <m/>
    <m/>
    <n v="5.7787478495479316"/>
    <m/>
  </r>
  <r>
    <x v="1"/>
    <x v="23"/>
    <s v="Fresh or Not Specified"/>
    <s v="deep bedded niche production, high profitability"/>
    <s v="Yes"/>
    <s v="Upper Midwest US"/>
    <n v="2010"/>
    <s v="N. Pelletier, P. Lammers, D. Stender, R. Pirog"/>
    <s v="a School for Resource and Environmental Studies, Dalhousie University, Canada; b Department of Animal Science, Iowa State University, United States; c Iowa State University Extension, United States; d Leopold Center for Sustainable Agriculture, Iowa State University, United States"/>
    <s v="Peer Reviewed Journal"/>
    <s v="Pelletier, N., Lammers, P., Stender, D. and Pirog, R., Life cycle assessment of high- and low-profitability commodity and deep-bedded niche swine production systems in the Upper Midwestern United States. Agricultural Systems 2010, 103 (9), 599-608."/>
    <s v="Yes"/>
    <s v="No"/>
    <s v="No"/>
    <s v="No"/>
    <s v="No"/>
    <s v="No"/>
    <s v="No"/>
    <s v="No"/>
    <s v="No"/>
    <s v="No"/>
    <s v="No"/>
    <s v="No"/>
    <m/>
    <s v="cradle to farm gate"/>
    <s v="No"/>
    <s v="No"/>
    <s v="kg live weight"/>
    <s v="dressing yield=72.4%, boneless = 0.729*carcass  from Weights, Measures, and Conversion Factors for Agricultural Commodities and Their Products."/>
    <n v="21.599254257326695"/>
    <s v=""/>
    <n v="4.774571993724849"/>
    <s v=""/>
    <m/>
    <m/>
    <m/>
    <m/>
    <m/>
    <m/>
    <m/>
    <m/>
    <m/>
    <n v="21.599254257326695"/>
    <m/>
    <m/>
    <m/>
    <m/>
    <m/>
    <m/>
    <m/>
    <m/>
    <m/>
    <m/>
    <m/>
    <m/>
    <n v="4.774571993724849"/>
    <m/>
  </r>
  <r>
    <x v="1"/>
    <x v="23"/>
    <s v="Fresh or Not Specified"/>
    <s v="deep bedded niche production, low profitability"/>
    <s v="Yes"/>
    <s v="Upper Midwest US"/>
    <n v="2010"/>
    <s v="N. Pelletier, P. Lammers, D. Stender, R. Pirog"/>
    <s v="a School for Resource and Environmental Studies, Dalhousie University, Canada; b Department of Animal Science, Iowa State University, United States; c Iowa State University Extension, United States; d Leopold Center for Sustainable Agriculture, Iowa State University, United States"/>
    <s v="Peer Reviewed Journal"/>
    <s v="Pelletier, N., Lammers, P., Stender, D. and Pirog, R., Life cycle assessment of high- and low-profitability commodity and deep-bedded niche swine production systems in the Upper Midwestern United States. Agricultural Systems 2010, 103 (9), 599-608."/>
    <s v="Yes"/>
    <s v="No"/>
    <s v="No"/>
    <s v="No"/>
    <s v="No"/>
    <s v="No"/>
    <s v="No"/>
    <s v="No"/>
    <s v="No"/>
    <s v="No"/>
    <s v="No"/>
    <s v="No"/>
    <m/>
    <s v="cradle to farm gate"/>
    <s v="No"/>
    <s v="No"/>
    <s v="kg live weight"/>
    <s v="dressing yield=72.4%, boneless = 0.729*carcass  from Weights, Measures, and Conversion Factors for Agricultural Commodities and Their Products."/>
    <n v="27.283268535570564"/>
    <s v=""/>
    <n v="6.3092558488506931"/>
    <s v=""/>
    <m/>
    <m/>
    <m/>
    <m/>
    <m/>
    <m/>
    <m/>
    <m/>
    <m/>
    <n v="27.283268535570564"/>
    <m/>
    <m/>
    <m/>
    <m/>
    <m/>
    <m/>
    <m/>
    <m/>
    <m/>
    <m/>
    <m/>
    <m/>
    <n v="6.3092558488506931"/>
    <m/>
  </r>
  <r>
    <x v="1"/>
    <x v="23"/>
    <s v="Fresh or Not Specified"/>
    <s v="southern Australia (deep litter housing)"/>
    <s v="Yes"/>
    <s v="Austalia"/>
    <n v="2010"/>
    <s v="Stephen Wiedemann, Eugene McGahan, Shelly Grist and Tim Grant"/>
    <s v="Australian Government Rural Industries Research and Development Corp."/>
    <s v="Government Report"/>
    <s v="Wiedemann, S., Mcgahan, E., Grist, S. and Grant, T., Environmental Assessment of Two Pork Supply Chains Using Life Cycle Assessment. Rural Industries Research and Development Corporation of the Australian Government; 2010. Report No.: RIRDC Pub. No. 09/176."/>
    <s v="Yes"/>
    <s v="No"/>
    <s v="Yes"/>
    <s v="Yes"/>
    <s v="No"/>
    <s v="No"/>
    <s v="No"/>
    <s v="No"/>
    <s v="No"/>
    <s v="No"/>
    <s v="No"/>
    <s v="No"/>
    <m/>
    <s v="cradle to slaughterhouse gate"/>
    <s v="No"/>
    <s v="Yes"/>
    <s v="kg hot standard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24.554183813443071"/>
    <n v="35.880089163237308"/>
    <n v="3.614540466392318"/>
    <n v="4.252400548696845"/>
    <n v="24.554183813443071"/>
    <n v="7.5750000000000002"/>
    <n v="3.7509053497942384"/>
    <m/>
    <m/>
    <m/>
    <m/>
    <m/>
    <m/>
    <n v="24.554183813443071"/>
    <n v="27.846364883401922"/>
    <m/>
    <m/>
    <n v="3.614540466392318"/>
    <m/>
    <n v="0.63786008230452673"/>
    <m/>
    <m/>
    <m/>
    <m/>
    <m/>
    <m/>
    <n v="3.614540466392318"/>
    <n v="4.252400548696845"/>
  </r>
  <r>
    <x v="1"/>
    <x v="23"/>
    <s v="Fresh or Not Specified"/>
    <s v="northern Australia (conventional housing)"/>
    <s v="Yes"/>
    <s v="Austalia"/>
    <n v="2010"/>
    <s v="Stephen Wiedemann, Eugene McGahan, Shelly Grist and Tim Grant"/>
    <s v="Australian Government Rural Industries Research and Development Corp."/>
    <s v="Government Report"/>
    <s v="Wiedemann, S., Mcgahan, E., Grist, S. and Grant, T., Environmental Assessment of Two Pork Supply Chains Using Life Cycle Assessment. Rural Industries Research and Development Corporation of the Australian Government; 2010. Report No.: RIRDC Pub. No. 09/176."/>
    <s v="Yes"/>
    <s v="No"/>
    <s v="Yes"/>
    <s v="Yes"/>
    <s v="No"/>
    <s v="No"/>
    <s v="No"/>
    <s v="No"/>
    <s v="No"/>
    <s v="No"/>
    <s v="No"/>
    <s v="No"/>
    <m/>
    <s v="cradle to slaughterhouse gate"/>
    <s v="No"/>
    <s v="Yes"/>
    <s v="kg hot standard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30.8641975308642"/>
    <n v="39.165943827160497"/>
    <n v="7.0919067215363505"/>
    <n v="7.544581618655692"/>
    <n v="30.8641975308642"/>
    <n v="5.274"/>
    <n v="3.0277462962962969"/>
    <m/>
    <m/>
    <m/>
    <m/>
    <m/>
    <m/>
    <n v="30.8641975308642"/>
    <n v="33.607681755829908"/>
    <m/>
    <m/>
    <n v="7.0919067215363505"/>
    <m/>
    <n v="0.45267489711934156"/>
    <m/>
    <m/>
    <m/>
    <m/>
    <m/>
    <m/>
    <n v="7.0919067215363505"/>
    <n v="7.5445816186556929"/>
  </r>
  <r>
    <x v="1"/>
    <x v="23"/>
    <s v="Fresh or Not Specified"/>
    <s v="ave of 27 farms"/>
    <s v="Yes"/>
    <s v="Netherlands"/>
    <n v="2012"/>
    <s v="M.A. Dolman a,b,n, H.C.J.Vrolijk a, I.J.M.deBoer b"/>
    <s v="a Agricultural EconomicsResearchInstitute,WageningenUniversityandResearchCentre,POBox29703,NL-2502LS,TheNetherlands_x000a_b Animal ProductionSystemsGroup,WageningenUniversity,TheNetherlands"/>
    <s v="Peer Reviewed Journal"/>
    <s v="Dolman, M. A., Vrolijk, H. C. J. and De Boer, I. J. M., Exploring variation in economic, environmental and societal performance among Dutch fattening pig farms. Livestock Science 2012, 149 (1-2), 143-154."/>
    <s v="Yes"/>
    <s v="No"/>
    <s v="No"/>
    <s v="No"/>
    <s v="No"/>
    <s v="No"/>
    <s v="No"/>
    <s v="No"/>
    <s v="No"/>
    <s v="No"/>
    <s v="No"/>
    <s v="No"/>
    <m/>
    <s v="cradle to farm gate"/>
    <s v="No"/>
    <s v="No"/>
    <s v="100 kg slaughter weight"/>
    <s v="/100/.729"/>
    <n v="38.436213991769549"/>
    <s v=""/>
    <n v="7.4897119341563787"/>
    <s v=""/>
    <m/>
    <m/>
    <m/>
    <m/>
    <m/>
    <m/>
    <m/>
    <m/>
    <m/>
    <n v="38.436213991769549"/>
    <m/>
    <m/>
    <m/>
    <m/>
    <m/>
    <m/>
    <m/>
    <m/>
    <m/>
    <m/>
    <m/>
    <m/>
    <n v="7.4897119341563787"/>
    <m/>
  </r>
  <r>
    <x v="1"/>
    <x v="23"/>
    <s v="Fresh or Not Specified"/>
    <m/>
    <s v="No"/>
    <s v="EU"/>
    <n v="2012"/>
    <s v="Thu Lan T. Nguyen*, John E. Hermansen, Lisbeth Mogensen"/>
    <s v="Department of Agroecology, Aarhus University, Tjele, Denmark"/>
    <s v="Peer Reviewed Journal"/>
    <s v="Nguyen, T. L. T., Hermansen, J. E. and Mogensen, L., Environmental costs of meat production: the case of typical EU pork production. Journal of Cleaner Production 2012, 28, 168-176."/>
    <s v="Yes"/>
    <s v="No"/>
    <s v="No"/>
    <s v="No"/>
    <s v="No"/>
    <s v="No"/>
    <s v="No"/>
    <s v="No"/>
    <s v="No"/>
    <s v="No"/>
    <s v="No"/>
    <s v="No"/>
    <m/>
    <s v="cradle to farm gate"/>
    <s v="No"/>
    <s v="No"/>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26.886145404663925"/>
    <s v=""/>
    <n v="6.5843621399176957"/>
    <s v=""/>
    <m/>
    <m/>
    <m/>
    <m/>
    <m/>
    <m/>
    <m/>
    <m/>
    <m/>
    <n v="26.886145404663925"/>
    <m/>
    <m/>
    <m/>
    <m/>
    <m/>
    <m/>
    <m/>
    <m/>
    <m/>
    <m/>
    <m/>
    <m/>
    <n v="6.5843621399176957"/>
    <m/>
  </r>
  <r>
    <x v="1"/>
    <x v="23"/>
    <s v="Fresh or Not Specified"/>
    <s v="conventional"/>
    <s v="Yes"/>
    <s v="EU"/>
    <n v="2014"/>
    <s v="Dourmad, J. Y.; Ryschawy, J.; Trousson, T.; Bonneau, M.; Gonzàlez, J.; Houwers, H. W. J.;Hviid, M.; Zimmer, C.; Nguyen, T. L. T.; Morgensen, L."/>
    <s v="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
    <s v="Peer Reviewed Journal"/>
    <s v="Dourmad, J. Y., Ryschawy, J., Trousson, T., Bonneau, M., Gonzàlez, J., Houwers, H. W. J., Hviid, M., Zimmer, C., Nguyen, T. L. T. and Morgensen, L., Evaluating environmental impacts of contrasting pig farming systems with life cycle assessment. Animal 2014, 8 (12), 2027-2037."/>
    <s v="Yes"/>
    <s v="No"/>
    <s v="No"/>
    <s v="No"/>
    <s v="No"/>
    <s v="No"/>
    <s v="No"/>
    <s v="No"/>
    <s v="No"/>
    <s v="No"/>
    <s v="No"/>
    <s v="No"/>
    <m/>
    <s v="cradle to farm gate"/>
    <s v="No"/>
    <s v="No"/>
    <s v="1 kg live weight"/>
    <s v="dressing yield=72.4%, boneless = 0.729*carcass  from Weights, Measures, and Conversion Factors for Agricultural Commodities and Their Products."/>
    <n v="30.731570531038503"/>
    <s v=""/>
    <n v="4.2630107086829003"/>
    <s v=""/>
    <m/>
    <m/>
    <m/>
    <m/>
    <m/>
    <m/>
    <m/>
    <m/>
    <m/>
    <n v="30.731570531038503"/>
    <m/>
    <m/>
    <m/>
    <m/>
    <m/>
    <m/>
    <m/>
    <m/>
    <m/>
    <m/>
    <m/>
    <m/>
    <n v="4.2630107086829003"/>
    <m/>
  </r>
  <r>
    <x v="1"/>
    <x v="23"/>
    <s v="Fresh or Not Specified"/>
    <s v="adapted conventional"/>
    <s v="Yes"/>
    <s v="EU"/>
    <n v="2014"/>
    <s v="Dourmad, J. Y.; Ryschawy, J.; Trousson, T.; Bonneau, M.; Gonzàlez, J.; Houwers, H. W. J.;Hviid, M.; Zimmer, C.; Nguyen, T. L. T.; Morgensen, L."/>
    <s v="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
    <s v="Peer Reviewed Journal"/>
    <s v="Dourmad, J. Y., Ryschawy, J., Trousson, T., Bonneau, M., Gonzàlez, J., Houwers, H. W. J., Hviid, M., Zimmer, C., Nguyen, T. L. T. and Morgensen, L., Evaluating environmental impacts of contrasting pig farming systems with life cycle assessment. Animal 2014, 8 (12), 2027-2037."/>
    <s v="Yes"/>
    <s v="No"/>
    <s v="No"/>
    <s v="No"/>
    <s v="No"/>
    <s v="No"/>
    <s v="No"/>
    <s v="No"/>
    <s v="No"/>
    <s v="No"/>
    <s v="No"/>
    <s v="No"/>
    <m/>
    <s v="cradle to farm gate"/>
    <s v="No"/>
    <s v="No"/>
    <s v="1 kg live weight"/>
    <s v="dressing yield=72.4%, boneless = 0.729*carcass  from Weights, Measures, and Conversion Factors for Agricultural Commodities and Their Products."/>
    <n v="31.26207853034127"/>
    <s v=""/>
    <n v="4.8693055650289123"/>
    <s v=""/>
    <m/>
    <m/>
    <m/>
    <m/>
    <m/>
    <m/>
    <m/>
    <m/>
    <m/>
    <n v="31.26207853034127"/>
    <m/>
    <m/>
    <m/>
    <m/>
    <m/>
    <m/>
    <m/>
    <m/>
    <m/>
    <m/>
    <m/>
    <m/>
    <n v="4.8693055650289123"/>
    <m/>
  </r>
  <r>
    <x v="1"/>
    <x v="23"/>
    <s v="Fresh or Not Specified"/>
    <s v="organic"/>
    <s v="Yes"/>
    <s v="EU"/>
    <n v="2014"/>
    <s v="Dourmad, J. Y.; Ryschawy, J.; Trousson, T.; Bonneau, M.; Gonzàlez, J.; Houwers, H. W. J.;Hviid, M.; Zimmer, C.; Nguyen, T. L. T.; Morgensen, L."/>
    <s v="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
    <s v="Peer Reviewed Journal"/>
    <s v="Dourmad, J. Y., Ryschawy, J., Trousson, T., Bonneau, M., Gonzàlez, J., Houwers, H. W. J., Hviid, M., Zimmer, C., Nguyen, T. L. T. and Morgensen, L., Evaluating environmental impacts of contrasting pig farming systems with life cycle assessment. Animal 2014, 8 (12), 2027-2037."/>
    <s v="Yes"/>
    <s v="No"/>
    <s v="No"/>
    <s v="No"/>
    <s v="No"/>
    <s v="No"/>
    <s v="No"/>
    <s v="No"/>
    <s v="No"/>
    <s v="No"/>
    <s v="No"/>
    <s v="No"/>
    <m/>
    <s v="cradle to farm gate"/>
    <s v="No"/>
    <s v="No"/>
    <s v="1 kg live weight"/>
    <s v="dressing yield=72.4%, boneless = 0.729*carcass  from Weights, Measures, and Conversion Factors for Agricultural Commodities and Their Products."/>
    <n v="34.255659383549705"/>
    <s v=""/>
    <n v="4.6040515653775325"/>
    <s v=""/>
    <m/>
    <m/>
    <m/>
    <m/>
    <m/>
    <m/>
    <m/>
    <m/>
    <m/>
    <n v="34.255659383549705"/>
    <m/>
    <m/>
    <m/>
    <m/>
    <m/>
    <m/>
    <m/>
    <m/>
    <m/>
    <m/>
    <m/>
    <m/>
    <n v="4.6040515653775325"/>
    <m/>
  </r>
  <r>
    <x v="1"/>
    <x v="23"/>
    <s v="Fresh or Not Specified"/>
    <s v="traditional"/>
    <s v="Yes"/>
    <s v="EU"/>
    <n v="2014"/>
    <s v="Dourmad, J. Y.; Ryschawy, J.; Trousson, T.; Bonneau, M.; Gonzàlez, J.; Houwers, H. W. J.;Hviid, M.; Zimmer, C.; Nguyen, T. L. T.; Morgensen, L."/>
    <s v="1INRA, UMR1348 Pegase, 35590 Saint-Gilles, France; 2Agrocampus Ouest, F-35000 Rennes, France; 3IRTA, Finca Camps i Armet, 17121 Monells, Girona, Spain; 4Wageningen UR Livestock Research, PO Box 65, 8200 AB Lelystad, The Netherlands; 5DMRI, Maglegaardsvej 2, DK-4000 Roskilde, Denmark; 6BESH, Haller Street; 20, 74549 Wolpertshausen, Germany; 7Aarhus University, Blichers Alle 20, 8830 Tjele, Denmark"/>
    <s v="Peer Reviewed Journal"/>
    <s v="Dourmad, J. Y., Ryschawy, J., Trousson, T., Bonneau, M., Gonzàlez, J., Houwers, H. W. J., Hviid, M., Zimmer, C., Nguyen, T. L. T. and Morgensen, L., Evaluating environmental impacts of contrasting pig farming systems with life cycle assessment. Animal 2014, 8 (12), 2027-2037."/>
    <s v="Yes"/>
    <s v="No"/>
    <s v="No"/>
    <s v="No"/>
    <s v="No"/>
    <s v="No"/>
    <s v="No"/>
    <s v="No"/>
    <s v="No"/>
    <s v="No"/>
    <s v="No"/>
    <s v="No"/>
    <m/>
    <s v="cradle to farm gate"/>
    <s v="No"/>
    <s v="No"/>
    <s v="1 kg live weight"/>
    <s v="dressing yield=72.4%, boneless = 0.729*carcass  from Weights, Measures, and Conversion Factors for Agricultural Commodities and Their Products."/>
    <n v="46.002622225253702"/>
    <s v=""/>
    <n v="6.574509848502073"/>
    <s v=""/>
    <m/>
    <m/>
    <m/>
    <m/>
    <m/>
    <m/>
    <m/>
    <m/>
    <m/>
    <n v="46.002622225253702"/>
    <m/>
    <m/>
    <m/>
    <m/>
    <m/>
    <m/>
    <m/>
    <m/>
    <m/>
    <m/>
    <m/>
    <m/>
    <n v="6.574509848502073"/>
    <m/>
  </r>
  <r>
    <x v="1"/>
    <x v="23"/>
    <s v="Fresh or Not Specified"/>
    <s v="comparison farm"/>
    <s v="Yes"/>
    <s v="UK"/>
    <n v="2011"/>
    <s v="Dr Craig Jones, Dr Jean-Yves Cherruault"/>
    <s v="Sustain Ltd"/>
    <s v="Industry Based Report"/>
    <s v="Jones, A. C. and Cherruault, J.-Y., Comparative LCA of Pork Production for Midland Pig Producers. Sustain; 2011, 32."/>
    <s v="Yes"/>
    <s v="No"/>
    <s v="Yes"/>
    <s v="Yes"/>
    <s v="No"/>
    <s v="No"/>
    <s v="No"/>
    <s v="No"/>
    <s v="No"/>
    <s v="No"/>
    <s v="No"/>
    <s v="No"/>
    <m/>
    <s v="cradle to slaughterhouse gate"/>
    <s v="No"/>
    <s v="No"/>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m/>
    <m/>
    <m/>
    <m/>
    <m/>
    <m/>
    <m/>
    <m/>
    <m/>
    <m/>
    <m/>
    <m/>
    <m/>
    <n v="6.4471879286694103"/>
  </r>
  <r>
    <x v="1"/>
    <x v="23"/>
    <s v="Fresh or Not Specified"/>
    <s v="eco-designed farm"/>
    <s v="Yes"/>
    <s v="UK"/>
    <n v="2011"/>
    <s v="Dr Craig Jones, Dr Jean-Yves Cherruault"/>
    <s v="Sustain Ltd"/>
    <s v="Industry Based Report"/>
    <s v="Jones, A. C. and Cherruault, J.-Y., Comparative LCA of Pork Production for Midland Pig Producers. Sustain; 2011, 32."/>
    <s v="Yes"/>
    <s v="No"/>
    <s v="Yes"/>
    <s v="Yes"/>
    <s v="No"/>
    <s v="No"/>
    <s v="No"/>
    <s v="No"/>
    <s v="No"/>
    <s v="No"/>
    <s v="No"/>
    <s v="No"/>
    <m/>
    <s v="cradle to slaughterhouse gate"/>
    <s v="No"/>
    <s v="No"/>
    <s v="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s v=""/>
    <s v=""/>
    <m/>
    <m/>
    <m/>
    <m/>
    <m/>
    <m/>
    <m/>
    <m/>
    <m/>
    <m/>
    <m/>
    <m/>
    <m/>
    <m/>
    <m/>
    <m/>
    <m/>
    <m/>
    <m/>
    <m/>
    <m/>
    <m/>
    <m/>
    <n v="3.0178326474622774"/>
  </r>
  <r>
    <x v="1"/>
    <x v="24"/>
    <s v="Fresh or Not Specified"/>
    <m/>
    <s v="No"/>
    <s v="US"/>
    <n v="2008"/>
    <s v="N. Pelletier"/>
    <s v="School for Resource and Environmental Studies, Dalhousie University, Kenneth C. Rowe Management Building, 6100 University Avenue, Suite 5010, Halifax,Nova Scotia, Canada, B3H 3J5"/>
    <s v="Peer Reviewed Journal"/>
    <s v="Pelletier, N., Environmental performance in the US broiler poultry sector: Life cycle energy use and greenhouse gas, ozone depleting, acidifying and eutrophying emissions. Agricultural Systems 2008, 98 (2), 67-73."/>
    <s v="Yes"/>
    <s v="No"/>
    <s v="No"/>
    <s v="No"/>
    <s v="No"/>
    <s v="No"/>
    <s v="No"/>
    <s v="No"/>
    <s v="No"/>
    <s v="No"/>
    <s v="No"/>
    <s v="No"/>
    <m/>
    <s v="cradle to farm gate"/>
    <s v="No"/>
    <s v="Yes"/>
    <s v="1 tonne live weight broiler poultry"/>
    <s v="/1000/.56  (paper estimates 56% of live weight is edible)"/>
    <n v="26.712499999999995"/>
    <s v=""/>
    <n v="2.4910714285714284"/>
    <s v=""/>
    <m/>
    <m/>
    <m/>
    <m/>
    <m/>
    <m/>
    <m/>
    <m/>
    <m/>
    <n v="26.712499999999995"/>
    <m/>
    <s v="CED v 1.03"/>
    <m/>
    <m/>
    <m/>
    <m/>
    <m/>
    <m/>
    <m/>
    <m/>
    <m/>
    <m/>
    <n v="2.4910714285714284"/>
    <m/>
  </r>
  <r>
    <x v="1"/>
    <x v="24"/>
    <s v="Fresh or Not Specified"/>
    <s v="national average, 2006"/>
    <s v="No"/>
    <s v="Canada"/>
    <n v="2009"/>
    <s v="X. P. C. Vergé ,* J. A. Dyer ,†1 R. L. Desjardins ,*2 and D. Worth *"/>
    <s v="* Agriculture and Agri-Food Canada, K. W. Neatby Building, 960 Carling Avenue,Ottawa, Ontario, Canada, K1A 0C6; and † 122A Hexam Street,Cambridge, Ontario, Canada, N3H 3Z9"/>
    <s v="Peer Reviewed Journal"/>
    <s v="Vergé, X. P. C., Dyer, J. A., Desjardins, R. L. and Worth, D., Long-term trends in greenhouse gas emissions from the Canadian poultry industry. Journal of Applied Poultry Research 2009, 18 (2), 210-222."/>
    <s v="Yes"/>
    <s v="No"/>
    <s v="No"/>
    <s v="No"/>
    <s v="No"/>
    <s v="No"/>
    <s v="No"/>
    <s v="No"/>
    <s v="No"/>
    <s v="No"/>
    <s v="No"/>
    <s v="No"/>
    <m/>
    <s v="cradle to farm gate"/>
    <s v="No"/>
    <s v="No"/>
    <s v="kg live weight"/>
    <s v="/0.56 (borrowing estimate of edible fraction of live from Pelletier, 2008)"/>
    <s v=""/>
    <s v=""/>
    <n v="1.7857142857142856"/>
    <s v=""/>
    <m/>
    <m/>
    <m/>
    <m/>
    <m/>
    <m/>
    <m/>
    <m/>
    <m/>
    <m/>
    <m/>
    <m/>
    <m/>
    <m/>
    <m/>
    <m/>
    <m/>
    <m/>
    <m/>
    <m/>
    <m/>
    <m/>
    <n v="1.7857142857142856"/>
    <m/>
  </r>
  <r>
    <x v="1"/>
    <x v="31"/>
    <s v="Fresh or Not Specified"/>
    <s v="national average, 2006"/>
    <s v="No"/>
    <s v="Canada"/>
    <n v="2009"/>
    <s v="X. P. C. Vergé ,* J. A. Dyer ,†1 R. L. Desjardins ,*2 and D. Worth *"/>
    <s v="* Agriculture and Agri-Food Canada, K. W. Neatby Building, 960 Carling Avenue,Ottawa, Ontario, Canada, K1A 0C6; and † 122A Hexam Street,Cambridge, Ontario, Canada, N3H 3Z9"/>
    <s v="Peer Reviewed Journal"/>
    <s v="Vergé, X. P. C., Dyer, J. A., Desjardins, R. L. and Worth, D., Long-term trends in greenhouse gas emissions from the Canadian poultry industry. Journal of Applied Poultry Research 2009, 18 (2), 210-222."/>
    <s v="Yes"/>
    <s v="No"/>
    <s v="No"/>
    <s v="No"/>
    <s v="No"/>
    <s v="No"/>
    <s v="No"/>
    <s v="No"/>
    <s v="No"/>
    <s v="No"/>
    <s v="No"/>
    <s v="No"/>
    <m/>
    <s v="cradle to farm gate"/>
    <s v="No"/>
    <s v="No"/>
    <s v="kg live weight"/>
    <s v="/0.56 (borrowing estimate of edible fraction of live from Pelletier, 2008)"/>
    <s v=""/>
    <s v=""/>
    <n v="2.5714285714285712"/>
    <s v=""/>
    <m/>
    <m/>
    <m/>
    <m/>
    <m/>
    <m/>
    <m/>
    <m/>
    <m/>
    <m/>
    <m/>
    <m/>
    <m/>
    <m/>
    <m/>
    <m/>
    <m/>
    <m/>
    <m/>
    <m/>
    <m/>
    <m/>
    <n v="2.5714285714285712"/>
    <m/>
  </r>
  <r>
    <x v="1"/>
    <x v="24"/>
    <s v="Fresh or Not Specified"/>
    <s v="standard indoor"/>
    <s v="Yes"/>
    <s v="UK"/>
    <n v="2012"/>
    <s v="I. Leinonen ,*1 A. G. Williams ,† J. Wiseman ,‡ J. Guy ,* and I. Kyriazakis *"/>
    <s v="* School of Agriculture, Food, and Rural Development, Newcastle University, Newcastle upon Tyne, NE1 7RU United Kingdom; † School of Applied Sciences, Cranfield University, Bedford,MK43 0AL United Kingdom; and ‡ School of Biosciences, University of Nottingham,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 kg edible carcass weight"/>
    <s v="/1000"/>
    <n v="25.37"/>
    <s v=""/>
    <n v="4.41"/>
    <s v=""/>
    <m/>
    <m/>
    <m/>
    <m/>
    <m/>
    <m/>
    <m/>
    <m/>
    <m/>
    <n v="25.37"/>
    <m/>
    <m/>
    <m/>
    <m/>
    <m/>
    <m/>
    <m/>
    <m/>
    <m/>
    <m/>
    <m/>
    <m/>
    <n v="4.41"/>
    <m/>
  </r>
  <r>
    <x v="1"/>
    <x v="24"/>
    <s v="Fresh or Not Specified"/>
    <s v="free range"/>
    <s v="Yes"/>
    <s v="UK"/>
    <n v="2012"/>
    <s v="I. Leinonen ,*1 A. G. Williams ,† J. Wiseman ,‡ J. Guy ,* and I. Kyriazakis *"/>
    <s v="* School of Agriculture, Food, and Rural Development, Newcastle University, Newcastle upon Tyne, NE1 7RU United Kingdom; † School of Applied Sciences, Cranfield University, Bedford,MK43 0AL United Kingdom; and ‡ School of Biosciences, University of Nottingham,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 kg edible carcass weight"/>
    <s v="/1000"/>
    <n v="25.65"/>
    <s v=""/>
    <n v="5.13"/>
    <s v=""/>
    <m/>
    <m/>
    <m/>
    <m/>
    <m/>
    <m/>
    <m/>
    <m/>
    <m/>
    <n v="25.65"/>
    <m/>
    <m/>
    <m/>
    <m/>
    <m/>
    <m/>
    <m/>
    <m/>
    <m/>
    <m/>
    <m/>
    <m/>
    <n v="5.13"/>
    <m/>
  </r>
  <r>
    <x v="1"/>
    <x v="24"/>
    <s v="Fresh or Not Specified"/>
    <s v="organic"/>
    <s v="Yes"/>
    <s v="UK"/>
    <n v="2012"/>
    <s v="I. Leinonen ,*1 A. G. Williams ,† J. Wiseman ,‡ J. Guy ,* and I. Kyriazakis *"/>
    <s v="* School of Agriculture, Food, and Rural Development, Newcastle University, Newcastle upon Tyne, NE1 7RU United Kingdom; † School of Applied Sciences, Cranfield University, Bedford,MK43 0AL United Kingdom; and ‡ School of Biosciences, University of Nottingham,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 kg edible carcass weight"/>
    <s v="/1000"/>
    <n v="40.340000000000003"/>
    <s v=""/>
    <n v="5.66"/>
    <s v=""/>
    <m/>
    <m/>
    <m/>
    <m/>
    <m/>
    <m/>
    <m/>
    <m/>
    <m/>
    <n v="40.340000000000003"/>
    <m/>
    <m/>
    <m/>
    <m/>
    <m/>
    <m/>
    <m/>
    <m/>
    <m/>
    <m/>
    <m/>
    <m/>
    <n v="5.66"/>
    <m/>
  </r>
  <r>
    <x v="12"/>
    <x v="101"/>
    <s v="Frozen"/>
    <s v="weighted ave of Atlantic, Indian &amp; Pacific ocean captures"/>
    <s v="No"/>
    <s v="Spain"/>
    <n v="2005"/>
    <s v="A. Hospido; P. Tyedmers"/>
    <s v="a Chemical Engineering Department, Institute of Technology, University of Santiago de Compostela,15782Santia go de Compostela, Spain b School for Resource and Environmental Studies (SRES), Faculty of Management, Dalhousie University, Halifax, NS, Canada "/>
    <s v="Peer Reviewed Journal"/>
    <s v="Hospido, A. and Tyedmers, P., Life cycle environmental impacts of Spanish tuna fisheries. Fisheries Research 2005, 76 (2), 174-186."/>
    <s v="Yes"/>
    <s v="No"/>
    <s v="Yes"/>
    <s v="No"/>
    <s v="No"/>
    <s v="No"/>
    <s v="No"/>
    <s v="No"/>
    <s v="No"/>
    <s v="No"/>
    <s v="No"/>
    <s v="No"/>
    <m/>
    <s v="delivered to Galician port"/>
    <s v="No"/>
    <s v="No"/>
    <s v="1 tonne frozen unprocessed tuna"/>
    <s v="/1000/.58 from http://www.fao.org/docrep/003/t0219e/T0219E01.htm#ch1"/>
    <s v=""/>
    <s v=""/>
    <s v=""/>
    <s v=""/>
    <m/>
    <m/>
    <m/>
    <m/>
    <m/>
    <m/>
    <m/>
    <m/>
    <m/>
    <m/>
    <m/>
    <m/>
    <m/>
    <m/>
    <m/>
    <m/>
    <m/>
    <m/>
    <m/>
    <m/>
    <m/>
    <m/>
    <m/>
    <n v="3.1034482758620694"/>
  </r>
  <r>
    <x v="12"/>
    <x v="102"/>
    <s v="Fresh or Not Specified"/>
    <s v="Farmed trout, flow through system farm"/>
    <s v="Yes"/>
    <s v="france"/>
    <n v="2009"/>
    <s v="Emmanuelle Roque d’Orbcastel a, Jean-Paul Blancheton a,*, Joe¨ l Aubin b"/>
    <s v="a IFREMER, Station d’Aquaculture Expe´rimentale, Laboratoire de Recherche Piscicole de Me´diterrane´e, Chemin de Maguelone, 34250 Palavas-les-Flots, France bUMR INRA/Agrocampus 1069 SAS Sol Agro et hydrosyste`me Spatialisation, Equipe FIELDS, 65 rue de Saint Brieuc, CS 84 215, F-35 042 Rennes Cedex, France"/>
    <s v="Peer Reviewed Journal"/>
    <s v="D’orbcastel, E. R., Blancheton, J.-P. and Aubin, J., Towards environmentally sustainable aquaculture: Comparison between two trout farming systems using Life Cycle Assessment. Aquacultural Engineering 2009, 40 (3), 113-119."/>
    <s v="Yes"/>
    <s v="No"/>
    <s v="No"/>
    <s v="No"/>
    <s v="No"/>
    <s v="No"/>
    <s v="No"/>
    <s v="No"/>
    <s v="No"/>
    <s v="No"/>
    <s v="No"/>
    <s v="No"/>
    <m/>
    <s v="assumed at farm gate"/>
    <s v="No"/>
    <s v="No"/>
    <s v="1 ton fish"/>
    <s v="/1000/.65 assuming 65% fillet yield, ave of high and low FY from http://onlinelibrary.wiley.com/doi/10.1111/j.1745-4573.2010.00214.x/abstract"/>
    <n v="53.644615384615385"/>
    <s v=""/>
    <n v="3.1"/>
    <s v=""/>
    <m/>
    <m/>
    <m/>
    <m/>
    <m/>
    <m/>
    <m/>
    <m/>
    <m/>
    <n v="53.644615384615385"/>
    <m/>
    <m/>
    <m/>
    <m/>
    <m/>
    <m/>
    <m/>
    <m/>
    <m/>
    <m/>
    <m/>
    <m/>
    <n v="3.1"/>
    <m/>
  </r>
  <r>
    <x v="12"/>
    <x v="102"/>
    <s v="Fresh or Not Specified"/>
    <s v="Farmed Trout, recirculation system farm"/>
    <s v="Yes"/>
    <s v="France"/>
    <n v="2009"/>
    <s v="Emmanuelle Roque d’Orbcastel a, Jean-Paul Blancheton a,*, Joe¨ l Aubin b"/>
    <s v="a IFREMER, Station d’Aquaculture Expe´rimentale, Laboratoire de Recherche Piscicole de Me´diterrane´e, Chemin de Maguelone, 34250 Palavas-les-Flots, France bUMR INRA/Agrocampus 1069 SAS Sol Agro et hydrosyste`me Spatialisation, Equipe FIELDS, 65 rue de Saint Brieuc, CS 84 215, F-35 042 Rennes Cedex, France"/>
    <s v="Peer Reviewed Journal"/>
    <s v="D’orbcastel, E. R., Blancheton, J.-P. and Aubin, J., Towards environmentally sustainable aquaculture: Comparison between two trout farming systems using Life Cycle Assessment. Aquacultural Engineering 2009, 40 (3), 113-119."/>
    <s v="Yes"/>
    <s v="No"/>
    <s v="No"/>
    <s v="No"/>
    <s v="No"/>
    <s v="No"/>
    <s v="No"/>
    <s v="No"/>
    <s v="No"/>
    <s v="No"/>
    <s v="No"/>
    <s v="No"/>
    <m/>
    <s v="assumed at farm gate"/>
    <s v="No"/>
    <s v="No"/>
    <s v="1 ton fish"/>
    <s v="/1000/.65 assuming 65% fillet yield, ave of high and low FY from http://onlinelibrary.wiley.com/doi/10.1111/j.1745-4573.2010.00214.x/abstract"/>
    <n v="97.233846153846144"/>
    <s v=""/>
    <n v="3.1430769230769231"/>
    <s v=""/>
    <m/>
    <m/>
    <m/>
    <m/>
    <m/>
    <m/>
    <m/>
    <m/>
    <m/>
    <n v="97.233846153846144"/>
    <m/>
    <m/>
    <m/>
    <m/>
    <m/>
    <m/>
    <m/>
    <m/>
    <m/>
    <m/>
    <m/>
    <m/>
    <n v="3.1430769230769231"/>
    <m/>
  </r>
  <r>
    <x v="12"/>
    <x v="103"/>
    <s v="Fresh or Not Specified"/>
    <s v="fresh mussels"/>
    <s v="No"/>
    <s v="Spain"/>
    <n v="2010"/>
    <s v="Diego Iribarren*, Maria Teresa Moreira, Gumersindo Feijoo"/>
    <s v="Department of Chemical Engineering, School of Engineering, University of Santiago de Compostela, Ru´a Lope Go´mez de Marzoa s/n, 15782 Santiago de Compostela, Spain"/>
    <s v="Peer Reviewed Journal"/>
    <s v="Iribarren, D., Moreira, M. T. and Feijoo, G., Revisiting the Life Cycle Assessment of mussels from a sectorial perspective. Journal of Cleaner Production 2010, 18 (2), 101-111."/>
    <s v="Yes"/>
    <s v="No"/>
    <s v="Yes"/>
    <s v="Yes"/>
    <s v="Yes"/>
    <s v="Yes"/>
    <s v="No"/>
    <s v="No"/>
    <s v="No"/>
    <s v="No"/>
    <s v="No"/>
    <s v="No"/>
    <m/>
    <m/>
    <s v="No"/>
    <s v="Yes"/>
    <s v="1 kg dry edible mussel flesh"/>
    <m/>
    <s v=""/>
    <s v=""/>
    <n v="2.5019999999999998"/>
    <n v="13.622"/>
    <m/>
    <m/>
    <m/>
    <m/>
    <m/>
    <m/>
    <m/>
    <m/>
    <m/>
    <m/>
    <m/>
    <m/>
    <m/>
    <n v="2.5019999999999998"/>
    <n v="11.120000000000001"/>
    <m/>
    <m/>
    <m/>
    <m/>
    <n v="0.27800000000000002"/>
    <m/>
    <m/>
    <n v="2.5019999999999998"/>
    <n v="13.9"/>
  </r>
  <r>
    <x v="12"/>
    <x v="103"/>
    <s v="Canned"/>
    <s v="canned mussels"/>
    <s v="No"/>
    <s v="Spain"/>
    <n v="2010"/>
    <s v="Diego Iribarren*, Maria Teresa Moreira, Gumersindo Feijoo"/>
    <s v="Department of Chemical Engineering, School of Engineering, University of Santiago de Compostela, Ru´a Lope Go´mez de Marzoa s/n, 15782 Santiago de Compostela, Spain"/>
    <s v="Peer Reviewed Journal"/>
    <s v="Iribarren, D., Moreira, M. T. and Feijoo, G., Revisiting the Life Cycle Assessment of mussels from a sectorial perspective. Journal of Cleaner Production 2010, 18 (2), 101-111."/>
    <s v="Yes"/>
    <s v="No"/>
    <s v="Yes"/>
    <s v="Yes"/>
    <s v="Yes"/>
    <s v="Yes"/>
    <s v="No"/>
    <s v="No"/>
    <s v="No"/>
    <s v="No"/>
    <s v="No"/>
    <s v="No"/>
    <m/>
    <m/>
    <s v="No"/>
    <s v="Yes"/>
    <s v="1 kg dry edible mussel flesh"/>
    <m/>
    <s v=""/>
    <s v=""/>
    <n v="6.0023999999999997"/>
    <n v="9.84"/>
    <m/>
    <m/>
    <m/>
    <m/>
    <m/>
    <m/>
    <m/>
    <m/>
    <m/>
    <m/>
    <m/>
    <m/>
    <m/>
    <n v="6.0023999999999997"/>
    <n v="3.8376000000000001"/>
    <m/>
    <m/>
    <m/>
    <m/>
    <m/>
    <m/>
    <m/>
    <n v="6.0023999999999997"/>
    <n v="9.84"/>
  </r>
  <r>
    <x v="12"/>
    <x v="103"/>
    <s v="Frozen"/>
    <s v="frozen boiled mussels"/>
    <s v="No"/>
    <s v="Spain"/>
    <n v="2010"/>
    <s v="Diego Iribarren*, Maria Teresa Moreira, Gumersindo Feijoo"/>
    <s v="Department of Chemical Engineering, School of Engineering, University of Santiago de Compostela, Ru´a Lope Go´mez de Marzoa s/n, 15782 Santiago de Compostela, Spain"/>
    <s v="Peer Reviewed Journal"/>
    <s v="Iribarren, D., Moreira, M. T. and Feijoo, G., Revisiting the Life Cycle Assessment of mussels from a sectorial perspective. Journal of Cleaner Production 2010, 18 (2), 101-111."/>
    <s v="Yes"/>
    <s v="No"/>
    <s v="Yes"/>
    <s v="Yes"/>
    <s v="Yes"/>
    <s v="Yes"/>
    <s v="No"/>
    <s v="No"/>
    <s v="No"/>
    <s v="No"/>
    <s v="No"/>
    <s v="No"/>
    <m/>
    <m/>
    <s v="No"/>
    <s v="Yes"/>
    <s v="1 kg dry edible mussel flesh"/>
    <m/>
    <s v=""/>
    <s v=""/>
    <n v="5.8010999999999999"/>
    <n v="9.51"/>
    <m/>
    <m/>
    <m/>
    <m/>
    <m/>
    <m/>
    <m/>
    <m/>
    <m/>
    <m/>
    <m/>
    <m/>
    <m/>
    <n v="5.8010999999999999"/>
    <n v="3.7088999999999999"/>
    <m/>
    <m/>
    <m/>
    <m/>
    <m/>
    <m/>
    <m/>
    <n v="5.8010999999999999"/>
    <n v="9.51"/>
  </r>
  <r>
    <x v="12"/>
    <x v="104"/>
    <s v="Fresh or Not Specified"/>
    <s v="Horse Mackerel, captured by purse seiners"/>
    <s v="Yes"/>
    <s v="Spain"/>
    <n v="2010"/>
    <s v="Ian Vázquez-Rowe∗, Ma Teresa Moreira, Gumersindo Feijoo"/>
    <s v="Department of Chemical Engineering, School of Engineering, University of Santiago de Compostela, 15782 Santiago de Compostela, Spain"/>
    <s v="Peer Reviewed Journal"/>
    <s v="Vázquez-Rowe, I., Moreira, M. T. and Feijoo, G., Life cycle assessment of horse mackerel fisheries in Galicia (NW Spain): Comparative analysis of two major fishing methods. Fisheries Research 2010, 106 (3), 517-527."/>
    <s v="Yes"/>
    <s v="No"/>
    <s v="No"/>
    <s v="No"/>
    <s v="No"/>
    <s v="No"/>
    <s v="No"/>
    <s v="No"/>
    <s v="No"/>
    <s v="No"/>
    <s v="No"/>
    <s v="No"/>
    <m/>
    <s v="delivered to port; using mass allocation"/>
    <s v="No"/>
    <s v="Yes"/>
    <s v="1 ton of landed round Atlantic horse mackerel"/>
    <s v="/1000/.52  from http://www.fao.org/docrep/003/t0219e/T0219E01.htm#ch1"/>
    <s v=""/>
    <s v=""/>
    <s v=""/>
    <s v=""/>
    <m/>
    <m/>
    <m/>
    <m/>
    <m/>
    <m/>
    <m/>
    <m/>
    <m/>
    <m/>
    <m/>
    <m/>
    <m/>
    <m/>
    <m/>
    <m/>
    <m/>
    <m/>
    <m/>
    <m/>
    <m/>
    <m/>
    <m/>
    <n v="1.5307692307692309"/>
  </r>
  <r>
    <x v="12"/>
    <x v="104"/>
    <s v="Fresh or Not Specified"/>
    <s v="Horse Mackerel, captured by bottom trawlers"/>
    <s v="Yes"/>
    <s v="Spain"/>
    <n v="2010"/>
    <s v="Ian Vázquez-Rowe∗, Ma Teresa Moreira, Gumersindo Feijoo"/>
    <s v="Department of Chemical Engineering, School of Engineering, University of Santiago de Compostela, 15782 Santiago de Compostela, Spain"/>
    <s v="Peer Reviewed Journal"/>
    <s v="Vázquez-Rowe, I., Moreira, M. T. and Feijoo, G., Life cycle assessment of horse mackerel fisheries in Galicia (NW Spain): Comparative analysis of two major fishing methods. Fisheries Research 2010, 106 (3), 517-527."/>
    <s v="Yes"/>
    <s v="No"/>
    <s v="No"/>
    <s v="No"/>
    <s v="No"/>
    <s v="No"/>
    <s v="No"/>
    <s v="No"/>
    <s v="No"/>
    <s v="No"/>
    <s v="No"/>
    <s v="No"/>
    <m/>
    <s v="delivered to port; using mass allocation"/>
    <s v="No"/>
    <s v="Yes"/>
    <s v="1 ton of landed round Atlantic horse mackerel"/>
    <s v="/1000/.52  from http://www.fao.org/docrep/003/t0219e/T0219E01.htm#ch1"/>
    <s v=""/>
    <s v=""/>
    <s v=""/>
    <s v=""/>
    <m/>
    <m/>
    <m/>
    <m/>
    <m/>
    <m/>
    <m/>
    <m/>
    <m/>
    <m/>
    <m/>
    <m/>
    <m/>
    <m/>
    <m/>
    <m/>
    <m/>
    <m/>
    <m/>
    <m/>
    <m/>
    <m/>
    <m/>
    <n v="4.3807692307692303"/>
  </r>
  <r>
    <x v="12"/>
    <x v="104"/>
    <s v="Fresh or Not Specified"/>
    <s v="Hake Fillets, captured by offshore long lining fleet"/>
    <s v="Yes"/>
    <s v="Spain (Galicia)"/>
    <n v="2011"/>
    <s v="Ian Vázquez-Rowe∗, Ma Teresa Moreira, Gumersindo Feijoo"/>
    <s v="Department of Chemical Engineering, School of Engineering, University of Santiago de Compostela, 15782 Santiago de Compostela, Spain"/>
    <s v="Peer Reviewed Journal"/>
    <s v="Vázquez-Rowe, I., Moreira, M. T. and Feijoo, G., Life Cycle Assessment of fresh hake fillets captured by the Galician fleet in the Northern Stock. Fisheries Research 2011, 110 (1), 128-135."/>
    <s v="Yes"/>
    <s v="No"/>
    <s v="Yes"/>
    <s v="Yes"/>
    <s v="Yes"/>
    <s v="Yes"/>
    <s v="Yes"/>
    <s v="Yes"/>
    <s v="Yes"/>
    <s v="Yes"/>
    <s v="No"/>
    <s v="No"/>
    <m/>
    <s v="cradle to grave"/>
    <s v="No"/>
    <s v="Yes"/>
    <s v="500 g of raw gutted fresh hake fillet"/>
    <s v="*2"/>
    <s v=""/>
    <s v=""/>
    <s v=""/>
    <s v=""/>
    <m/>
    <m/>
    <m/>
    <m/>
    <m/>
    <m/>
    <m/>
    <m/>
    <m/>
    <m/>
    <m/>
    <m/>
    <m/>
    <m/>
    <m/>
    <m/>
    <m/>
    <m/>
    <m/>
    <m/>
    <m/>
    <m/>
    <m/>
    <n v="7.66"/>
  </r>
  <r>
    <x v="12"/>
    <x v="104"/>
    <s v="Fresh or Not Specified"/>
    <s v="Hake Fillets, captured by offshore trawling fleet"/>
    <s v="Yes"/>
    <s v="Spain (Galicia)"/>
    <n v="2011"/>
    <s v="Ian Vázquez-Rowe∗, Ma Teresa Moreira, Gumersindo Feijoo"/>
    <s v="Department of Chemical Engineering, School of Engineering, University of Santiago de Compostela, 15782 Santiago de Compostela, Spain"/>
    <s v="Peer Reviewed Journal"/>
    <s v="Vázquez-Rowe, I., Moreira, M. T. and Feijoo, G., Life Cycle Assessment of fresh hake fillets captured by the Galician fleet in the Northern Stock. Fisheries Research 2011, 110 (1), 128-135."/>
    <s v="Yes"/>
    <s v="No"/>
    <s v="Yes"/>
    <s v="Yes"/>
    <s v="Yes"/>
    <s v="Yes"/>
    <s v="Yes"/>
    <s v="Yes"/>
    <s v="Yes"/>
    <s v="Yes"/>
    <s v="No"/>
    <s v="No"/>
    <m/>
    <s v="cradle to grave"/>
    <s v="No"/>
    <s v="Yes"/>
    <s v="500 g of raw gutted fresh hake fillet"/>
    <s v="*2"/>
    <s v=""/>
    <s v=""/>
    <s v=""/>
    <s v=""/>
    <m/>
    <m/>
    <m/>
    <m/>
    <m/>
    <m/>
    <m/>
    <m/>
    <m/>
    <m/>
    <m/>
    <m/>
    <m/>
    <m/>
    <m/>
    <m/>
    <m/>
    <m/>
    <m/>
    <m/>
    <m/>
    <m/>
    <m/>
    <n v="11.48"/>
  </r>
  <r>
    <x v="4"/>
    <x v="53"/>
    <s v="Fresh or Not Specified"/>
    <s v="Biodynamic Method"/>
    <s v="Yes"/>
    <s v="Spain (NW, Ribeiro)"/>
    <n v="2013"/>
    <s v="Pedro Villanueva-Rey (1); Ian Vázquez-Rowe (2); Ma Teresa Moreira (1); Gumersindo Feijoo (1)"/>
    <s v="(1) Department of Chemical Engineering, Institute of Technology, University of Santiago de Compostela. 15782 – Santiago de Compostela, Spain.  (2) Public Research Centre Henri Tudor (CRPHT) / Resource Centre for Environmental Technologies (CRTE) - 66, rue de Luxembourg - P.B. 144, L-4002, Esch-sur-Alzette, Luxembourg. "/>
    <s v="Peer Reviewed Journal"/>
    <s v="Vázquez-Rowe, I., Villanueva-Rey, P., Mallo, J., De La Cerda, J. J., Moreira, M. T. and Feijoo, G., Carbon footprint of a multi-ingredient seafood product from a business-to-business perspective. Journal of Cleaner Production 2013, 44, 200-210."/>
    <s v="Yes"/>
    <s v="No"/>
    <s v="No"/>
    <s v="No"/>
    <s v="No"/>
    <s v="No"/>
    <s v="No"/>
    <s v="No"/>
    <s v="No"/>
    <s v="No"/>
    <s v="No"/>
    <s v="No"/>
    <m/>
    <s v="Only agricultural stage researched"/>
    <s v="No"/>
    <s v="No"/>
    <s v="1.1 kg of collected grape"/>
    <s v="reported value x (10/11)"/>
    <s v=""/>
    <s v=""/>
    <s v=""/>
    <s v=""/>
    <m/>
    <m/>
    <m/>
    <m/>
    <m/>
    <m/>
    <m/>
    <m/>
    <m/>
    <m/>
    <m/>
    <m/>
    <m/>
    <m/>
    <m/>
    <m/>
    <m/>
    <m/>
    <m/>
    <m/>
    <m/>
    <m/>
    <m/>
    <n v="7.6490909090909096E-2"/>
  </r>
  <r>
    <x v="4"/>
    <x v="53"/>
    <s v="Fresh or Not Specified"/>
    <s v="Intermediate Biodynamic-Conventional Method"/>
    <s v="Yes"/>
    <s v="Spain (NW, Ribeiro)"/>
    <n v="2013"/>
    <s v="Pedro Villanueva-Rey (1); Ian Vázquez-Rowe (2); Ma Teresa Moreira (1); Gumersindo Feijoo (1)"/>
    <s v="(1) Department of Chemical Engineering, Institute of Technology, University of Santiago de Compostela. 15782 – Santiago de Compostela, Spain.  (2) Public Research Centre Henri Tudor (CRPHT) / Resource Centre for Environmental Technologies (CRTE) - 66, rue de Luxembourg - P.B. 144, L-4002, Esch-sur-Alzette, Luxembourg. "/>
    <s v="Peer Reviewed Journal"/>
    <s v="Vázquez-Rowe, I., Villanueva-Rey, P., Mallo, J., De La Cerda, J. J., Moreira, M. T. and Feijoo, G., Carbon footprint of a multi-ingredient seafood product from a business-to-business perspective. Journal of Cleaner Production 2013, 44, 200-210."/>
    <s v="Yes"/>
    <s v="No"/>
    <s v="No"/>
    <s v="No"/>
    <s v="No"/>
    <s v="No"/>
    <s v="No"/>
    <s v="No"/>
    <s v="No"/>
    <s v="No"/>
    <s v="No"/>
    <s v="No"/>
    <m/>
    <s v="Only agricultural stage researched"/>
    <s v="No"/>
    <s v="No"/>
    <s v="1.1 kg of collected grape"/>
    <s v="reported value x (10/11)"/>
    <s v=""/>
    <s v=""/>
    <s v=""/>
    <s v=""/>
    <m/>
    <m/>
    <m/>
    <m/>
    <m/>
    <m/>
    <m/>
    <m/>
    <m/>
    <m/>
    <m/>
    <m/>
    <m/>
    <m/>
    <m/>
    <m/>
    <m/>
    <m/>
    <m/>
    <m/>
    <m/>
    <m/>
    <m/>
    <n v="0.10678181818181817"/>
  </r>
  <r>
    <x v="4"/>
    <x v="53"/>
    <s v="Fresh or Not Specified"/>
    <s v="Conventional Method"/>
    <s v="Yes"/>
    <s v="Spain (NW, Ribeiro)"/>
    <n v="2013"/>
    <s v="Pedro Villanueva-Rey (1); Ian Vázquez-Rowe (2); Ma Teresa Moreira (1); Gumersindo Feijoo (1)"/>
    <s v="(1) Department of Chemical Engineering, Institute of Technology, University of Santiago de Compostela. 15782 – Santiago de Compostela, Spain.  (2) Public Research Centre Henri Tudor (CRPHT) / Resource Centre for Environmental Technologies (CRTE) - 66, rue de Luxembourg - P.B. 144, L-4002, Esch-sur-Alzette, Luxembourg. "/>
    <s v="Peer Reviewed Journal"/>
    <s v="Vázquez-Rowe, I., Villanueva-Rey, P., Mallo, J., De La Cerda, J. J., Moreira, M. T. and Feijoo, G., Carbon footprint of a multi-ingredient seafood product from a business-to-business perspective. Journal of Cleaner Production 2013, 44, 200-210."/>
    <s v="Yes"/>
    <s v="No"/>
    <s v="No"/>
    <s v="No"/>
    <s v="No"/>
    <s v="No"/>
    <s v="No"/>
    <s v="No"/>
    <s v="No"/>
    <s v="No"/>
    <s v="No"/>
    <s v="No"/>
    <m/>
    <s v="Only agricultural stage researched"/>
    <s v="No"/>
    <s v="No"/>
    <s v="1.1 kg of collected grape"/>
    <s v="reported value x (10/11)"/>
    <s v=""/>
    <s v=""/>
    <s v=""/>
    <s v=""/>
    <m/>
    <m/>
    <m/>
    <m/>
    <m/>
    <m/>
    <m/>
    <m/>
    <m/>
    <m/>
    <m/>
    <m/>
    <m/>
    <m/>
    <m/>
    <m/>
    <m/>
    <m/>
    <m/>
    <m/>
    <m/>
    <m/>
    <m/>
    <n v="0.29942272727272728"/>
  </r>
  <r>
    <x v="7"/>
    <x v="105"/>
    <s v="Fresh or Not Specified"/>
    <s v="Spray Dried Soluble Coffe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extracting impact per kg of instant coffee powder; 2 g powder per cup coffee"/>
    <n v="115"/>
    <n v="175"/>
    <n v="7.75"/>
    <n v="11.35"/>
    <n v="115"/>
    <n v="10"/>
    <n v="50"/>
    <n v="45"/>
    <n v="15"/>
    <m/>
    <n v="349.99999999999994"/>
    <n v="-2.5"/>
    <n v="45"/>
    <n v="115"/>
    <n v="627.5"/>
    <m/>
    <m/>
    <n v="7.75"/>
    <n v="0.05"/>
    <n v="3.55"/>
    <n v="3.85"/>
    <n v="0.8"/>
    <m/>
    <n v="17.5"/>
    <n v="-1.1000000000000001"/>
    <n v="2.5999999999999996"/>
    <n v="7.75"/>
    <n v="35"/>
  </r>
  <r>
    <x v="7"/>
    <x v="106"/>
    <s v="Fresh or Not Specified"/>
    <s v="Drip Filter Coffee (no wast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extracting impact per kg roasted bean. 13.5g roasted bean/cup. "/>
    <n v="44.444444444444443"/>
    <n v="55.55555555555555"/>
    <n v="2.8740740740740738"/>
    <n v="3.2888888888888888"/>
    <n v="44.444444444444443"/>
    <n v="4.4444444444444446"/>
    <n v="6.6666666666666661"/>
    <n v="4.4444444444444446"/>
    <n v="5.9259259259259265"/>
    <m/>
    <n v="96.296296296296305"/>
    <n v="-5.185185185185186"/>
    <n v="71.111111111111114"/>
    <n v="44.444444444444443"/>
    <n v="228.14814814814815"/>
    <m/>
    <m/>
    <n v="2.8740740740740738"/>
    <n v="0.1851851851851852"/>
    <n v="0.22962962962962963"/>
    <n v="0.1851851851851852"/>
    <n v="0.2"/>
    <m/>
    <n v="4.7407407407407405"/>
    <n v="-0.25925925925925924"/>
    <n v="0.44444444444444448"/>
    <n v="2.8740740740740738"/>
    <n v="8.6"/>
  </r>
  <r>
    <x v="7"/>
    <x v="106"/>
    <s v="Fresh or Not Specified"/>
    <s v="Capsule Espresso Coffe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extracting impact per kg roasted bean. 6.5g roasted bean/cup. Capturing impacts only through roasting and grinding"/>
    <n v="73.846153846153854"/>
    <n v="84.615384615384627"/>
    <n v="4.2615384615384615"/>
    <n v="4.8769230769230765"/>
    <n v="73.846153846153854"/>
    <n v="4.6153846153846159"/>
    <n v="6.1538461538461542"/>
    <n v="76.92307692307692"/>
    <n v="12.307692307692308"/>
    <m/>
    <n v="107.69230769230769"/>
    <n v="-7.6923076923076934"/>
    <n v="23.07692307692308"/>
    <n v="73.846153846153854"/>
    <n v="296.92307692307696"/>
    <m/>
    <m/>
    <n v="4.2615384615384615"/>
    <n v="0.27692307692307694"/>
    <n v="0.33846153846153848"/>
    <n v="3.2307692307692313"/>
    <n v="0.6461538461538463"/>
    <m/>
    <n v="5.6923076923076925"/>
    <n v="0.9538461538461539"/>
    <n v="1.276923076923077"/>
    <n v="4.2615384615384615"/>
    <n v="16.676923076923075"/>
  </r>
  <r>
    <x v="7"/>
    <x v="106"/>
    <s v="Fresh or Not Specified"/>
    <s v="Espresso"/>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Yes"/>
    <s v="No"/>
    <s v="Yes"/>
    <s v="Yes"/>
    <s v="Yes"/>
    <s v="Yes"/>
    <s v="No"/>
    <s v="Yes"/>
    <s v="No"/>
    <s v="Yes"/>
    <s v="No"/>
    <s v="No"/>
    <m/>
    <s v="Production, packaging, transport (roastery to house), cooking/brewing"/>
    <s v="No"/>
    <s v="No"/>
    <s v="1 cup of coffee"/>
    <s v="extracting impact per kg roasted bean.  7g coffee/cup."/>
    <s v=""/>
    <n v="53.571428571428569"/>
    <s v=""/>
    <n v="10.671428571428571"/>
    <m/>
    <m/>
    <n v="53.571428571428569"/>
    <n v="3.7571428571428571"/>
    <m/>
    <m/>
    <n v="34.142857142857139"/>
    <m/>
    <m/>
    <m/>
    <n v="91.471428571428561"/>
    <m/>
    <m/>
    <m/>
    <m/>
    <n v="10.671428571428571"/>
    <n v="0.17571428571428571"/>
    <m/>
    <m/>
    <n v="1.7000000000000002"/>
    <m/>
    <m/>
    <m/>
    <n v="12.547142857142855"/>
  </r>
  <r>
    <x v="7"/>
    <x v="107"/>
    <s v="Fresh or Not Specified"/>
    <s v="Black Coffee"/>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Yes"/>
    <s v="No"/>
    <s v="Yes"/>
    <s v="Yes"/>
    <s v="Yes"/>
    <s v="Yes"/>
    <s v="No"/>
    <s v="Yes"/>
    <s v="No"/>
    <s v="Yes"/>
    <s v="No"/>
    <s v="No"/>
    <m/>
    <s v="Production, packaging, transport (roastery to house), cooking/brewing"/>
    <s v="No"/>
    <s v="No"/>
    <s v="1 cup of coffee"/>
    <s v="reported value / density (1g/ml) --&gt; (RV x 1000g)/(236.588ml/cup x 1 g/ml)"/>
    <s v=""/>
    <s v=""/>
    <s v=""/>
    <s v=""/>
    <m/>
    <m/>
    <m/>
    <m/>
    <m/>
    <m/>
    <m/>
    <m/>
    <m/>
    <m/>
    <n v="6.0019950293336946"/>
    <m/>
    <m/>
    <m/>
    <m/>
    <m/>
    <m/>
    <m/>
    <m/>
    <m/>
    <m/>
    <m/>
    <m/>
    <n v="0.52834463286388156"/>
  </r>
  <r>
    <x v="7"/>
    <x v="105"/>
    <s v="Fresh or Not Specified"/>
    <s v="Black Instant Coffee"/>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Yes"/>
    <s v="No"/>
    <s v="Yes"/>
    <s v="Yes"/>
    <s v="Yes"/>
    <s v="Yes"/>
    <s v="No"/>
    <s v="Yes"/>
    <s v="No"/>
    <s v="Yes"/>
    <s v="No"/>
    <s v="No"/>
    <m/>
    <s v="Production, packaging, transport (roastery to house), cooking/brewing"/>
    <s v="No"/>
    <s v="No"/>
    <s v="1 cup of coffee"/>
    <s v="extracting impact per kg instant coffee.  2 g powder/cup"/>
    <s v=""/>
    <n v="187.5"/>
    <s v=""/>
    <n v="27.05"/>
    <m/>
    <m/>
    <n v="187.5"/>
    <n v="63"/>
    <m/>
    <m/>
    <n v="167"/>
    <m/>
    <m/>
    <m/>
    <n v="417.5"/>
    <m/>
    <m/>
    <m/>
    <m/>
    <n v="27.05"/>
    <n v="3.5"/>
    <m/>
    <m/>
    <n v="8.9"/>
    <m/>
    <m/>
    <m/>
    <n v="39.450000000000003"/>
  </r>
  <r>
    <x v="7"/>
    <x v="108"/>
    <s v="Fresh or Not Specified"/>
    <s v="Kenyan Tea, Large Scale Production"/>
    <s v="No"/>
    <s v="Kenya"/>
    <n v="2015"/>
    <s v="Adisa Azapagic (1);  John Bore (2); Beatrice Cheserek (2); Samson Kamunya (2); Aziz Elbehri (3)"/>
    <s v="(1) School of Chemical Engineering and Analytical Science, The Mill, Sackville Street, The University of Manchester, Manchester M13 9PL, UK; (2) Tea Research Foundation of Kenya, Off Kericho-Nakuru Road, P.O Box 820, 20200 Kericho, Kenya; (3) Food and Agricultural Organization of the United Nations, Viale delle Terme di Caracalla, 00153 Rome, Italy"/>
    <s v="Peer Reviewed Journal"/>
    <s v="Azapagic, A., Bore, J., Cheserek, B., Kamunya, S. and Elbehri, A., The global warming potential of production and consumption of Kenyan tea. Journal of Cleaner Production 2016, 112, 4031-4040."/>
    <s v="Yes"/>
    <s v="Yes"/>
    <s v="Yes"/>
    <s v="Yes"/>
    <s v="Yes"/>
    <s v="Yes"/>
    <s v="Yes"/>
    <s v="No"/>
    <s v="No"/>
    <s v="Yes"/>
    <s v="No"/>
    <s v="No"/>
    <m/>
    <s v="Cradle to Grave"/>
    <s v="No"/>
    <s v="Yes"/>
    <s v="1 kg of dry tea"/>
    <s v="N/A"/>
    <s v=""/>
    <s v=""/>
    <n v="1.07"/>
    <n v="1.1300000000000001"/>
    <m/>
    <m/>
    <m/>
    <m/>
    <m/>
    <m/>
    <m/>
    <m/>
    <m/>
    <m/>
    <m/>
    <m/>
    <m/>
    <n v="1.07"/>
    <m/>
    <n v="0.06"/>
    <m/>
    <n v="0.49"/>
    <m/>
    <n v="10.46"/>
    <m/>
    <m/>
    <n v="1.07"/>
    <n v="12.08"/>
  </r>
  <r>
    <x v="7"/>
    <x v="108"/>
    <s v="Fresh or Not Specified"/>
    <s v="Kenyan Tea, Small Scale Production"/>
    <s v="No"/>
    <s v="Kenya"/>
    <n v="2015"/>
    <s v="Adisa Azapagic (1);  John Bore (2); Beatrice Cheserek (2); Samson Kamunya (2); Aziz Elbehri (3)"/>
    <s v="(1) School of Chemical Engineering and Analytical Science, The Mill, Sackville Street, The University of Manchester, Manchester M13 9PL, UK; (2) Tea Research Foundation of Kenya, Off Kericho-Nakuru Road, P.O Box 820, 20200 Kericho, Kenya; (3) Food and Agricultural Organization of the United Nations, Viale delle Terme di Caracalla, 00153 Rome, Italy"/>
    <s v="Peer Reviewed Journal"/>
    <s v="Azapagic, A., Bore, J., Cheserek, B., Kamunya, S. and Elbehri, A., The global warming potential of production and consumption of Kenyan tea. Journal of Cleaner Production 2016, 112, 4031-4040."/>
    <s v="Yes"/>
    <s v="Yes"/>
    <s v="Yes"/>
    <s v="Yes"/>
    <s v="Yes"/>
    <s v="Yes"/>
    <s v="Yes"/>
    <s v="No"/>
    <s v="No"/>
    <s v="Yes"/>
    <s v="No"/>
    <s v="No"/>
    <m/>
    <s v="Cradle to Grave"/>
    <s v="No"/>
    <s v="Yes"/>
    <s v="1 kg of dry tea"/>
    <s v="N/A"/>
    <s v=""/>
    <s v=""/>
    <n v="1.42"/>
    <n v="1.48"/>
    <m/>
    <m/>
    <m/>
    <m/>
    <m/>
    <m/>
    <m/>
    <m/>
    <m/>
    <m/>
    <m/>
    <m/>
    <m/>
    <n v="1.42"/>
    <m/>
    <n v="0.06"/>
    <m/>
    <n v="0.51"/>
    <m/>
    <n v="10.46"/>
    <m/>
    <m/>
    <n v="1.42"/>
    <n v="12.45"/>
  </r>
  <r>
    <x v="7"/>
    <x v="108"/>
    <s v="Fresh or Not Specified"/>
    <s v="Darjeeling Tea, organic production"/>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Yes"/>
    <s v="Yes"/>
    <s v="Yes"/>
    <s v="No"/>
    <s v="Yes"/>
    <s v="No"/>
    <s v="No"/>
    <m/>
    <s v="Cradle to Grave"/>
    <s v="No"/>
    <s v="No"/>
    <s v="250ml of tea ready for consumption (reference flow = 1.75g dry tea leaves)"/>
    <s v="extracting impact per kg dry tea leaves. 1.75g tea/cup.  Cultivation &amp; processing only"/>
    <n v="51.428571428571423"/>
    <n v="51.999999999999993"/>
    <n v="2.9142857142857146"/>
    <n v="6.6857142857142859"/>
    <n v="51.428571428571423"/>
    <n v="0.5714285714285714"/>
    <m/>
    <n v="1.7142857142857142"/>
    <n v="0"/>
    <m/>
    <n v="377.14285714285717"/>
    <m/>
    <m/>
    <n v="51.428571428571423"/>
    <n v="430.85714285714289"/>
    <m/>
    <m/>
    <n v="2.9142857142857146"/>
    <m/>
    <n v="3.7714285714285714"/>
    <n v="2.2857142857142856"/>
    <n v="5.1428571428571423"/>
    <n v="0.62857142857142856"/>
    <n v="1.8857142857142857"/>
    <m/>
    <m/>
    <n v="2.9142857142857146"/>
    <n v="16.628571428571426"/>
  </r>
  <r>
    <x v="7"/>
    <x v="109"/>
    <s v="Fresh or Not Specified"/>
    <s v="Darjeeling Tea, organic teabag"/>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Yes"/>
    <s v="Yes"/>
    <s v="Yes"/>
    <s v="No"/>
    <s v="Yes"/>
    <s v="No"/>
    <s v="No"/>
    <m/>
    <s v="Cradle to Grave"/>
    <s v="No"/>
    <s v="No"/>
    <s v="250ml of tea ready for consumption (reference flow = 1.75g dry tea leaves)"/>
    <s v="reported value / density (250.44g/250ml) --&gt; (RV x 1000g/kg)/(250.44g/250ml)"/>
    <s v=""/>
    <s v=""/>
    <s v=""/>
    <s v=""/>
    <m/>
    <m/>
    <m/>
    <m/>
    <m/>
    <m/>
    <m/>
    <m/>
    <m/>
    <m/>
    <n v="3.4259702922855775"/>
    <m/>
    <m/>
    <m/>
    <m/>
    <m/>
    <m/>
    <m/>
    <m/>
    <m/>
    <m/>
    <m/>
    <m/>
    <n v="0.20603737422137039"/>
  </r>
  <r>
    <x v="7"/>
    <x v="108"/>
    <s v="Fresh or Not Specified"/>
    <s v="Darjeeling Tea, conventional production"/>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Yes"/>
    <s v="Yes"/>
    <s v="Yes"/>
    <s v="No"/>
    <s v="Yes"/>
    <s v="No"/>
    <s v="No"/>
    <m/>
    <s v="Cradle to Grave"/>
    <s v="No"/>
    <s v="No"/>
    <s v="250ml of tea ready for consumption (reference flow = 1.75g dry tea leaves)"/>
    <s v="extracting impact per kg dry tea leaves. 1.75g tea/cup.  Cultivation &amp; processing only"/>
    <n v="57.142857142857146"/>
    <n v="57.714285714285715"/>
    <n v="1.7142857142857142"/>
    <n v="5.4857142857142858"/>
    <n v="57.142857142857146"/>
    <n v="0.5714285714285714"/>
    <m/>
    <n v="1.7142857142857142"/>
    <n v="5.7142857142857144"/>
    <m/>
    <n v="377.14285714285717"/>
    <m/>
    <m/>
    <n v="57.142857142857146"/>
    <n v="442.28571428571433"/>
    <m/>
    <m/>
    <n v="1.7142857142857142"/>
    <m/>
    <n v="3.7714285714285714"/>
    <n v="2.2857142857142856"/>
    <n v="5.1428571428571423"/>
    <n v="0.62857142857142856"/>
    <n v="1.8857142857142857"/>
    <m/>
    <m/>
    <n v="1.7142857142857142"/>
    <n v="15.428571428571429"/>
  </r>
  <r>
    <x v="7"/>
    <x v="109"/>
    <s v="Fresh or Not Specified"/>
    <s v="Darjeeling Tea, conventional tea bag"/>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Yes"/>
    <s v="Yes"/>
    <s v="Yes"/>
    <s v="No"/>
    <s v="Yes"/>
    <s v="No"/>
    <s v="No"/>
    <m/>
    <s v="Cradle to Grave"/>
    <s v="No"/>
    <s v="No"/>
    <s v="250ml of tea ready for consumption (reference flow = 1.75g dry tea leaves)"/>
    <s v="reported value / density (250.44g/250ml) --&gt; (RV x 1000g/kg)/(250.44g/250ml)"/>
    <s v=""/>
    <s v=""/>
    <s v=""/>
    <s v=""/>
    <m/>
    <m/>
    <m/>
    <m/>
    <m/>
    <m/>
    <m/>
    <m/>
    <m/>
    <m/>
    <n v="3.4539210988659961"/>
    <m/>
    <m/>
    <m/>
    <m/>
    <m/>
    <m/>
    <m/>
    <m/>
    <m/>
    <m/>
    <m/>
    <m/>
    <n v="0.1964542405366555"/>
  </r>
  <r>
    <x v="7"/>
    <x v="109"/>
    <s v="Fresh or Not Specified"/>
    <s v="Darjeeling Tea, organic loose w/o distribution"/>
    <s v="Yes"/>
    <s v="India"/>
    <n v="2010"/>
    <s v="Geneviève Doublet; Niels Jungbluth"/>
    <s v="ESU-services Ltd. – fair consulting in sustainability, Kanzleistr. 4, CH-8610 Uster"/>
    <s v="Consulting Group"/>
    <s v="Doublet, G. and Jungbluth, N., Life cycle assessment of drinking Darjeeling tea. ESU-Services Ltd; 2010, 1-18."/>
    <s v="Yes"/>
    <s v="No"/>
    <s v="Yes"/>
    <s v="Yes"/>
    <s v="Yes"/>
    <s v="No"/>
    <s v="No"/>
    <s v="No"/>
    <s v="No"/>
    <s v="Yes"/>
    <s v="No"/>
    <s v="No"/>
    <m/>
    <s v="Cradle to Grave"/>
    <s v="No"/>
    <s v="No"/>
    <s v="250ml of tea ready for consumption (reference flow = 1.75g dry tea leaves)"/>
    <s v="reported value / density (250.44g/250ml) --&gt; (RV x 1000g/kg)/(250.44g/250ml)"/>
    <s v=""/>
    <s v=""/>
    <s v=""/>
    <s v=""/>
    <m/>
    <m/>
    <m/>
    <m/>
    <m/>
    <m/>
    <m/>
    <m/>
    <m/>
    <m/>
    <n v="3.0346590001597189"/>
    <m/>
    <m/>
    <m/>
    <m/>
    <m/>
    <m/>
    <m/>
    <m/>
    <m/>
    <m/>
    <m/>
    <m/>
    <n v="0.18367672895703563"/>
  </r>
  <r>
    <x v="7"/>
    <x v="110"/>
    <s v="Fresh or Not Specified"/>
    <s v="Carbonated Beverages, Glass Packaging"/>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n v="1.4733205374280227"/>
    <n v="2.5492322456813814"/>
    <n v="3.8387715930902108E-2"/>
    <n v="9.2130518234165071E-2"/>
    <n v="1.4733205374280227"/>
    <m/>
    <n v="1.0759117082533587"/>
    <n v="6.6784069097888663"/>
    <n v="0.13570057581573894"/>
    <m/>
    <m/>
    <n v="0.32955854126679462"/>
    <m/>
    <n v="1.4733205374280227"/>
    <n v="9.6928982725527817"/>
    <m/>
    <m/>
    <n v="3.8387715930902108E-2"/>
    <m/>
    <n v="5.3742802303262956E-2"/>
    <n v="0.39731285988483683"/>
    <n v="7.677543186180422E-3"/>
    <m/>
    <m/>
    <n v="3.5508637236084453E-2"/>
    <m/>
    <n v="3.8387715930902108E-2"/>
    <n v="0.53262955854126681"/>
  </r>
  <r>
    <x v="7"/>
    <x v="110"/>
    <s v="Fresh or Not Specified"/>
    <s v="Carbonated Beverages, Aluminum Packaging"/>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n v="1.4700575815738961"/>
    <n v="4.2380038387715917"/>
    <n v="3.8387715930902108E-2"/>
    <n v="4.9904030710172742E-2"/>
    <n v="1.4700575815738961"/>
    <m/>
    <n v="0.20748560460652588"/>
    <n v="2.5604606525911699"/>
    <n v="9.270633397312858E-2"/>
    <m/>
    <m/>
    <n v="8.3877159309021093E-2"/>
    <m/>
    <n v="1.4700575815738961"/>
    <n v="4.4145873320537419"/>
    <m/>
    <m/>
    <n v="3.8387715930902108E-2"/>
    <m/>
    <n v="1.1516314779270634E-2"/>
    <n v="0.23800383877159309"/>
    <n v="4.7984644913627635E-3"/>
    <m/>
    <m/>
    <n v="6.7178502879078695E-3"/>
    <m/>
    <n v="3.8387715930902108E-2"/>
    <n v="0.29942418426103651"/>
  </r>
  <r>
    <x v="7"/>
    <x v="110"/>
    <s v="Fresh or Not Specified"/>
    <s v="Carbonated Beverages, PET 0.5 L Packaging"/>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n v="2.0596928982725524"/>
    <n v="2.7231381957773508"/>
    <n v="3.8387715930902108E-2"/>
    <n v="7.4856046065259113E-2"/>
    <n v="2.0596928982725524"/>
    <m/>
    <n v="0.66344529750479841"/>
    <n v="4.0633397312859882"/>
    <n v="7.9165067178502871E-2"/>
    <m/>
    <m/>
    <n v="0.14011516314779271"/>
    <m/>
    <n v="2.0596928982725524"/>
    <n v="7.0057581573896348"/>
    <m/>
    <m/>
    <n v="3.8387715930902108E-2"/>
    <m/>
    <n v="3.6468330134357005E-2"/>
    <n v="0.16698656429942416"/>
    <n v="5.7581573896353169E-3"/>
    <m/>
    <m/>
    <n v="3.358925143953935E-2"/>
    <m/>
    <n v="3.8387715930902108E-2"/>
    <n v="0.28119001919385794"/>
  </r>
  <r>
    <x v="7"/>
    <x v="110"/>
    <s v="Fresh or Not Specified"/>
    <s v="Carbonated Beverages, PET 2 L Packaging"/>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n v="1.1568138195777349"/>
    <n v="1.5294337811900189"/>
    <n v="3.8387715930902108E-2"/>
    <n v="5.4702495201535507E-2"/>
    <n v="1.1568138195777349"/>
    <m/>
    <n v="0.37261996161228406"/>
    <n v="2.2821497120921301"/>
    <n v="4.4462571976967361E-2"/>
    <m/>
    <m/>
    <n v="7.869481765834932E-2"/>
    <m/>
    <n v="1.1568138195777349"/>
    <n v="3.9347408829174659"/>
    <m/>
    <m/>
    <n v="3.8387715930902108E-2"/>
    <m/>
    <n v="1.6314779270633399E-2"/>
    <n v="7.1017274472168906E-2"/>
    <n v="4.7984644913627635E-3"/>
    <m/>
    <m/>
    <n v="1.3435700575815739E-2"/>
    <m/>
    <n v="3.8387715930902108E-2"/>
    <n v="0.14395393474088292"/>
  </r>
  <r>
    <x v="12"/>
    <x v="103"/>
    <s v="Frozen"/>
    <s v="Common Octopus, delivered to import ports; average of 3 reported"/>
    <s v="No"/>
    <s v="Mauritania (Spanish fleet)"/>
    <n v="2012"/>
    <s v="Ian Va´zquez-Rowe n, Marı´a TeresaMoreira,GumersindoFeijoo"/>
    <s v="Department ofChemicalEngineering,SchoolofEngineering,UniversityofSantiagodeCompostela.15782–SantiagodeCompostela,Spain"/>
    <s v="Peer Reviewed Journal"/>
    <s v="Vázquez-Rowe, I., Moreira, M. T. and Feijoo, G., Environmental assessment of frozen common octopus (Octopus vulgaris) captured by Spanish fishing vessels in the Mauritanian EEZ. Marine Policy 2012, 36, 180-188."/>
    <s v="Yes"/>
    <s v="No"/>
    <s v="Yes"/>
    <s v="No"/>
    <s v="Yes"/>
    <s v="No"/>
    <s v="No"/>
    <s v="No"/>
    <s v="No"/>
    <s v="No"/>
    <s v="No"/>
    <s v="No"/>
    <m/>
    <s v="delivered to port"/>
    <s v="No"/>
    <s v="No"/>
    <s v="24 kg frozen octopus"/>
    <s v="/24/.79  79% meats from http://www.fao.org/docrep/003/t0219e/T0219E01.htm#ch1"/>
    <s v=""/>
    <s v=""/>
    <s v=""/>
    <s v=""/>
    <m/>
    <m/>
    <m/>
    <m/>
    <m/>
    <m/>
    <m/>
    <m/>
    <m/>
    <m/>
    <m/>
    <m/>
    <m/>
    <m/>
    <m/>
    <m/>
    <m/>
    <m/>
    <m/>
    <m/>
    <m/>
    <m/>
    <m/>
    <n v="9.9096343178621655"/>
  </r>
  <r>
    <x v="12"/>
    <x v="111"/>
    <s v="Fresh or Not Specified"/>
    <s v="fresh Tasmanian Southern Rock lobster airfreighted; recording basecase here"/>
    <s v="Yes"/>
    <s v="Tasmania"/>
    <n v="2014"/>
    <s v="Anna Farmery a,*, Caleb Gardner a,1, Bridget S. Green a,2, Sarah Jennings b,3"/>
    <s v="a Institute for Marine and Antarctic Studies, University of Tasmania, Hobart, Tasmania 7001, Australia; b School of Economics and Finance, University of Tasmania, Hobart, Tasmania 7001, Australia"/>
    <s v="Peer Reviewed Journal"/>
    <s v="Farmery, A. K., Gardner, C., Green, B. S. and Jennings, S., Managing fisheries for environmental performance: the effects of marine resource decision-making on the footprint of seafood. Journal of Cleaner Production 2014, 64, 368-376."/>
    <s v="Yes"/>
    <s v="No"/>
    <s v="Yes"/>
    <s v="No"/>
    <s v="Yes"/>
    <s v="No"/>
    <s v="No"/>
    <s v="No"/>
    <s v="No"/>
    <s v="No"/>
    <s v="No"/>
    <s v="No"/>
    <m/>
    <s v="delivered to Beijing, China"/>
    <s v="No"/>
    <s v="Yes"/>
    <s v="1 kg of live lobster at the point of arrival in the main export market of Beijing, China"/>
    <s v="/.31 ~31% meat yield, from DOI:10.1021/jf900237g"/>
    <n v="609.67741935483866"/>
    <s v=""/>
    <n v="40.645161290322577"/>
    <s v=""/>
    <n v="609.67741935483866"/>
    <m/>
    <m/>
    <n v="100"/>
    <n v="854.83870967741939"/>
    <m/>
    <m/>
    <m/>
    <m/>
    <n v="609.67741935483866"/>
    <n v="1564.516129032258"/>
    <s v="CML Baseline 2000"/>
    <m/>
    <n v="40.645161290322577"/>
    <m/>
    <m/>
    <n v="2.967741935483871"/>
    <n v="56.451612903225808"/>
    <m/>
    <m/>
    <m/>
    <m/>
    <n v="40.645161290322577"/>
    <n v="100"/>
  </r>
  <r>
    <x v="12"/>
    <x v="102"/>
    <s v="Fresh (Raw)"/>
    <s v="Salmon, farmed, gutted, head on, trucked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3.6"/>
  </r>
  <r>
    <x v="12"/>
    <x v="102"/>
    <s v="Fresh (Raw)"/>
    <s v="Salmon, farmed, gutted, head on, trucked to Oslo"/>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3.29"/>
  </r>
  <r>
    <x v="12"/>
    <x v="102"/>
    <s v="Fresh (Raw)"/>
    <s v="Salmon, farmed, gutted, head on, trucked to Moscow"/>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4.16"/>
  </r>
  <r>
    <x v="12"/>
    <x v="102"/>
    <s v="Fresh (Raw)"/>
    <s v="Salmon, farmed, gutted, head on, air to Tokyo"/>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13.9"/>
  </r>
  <r>
    <x v="12"/>
    <x v="102"/>
    <s v="Frozen"/>
    <s v="Salmon, farmed, container freight to Shanghai"/>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4.08"/>
  </r>
  <r>
    <x v="12"/>
    <x v="102"/>
    <s v="Fresh or Not Specified"/>
    <s v="Salmon, farmed, fillet,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2.52"/>
  </r>
  <r>
    <x v="12"/>
    <x v="102"/>
    <s v="Frozen"/>
    <s v="Salmon, farmed, fillet,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2"/>
    <s v=""/>
    <m/>
    <m/>
    <m/>
    <m/>
    <m/>
    <m/>
    <m/>
    <m/>
    <m/>
    <m/>
    <m/>
    <m/>
    <m/>
    <m/>
    <m/>
    <m/>
    <m/>
    <m/>
    <m/>
    <m/>
    <m/>
    <m/>
    <n v="2"/>
    <n v="2.4700000000000002"/>
  </r>
  <r>
    <x v="12"/>
    <x v="103"/>
    <s v="Fresh (Live)"/>
    <s v="Mussels, farmed,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16900000000000001"/>
    <s v=""/>
    <m/>
    <m/>
    <m/>
    <m/>
    <m/>
    <m/>
    <m/>
    <m/>
    <m/>
    <m/>
    <m/>
    <m/>
    <m/>
    <m/>
    <m/>
    <m/>
    <m/>
    <m/>
    <m/>
    <m/>
    <m/>
    <m/>
    <n v="0.16900000000000001"/>
    <n v="2.5499999999999998"/>
  </r>
  <r>
    <x v="12"/>
    <x v="104"/>
    <s v="Fresh or Not Specified"/>
    <s v="Atlantic Cod, wild caught, gutted, head on,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3.63"/>
  </r>
  <r>
    <x v="12"/>
    <x v="104"/>
    <s v="Fresh or Not Specified"/>
    <s v="Atlantic Cod, wild caught, fillet, truck to Oslo"/>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36"/>
  </r>
  <r>
    <x v="12"/>
    <x v="104"/>
    <s v="Fresh or Not Specified"/>
    <s v="Atlantic Cod, wild, fillet,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5099999999999998"/>
  </r>
  <r>
    <x v="12"/>
    <x v="104"/>
    <s v="Frozen"/>
    <s v="Atlantic Cod, wild, fillet, truck to Paris"/>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5099999999999998"/>
  </r>
  <r>
    <x v="12"/>
    <x v="104"/>
    <s v="Frozen"/>
    <s v="Atlantic Cod, wild, fillet, truck/container to Paris via processing in China"/>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3.78"/>
  </r>
  <r>
    <x v="12"/>
    <x v="104"/>
    <s v="Saltfish"/>
    <s v="Atlantic Cod, wild, truck to Lisbo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21"/>
  </r>
  <r>
    <x v="12"/>
    <x v="104"/>
    <s v="Saltfish"/>
    <s v="Atlantic Cod, wild, truck to Lisbo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2"/>
    <s v=""/>
    <m/>
    <m/>
    <m/>
    <m/>
    <m/>
    <m/>
    <m/>
    <m/>
    <m/>
    <m/>
    <m/>
    <m/>
    <m/>
    <m/>
    <m/>
    <m/>
    <m/>
    <m/>
    <m/>
    <m/>
    <m/>
    <m/>
    <n v="1.2"/>
    <n v="2.2799999999999998"/>
  </r>
  <r>
    <x v="12"/>
    <x v="104"/>
    <s v="Saithe, frozen"/>
    <s v="wild, fillet, Truck to Berli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3"/>
    <s v=""/>
    <m/>
    <m/>
    <m/>
    <m/>
    <m/>
    <m/>
    <m/>
    <m/>
    <m/>
    <m/>
    <m/>
    <m/>
    <m/>
    <m/>
    <m/>
    <m/>
    <m/>
    <m/>
    <m/>
    <m/>
    <m/>
    <m/>
    <n v="1.3"/>
    <n v="2.57"/>
  </r>
  <r>
    <x v="12"/>
    <x v="104"/>
    <s v="Fresh or Not Specified"/>
    <s v="Haddock, wild, gutted, head on, Truck/RoRo vessel to Londo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1.35"/>
    <s v=""/>
    <m/>
    <m/>
    <m/>
    <m/>
    <m/>
    <m/>
    <m/>
    <m/>
    <m/>
    <m/>
    <m/>
    <m/>
    <m/>
    <m/>
    <m/>
    <m/>
    <m/>
    <m/>
    <m/>
    <m/>
    <m/>
    <m/>
    <n v="1.35"/>
    <n v="3.71"/>
  </r>
  <r>
    <x v="12"/>
    <x v="104"/>
    <s v="Frozen"/>
    <s v="Haddock, wild, gutted, head on, Truck/bulk freight to London"/>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3.84"/>
  </r>
  <r>
    <x v="12"/>
    <x v="104"/>
    <s v="herring, frozen"/>
    <s v="wild, round, bulk freight/train to Moscow"/>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0.97"/>
  </r>
  <r>
    <x v="12"/>
    <x v="104"/>
    <s v="herring, frozen"/>
    <s v="wild, deskinned fillet, truck to Moscow"/>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1.39"/>
  </r>
  <r>
    <x v="12"/>
    <x v="104"/>
    <s v="Frozen"/>
    <s v="Mackerel, wild, round, container freighter to Tokyo"/>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1.93"/>
  </r>
  <r>
    <x v="12"/>
    <x v="104"/>
    <s v="Frozen"/>
    <s v="Mackerel, wild, round, bulk freight/train to Moscow"/>
    <s v="No"/>
    <s v="Norway"/>
    <n v="2013"/>
    <s v="Friederike Ziegler, Ulf Winther, Erik Skontorp Hognes, Andreas Emanuelsson, Veronica Sund,and Harald Ellingsen"/>
    <s v="SIK, PO Box 5401, SE-402 29 G¨oteborg, Sweden"/>
    <s v="Peer Reviewed Journal"/>
    <s v="Ziegler, F., Winther, U., Hognes, E. S., Emanuelsson, A., Sund, V. and Ellingsen, H., The Carbon Footprint of Norwegian Seafood Products on the Global Seafood Market. Journal of Industrial Ecology 2013, 17 (1), 103-116."/>
    <s v="Yes"/>
    <s v="No"/>
    <s v="Yes"/>
    <s v="Yes"/>
    <s v="Yes"/>
    <s v="Yes"/>
    <s v="No"/>
    <s v="No"/>
    <s v="No"/>
    <s v="No"/>
    <s v="No"/>
    <s v="No"/>
    <m/>
    <m/>
    <s v="No"/>
    <s v="No"/>
    <s v="1 kg edible seafood at wholesaler"/>
    <m/>
    <s v=""/>
    <s v=""/>
    <n v="0.34"/>
    <s v=""/>
    <m/>
    <m/>
    <m/>
    <m/>
    <m/>
    <m/>
    <m/>
    <m/>
    <m/>
    <m/>
    <m/>
    <m/>
    <m/>
    <m/>
    <m/>
    <m/>
    <m/>
    <m/>
    <m/>
    <m/>
    <m/>
    <m/>
    <n v="0.34"/>
    <n v="1"/>
  </r>
  <r>
    <x v="12"/>
    <x v="111"/>
    <s v="Fresh (Live)"/>
    <s v="American Lobster, caught in Maine, delivered live to Boston, MA, stored live for 72 hrs"/>
    <s v="No"/>
    <s v="Maine, US"/>
    <n v="2015"/>
    <s v="John Driscoll ∗, Catherine Boyd, Peter Tyedmers"/>
    <s v="School for Resource and Environmental Studies, Dalhousie University, 6100 University Ave, Suite 5010, Halifax, Nova Scotia B3H 4R2, Canada"/>
    <s v="Peer Reviewed Journal"/>
    <s v="Driscoll, J., Boyd, C. and Tyedmers, P., Life cycle assessment of the Maine and southwest Nova Scotia lobster industries. Fisheries Research 2015, 172, 385-400."/>
    <s v="Yes"/>
    <s v="No"/>
    <s v="Yes"/>
    <s v="No"/>
    <s v="No"/>
    <s v="No"/>
    <s v="No"/>
    <s v="No"/>
    <s v="No"/>
    <s v="No"/>
    <s v="No"/>
    <s v="No"/>
    <m/>
    <s v="The boundaries of the analyses encompassed those processes required for the provision and/or use of the vessel, gear, bait, fuel, and post-capture storage and transport of live lobster. The models of post-capture transport reflected common distribution networks for lobster caught in the Maine and LFA 34 fisheries (e.g., regional distribution for Maine lobster, and distribution todistant U.S. markets for LFA 34 lobster)"/>
    <s v="No"/>
    <s v="Yes"/>
    <s v="one metric ton of live lobster, caught in calendar year 2006, delivered to a live storage facility in Boston, Massachusetts, and stored for 72 h."/>
    <s v="/1000/.31  ~31% meat yield, from DOI:10.1021/jf900237g"/>
    <n v="244.11612903225807"/>
    <s v=""/>
    <n v="15.848387096774195"/>
    <s v=""/>
    <n v="244.11612903225807"/>
    <m/>
    <m/>
    <m/>
    <n v="16.896799999999999"/>
    <m/>
    <m/>
    <m/>
    <m/>
    <n v="244.11612903225807"/>
    <n v="261.01290322580644"/>
    <s v="CED v 1.03"/>
    <m/>
    <n v="15.848387096774195"/>
    <m/>
    <m/>
    <m/>
    <n v="0.95483499999999999"/>
    <m/>
    <m/>
    <m/>
    <m/>
    <n v="15.848387096774195"/>
    <n v="16.803225806451611"/>
  </r>
  <r>
    <x v="12"/>
    <x v="111"/>
    <s v="Fresh (Live)"/>
    <s v="American Lobster, caught in Lobster Fishing Area 34, delivered to Las Vegas, NV"/>
    <s v="No"/>
    <s v="Nova Scotia, Canada"/>
    <n v="2015"/>
    <s v="John Driscoll ∗, Catherine Boyd, Peter Tyedmers"/>
    <s v="School for Resource and Environmental Studies, Dalhousie University, 6100 University Ave, Suite 5010, Halifax, Nova Scotia B3H 4R2, Canada"/>
    <s v="Peer Reviewed Journal"/>
    <s v="Driscoll, J., Boyd, C. and Tyedmers, P., Life cycle assessment of the Maine and southwest Nova Scotia lobster industries. Fisheries Research 2015, 172, 385-400."/>
    <s v="Yes"/>
    <s v="No"/>
    <s v="Yes"/>
    <s v="No"/>
    <s v="No"/>
    <s v="No"/>
    <s v="No"/>
    <s v="No"/>
    <s v="No"/>
    <s v="No"/>
    <s v="No"/>
    <s v="No"/>
    <m/>
    <s v="The boundaries of the analyses encompassed those processes required for the provision and/or use of the vessel, gear, bait, fuel, and post-capture storage and transport of live lobster. The models of post-capture transport reflected common distribution networks for lobster caught in the Maine and LFA 34 fisheries (e.g., regional distribution for Maine lobster, and distribution todistant U.S. markets for LFA 34 lobster)"/>
    <s v="No"/>
    <s v="Yes"/>
    <s v="one metric ton of live lobster caught in the 2005–2006 fishing season and delivered to Las Vegas,Nevada"/>
    <s v="/1000/.31  ~31% meat yield, from DOI:10.1021/jf900237g"/>
    <n v="191.96774193548387"/>
    <n v="219.17096193548389"/>
    <n v="13.445161290322581"/>
    <s v=""/>
    <n v="191.96774193548387"/>
    <n v="27.203220000000002"/>
    <m/>
    <m/>
    <n v="224.858"/>
    <m/>
    <m/>
    <m/>
    <m/>
    <n v="191.96774193548387"/>
    <n v="444.03225806451616"/>
    <s v="CED v 1.03"/>
    <m/>
    <n v="13.445161290322581"/>
    <m/>
    <m/>
    <m/>
    <n v="16.22258064516129"/>
    <m/>
    <m/>
    <m/>
    <m/>
    <n v="13.445161290322581"/>
    <n v="29.667741935483868"/>
  </r>
  <r>
    <x v="12"/>
    <x v="104"/>
    <s v="herring, canned "/>
    <s v="herring, no oil"/>
    <s v="No"/>
    <s v="Denmark"/>
    <n v="2011"/>
    <s v="Benedikt Buschspies; Sunnie J. Tolle; Niels Jungbluth"/>
    <s v="ESU services consulting, Switzerland"/>
    <s v="Industry Based Report"/>
    <s v="Buchspies, B., Tölle, S. and Jungbluthy, N., Life Cycle Assessment of High-Sea Fish and Salmon Aquaculture. Switzerland: ESU-services Ltd.; 2011."/>
    <s v="Yes"/>
    <s v="No"/>
    <s v="Yes"/>
    <s v="Yes"/>
    <s v="Yes"/>
    <s v="Yes"/>
    <s v="Yes"/>
    <s v="No"/>
    <s v="No"/>
    <s v="No"/>
    <s v="No"/>
    <s v="No"/>
    <m/>
    <s v="landed in Denmark, processed &amp; packaged, trucked to Switzerland"/>
    <s v="No"/>
    <s v="Yes"/>
    <s v="1 kg fish fillet sold in Swiss supermarket"/>
    <m/>
    <s v=""/>
    <s v=""/>
    <n v="0.55000000000000004"/>
    <n v="1.2"/>
    <m/>
    <m/>
    <m/>
    <m/>
    <m/>
    <m/>
    <m/>
    <m/>
    <m/>
    <m/>
    <m/>
    <m/>
    <m/>
    <n v="0.55000000000000004"/>
    <n v="0.2"/>
    <n v="0.45"/>
    <n v="2.3199999999999998"/>
    <n v="0.22"/>
    <m/>
    <m/>
    <m/>
    <m/>
    <n v="0.55000000000000004"/>
    <n v="3.7"/>
  </r>
  <r>
    <x v="12"/>
    <x v="104"/>
    <s v="canned "/>
    <s v="mackerel, no oil"/>
    <s v="No"/>
    <s v="Denmark"/>
    <n v="2011"/>
    <s v="Benedikt Buschspies; Sunnie J. Tolle; Niels Jungbluth"/>
    <s v="ESU services consulting, Switzerland"/>
    <s v="Industry Based Report"/>
    <s v="Buchspies, B., Tölle, S. and Jungbluthy, N., Life Cycle Assessment of High-Sea Fish and Salmon Aquaculture. Switzerland: ESU-services Ltd.; 2011."/>
    <s v="Yes"/>
    <s v="No"/>
    <s v="Yes"/>
    <s v="Yes"/>
    <s v="Yes"/>
    <s v="Yes"/>
    <s v="Yes"/>
    <s v="No"/>
    <s v="No"/>
    <s v="No"/>
    <s v="No"/>
    <s v="No"/>
    <m/>
    <s v="landed in Denmark, processed &amp; packaged, trucked to Switzerland"/>
    <s v="No"/>
    <s v="Yes"/>
    <s v="2 kg fish fillet sold in Swiss supermarket"/>
    <m/>
    <s v=""/>
    <s v=""/>
    <n v="0.45"/>
    <n v="1.1200000000000001"/>
    <m/>
    <m/>
    <m/>
    <m/>
    <m/>
    <m/>
    <m/>
    <m/>
    <m/>
    <m/>
    <m/>
    <m/>
    <m/>
    <n v="0.45"/>
    <n v="0.22"/>
    <n v="0.45"/>
    <n v="2.4"/>
    <n v="0.22"/>
    <m/>
    <m/>
    <m/>
    <m/>
    <n v="0.45"/>
    <n v="3.7"/>
  </r>
  <r>
    <x v="12"/>
    <x v="104"/>
    <s v="Frozen"/>
    <s v="Atlantic Cod"/>
    <s v="No"/>
    <s v="Denmark"/>
    <n v="2011"/>
    <s v="Benedikt Buschspies; Sunnie J. Tolle; Niels Jungbluth"/>
    <s v="ESU services consulting, Switzerland"/>
    <s v="Industry Based Report"/>
    <s v="Buchspies, B., Tölle, S. and Jungbluthy, N., Life Cycle Assessment of High-Sea Fish and Salmon Aquaculture. Switzerland: ESU-services Ltd.; 2011."/>
    <s v="Yes"/>
    <s v="No"/>
    <s v="Yes"/>
    <s v="Yes"/>
    <s v="Yes"/>
    <s v="Yes"/>
    <s v="Yes"/>
    <s v="No"/>
    <s v="No"/>
    <s v="No"/>
    <s v="No"/>
    <s v="No"/>
    <m/>
    <s v="landed in Denmark, processed &amp; packaged, trucked to Switzerland"/>
    <s v="No"/>
    <s v="Yes"/>
    <s v="3 kg fish fillet sold in Swiss supermarket"/>
    <m/>
    <s v=""/>
    <s v=""/>
    <n v="3.73"/>
    <n v="4.4000000000000004"/>
    <m/>
    <m/>
    <m/>
    <m/>
    <m/>
    <m/>
    <m/>
    <m/>
    <m/>
    <m/>
    <m/>
    <m/>
    <m/>
    <n v="3.73"/>
    <n v="0.22"/>
    <n v="0.45"/>
    <n v="0.12"/>
    <n v="0.68"/>
    <m/>
    <m/>
    <m/>
    <m/>
    <n v="3.73"/>
    <n v="5.3"/>
  </r>
  <r>
    <x v="12"/>
    <x v="102"/>
    <s v="Cured or Pickled"/>
    <s v="Salmon, filleted, brined &amp; smoked"/>
    <s v="No"/>
    <s v="Norway"/>
    <n v="2011"/>
    <s v="Benedikt Buschspies; Sunnie J. Tolle; Niels Jungbluth"/>
    <s v="ESU services consulting, Switzerland"/>
    <s v="Industry Based Report"/>
    <s v="Buchspies, B., Tölle, S. and Jungbluthy, N., Life Cycle Assessment of High-Sea Fish and Salmon Aquaculture. Switzerland: ESU-services Ltd.; 2011."/>
    <s v="Yes"/>
    <s v="No"/>
    <s v="Yes"/>
    <s v="Yes"/>
    <s v="Yes"/>
    <s v="Yes"/>
    <s v="Yes"/>
    <s v="No"/>
    <s v="No"/>
    <s v="No"/>
    <s v="No"/>
    <s v="No"/>
    <m/>
    <s v="farmed in Norway, processed &amp; packaged, transported by truck to Switzerland"/>
    <s v="No"/>
    <s v="Yes"/>
    <s v="4 kg fish fillet sold in Swiss supermarket"/>
    <m/>
    <s v=""/>
    <s v=""/>
    <n v="4.5"/>
    <n v="5.0600000000000005"/>
    <m/>
    <m/>
    <m/>
    <m/>
    <m/>
    <m/>
    <m/>
    <m/>
    <m/>
    <m/>
    <m/>
    <m/>
    <m/>
    <n v="4.5"/>
    <n v="0.48"/>
    <n v="0.08"/>
    <n v="0.45"/>
    <n v="1.0900000000000001"/>
    <m/>
    <m/>
    <m/>
    <m/>
    <n v="4.5"/>
    <n v="6.6"/>
  </r>
  <r>
    <x v="12"/>
    <x v="102"/>
    <s v="Fresh (Raw)"/>
    <s v="Farmed Trout, flow-through system"/>
    <s v="Yes"/>
    <s v="France"/>
    <n v="2009"/>
    <s v="J. Aubin a,*, E. Papatryphon b, H.M.G. van der Werf a, S. Chatzifotis c"/>
    <s v="a INRA, Agrocampus Rennes, UMR1069, Sol Agronomie Spatialisation, 65 rue de Saint Brieuc, CS 84215, F-35042 Rennes Cedex, France b Scientific Cooperation Unit, European Food Safety Authority (EFSA), Largo Natale Palli 5/A, l-431 Parma, Italy c Institute of Aquaculture, Hellenic Centre for Marine Research, PO Box 2214, G-71003 Heraklion, Greece "/>
    <s v="Peer Reviewed Journal"/>
    <s v="Aubin, J., Papatryphon, E., Van Der Werf, H. and Chatzifotis, S., Assessment of the environmental impact of carnivorous finfish production systems using life cycle assessment. Journal of Cleaner Production 2009, 17 (3), 354-361."/>
    <s v="Yes"/>
    <s v="No"/>
    <s v="No"/>
    <s v="No"/>
    <s v="No"/>
    <s v="No"/>
    <s v="No"/>
    <s v="No"/>
    <s v="No"/>
    <s v="No"/>
    <s v="No"/>
    <s v="Yes"/>
    <m/>
    <s v="to farm gate"/>
    <s v="No"/>
    <s v="Yes"/>
    <s v="1 tonne live fish"/>
    <s v="/1000/.65 assuming 65% fillet yield, ave of high and low FY from http://onlinelibrary.wiley.com/doi/10.1111/j.1745-4573.2010.00214.x/abstract"/>
    <n v="120.35230769230769"/>
    <s v=""/>
    <n v="4.2353846153846151"/>
    <s v=""/>
    <n v="120.35230769230769"/>
    <m/>
    <m/>
    <m/>
    <m/>
    <m/>
    <m/>
    <m/>
    <n v="7.4215384615384608"/>
    <n v="120.35230769230769"/>
    <m/>
    <m/>
    <s v="Only Ag Prod and Capital Goods Reported, not Full LC"/>
    <n v="4.2353846153846151"/>
    <m/>
    <m/>
    <m/>
    <m/>
    <m/>
    <m/>
    <m/>
    <n v="0.37538461538461537"/>
    <n v="4.2353846153846151"/>
    <m/>
  </r>
  <r>
    <x v="12"/>
    <x v="104"/>
    <s v="Fresh (Raw)"/>
    <s v="Farmed Sea Bass, marine-based cages"/>
    <s v="Yes"/>
    <s v="Greece"/>
    <n v="2009"/>
    <s v="J. Aubin a,*, E. Papatryphon b, H.M.G. van der Werf a, S. Chatzifotis c"/>
    <s v="a INRA, Agrocampus Rennes, UMR1069, Sol Agronomie Spatialisation, 65 rue de Saint Brieuc, CS 84215, F-35042 Rennes Cedex, France b Scientific Cooperation Unit, European Food Safety Authority (EFSA), Largo Natale Palli 5/A, l-431 Parma, Italy c Institute of Aquaculture, Hellenic Centre for Marine Research, PO Box 2214, G-71003 Heraklion, Greece "/>
    <s v="Peer Reviewed Journal"/>
    <s v="Aubin, J., Papatryphon, E., Van Der Werf, H. and Chatzifotis, S., Assessment of the environmental impact of carnivorous finfish production systems using life cycle assessment. Journal of Cleaner Production 2009, 17 (3), 354-361."/>
    <s v="Yes"/>
    <s v="No"/>
    <s v="No"/>
    <s v="No"/>
    <s v="No"/>
    <s v="No"/>
    <s v="No"/>
    <s v="No"/>
    <s v="No"/>
    <s v="No"/>
    <s v="No"/>
    <s v="Yes"/>
    <m/>
    <s v="to farm gate"/>
    <s v="No"/>
    <s v="Yes"/>
    <s v="1 tonne live fish"/>
    <s v="/1000/.44 68% round to headed&amp;gutted, 65% headed&amp;gutted to skinless fillet, from http://www.chefs-resources.com/seafood/seafood-yields/"/>
    <n v="124.21818181818182"/>
    <s v=""/>
    <n v="8.1840909090909086"/>
    <s v=""/>
    <n v="124.21818181818182"/>
    <m/>
    <m/>
    <m/>
    <m/>
    <m/>
    <m/>
    <m/>
    <n v="12.520454545454546"/>
    <n v="124.21818181818182"/>
    <m/>
    <m/>
    <s v="Only Ag Prod and Capital Goods Reported, not Full LC"/>
    <n v="8.1840909090909086"/>
    <m/>
    <m/>
    <m/>
    <m/>
    <m/>
    <m/>
    <m/>
    <n v="0.7"/>
    <n v="8.1840909090909086"/>
    <m/>
  </r>
  <r>
    <x v="12"/>
    <x v="104"/>
    <s v="Fresh (Raw)"/>
    <s v="Farmed Turbot, land-based re-circulating system"/>
    <s v="Yes"/>
    <s v="France"/>
    <n v="2009"/>
    <s v="J. Aubin a,*, E. Papatryphon b, H.M.G. van der Werf a, S. Chatzifotis c"/>
    <s v="a INRA, Agrocampus Rennes, UMR1069, Sol Agronomie Spatialisation, 65 rue de Saint Brieuc, CS 84215, F-35042 Rennes Cedex, France b Scientific Cooperation Unit, European Food Safety Authority (EFSA), Largo Natale Palli 5/A, l-431 Parma, Italy c Institute of Aquaculture, Hellenic Centre for Marine Research, PO Box 2214, G-71003 Heraklion, Greece "/>
    <s v="Peer Reviewed Journal"/>
    <s v="Aubin, J., Papatryphon, E., Van Der Werf, H. and Chatzifotis, S., Assessment of the environmental impact of carnivorous finfish production systems using life cycle assessment. Journal of Cleaner Production 2009, 17 (3), 354-361."/>
    <s v="Yes"/>
    <s v="No"/>
    <s v="No"/>
    <s v="No"/>
    <s v="No"/>
    <s v="No"/>
    <s v="No"/>
    <s v="No"/>
    <s v="No"/>
    <s v="No"/>
    <s v="No"/>
    <s v="Yes"/>
    <m/>
    <s v="to farm gate"/>
    <s v="No"/>
    <s v="Yes"/>
    <s v="1 tonne live fish"/>
    <s v="/1000/.48  from http://www.brownetrading.com/species-spotlight/farm-raised-turbot-from-spain/"/>
    <n v="606.2208333333333"/>
    <s v=""/>
    <n v="12.535416666666668"/>
    <s v=""/>
    <n v="606.2208333333333"/>
    <m/>
    <m/>
    <m/>
    <m/>
    <m/>
    <m/>
    <m/>
    <n v="15.041666666666666"/>
    <n v="606.2208333333333"/>
    <m/>
    <m/>
    <s v="Only Ag Prod and Capital Goods Reported, not Full LC"/>
    <n v="12.535416666666668"/>
    <m/>
    <m/>
    <m/>
    <m/>
    <m/>
    <m/>
    <m/>
    <n v="0.82291666666666674"/>
    <n v="12.535416666666668"/>
    <m/>
  </r>
  <r>
    <x v="12"/>
    <x v="102"/>
    <s v="Fresh (Raw)"/>
    <s v="Salmon, Farmed"/>
    <s v="Yes"/>
    <s v="Norway"/>
    <n v="2009"/>
    <s v="Pelletier, Nathan; Tyedmers, Peter; Sonesson, Ulf; Scholz, Astrid; Ziegler, Friederike; Flysjo, Anna; Kruse, Sarah; Cancino, Beatriz; Silverman, Howard"/>
    <s v="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
    <s v="Peer Reviewed Journal"/>
    <s v="Pelletier, N., Tyedmers, P., Sonesson, U., Scholz, A., Ziegler, F., Flysjö, A., Kruse, S., Cancino, B. and Silverman, H., Not all salmon are created equal: Life cycle assessment (LCA) of global salmon farming systems. Environmental Science and Technology 2009, 43 (23), 8730-8736."/>
    <s v="Yes"/>
    <s v="No"/>
    <s v="No"/>
    <s v="No"/>
    <s v="No"/>
    <s v="No"/>
    <s v="No"/>
    <s v="No"/>
    <s v="No"/>
    <s v="No"/>
    <s v="No"/>
    <s v="No"/>
    <m/>
    <s v="to farm gate"/>
    <s v="No"/>
    <s v="No"/>
    <s v="1 tonne live weight"/>
    <s v="/1000/.72  filet yield (72%) from Table 4.5 of http://brage.bibsys.no/xmlui/bitstream/handle/11250/186065/deependra%20acharya.pdf?sequence=1"/>
    <n v="36.388888888888886"/>
    <s v=""/>
    <n v="2.4861111111111112"/>
    <s v=""/>
    <m/>
    <m/>
    <m/>
    <m/>
    <m/>
    <m/>
    <m/>
    <m/>
    <m/>
    <n v="36.388888888888886"/>
    <m/>
    <m/>
    <m/>
    <m/>
    <m/>
    <m/>
    <m/>
    <m/>
    <m/>
    <m/>
    <m/>
    <m/>
    <n v="2.4861111111111112"/>
    <m/>
  </r>
  <r>
    <x v="12"/>
    <x v="102"/>
    <s v="Fresh (Raw)"/>
    <s v="Salmon, Farmed"/>
    <s v="Yes"/>
    <s v="UK"/>
    <n v="2009"/>
    <s v="Pelletier, Nathan; Tyedmers, Peter; Sonesson, Ulf; Scholz, Astrid; Ziegler, Friederike; Flysjo, Anna; Kruse, Sarah; Cancino, Beatriz; Silverman, Howard"/>
    <s v="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
    <s v="Peer Reviewed Journal"/>
    <s v="Pelletier, N., Tyedmers, P., Sonesson, U., Scholz, A., Ziegler, F., Flysjö, A., Kruse, S., Cancino, B. and Silverman, H., Not all salmon are created equal: Life cycle assessment (LCA) of global salmon farming systems. Environmental Science and Technology 2009, 43 (23), 8730-8736."/>
    <s v="Yes"/>
    <s v="No"/>
    <s v="No"/>
    <s v="No"/>
    <s v="No"/>
    <s v="No"/>
    <s v="No"/>
    <s v="No"/>
    <s v="No"/>
    <s v="No"/>
    <s v="No"/>
    <s v="No"/>
    <m/>
    <s v="to farm gate"/>
    <s v="No"/>
    <s v="No"/>
    <s v="1 tonne live weight"/>
    <s v="/1000/.72  filet yield (72%) from Table 4.5 of http://brage.bibsys.no/xmlui/bitstream/handle/11250/186065/deependra%20acharya.pdf?sequence=1"/>
    <n v="66.527777777777771"/>
    <s v=""/>
    <n v="4.541666666666667"/>
    <s v=""/>
    <m/>
    <m/>
    <m/>
    <m/>
    <m/>
    <m/>
    <m/>
    <m/>
    <m/>
    <n v="66.527777777777771"/>
    <m/>
    <m/>
    <m/>
    <m/>
    <m/>
    <m/>
    <m/>
    <m/>
    <m/>
    <m/>
    <m/>
    <m/>
    <n v="4.541666666666667"/>
    <m/>
  </r>
  <r>
    <x v="12"/>
    <x v="102"/>
    <s v="Fresh (Raw)"/>
    <s v="Salmon, Farmed"/>
    <s v="Yes"/>
    <s v="Chile"/>
    <n v="2009"/>
    <s v="Pelletier, Nathan; Tyedmers, Peter; Sonesson, Ulf; Scholz, Astrid; Ziegler, Friederike; Flysjo, Anna; Kruse, Sarah; Cancino, Beatriz; Silverman, Howard"/>
    <s v="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
    <s v="Peer Reviewed Journal"/>
    <s v="Pelletier, N., Tyedmers, P., Sonesson, U., Scholz, A., Ziegler, F., Flysjö, A., Kruse, S., Cancino, B. and Silverman, H., Not all salmon are created equal: Life cycle assessment (LCA) of global salmon farming systems. Environmental Science and Technology 2009, 43 (23), 8730-8736."/>
    <s v="Yes"/>
    <s v="No"/>
    <s v="No"/>
    <s v="No"/>
    <s v="No"/>
    <s v="No"/>
    <s v="No"/>
    <s v="No"/>
    <s v="No"/>
    <s v="No"/>
    <s v="No"/>
    <s v="No"/>
    <m/>
    <s v="to farm gate"/>
    <s v="No"/>
    <s v="No"/>
    <s v="1 tonne live weight"/>
    <s v="/1000/.72  filet yield (72%) from Table 4.5 of http://brage.bibsys.no/xmlui/bitstream/handle/11250/186065/deependra%20acharya.pdf?sequence=1"/>
    <n v="46.111111111111114"/>
    <s v=""/>
    <n v="3.1944444444444442"/>
    <s v=""/>
    <m/>
    <m/>
    <m/>
    <m/>
    <m/>
    <m/>
    <m/>
    <m/>
    <m/>
    <n v="46.111111111111114"/>
    <m/>
    <m/>
    <m/>
    <m/>
    <m/>
    <m/>
    <m/>
    <m/>
    <m/>
    <m/>
    <m/>
    <m/>
    <n v="3.1944444444444442"/>
    <m/>
  </r>
  <r>
    <x v="12"/>
    <x v="102"/>
    <s v="Fresh (Raw)"/>
    <s v="Salmon, Farmed"/>
    <s v="Yes"/>
    <s v="British Columbia, Canada"/>
    <n v="2009"/>
    <s v="Pelletier, Nathan; Tyedmers, Peter; Sonesson, Ulf; Scholz, Astrid; Ziegler, Friederike; Flysjo, Anna; Kruse, Sarah; Cancino, Beatriz; Silverman, Howard"/>
    <s v="School for Resource and Environmental Studies, Dalhousie University, Halifax, Nova Scotia, Sustainable Food Production,  SIK - Swedish Institute for Food and Biotechnology,  Gothenburg, Sweden, Knowledge Systems, Ecotrust,  Portland, Oregon, and School of Food Engineering, Pontificia Universidad Catolica de Valparaiso, Valparaiso, Chile"/>
    <s v="Peer Reviewed Journal"/>
    <s v="Pelletier, N., Tyedmers, P., Sonesson, U., Scholz, A., Ziegler, F., Flysjö, A., Kruse, S., Cancino, B. and Silverman, H., Not all salmon are created equal: Life cycle assessment (LCA) of global salmon farming systems. Environmental Science and Technology 2009, 43 (23), 8730-8736."/>
    <s v="Yes"/>
    <s v="No"/>
    <s v="No"/>
    <s v="No"/>
    <s v="No"/>
    <s v="No"/>
    <s v="No"/>
    <s v="No"/>
    <s v="No"/>
    <s v="No"/>
    <s v="No"/>
    <s v="No"/>
    <m/>
    <s v="to farm gate"/>
    <s v="No"/>
    <s v="No"/>
    <s v="1 tonne live weight"/>
    <s v="/1000/.72  filet yield (72%) from Table 4.5 of http://brage.bibsys.no/xmlui/bitstream/handle/11250/186065/deependra%20acharya.pdf?sequence=1"/>
    <n v="43.333333333333336"/>
    <s v=""/>
    <n v="3.291666666666667"/>
    <s v=""/>
    <m/>
    <m/>
    <m/>
    <m/>
    <m/>
    <m/>
    <m/>
    <m/>
    <m/>
    <n v="43.333333333333336"/>
    <m/>
    <m/>
    <m/>
    <m/>
    <m/>
    <m/>
    <m/>
    <m/>
    <m/>
    <m/>
    <m/>
    <m/>
    <n v="3.291666666666667"/>
    <m/>
  </r>
  <r>
    <x v="12"/>
    <x v="102"/>
    <s v="Fresh (Raw)"/>
    <s v="Salmon, Farmed, conventional marine net-pen system"/>
    <s v="Yes"/>
    <s v="British Columbia, Canada"/>
    <n v="2009"/>
    <s v="Nathan W. Ayer a,*, Peter H. Tyedmers b"/>
    <s v="a Jacques Whitford, 3 Spectacle Lake Drive, Dartmouth, Nova Scotia B3B 1W8, Canada b School for Resource and Environmental Studies, Dalhousie University, Kenneth C. Rowe Management Building, 6100 University Avenue, Suite 5010, Halifax, Nova Scotia B3H 3J5, Canada"/>
    <s v="Peer Reviewed Journal"/>
    <s v="Ayer, N. W. and Tyedmers, P. H., Assessing alternative aquaculture technologies: life cycle assessment of salmonid culture systems in Canada. Journal of Cleaner Production 2009, 17 (3), 362-373."/>
    <s v="Yes"/>
    <s v="No"/>
    <s v="No"/>
    <s v="No"/>
    <s v="No"/>
    <s v="No"/>
    <s v="No"/>
    <s v="No"/>
    <s v="No"/>
    <s v="No"/>
    <s v="No"/>
    <s v="No"/>
    <m/>
    <s v="to farm gate"/>
    <s v="No"/>
    <s v="Yes"/>
    <s v="1 tonne live weight fish"/>
    <s v="/1000/.72  fillet yield (72%) from Table 4.5 of http://brage.bibsys.no/xmlui/bitstream/handle/11250/186065/deependra%20acharya.pdf?sequence=1"/>
    <n v="37.361111111111107"/>
    <s v=""/>
    <n v="2.8791666666666669"/>
    <s v=""/>
    <m/>
    <m/>
    <m/>
    <m/>
    <m/>
    <m/>
    <m/>
    <m/>
    <m/>
    <n v="37.361111111111107"/>
    <m/>
    <m/>
    <m/>
    <m/>
    <m/>
    <m/>
    <m/>
    <m/>
    <m/>
    <m/>
    <m/>
    <m/>
    <n v="2.8791666666666669"/>
    <m/>
  </r>
  <r>
    <x v="12"/>
    <x v="102"/>
    <s v="Fresh (Raw)"/>
    <s v="Salmon, Farmed, marine floating bag system"/>
    <s v="Yes"/>
    <s v="British Columbia, Canada"/>
    <n v="2009"/>
    <s v="Nathan W. Ayer a,*, Peter H. Tyedmers b"/>
    <s v="a Jacques Whitford, 3 Spectacle Lake Drive, Dartmouth, Nova Scotia B3B 1W8, Canada b School for Resource and Environmental Studies, Dalhousie University, Kenneth C. Rowe Management Building, 6100 University Avenue, Suite 5010, Halifax, Nova Scotia B3H 3J5, Canada"/>
    <s v="Peer Reviewed Journal"/>
    <s v="Ayer, N. W. and Tyedmers, P. H., Assessing alternative aquaculture technologies: life cycle assessment of salmonid culture systems in Canada. Journal of Cleaner Production 2009, 17 (3), 362-373."/>
    <s v="Yes"/>
    <s v="No"/>
    <s v="No"/>
    <s v="No"/>
    <s v="No"/>
    <s v="No"/>
    <s v="No"/>
    <s v="No"/>
    <s v="No"/>
    <s v="No"/>
    <s v="No"/>
    <s v="No"/>
    <m/>
    <s v="to farm gate"/>
    <s v="No"/>
    <s v="Yes"/>
    <s v="1 tonne live weight fish"/>
    <s v="/1000/.72  fillet yield (72%) from Table 4.5 of http://brage.bibsys.no/xmlui/bitstream/handle/11250/186065/deependra%20acharya.pdf?sequence=1"/>
    <n v="45.55555555555555"/>
    <s v=""/>
    <n v="2.6388888888888888"/>
    <s v=""/>
    <m/>
    <m/>
    <m/>
    <m/>
    <m/>
    <m/>
    <m/>
    <m/>
    <m/>
    <n v="45.55555555555555"/>
    <m/>
    <m/>
    <m/>
    <m/>
    <m/>
    <m/>
    <m/>
    <m/>
    <m/>
    <m/>
    <m/>
    <m/>
    <n v="2.6388888888888888"/>
    <m/>
  </r>
  <r>
    <x v="12"/>
    <x v="102"/>
    <s v="Fresh (Raw)"/>
    <s v="Salmon, Farmed, land-based saltwater flow-through system"/>
    <s v="Yes"/>
    <s v="British Columbia, Canada"/>
    <n v="2009"/>
    <s v="Nathan W. Ayer a,*, Peter H. Tyedmers b"/>
    <s v="a Jacques Whitford, 3 Spectacle Lake Drive, Dartmouth, Nova Scotia B3B 1W8, Canada b School for Resource and Environmental Studies, Dalhousie University, Kenneth C. Rowe Management Building, 6100 University Avenue, Suite 5010, Halifax, Nova Scotia B3H 3J5, Canada"/>
    <s v="Peer Reviewed Journal"/>
    <s v="Ayer, N. W. and Tyedmers, P. H., Assessing alternative aquaculture technologies: life cycle assessment of salmonid culture systems in Canada. Journal of Cleaner Production 2009, 17 (3), 362-373."/>
    <s v="Yes"/>
    <s v="No"/>
    <s v="No"/>
    <s v="No"/>
    <s v="No"/>
    <s v="No"/>
    <s v="No"/>
    <s v="No"/>
    <s v="No"/>
    <s v="No"/>
    <s v="No"/>
    <s v="No"/>
    <m/>
    <s v="to farm gate"/>
    <s v="No"/>
    <s v="Yes"/>
    <s v="1 tonne live weight fish"/>
    <s v="/1000/.72  fillet yield (72%) from Table 4.5 of http://brage.bibsys.no/xmlui/bitstream/handle/11250/186065/deependra%20acharya.pdf?sequence=1"/>
    <n v="135.97222222222223"/>
    <s v=""/>
    <n v="3.8472222222222223"/>
    <s v=""/>
    <m/>
    <m/>
    <m/>
    <m/>
    <m/>
    <m/>
    <m/>
    <m/>
    <m/>
    <n v="135.97222222222223"/>
    <m/>
    <m/>
    <m/>
    <m/>
    <m/>
    <m/>
    <m/>
    <m/>
    <m/>
    <m/>
    <m/>
    <m/>
    <n v="3.8472222222222223"/>
    <m/>
  </r>
  <r>
    <x v="12"/>
    <x v="102"/>
    <s v="Fresh (Raw)"/>
    <s v="Farm Raised Arctic Char, land-based freshwater recirculating system"/>
    <s v="Yes"/>
    <s v="Nova Scotia, Canada"/>
    <n v="2009"/>
    <s v="Nathan W. Ayer a,*, Peter H. Tyedmers b"/>
    <s v="a Jacques Whitford, 3 Spectacle Lake Drive, Dartmouth, Nova Scotia B3B 1W8, Canada b School for Resource and Environmental Studies, Dalhousie University, Kenneth C. Rowe Management Building, 6100 University Avenue, Suite 5010, Halifax, Nova Scotia B3H 3J5, Canada"/>
    <s v="Peer Reviewed Journal"/>
    <s v="Ayer, N. W. and Tyedmers, P. H., Assessing alternative aquaculture technologies: life cycle assessment of salmonid culture systems in Canada. Journal of Cleaner Production 2009, 17 (3), 362-373."/>
    <s v="Yes"/>
    <s v="No"/>
    <s v="No"/>
    <s v="No"/>
    <s v="No"/>
    <s v="No"/>
    <s v="No"/>
    <s v="No"/>
    <s v="No"/>
    <s v="No"/>
    <s v="No"/>
    <s v="No"/>
    <m/>
    <s v="to farm gate"/>
    <s v="No"/>
    <s v="Yes"/>
    <s v="1 tonne live weight fish"/>
    <s v="/1000/.72  fillet yield (72%) from Table 4.5 of http://brage.bibsys.no/xmlui/bitstream/handle/11250/186065/deependra%20acharya.pdf?sequence=1"/>
    <n v="490.27777777777777"/>
    <s v=""/>
    <n v="39.166666666666664"/>
    <s v=""/>
    <m/>
    <m/>
    <m/>
    <m/>
    <m/>
    <m/>
    <m/>
    <m/>
    <m/>
    <n v="490.27777777777777"/>
    <m/>
    <m/>
    <m/>
    <m/>
    <m/>
    <m/>
    <m/>
    <m/>
    <m/>
    <m/>
    <m/>
    <m/>
    <n v="39.166666666666664"/>
    <m/>
  </r>
  <r>
    <x v="12"/>
    <x v="112"/>
    <s v="Frozen"/>
    <s v="Tilapia, lake-cultured in Indonesia, delivered to Rotterdam"/>
    <m/>
    <s v="Indonesia"/>
    <n v="2010"/>
    <s v="Nathan Pelletier and Peter Tyedmers"/>
    <s v="School for Resource and Environmental Studies Suite 5010, 6100 University Ave. Dalhousie University Nova Scotia, Canada B3H 3J5"/>
    <s v="Peer Reviewed Journal"/>
    <s v="Pelletier, N. and Tyedmers, P., Life cycle assessment of frozen tilapia fillets from indonesian lake-based and pond-based intensive aquaculture systems. Journal of Industrial Ecology 2010, 14 (3), 467-481."/>
    <s v="Yes"/>
    <s v="No"/>
    <s v="Yes"/>
    <s v="Yes"/>
    <s v="Yes"/>
    <s v="Yes"/>
    <s v="No"/>
    <s v="No"/>
    <s v="No"/>
    <s v="No"/>
    <s v="No"/>
    <s v="No"/>
    <m/>
    <s v="cradle to market port"/>
    <s v="No"/>
    <s v="Yes"/>
    <s v="1 tonne of frozen, packaged, lake-cultured Indonesian tilapia fillets to container ports in Chicago"/>
    <s v="/1000"/>
    <n v="22.35"/>
    <n v="26.700000000000003"/>
    <n v="1.5708"/>
    <n v="1.9788000000000001"/>
    <n v="22.35"/>
    <m/>
    <n v="4.3499999999999996"/>
    <n v="0"/>
    <n v="3.5329999999999999"/>
    <m/>
    <m/>
    <m/>
    <m/>
    <n v="22.35"/>
    <n v="30.3"/>
    <m/>
    <m/>
    <n v="1.5708"/>
    <m/>
    <n v="0.40800000000000003"/>
    <n v="6.1199999999999997E-2"/>
    <n v="0.25190000000000001"/>
    <m/>
    <m/>
    <m/>
    <m/>
    <n v="1.5708"/>
    <n v="2.29"/>
  </r>
  <r>
    <x v="12"/>
    <x v="112"/>
    <s v="Frozen"/>
    <s v="Tilapia, lake-cultured in Indonesia, delivered to Chicago"/>
    <m/>
    <s v="Indonesia"/>
    <n v="2010"/>
    <s v="Nathan Pelletier and Peter Tyedmers"/>
    <s v="School for Resource and Environmental Studies Suite 5010, 6100 University Ave. Dalhousie University Nova Scotia, Canada B3H 3J5"/>
    <s v="Peer Reviewed Journal"/>
    <s v="Pelletier, N. and Tyedmers, P., Life cycle assessment of frozen tilapia fillets from indonesian lake-based and pond-based intensive aquaculture systems. Journal of Industrial Ecology 2010, 14 (3), 467-481."/>
    <s v="Yes"/>
    <s v="No"/>
    <s v="Yes"/>
    <s v="Yes"/>
    <s v="Yes"/>
    <s v="Yes"/>
    <s v="No"/>
    <s v="No"/>
    <s v="No"/>
    <s v="No"/>
    <s v="No"/>
    <s v="No"/>
    <m/>
    <s v="cradle to market port"/>
    <s v="No"/>
    <s v="Yes"/>
    <s v="1 tonne of frozen, packaged, lake-cultured Indonesian tilapia fillets to container ports in Rotterdam"/>
    <s v="/1000"/>
    <n v="22.35"/>
    <n v="23.878999999999998"/>
    <n v="1.5708"/>
    <n v="1.9788000000000001"/>
    <n v="22.15"/>
    <m/>
    <n v="1.7290000000000001"/>
    <n v="2.1210000000000004"/>
    <n v="3.2230000000000003"/>
    <m/>
    <m/>
    <m/>
    <m/>
    <n v="22.35"/>
    <n v="29.3"/>
    <m/>
    <m/>
    <n v="1.5708"/>
    <m/>
    <n v="0.40800000000000003"/>
    <n v="6.1199999999999997E-2"/>
    <n v="0.17982000000000004"/>
    <m/>
    <m/>
    <m/>
    <m/>
    <n v="1.5708"/>
    <n v="2.2200000000000002"/>
  </r>
  <r>
    <x v="10"/>
    <x v="56"/>
    <s v="Fresh or Not Specified"/>
    <s v="Svenska Lantchips Potato Chips (&quot;Crisps&quot;)"/>
    <s v="No"/>
    <s v="Denmark"/>
    <n v="2011"/>
    <s v="Katarina Nilsson; Veronica Sund; Britta Florén"/>
    <s v="TemaNord, Nordic Council of Ministers, Copenhagen 2011"/>
    <s v="Government Report"/>
    <s v="Nilsson, K., Sund, V. and Florén, B., The environmental impact of the consumption of sweets, crisps and soft drinks. TemaNord 2011:509."/>
    <s v="Yes"/>
    <s v="No"/>
    <s v="Yes"/>
    <s v="Yes"/>
    <s v="Yes"/>
    <s v="Yes"/>
    <s v="No"/>
    <s v="No"/>
    <s v="No"/>
    <s v="No"/>
    <s v="No"/>
    <s v="No"/>
    <m/>
    <s v="Cradle to Retailer"/>
    <s v="No"/>
    <s v="No"/>
    <s v="200g package of crisps at retailer"/>
    <s v="Reported Value x 5"/>
    <n v="5.5"/>
    <n v="19.75"/>
    <n v="1"/>
    <n v="1.9849999999999999"/>
    <n v="5.5"/>
    <n v="2.25"/>
    <n v="11.999999999999998"/>
    <n v="2.9999999999999996"/>
    <m/>
    <m/>
    <m/>
    <m/>
    <m/>
    <n v="5.5"/>
    <n v="22.75"/>
    <m/>
    <s v="only including non-renewable energy use"/>
    <n v="1"/>
    <n v="0.13499999999999998"/>
    <n v="0.85"/>
    <n v="0.17"/>
    <m/>
    <m/>
    <m/>
    <m/>
    <m/>
    <n v="1"/>
    <n v="2.1549999999999998"/>
  </r>
  <r>
    <x v="10"/>
    <x v="113"/>
    <s v="Fresh or Not Specified"/>
    <s v="Foam Sweet Candy, Ahlgren’s Cars Candy"/>
    <s v="No"/>
    <s v="Denmark"/>
    <n v="2011"/>
    <s v="Katarina Nilsson; Veronica Sund; Britta Florén"/>
    <s v="TemaNord, Nordic Council of Ministers, Copenhagen 2011"/>
    <s v="Government Report"/>
    <s v="Nilsson, K., Sund, V. and Florén, B., The environmental impact of the consumption of sweets, crisps and soft drinks. TemaNord 2011:509."/>
    <s v="Yes"/>
    <s v="No"/>
    <s v="Yes"/>
    <s v="Yes"/>
    <s v="Yes"/>
    <s v="Yes"/>
    <s v="No"/>
    <s v="No"/>
    <s v="No"/>
    <s v="No"/>
    <s v="No"/>
    <s v="No"/>
    <m/>
    <s v="Cradle to Retailer"/>
    <s v="No"/>
    <s v="No"/>
    <s v="125g of packaged sweets at retailer"/>
    <s v="Reported Value x 8"/>
    <s v=""/>
    <s v=""/>
    <s v=""/>
    <s v=""/>
    <m/>
    <m/>
    <m/>
    <m/>
    <m/>
    <m/>
    <m/>
    <m/>
    <m/>
    <m/>
    <n v="58.4"/>
    <m/>
    <m/>
    <m/>
    <m/>
    <m/>
    <m/>
    <m/>
    <m/>
    <m/>
    <m/>
    <m/>
    <m/>
    <n v="3.84"/>
  </r>
  <r>
    <x v="10"/>
    <x v="113"/>
    <s v="Fresh or Not Specified"/>
    <s v="Foam Sweet Candy, Stora Zoo jelly sweet candy"/>
    <s v="No"/>
    <s v="Denmark"/>
    <n v="2011"/>
    <s v="Katarina Nilsson; Veronica Sund; Britta Florén"/>
    <s v="TemaNord, Nordic Council of Ministers, Copenhagen 2011"/>
    <s v="Government Report"/>
    <s v="Nilsson, K., Sund, V. and Florén, B., The environmental impact of the consumption of sweets, crisps and soft drinks. TemaNord 2011:509."/>
    <s v="Yes"/>
    <s v="No"/>
    <s v="Yes"/>
    <s v="Yes"/>
    <s v="Yes"/>
    <s v="Yes"/>
    <s v="No"/>
    <s v="No"/>
    <s v="No"/>
    <s v="No"/>
    <s v="No"/>
    <s v="No"/>
    <m/>
    <s v="Cradle to Factory Gate"/>
    <s v="No"/>
    <s v="No"/>
    <s v="2kg of jelly sweets ready for transport to retailer"/>
    <s v="Reported Value / 2"/>
    <s v=""/>
    <s v=""/>
    <s v=""/>
    <s v=""/>
    <m/>
    <m/>
    <m/>
    <m/>
    <m/>
    <m/>
    <m/>
    <m/>
    <m/>
    <m/>
    <n v="34"/>
    <m/>
    <m/>
    <m/>
    <m/>
    <m/>
    <m/>
    <m/>
    <m/>
    <m/>
    <m/>
    <m/>
    <m/>
    <n v="2.4"/>
  </r>
  <r>
    <x v="7"/>
    <x v="110"/>
    <s v="Fresh or Not Specified"/>
    <s v="Nygårda cola soft drink"/>
    <s v="No"/>
    <s v="Denmark"/>
    <n v="2011"/>
    <s v="Katarina Nilsson; Veronica Sund; Britta Florén"/>
    <s v="TemaNord, Nordic Council of Ministers, Copenhagen 2011"/>
    <s v="Government Report"/>
    <s v="Nilsson, K., Sund, V. and Florén, B., The environmental impact of the consumption of sweets, crisps and soft drinks. TemaNord 2011:509."/>
    <s v="Yes"/>
    <s v="No"/>
    <s v="Yes"/>
    <s v="Yes"/>
    <s v="Yes"/>
    <s v="Yes"/>
    <s v="No"/>
    <s v="No"/>
    <s v="No"/>
    <s v="No"/>
    <s v="No"/>
    <s v="No"/>
    <m/>
    <s v="Cradle to Retailer"/>
    <s v="No"/>
    <s v="No"/>
    <s v="33cl bottle of cola transported to local retailer"/>
    <s v="Convert to mL, divide by density ((RV x 1000g/kg) / (1.042g/mL x 10ml/cl))"/>
    <s v=""/>
    <s v=""/>
    <s v=""/>
    <s v=""/>
    <m/>
    <m/>
    <m/>
    <m/>
    <m/>
    <m/>
    <m/>
    <m/>
    <m/>
    <m/>
    <n v="1.7158145756994125"/>
    <m/>
    <m/>
    <m/>
    <m/>
    <m/>
    <m/>
    <m/>
    <m/>
    <m/>
    <m/>
    <m/>
    <m/>
    <n v="0.11632641191182458"/>
  </r>
  <r>
    <x v="10"/>
    <x v="114"/>
    <s v="Fresh or Not Specified"/>
    <s v="Cocoa Beans, Cocoa Monoculture"/>
    <s v="Yes"/>
    <s v="Indonesia"/>
    <n v="2015"/>
    <s v="Budi Utomo (1)(2); Shabbir H. Gheewala (1)(2); Adi A. Prawoto (3); Sebastien Bonnet  (1)(2); Athikom Bangviwat (1)(2)"/>
    <s v="(1) The Joint Graduate School of Energy and Environment, King Mongkut's University of Technology Thonburi, Bangkok, Thailand  (2) Centre for Energy Technology and Environment, Ministry of Education, Bangkok, Thailand  (3) Indonesian Coffee and Cocoa Research Institute (ICCRI), Indonesia"/>
    <s v="Peer Reviewed Journal"/>
    <s v="Utomo, B., Prawoto, A. A., Bonnet, S., Bangviwat, A. and Gheewala, S. H., Environmental performance of cocoa production from monoculture system and agroforestry system in indonesia. Journal of Cleaner Production 2016, 134, 583-591."/>
    <s v="Yes"/>
    <s v="No"/>
    <s v="Yes"/>
    <s v="Yes"/>
    <s v="No"/>
    <s v="No"/>
    <s v="No"/>
    <s v="No"/>
    <s v="No"/>
    <s v="No"/>
    <s v="No"/>
    <s v="No"/>
    <m/>
    <s v="Cradle to Farm Gate"/>
    <s v="No"/>
    <s v="No"/>
    <s v="1 metric ton of cocoa pod"/>
    <s v="Reported Value / 1000"/>
    <s v=""/>
    <s v=""/>
    <n v="7.0599999999999996E-2"/>
    <s v=""/>
    <m/>
    <m/>
    <m/>
    <m/>
    <m/>
    <m/>
    <m/>
    <m/>
    <m/>
    <m/>
    <m/>
    <m/>
    <m/>
    <m/>
    <m/>
    <m/>
    <m/>
    <m/>
    <m/>
    <m/>
    <m/>
    <m/>
    <n v="7.0599999999999996E-2"/>
    <m/>
  </r>
  <r>
    <x v="10"/>
    <x v="114"/>
    <s v="Fresh or Not Specified"/>
    <s v="Cocoa Beans, Cocoa-Rubber Agroforestry"/>
    <s v="Yes"/>
    <s v="Indonesia"/>
    <n v="2015"/>
    <s v="Budi Utomo (1)(2); Shabbir H. Gheewala (1)(2); Adi A. Prawoto (3); Sebastien Bonnet  (1)(2); Athikom Bangviwat (1)(2)"/>
    <s v="(1) The Joint Graduate School of Energy and Environment, King Mongkut's University of Technology Thonburi, Bangkok, Thailand  (2) Centre for Energy Technology and Environment, Ministry of Education, Bangkok, Thailand  (3) Indonesian Coffee and Cocoa Research Institute (ICCRI), Indonesia"/>
    <s v="Peer Reviewed Journal"/>
    <s v="Utomo, B., Prawoto, A. A., Bonnet, S., Bangviwat, A. and Gheewala, S. H., Environmental performance of cocoa production from monoculture system and agroforestry system in indonesia. Journal of Cleaner Production 2016, 134, 583-591."/>
    <s v="Yes"/>
    <s v="No"/>
    <s v="Yes"/>
    <s v="Yes"/>
    <s v="No"/>
    <s v="No"/>
    <s v="No"/>
    <s v="No"/>
    <s v="No"/>
    <s v="No"/>
    <s v="No"/>
    <s v="No"/>
    <m/>
    <s v="Cradle to Farm Gate"/>
    <s v="No"/>
    <s v="No"/>
    <s v="1 metric ton of cocoa pod"/>
    <s v="Reported Value / 1000"/>
    <s v=""/>
    <s v=""/>
    <n v="7.6499999999999999E-2"/>
    <s v=""/>
    <m/>
    <m/>
    <m/>
    <m/>
    <m/>
    <m/>
    <m/>
    <m/>
    <m/>
    <m/>
    <m/>
    <m/>
    <m/>
    <m/>
    <m/>
    <m/>
    <m/>
    <m/>
    <m/>
    <m/>
    <m/>
    <m/>
    <n v="7.6499999999999999E-2"/>
    <m/>
  </r>
  <r>
    <x v="10"/>
    <x v="114"/>
    <s v="Fresh or Not Specified"/>
    <s v="Cocoa Beans, Cocoa-Coconut Agroforestry"/>
    <s v="Yes"/>
    <s v="Indonesia"/>
    <n v="2015"/>
    <s v="Budi Utomo (1)(2); Shabbir H. Gheewala (1)(2); Adi A. Prawoto (3); Sebastien Bonnet  (1)(2); Athikom Bangviwat (1)(2)"/>
    <s v="(1) The Joint Graduate School of Energy and Environment, King Mongkut's University of Technology Thonburi, Bangkok, Thailand  (2) Centre for Energy Technology and Environment, Ministry of Education, Bangkok, Thailand  (3) Indonesian Coffee and Cocoa Research Institute (ICCRI), Indonesia"/>
    <s v="Peer Reviewed Journal"/>
    <s v="Utomo, B., Prawoto, A. A., Bonnet, S., Bangviwat, A. and Gheewala, S. H., Environmental performance of cocoa production from monoculture system and agroforestry system in indonesia. Journal of Cleaner Production 2016, 134, 583-591."/>
    <s v="Yes"/>
    <s v="No"/>
    <s v="Yes"/>
    <s v="Yes"/>
    <s v="No"/>
    <s v="No"/>
    <s v="No"/>
    <s v="No"/>
    <s v="No"/>
    <s v="No"/>
    <s v="No"/>
    <s v="No"/>
    <m/>
    <s v="Cradle to Farm Gate"/>
    <s v="No"/>
    <s v="No"/>
    <s v="1 metric ton of cocoa pod"/>
    <s v="Reported Value / 1000"/>
    <s v=""/>
    <s v=""/>
    <n v="3.6700000000000003E-2"/>
    <s v=""/>
    <m/>
    <m/>
    <m/>
    <m/>
    <m/>
    <m/>
    <m/>
    <m/>
    <m/>
    <m/>
    <m/>
    <m/>
    <m/>
    <m/>
    <m/>
    <m/>
    <m/>
    <m/>
    <m/>
    <m/>
    <m/>
    <m/>
    <n v="3.6700000000000003E-2"/>
    <m/>
  </r>
  <r>
    <x v="12"/>
    <x v="104"/>
    <s v="Frozen"/>
    <s v="Atlantic Cod, fillet, delivered to Grimsby, UK"/>
    <s v="No"/>
    <s v="Iceland"/>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8.15"/>
    <n v="9.83"/>
    <n v="0.56799999999999995"/>
    <s v=""/>
    <n v="8.25"/>
    <m/>
    <n v="1.58"/>
    <n v="1.1599999999999999"/>
    <n v="1.94"/>
    <m/>
    <m/>
    <m/>
    <m/>
    <n v="8.15"/>
    <n v="13"/>
    <s v="Ecoinvent CED"/>
    <m/>
    <n v="0.56799999999999995"/>
    <m/>
    <m/>
    <n v="2.7E-2"/>
    <n v="0.11"/>
    <m/>
    <m/>
    <m/>
    <m/>
    <n v="0.56799999999999995"/>
    <n v="0.7"/>
  </r>
  <r>
    <x v="12"/>
    <x v="104"/>
    <s v="Fresh or Not Specified"/>
    <s v="Atlantic Cod, fillet, delivered by air to Grimsby, UK"/>
    <s v="No"/>
    <s v="Iceland"/>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8.15"/>
    <n v="9.5"/>
    <n v="0.56799999999999995"/>
    <s v=""/>
    <n v="8.0500000000000007"/>
    <m/>
    <n v="1.45"/>
    <n v="1.05"/>
    <n v="31.51"/>
    <m/>
    <m/>
    <m/>
    <m/>
    <n v="8.15"/>
    <n v="42"/>
    <s v="Ecoinvent CED"/>
    <m/>
    <n v="0.56799999999999995"/>
    <m/>
    <m/>
    <n v="2.7E-2"/>
    <n v="1.992"/>
    <m/>
    <m/>
    <m/>
    <m/>
    <n v="0.56799999999999995"/>
    <n v="2.6"/>
  </r>
  <r>
    <x v="12"/>
    <x v="104"/>
    <s v="Frozen"/>
    <s v="Alaskan Pollock, fillet, trawler/mothership system, processing in china"/>
    <s v="Yes"/>
    <s v="Alaska, US"/>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7.64"/>
    <n v="11.27"/>
    <n v="0.5"/>
    <n v="0.76800000000000002"/>
    <n v="7.84"/>
    <n v="1.35"/>
    <n v="2.08"/>
    <n v="1.1000000000000001"/>
    <n v="4.0999999999999996"/>
    <m/>
    <m/>
    <m/>
    <m/>
    <n v="7.64"/>
    <n v="16.5"/>
    <s v="Ecoinvent CED"/>
    <m/>
    <n v="0.5"/>
    <n v="8.7999999999999995E-2"/>
    <n v="0.18"/>
    <n v="2.7E-2"/>
    <n v="0.27200000000000002"/>
    <m/>
    <m/>
    <m/>
    <m/>
    <n v="0.5"/>
    <n v="1.1000000000000001"/>
  </r>
  <r>
    <x v="12"/>
    <x v="104"/>
    <s v="Frozen"/>
    <s v="Alaskan Pollock, fillet, catcher/processor system"/>
    <s v="Yes"/>
    <s v="Alaska, US"/>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5.46"/>
    <s v=""/>
    <n v="0.31"/>
    <s v=""/>
    <n v="5.16"/>
    <m/>
    <m/>
    <n v="0.8"/>
    <n v="3.7"/>
    <m/>
    <m/>
    <m/>
    <m/>
    <n v="5.46"/>
    <n v="9.6"/>
    <s v="Ecoinvent CED"/>
    <m/>
    <n v="0.31"/>
    <m/>
    <m/>
    <n v="2.7E-2"/>
    <n v="0.252"/>
    <m/>
    <m/>
    <m/>
    <m/>
    <n v="0.31"/>
    <n v="0.59"/>
  </r>
  <r>
    <x v="12"/>
    <x v="104"/>
    <s v="Frozen"/>
    <s v="Alaskan Salmon, fillet, processed in Alaska"/>
    <s v="Yes"/>
    <s v="Alaska, US"/>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2.5299999999999998"/>
    <n v="4.2799999999999994"/>
    <n v="0.182"/>
    <n v="0.28259999999999996"/>
    <n v="2.5299999999999998"/>
    <m/>
    <n v="1.75"/>
    <n v="1.1000000000000001"/>
    <n v="2.86"/>
    <m/>
    <m/>
    <m/>
    <m/>
    <n v="2.5299999999999998"/>
    <n v="8.1999999999999993"/>
    <s v="Ecoinvent CED"/>
    <m/>
    <n v="0.182"/>
    <m/>
    <n v="0.10059999999999999"/>
    <n v="2.7E-2"/>
    <n v="0.17499999999999999"/>
    <m/>
    <m/>
    <m/>
    <m/>
    <n v="0.182"/>
    <n v="0.48"/>
  </r>
  <r>
    <x v="12"/>
    <x v="104"/>
    <s v="Frozen"/>
    <s v="Alaskan Salmon, fillet, processed in China"/>
    <s v="Yes"/>
    <s v="Alaska, US"/>
    <n v="2010"/>
    <s v="Fulton, Sarah"/>
    <s v="Dalhousie University, Halifax, Nova Scotia"/>
    <s v="Other (specify)"/>
    <s v="Fulton, S., Fish and Fuel: Life Cycle Greenhouse Gas Emissions Associated With Icelandic Cod, Alaskan Pollock, and Alaskan Pink Salmon Fillets Delivered To the United Kingdom. Master thesis, Dalhousie University, Halifax, Nova Scotia, 2010."/>
    <s v="Yes"/>
    <s v="No"/>
    <s v="Yes"/>
    <s v="Yes"/>
    <s v="Yes"/>
    <s v="Yes"/>
    <s v="No"/>
    <s v="No"/>
    <s v="No"/>
    <s v="No"/>
    <s v="No"/>
    <s v="No"/>
    <m/>
    <s v="cradle to port in UK (Grimsby)"/>
    <s v="No"/>
    <s v="Yes"/>
    <s v="1 kg frozen fillet"/>
    <m/>
    <n v="2.5299999999999998"/>
    <n v="4.66"/>
    <n v="0.182"/>
    <n v="0.374"/>
    <n v="2.5299999999999998"/>
    <m/>
    <n v="2.13"/>
    <n v="1.1000000000000001"/>
    <n v="5.18"/>
    <m/>
    <m/>
    <m/>
    <m/>
    <n v="2.5299999999999998"/>
    <n v="11"/>
    <s v="Ecoinvent CED"/>
    <m/>
    <n v="0.182"/>
    <m/>
    <n v="0.192"/>
    <n v="2.7E-2"/>
    <n v="0.318"/>
    <m/>
    <m/>
    <m/>
    <m/>
    <n v="0.182"/>
    <n v="0.72"/>
  </r>
  <r>
    <x v="12"/>
    <x v="111"/>
    <s v="Fresh (Raw)"/>
    <s v="Farmed shrimp, intensive farming"/>
    <s v="Yes"/>
    <s v="China (Hainan Province)"/>
    <n v="2011"/>
    <s v="Ling Cao,*,† James S. Diana,† Gregory A. Keoleian,† and Qiuming Lai‡"/>
    <s v="†School of Natural Resources and Environment, University of Michigan, Ann Arbor, Michigan 48109, United States ‡Ocean College, Hainan University, Haikou, China"/>
    <s v="Peer Reviewed Journal"/>
    <s v="Cao, L., Diana, J. S., Keoleian, G. A. and Lai, Q., Life cycle assessment of Chinese shrimp farming systems targeted for export and domestic sales. Environmental science &amp; technology 2011, 45 (15), 6531-8."/>
    <s v="Yes"/>
    <s v="No"/>
    <s v="No"/>
    <s v="No"/>
    <s v="No"/>
    <s v="No"/>
    <s v="No"/>
    <s v="No"/>
    <s v="No"/>
    <s v="No"/>
    <s v="No"/>
    <s v="No"/>
    <m/>
    <s v="cardle to farm gate (note that paper considers impact to export destination, but specific values are not reported)"/>
    <s v="No"/>
    <s v="Yes"/>
    <s v="1 metric ton live weight shrimp"/>
    <s v="/1000/.57 from http://www.fao.org/docrep/003/t0219e/T0219E01.htm#ch1"/>
    <n v="107.89473684210527"/>
    <s v=""/>
    <n v="9.2631578947368425"/>
    <s v=""/>
    <m/>
    <m/>
    <m/>
    <m/>
    <m/>
    <m/>
    <m/>
    <m/>
    <m/>
    <n v="107.89473684210527"/>
    <m/>
    <s v="Ecoinvent CED"/>
    <m/>
    <m/>
    <m/>
    <m/>
    <m/>
    <m/>
    <m/>
    <m/>
    <m/>
    <m/>
    <n v="9.2631578947368425"/>
    <m/>
  </r>
  <r>
    <x v="12"/>
    <x v="111"/>
    <s v="Fresh (Raw)"/>
    <s v="Farmed shrimp, semi-intensive farming"/>
    <s v="Yes"/>
    <s v="China (Hainan Province)"/>
    <n v="2011"/>
    <s v="Ling Cao,*,† James S. Diana,† Gregory A. Keoleian,† and Qiuming Lai‡"/>
    <s v="†School of Natural Resources and Environment, University of Michigan, Ann Arbor, Michigan 48109, United States ‡Ocean College, Hainan University, Haikou, China"/>
    <s v="Peer Reviewed Journal"/>
    <s v="Cao, L., Diana, J. S., Keoleian, G. A. and Lai, Q., Life cycle assessment of Chinese shrimp farming systems targeted for export and domestic sales. Environmental science &amp; technology 2011, 45 (15), 6531-8."/>
    <s v="Yes"/>
    <s v="No"/>
    <s v="No"/>
    <s v="No"/>
    <s v="No"/>
    <s v="No"/>
    <s v="No"/>
    <s v="No"/>
    <s v="No"/>
    <s v="No"/>
    <s v="No"/>
    <s v="No"/>
    <m/>
    <s v="cardle to farm gate (note that paper considers impact to export destination, but specific values are not reported)"/>
    <s v="No"/>
    <s v="Yes"/>
    <s v="1 metric ton live weight shrimp"/>
    <s v="/1000/.57 from http://www.fao.org/docrep/003/t0219e/T0219E01.htm#ch1"/>
    <n v="60.000000000000007"/>
    <s v=""/>
    <n v="4.8245614035087723"/>
    <s v=""/>
    <m/>
    <m/>
    <m/>
    <m/>
    <m/>
    <m/>
    <m/>
    <m/>
    <m/>
    <n v="60.000000000000007"/>
    <m/>
    <s v="Ecoinvent CED"/>
    <m/>
    <m/>
    <m/>
    <m/>
    <m/>
    <m/>
    <m/>
    <m/>
    <m/>
    <m/>
    <n v="4.8245614035087723"/>
    <m/>
  </r>
  <r>
    <x v="12"/>
    <x v="104"/>
    <s v="Frozen"/>
    <s v="Atlantic Cod, Wetpack - autoline fisheries, delivered to Sweden"/>
    <s v="No"/>
    <s v="Norway"/>
    <n v="2011"/>
    <s v="Erik Svanes &amp; Mie Vold &amp; Ole Jørgen Hanssen"/>
    <s v="Ostfold Research, Gamle Bedding vei 2b, 1671 Kraakeroey, Norway"/>
    <s v="Peer Reviewed Journal"/>
    <s v="Svanes, E., Vold, M. and Hanssen, O. J., Environmental assessment of cod (Gadus morhua) from autoline fisheries. The International Journal of Life Cycle Assessment 2011, 16 (7), 611-624."/>
    <s v="Yes"/>
    <s v="No"/>
    <s v="Yes"/>
    <s v="Yes"/>
    <s v="Yes"/>
    <s v="Yes"/>
    <s v="No"/>
    <s v="No"/>
    <s v="No"/>
    <s v="No"/>
    <s v="No"/>
    <s v="No"/>
    <m/>
    <s v="mass allocation, cradle to retailer in Sweden"/>
    <s v="No"/>
    <s v="Yes"/>
    <s v="1 kg wetpack cod"/>
    <m/>
    <n v="20.100000000000001"/>
    <n v="22.540000000000003"/>
    <n v="1.43"/>
    <n v="1.49"/>
    <n v="20.100000000000001"/>
    <m/>
    <n v="2.44"/>
    <n v="2.4"/>
    <n v="7"/>
    <n v="7"/>
    <m/>
    <m/>
    <m/>
    <n v="20.100000000000001"/>
    <n v="39"/>
    <s v="Ecoinvent CED"/>
    <m/>
    <n v="1.43"/>
    <m/>
    <n v="0.06"/>
    <n v="0.12"/>
    <n v="0.53"/>
    <m/>
    <m/>
    <m/>
    <m/>
    <n v="1.43"/>
    <n v="2.2000000000000002"/>
  </r>
  <r>
    <x v="12"/>
    <x v="104"/>
    <s v="Frozen"/>
    <s v="Atlantic Cod, Fishburgers - autoline fisheries, delivered to Sweden"/>
    <s v="No"/>
    <s v="Norway"/>
    <n v="2011"/>
    <s v="Erik Svanes &amp; Mie Vold &amp; Ole Jørgen Hanssen"/>
    <s v="Ostfold Research, Gamle Bedding vei 2b, 1671 Kraakeroey, Norway"/>
    <s v="Peer Reviewed Journal"/>
    <s v="Svanes, E., Vold, M. and Hanssen, O. J., Environmental assessment of cod (Gadus morhua) from autoline fisheries. The International Journal of Life Cycle Assessment 2011, 16 (7), 611-624."/>
    <s v="Yes"/>
    <s v="No"/>
    <s v="Yes"/>
    <s v="Yes"/>
    <s v="Yes"/>
    <s v="Yes"/>
    <s v="No"/>
    <s v="No"/>
    <s v="No"/>
    <s v="No"/>
    <s v="No"/>
    <s v="No"/>
    <m/>
    <s v="mass allocation, cradle to institutional user in Sweden"/>
    <s v="No"/>
    <s v="Yes"/>
    <s v="1 kg cod fishburger"/>
    <m/>
    <s v=""/>
    <s v=""/>
    <n v="0.98699999999999999"/>
    <n v="1.347"/>
    <m/>
    <m/>
    <m/>
    <m/>
    <m/>
    <m/>
    <m/>
    <m/>
    <m/>
    <m/>
    <n v="27"/>
    <s v="Ecoinvent CED"/>
    <m/>
    <n v="0.98699999999999999"/>
    <m/>
    <n v="0.36"/>
    <n v="0.12"/>
    <n v="0.38"/>
    <m/>
    <m/>
    <m/>
    <m/>
    <n v="0.98699999999999999"/>
    <n v="1.8"/>
  </r>
  <r>
    <x v="12"/>
    <x v="104"/>
    <s v="Fresh or Not Specified"/>
    <s v="Atlantic Cod, Loin - autoline fisheries, delivered to UK"/>
    <s v="No"/>
    <s v="Norway"/>
    <n v="2011"/>
    <s v="Erik Svanes &amp; Mie Vold &amp; Ole Jørgen Hanssen"/>
    <s v="Ostfold Research, Gamle Bedding vei 2b, 1671 Kraakeroey, Norway"/>
    <s v="Peer Reviewed Journal"/>
    <s v="Svanes, E., Vold, M. and Hanssen, O. J., Environmental assessment of cod (Gadus morhua) from autoline fisheries. The International Journal of Life Cycle Assessment 2011, 16 (7), 611-624."/>
    <s v="Yes"/>
    <s v="No"/>
    <s v="Yes"/>
    <s v="Yes"/>
    <s v="Yes"/>
    <s v="Yes"/>
    <s v="No"/>
    <s v="No"/>
    <s v="No"/>
    <s v="No"/>
    <s v="No"/>
    <s v="No"/>
    <m/>
    <s v="mass allocation, cradle to distribution center in UK"/>
    <s v="No"/>
    <s v="Yes"/>
    <s v="1 kg processed cod loin"/>
    <m/>
    <s v=""/>
    <s v=""/>
    <n v="1.43"/>
    <n v="4.03"/>
    <m/>
    <m/>
    <m/>
    <m/>
    <m/>
    <m/>
    <m/>
    <m/>
    <m/>
    <m/>
    <n v="68"/>
    <s v="Ecoinvent CED"/>
    <m/>
    <n v="1.43"/>
    <n v="1.56"/>
    <n v="1.04"/>
    <n v="0.19"/>
    <n v="0.08"/>
    <m/>
    <m/>
    <m/>
    <m/>
    <n v="1.43"/>
    <n v="4.4000000000000004"/>
  </r>
  <r>
    <x v="12"/>
    <x v="104"/>
    <s v="Fresh (Raw)"/>
    <s v="Farmed Sea Bass, traditional rearing raceways "/>
    <s v="Yes"/>
    <s v="Tunisia"/>
    <n v="2012"/>
    <s v="M.A. Jerbi a,∗, J. Aubinb, K. Garnaouic, L. Achoura, A. Kacema"/>
    <s v="a 03 UR 09-01 “Génome, Diagnostic Immunitaire et Valorisation”, Institut Supérieur de Biotechnologie de Monastir, Université de Monastir, Tunisia  b UMR INRA/Agrocampus Ouest 1069 Sol Agro et hydrosystème Spatialisation, 65 rue de Saint Brieuc, CS 84 215, F-35 042 Rennes Cedex, France c L’Aquaculture Tunisienne Chott Mariem, Tunisia"/>
    <s v="Peer Reviewed Journal"/>
    <s v="Jerbi, M., Aubin, J., Garnaoui, K., Achour, L. and Kacem, A., Life cycle assessment (LCA) of two rearing techniques of sea bass (Dicentrarchus labrax). Aquacultural Engineering 2012, 46, 1-9."/>
    <s v="Yes"/>
    <s v="No"/>
    <s v="No"/>
    <s v="No"/>
    <s v="No"/>
    <s v="No"/>
    <s v="No"/>
    <s v="No"/>
    <s v="No"/>
    <s v="No"/>
    <s v="No"/>
    <s v="No"/>
    <m/>
    <m/>
    <s v="No"/>
    <s v="Yes"/>
    <s v="1 tonne live fish weight"/>
    <s v="/1000/.44 68% round to headed&amp;gutted, 65% headed&amp;gutted to skinless fillet, from http://www.chefs-resources.com/seafood/seafood-yields/"/>
    <n v="397.72727272727275"/>
    <s v=""/>
    <n v="25.197727272727271"/>
    <s v=""/>
    <m/>
    <m/>
    <m/>
    <m/>
    <m/>
    <m/>
    <m/>
    <m/>
    <m/>
    <n v="397.72727272727275"/>
    <m/>
    <m/>
    <m/>
    <m/>
    <m/>
    <m/>
    <m/>
    <m/>
    <m/>
    <m/>
    <m/>
    <m/>
    <n v="25.197727272727271"/>
    <m/>
  </r>
  <r>
    <x v="12"/>
    <x v="104"/>
    <s v="Fresh (Raw)"/>
    <s v="Farmed Sea Bass, cascade rearing raceways"/>
    <s v="Yes"/>
    <s v="Tunisia"/>
    <n v="2012"/>
    <s v="M.A. Jerbi a,∗, J. Aubinb, K. Garnaouic, L. Achoura, A. Kacema"/>
    <s v="a 03 UR 09-01 “Génome, Diagnostic Immunitaire et Valorisation”, Institut Supérieur de Biotechnologie de Monastir, Université de Monastir, Tunisia  b UMR INRA/Agrocampus Ouest 1069 Sol Agro et hydrosystème Spatialisation, 65 rue de Saint Brieuc, CS 84 215, F-35 042 Rennes Cedex, France c L’Aquaculture Tunisienne Chott Mariem, Tunisia"/>
    <s v="Peer Reviewed Journal"/>
    <s v="Jerbi, M., Aubin, J., Garnaoui, K., Achour, L. and Kacem, A., Life cycle assessment (LCA) of two rearing techniques of sea bass (Dicentrarchus labrax). Aquacultural Engineering 2012, 46, 1-9."/>
    <s v="Yes"/>
    <s v="No"/>
    <s v="No"/>
    <s v="No"/>
    <s v="No"/>
    <s v="No"/>
    <s v="No"/>
    <s v="No"/>
    <s v="No"/>
    <s v="No"/>
    <s v="No"/>
    <s v="No"/>
    <m/>
    <m/>
    <s v="No"/>
    <s v="Yes"/>
    <s v="1 tonne live fish weight"/>
    <s v="/1000/.44 68% round to headed&amp;gutted, 65% headed&amp;gutted to skinless fillet, from http://www.chefs-resources.com/seafood/seafood-yields/"/>
    <n v="636.36363636363637"/>
    <s v=""/>
    <n v="39.656818181818188"/>
    <s v=""/>
    <m/>
    <m/>
    <m/>
    <m/>
    <m/>
    <m/>
    <m/>
    <m/>
    <m/>
    <n v="636.36363636363637"/>
    <m/>
    <m/>
    <m/>
    <m/>
    <m/>
    <m/>
    <m/>
    <m/>
    <m/>
    <m/>
    <m/>
    <m/>
    <n v="39.656818181818188"/>
    <m/>
  </r>
  <r>
    <x v="11"/>
    <x v="115"/>
    <s v="Fresh or Not Specified"/>
    <s v="Small farms &lt;0.5 ha"/>
    <s v="No"/>
    <s v="Iran"/>
    <n v="2014"/>
    <s v="Amin Nikkhah (a); Surur Khorramdel (b); Mehdi Khojastehpour (a); Bagher Emadi (a); Alireza Taheri-Rad (a)"/>
    <s v="(a) Department of Biosystems Engineering, Ferdowsi University of Mashhad, Mashhad, Iran; (b) Department of Agronomy, Faculty of Agriculture, Ferdowsi University of Mashhad, Mashhad, Iran"/>
    <s v="Peer Reviewed Journal"/>
    <s v="Nikkhah, A., Khojastehpour, M., Emadi, B., Taheri-Rad, A. and Khorramdel, S., Environmental impacts of peanut production system using life cycle assessment methodology. Journal of Cleaner Production 2015, 92, 84-90."/>
    <s v="Yes"/>
    <s v="No"/>
    <s v="No"/>
    <s v="No"/>
    <s v="No"/>
    <s v="No"/>
    <s v="No"/>
    <s v="No"/>
    <s v="No"/>
    <s v="No"/>
    <s v="No"/>
    <s v="No"/>
    <m/>
    <s v="Only production is considered."/>
    <s v="No"/>
    <s v="No"/>
    <s v="1 tonne peanut (including husk)"/>
    <s v="/1000"/>
    <s v=""/>
    <s v=""/>
    <n v="0.32700000000000001"/>
    <s v=""/>
    <m/>
    <m/>
    <m/>
    <m/>
    <m/>
    <m/>
    <m/>
    <m/>
    <m/>
    <m/>
    <m/>
    <m/>
    <m/>
    <m/>
    <m/>
    <m/>
    <m/>
    <m/>
    <m/>
    <m/>
    <m/>
    <m/>
    <n v="0.32700000000000001"/>
    <m/>
  </r>
  <r>
    <x v="11"/>
    <x v="115"/>
    <s v="Fresh or Not Specified"/>
    <s v="Medium farms 0.5-1 ha"/>
    <s v="No"/>
    <s v="Iran"/>
    <n v="2014"/>
    <s v="Amin Nikkhah (a); Surur Khorramdel (b); Mehdi Khojastehpour (a); Bagher Emadi (a); Alireza Taheri-Rad (a)"/>
    <s v="(a) Department of Biosystems Engineering, Ferdowsi University of Mashhad, Mashhad, Iran; (b) Department of Agronomy, Faculty of Agriculture, Ferdowsi University of Mashhad, Mashhad, Iran"/>
    <s v="Peer Reviewed Journal"/>
    <s v="Nikkhah, A., Khojastehpour, M., Emadi, B., Taheri-Rad, A. and Khorramdel, S., Environmental impacts of peanut production system using life cycle assessment methodology. Journal of Cleaner Production 2015, 92, 84-90."/>
    <s v="Yes"/>
    <s v="No"/>
    <s v="No"/>
    <s v="No"/>
    <s v="No"/>
    <s v="No"/>
    <s v="No"/>
    <s v="No"/>
    <s v="No"/>
    <s v="No"/>
    <s v="No"/>
    <s v="No"/>
    <m/>
    <s v="Only production is considered."/>
    <s v="No"/>
    <s v="No"/>
    <s v="1 tonne peanut (including husk)"/>
    <s v="/1000"/>
    <s v=""/>
    <s v=""/>
    <n v="0.30099999999999999"/>
    <s v=""/>
    <m/>
    <m/>
    <m/>
    <m/>
    <m/>
    <m/>
    <m/>
    <m/>
    <m/>
    <m/>
    <m/>
    <m/>
    <m/>
    <m/>
    <m/>
    <m/>
    <m/>
    <m/>
    <m/>
    <m/>
    <m/>
    <m/>
    <n v="0.30099999999999999"/>
    <m/>
  </r>
  <r>
    <x v="11"/>
    <x v="115"/>
    <s v="Fresh or Not Specified"/>
    <s v="Large farms &gt;1 ha"/>
    <s v="No"/>
    <s v="Iran"/>
    <n v="2014"/>
    <s v="Amin Nikkhah (a); Surur Khorramdel (b); Mehdi Khojastehpour (a); Bagher Emadi (a); Alireza Taheri-Rad (a)"/>
    <s v="(a) Department of Biosystems Engineering, Ferdowsi University of Mashhad, Mashhad, Iran; (b) Department of Agronomy, Faculty of Agriculture, Ferdowsi University of Mashhad, Mashhad, Iran"/>
    <s v="Peer Reviewed Journal"/>
    <s v="Nikkhah, A., Khojastehpour, M., Emadi, B., Taheri-Rad, A. and Khorramdel, S., Environmental impacts of peanut production system using life cycle assessment methodology. Journal of Cleaner Production 2015, 92, 84-90."/>
    <s v="Yes"/>
    <s v="No"/>
    <s v="No"/>
    <s v="No"/>
    <s v="No"/>
    <s v="No"/>
    <s v="No"/>
    <s v="No"/>
    <s v="No"/>
    <s v="No"/>
    <s v="No"/>
    <s v="No"/>
    <m/>
    <s v="Only production is considered."/>
    <s v="No"/>
    <s v="No"/>
    <s v="1 tonne peanut (including husk)"/>
    <s v="/1000"/>
    <s v=""/>
    <s v=""/>
    <n v="0.30199999999999999"/>
    <s v=""/>
    <m/>
    <m/>
    <m/>
    <m/>
    <m/>
    <m/>
    <m/>
    <m/>
    <m/>
    <m/>
    <m/>
    <m/>
    <m/>
    <m/>
    <m/>
    <m/>
    <m/>
    <m/>
    <m/>
    <m/>
    <m/>
    <m/>
    <n v="0.30199999999999999"/>
    <m/>
  </r>
  <r>
    <x v="11"/>
    <x v="116"/>
    <s v="Fresh or Not Specified"/>
    <s v="High input production"/>
    <s v="Yes"/>
    <s v="Brazil"/>
    <n v="2015"/>
    <s v="Maria Clea Brito de Figueiredo (a); Marlos Alves Bezerra (a); Thomas Nemecek (d); Jose Potting (b); Viviane da Silva Barros (c); Luiz Augusto Lopes Serrano (a)_x000a_; Rubens Sonsol Gondim (a)"/>
    <s v="(a) Embrapa Tropical Agroindustry, Ceara, Brazil; (b) KTH Royal Institute of Technology, Stockholm, Sweden; (c) Semi-arid Federal University, Rio Grande do Norte, Brazil; (d) Agroscope, Institute for Sustainability Sciences, Zurich, Switzerland;"/>
    <s v="Peer Reviewed Journal"/>
    <s v="Brito De Figueirêdo, M. C., Potting, J., Lopes Serrano, L. A., Bezerra, M. A., Da Silva Barros, V., Gondim, R. S. and Nemecek, T., Environmental assessment of tropical perennial crops: the case of the Brazilian cashew. Journal of Cleaner Production 2015, 1-10."/>
    <s v="Yes"/>
    <s v="No"/>
    <s v="No"/>
    <s v="No"/>
    <s v="No"/>
    <s v="No"/>
    <s v="No"/>
    <s v="No"/>
    <s v="No"/>
    <s v="No"/>
    <s v="No"/>
    <s v="No"/>
    <m/>
    <s v="Cradle to farm exit gate"/>
    <s v="No"/>
    <s v="No"/>
    <s v="1 kg of product"/>
    <m/>
    <s v=""/>
    <s v=""/>
    <n v="4.1900000000000004"/>
    <s v=""/>
    <m/>
    <m/>
    <m/>
    <m/>
    <m/>
    <m/>
    <m/>
    <m/>
    <m/>
    <m/>
    <m/>
    <m/>
    <m/>
    <m/>
    <m/>
    <m/>
    <m/>
    <m/>
    <m/>
    <m/>
    <m/>
    <m/>
    <n v="4.1900000000000004"/>
    <m/>
  </r>
  <r>
    <x v="11"/>
    <x v="116"/>
    <s v="Fresh or Not Specified"/>
    <s v="low input Multi Cropping"/>
    <s v="Yes"/>
    <s v="Brazil"/>
    <n v="2015"/>
    <s v="Maria Clea Brito de Figueiredo (a); Marlos Alves Bezerra (a); Thomas Nemecek (d); Jose Potting (b); Viviane da Silva Barros (c); Luiz Augusto Lopes Serrano (a)_x000a_; Rubens Sonsol Gondim (a)"/>
    <s v="(a) Embrapa Tropical Agroindustry, Ceara, Brazil; (b) KTH Royal Institute of Technology, Stockholm, Sweden; (c) Semi-arid Federal University, Rio Grande do Norte, Brazil; (d) Agroscope, Institute for Sustainability Sciences, Zurich, Switzerland;"/>
    <s v="Peer Reviewed Journal"/>
    <s v="Brito De Figueirêdo, M. C., Potting, J., Lopes Serrano, L. A., Bezerra, M. A., Da Silva Barros, V., Gondim, R. S. and Nemecek, T., Environmental assessment of tropical perennial crops: the case of the Brazilian cashew. Journal of Cleaner Production 2015, 1-10."/>
    <s v="Yes"/>
    <s v="No"/>
    <s v="No"/>
    <s v="No"/>
    <s v="No"/>
    <s v="No"/>
    <s v="No"/>
    <s v="No"/>
    <s v="No"/>
    <s v="No"/>
    <s v="No"/>
    <s v="No"/>
    <m/>
    <s v="Cradle to farm exit gate"/>
    <s v="No"/>
    <s v="No"/>
    <s v="1 kg of product"/>
    <m/>
    <s v=""/>
    <s v=""/>
    <n v="8.94"/>
    <s v=""/>
    <m/>
    <m/>
    <m/>
    <m/>
    <m/>
    <m/>
    <m/>
    <m/>
    <m/>
    <m/>
    <m/>
    <m/>
    <m/>
    <m/>
    <m/>
    <m/>
    <m/>
    <m/>
    <m/>
    <m/>
    <m/>
    <m/>
    <n v="8.94"/>
    <m/>
  </r>
  <r>
    <x v="4"/>
    <x v="117"/>
    <s v="Fresh or Not Specified"/>
    <s v="Cashew Apples, High input production"/>
    <s v="Yes"/>
    <s v="Brazil"/>
    <n v="2015"/>
    <s v="Maria Clea Brito de Figueiredo (a); Marlos Alves Bezerra (a); Thomas Nemecek (d); Jose Potting (b); Viviane da Silva Barros (c); Luiz Augusto Lopes Serrano (a)_x000a_; Rubens Sonsol Gondim (a)"/>
    <s v="(a) Embrapa Tropical Agroindustry, Ceara, Brazil; (b) KTH Royal Institute of Technology, Stockholm, Sweden; (c) Semi-arid Federal University, Rio Grande do Norte, Brazil; (d) Agroscope, Institute for Sustainability Sciences, Zurich, Switzerland;"/>
    <s v="Peer Reviewed Journal"/>
    <s v="Brito De Figueirêdo, M. C., Potting, J., Lopes Serrano, L. A., Bezerra, M. A., Da Silva Barros, V., Gondim, R. S. and Nemecek, T., Environmental assessment of tropical perennial crops: the case of the Brazilian cashew. Journal of Cleaner Production 2015, 1-10."/>
    <s v="Yes"/>
    <s v="No"/>
    <s v="No"/>
    <s v="No"/>
    <s v="No"/>
    <s v="No"/>
    <s v="No"/>
    <s v="No"/>
    <s v="No"/>
    <s v="No"/>
    <s v="No"/>
    <s v="No"/>
    <m/>
    <s v="Cradle to farm exit gate"/>
    <s v="No"/>
    <s v="No"/>
    <s v="1 kg of product"/>
    <m/>
    <s v=""/>
    <s v=""/>
    <n v="2.09"/>
    <s v=""/>
    <m/>
    <m/>
    <m/>
    <m/>
    <m/>
    <m/>
    <m/>
    <m/>
    <m/>
    <m/>
    <m/>
    <m/>
    <m/>
    <m/>
    <m/>
    <m/>
    <m/>
    <m/>
    <m/>
    <m/>
    <m/>
    <m/>
    <n v="2.09"/>
    <m/>
  </r>
  <r>
    <x v="4"/>
    <x v="117"/>
    <s v="Fresh or Not Specified"/>
    <s v="Cashew Apples, low input Multi Cropping"/>
    <s v="Yes"/>
    <s v="Brazil"/>
    <n v="2015"/>
    <s v="Maria Clea Brito de Figueiredo (a); Marlos Alves Bezerra (a); Thomas Nemecek (d); Jose Potting (b); Viviane da Silva Barros (c); Luiz Augusto Lopes Serrano (a)_x000a_; Rubens Sonsol Gondim (a)"/>
    <s v="(a) Embrapa Tropical Agroindustry, Ceara, Brazil; (b) KTH Royal Institute of Technology, Stockholm, Sweden; (c) Semi-arid Federal University, Rio Grande do Norte, Brazil; (d) Agroscope, Institute for Sustainability Sciences, Zurich, Switzerland;"/>
    <s v="Peer Reviewed Journal"/>
    <s v="Brito De Figueirêdo, M. C., Potting, J., Lopes Serrano, L. A., Bezerra, M. A., Da Silva Barros, V., Gondim, R. S. and Nemecek, T., Environmental assessment of tropical perennial crops: the case of the Brazilian cashew. Journal of Cleaner Production 2015, 1-10."/>
    <s v="Yes"/>
    <s v="No"/>
    <s v="No"/>
    <s v="No"/>
    <s v="No"/>
    <s v="No"/>
    <s v="No"/>
    <s v="No"/>
    <s v="No"/>
    <s v="No"/>
    <s v="No"/>
    <s v="No"/>
    <m/>
    <s v="Cradle to farm exit gate"/>
    <s v="No"/>
    <s v="No"/>
    <s v="1 kg of product"/>
    <m/>
    <s v=""/>
    <s v=""/>
    <n v="4.47"/>
    <s v=""/>
    <m/>
    <m/>
    <m/>
    <m/>
    <m/>
    <m/>
    <m/>
    <m/>
    <m/>
    <m/>
    <m/>
    <m/>
    <m/>
    <m/>
    <m/>
    <m/>
    <m/>
    <m/>
    <m/>
    <m/>
    <m/>
    <m/>
    <n v="4.47"/>
    <m/>
  </r>
  <r>
    <x v="11"/>
    <x v="82"/>
    <s v="Fresh or Not Specified"/>
    <s v="Almonds"/>
    <s v="No"/>
    <s v="USA (california)"/>
    <n v="2015"/>
    <s v="Alissa Kendall (a); Elias Marvinney (a); Sonja Brodt (a); and Weiyuan Zhu (a);"/>
    <s v="(a) Department of Civil and Environmental Engineering, University of California–Davis, One Shields Avenue, Davis, CA 95618;"/>
    <s v="Peer Reviewed Journal"/>
    <s v="Kendall, A., Marvinney, E., Brodt, S. B. and Zhu, W., Life Cycle-based Assessment of Energy Use and Greenhouse Gas Emissions in Almond Production, Part I: Analytical Framework and Baseline Results. Journal of Industrial Ecology 2015, 19 (6), 1008-1018."/>
    <s v="Yes"/>
    <s v="No"/>
    <s v="Yes"/>
    <s v="Yes"/>
    <s v="No"/>
    <s v="No"/>
    <s v="No"/>
    <s v="No"/>
    <s v="No"/>
    <s v="No"/>
    <s v="No"/>
    <s v="No"/>
    <s v="Use of co-products for animal feed/biomass fuel/mulching"/>
    <s v="Economic allocation values. Hulling and Shelling included in farm procesing"/>
    <s v="No"/>
    <s v="Yes"/>
    <s v="1 kg almond kernel"/>
    <m/>
    <n v="24"/>
    <n v="29"/>
    <n v="0.79625000000000001"/>
    <n v="0.91"/>
    <n v="24.442857142857143"/>
    <m/>
    <n v="4.5571428571428569"/>
    <m/>
    <m/>
    <m/>
    <m/>
    <m/>
    <m/>
    <n v="24"/>
    <n v="29"/>
    <m/>
    <m/>
    <n v="0.79625000000000001"/>
    <m/>
    <n v="0.11375000000000002"/>
    <m/>
    <m/>
    <m/>
    <m/>
    <m/>
    <m/>
    <n v="0.79625000000000001"/>
    <n v="0.91"/>
  </r>
  <r>
    <x v="10"/>
    <x v="114"/>
    <s v="Fresh or Not Specified"/>
    <s v="Milk Chocolate Packed in Aluminium Foil Based Packaging"/>
    <s v="No"/>
    <s v="Switzerland"/>
    <n v="2009"/>
    <s v="Sybille Büsser; Niels Jungbluth"/>
    <s v="ESU-services Ltd., Uster, Switzerland"/>
    <s v="Other (specify)"/>
    <s v="Büsser, S., Jungbluth, N. and Jungbluth, N., LCA of Chocolate Packed in Aluminium Foil Based Packaging: ESU Services, 2009."/>
    <s v="Yes"/>
    <s v="No"/>
    <s v="Yes"/>
    <s v="Yes"/>
    <s v="Yes"/>
    <s v="Yes"/>
    <s v="Yes"/>
    <s v="Yes"/>
    <s v="No"/>
    <s v="No"/>
    <s v="No"/>
    <s v="No"/>
    <m/>
    <s v="Cradle to Grave"/>
    <s v="No"/>
    <s v="No"/>
    <s v="1 kg chocolate wrapped in 100g bars and aluminium foil based packaging"/>
    <s v="N/A"/>
    <s v=""/>
    <s v=""/>
    <s v=""/>
    <s v=""/>
    <m/>
    <m/>
    <m/>
    <m/>
    <m/>
    <m/>
    <m/>
    <m/>
    <m/>
    <m/>
    <m/>
    <m/>
    <m/>
    <m/>
    <m/>
    <m/>
    <m/>
    <m/>
    <m/>
    <m/>
    <m/>
    <m/>
    <m/>
    <n v="3.6"/>
  </r>
  <r>
    <x v="10"/>
    <x v="114"/>
    <s v="Fresh or Not Specified"/>
    <s v="Dark Chocolate Packed in Aluminium Foil Based Packaging"/>
    <s v="No"/>
    <s v="Switzerland"/>
    <n v="2009"/>
    <s v="Sybille Büsser; Niels Jungbluth"/>
    <s v="ESU-services Ltd., Uster, Switzerland"/>
    <s v="Other (specify)"/>
    <s v="Büsser, S., Jungbluth, N. and Jungbluth, N., LCA of Chocolate Packed in Aluminium Foil Based Packaging: ESU Services, 2009."/>
    <s v="Yes"/>
    <s v="No"/>
    <s v="Yes"/>
    <s v="Yes"/>
    <s v="Yes"/>
    <s v="Yes"/>
    <s v="Yes"/>
    <s v="Yes"/>
    <s v="No"/>
    <s v="No"/>
    <s v="No"/>
    <s v="No"/>
    <m/>
    <s v="Cradle to Grave"/>
    <s v="No"/>
    <s v="No"/>
    <s v="1 kg chocolate wrapped in 100g bars and aluminium foil based packaging"/>
    <s v="N/A"/>
    <s v=""/>
    <s v=""/>
    <s v=""/>
    <s v=""/>
    <m/>
    <m/>
    <m/>
    <m/>
    <m/>
    <m/>
    <m/>
    <m/>
    <m/>
    <m/>
    <m/>
    <m/>
    <m/>
    <m/>
    <m/>
    <m/>
    <m/>
    <m/>
    <m/>
    <m/>
    <m/>
    <m/>
    <m/>
    <n v="2.1"/>
  </r>
  <r>
    <x v="10"/>
    <x v="114"/>
    <s v="Fresh or Not Specified"/>
    <s v="White Chocolate Packed in Aluminium Foil Based Packaging"/>
    <s v="No"/>
    <s v="Switzerland"/>
    <n v="2009"/>
    <s v="Sybille Büsser; Niels Jungbluth"/>
    <s v="ESU-services Ltd., Uster, Switzerland"/>
    <s v="Other (specify)"/>
    <s v="Büsser, S., Jungbluth, N. and Jungbluth, N., LCA of Chocolate Packed in Aluminium Foil Based Packaging: ESU Services, 2009."/>
    <s v="Yes"/>
    <s v="No"/>
    <s v="Yes"/>
    <s v="Yes"/>
    <s v="Yes"/>
    <s v="Yes"/>
    <s v="Yes"/>
    <s v="Yes"/>
    <s v="No"/>
    <s v="No"/>
    <s v="No"/>
    <s v="No"/>
    <m/>
    <s v="Cradle to Grave"/>
    <s v="No"/>
    <s v="No"/>
    <s v="1 kg chocolate wrapped in 100g bars and aluminium foil based packaging"/>
    <s v="N/A"/>
    <s v=""/>
    <s v=""/>
    <s v=""/>
    <s v=""/>
    <m/>
    <m/>
    <m/>
    <m/>
    <m/>
    <m/>
    <m/>
    <m/>
    <m/>
    <m/>
    <m/>
    <m/>
    <m/>
    <m/>
    <m/>
    <m/>
    <m/>
    <m/>
    <m/>
    <m/>
    <m/>
    <m/>
    <m/>
    <n v="4.0999999999999996"/>
  </r>
  <r>
    <x v="10"/>
    <x v="114"/>
    <s v="Fresh or Not Specified"/>
    <s v="Chocolate with Saltunas Packed in Aluminium Foil Based Packaging"/>
    <s v="No"/>
    <s v="Switzerland"/>
    <n v="2009"/>
    <s v="Sybille Büsser; Niels Jungbluth"/>
    <s v="ESU-services Ltd., Uster, Switzerland"/>
    <s v="Other (specify)"/>
    <s v="Büsser, S., Jungbluth, N. and Jungbluth, N., LCA of Chocolate Packed in Aluminium Foil Based Packaging: ESU Services, 2009."/>
    <s v="Yes"/>
    <s v="No"/>
    <s v="Yes"/>
    <s v="Yes"/>
    <s v="Yes"/>
    <s v="Yes"/>
    <s v="Yes"/>
    <s v="Yes"/>
    <s v="No"/>
    <s v="No"/>
    <s v="No"/>
    <s v="No"/>
    <m/>
    <s v="Cradle to Grave"/>
    <s v="No"/>
    <s v="No"/>
    <s v="1 kg chocolate wrapped in 100g bars and aluminium foil based packaging"/>
    <s v="N/A"/>
    <s v=""/>
    <s v=""/>
    <s v=""/>
    <s v=""/>
    <m/>
    <m/>
    <m/>
    <m/>
    <m/>
    <m/>
    <m/>
    <m/>
    <m/>
    <m/>
    <m/>
    <m/>
    <m/>
    <m/>
    <m/>
    <m/>
    <m/>
    <m/>
    <m/>
    <m/>
    <m/>
    <m/>
    <m/>
    <n v="2.5"/>
  </r>
  <r>
    <x v="10"/>
    <x v="118"/>
    <s v="Fresh or Not Specified"/>
    <s v="Corn Chips"/>
    <s v="No"/>
    <s v="Australia"/>
    <n v="2006"/>
    <s v="Tim Grant (1) (2); Tom Beer (2)"/>
    <s v="(1) RMIT Centre for Design; (2) CSIRO Marine and Atmospheric Research"/>
    <s v="Conference Proceedings"/>
    <s v="Grant, T. and Beer, T., Life Cycle Assessment of Greenhouse Gas Emissions from Irrigated Maize. 5th Australian Confernce on Life Cycle Assessment 2006, 22-24."/>
    <s v="Yes"/>
    <s v="No"/>
    <s v="Yes"/>
    <s v="Yes"/>
    <s v="Yes"/>
    <s v="Yes"/>
    <s v="No"/>
    <s v="No"/>
    <s v="No"/>
    <s v="No"/>
    <s v="No"/>
    <s v="No"/>
    <m/>
    <s v="Cradle to Grave"/>
    <s v="No"/>
    <s v="No"/>
    <s v="400g packet of corn chips"/>
    <s v="Reported Value x 2.5"/>
    <s v=""/>
    <s v=""/>
    <s v=""/>
    <s v=""/>
    <m/>
    <m/>
    <m/>
    <m/>
    <m/>
    <m/>
    <m/>
    <m/>
    <m/>
    <m/>
    <m/>
    <m/>
    <m/>
    <m/>
    <m/>
    <m/>
    <m/>
    <m/>
    <m/>
    <m/>
    <m/>
    <m/>
    <m/>
    <n v="1.325"/>
  </r>
  <r>
    <x v="10"/>
    <x v="119"/>
    <s v="Fresh or Not Specified"/>
    <s v="Traditional Cacao"/>
    <s v="No"/>
    <s v="Ecuador"/>
    <n v="2015"/>
    <s v="David Pérez Neira"/>
    <s v="(1) Department of Economics and Statistics, Universidad de León, León (Spain); (2) Prometeo Researcher, Secretaria de Educación Superior, Ciencia Tecnología e Innovación de la República del Ecuador, Universidad Estatal de Milagro, Milagro (Ecuador)."/>
    <s v="Peer Reviewed Journal"/>
    <s v="Neira, D. P., Energy Sustainability of Ecuadorian Cacao export and its Contribution to climate change - A Case Study through Product Life Cycle Assessment. Journal of Cleaner Production 2016, 112, 2560-2568."/>
    <s v="Yes"/>
    <s v="No"/>
    <s v="Yes"/>
    <s v="Yes"/>
    <s v="Yes"/>
    <s v="Yes"/>
    <s v="No"/>
    <s v="No"/>
    <s v="No"/>
    <s v="No"/>
    <s v="No"/>
    <s v="No"/>
    <m/>
    <s v="Cradle to Retail"/>
    <s v="No"/>
    <s v="No"/>
    <s v="1kg chocolate"/>
    <s v="N/A"/>
    <n v="22.9"/>
    <s v=""/>
    <s v=""/>
    <s v=""/>
    <m/>
    <m/>
    <m/>
    <m/>
    <m/>
    <m/>
    <m/>
    <m/>
    <m/>
    <n v="22.9"/>
    <n v="36.700000000000003"/>
    <m/>
    <m/>
    <m/>
    <m/>
    <m/>
    <m/>
    <m/>
    <m/>
    <m/>
    <m/>
    <m/>
    <m/>
    <n v="2.4900000000000002"/>
  </r>
  <r>
    <x v="10"/>
    <x v="119"/>
    <s v="Fresh or Not Specified"/>
    <s v="Technified Cacao"/>
    <s v="No"/>
    <s v="Ecuador"/>
    <n v="2015"/>
    <s v="David Pérez Neira"/>
    <s v="(1) Department of Economics and Statistics, Universidad de León, León (Spain); (2) Prometeo Researcher, Secretaria de Educación Superior, Ciencia Tecnología e Innovación de la República del Ecuador, Universidad Estatal de Milagro, Milagro (Ecuador)."/>
    <s v="Peer Reviewed Journal"/>
    <s v="Neira, D. P., Energy Sustainability of Ecuadorian Cacao export and its Contribution to climate change - A Case Study through Product Life Cycle Assessment. Journal of Cleaner Production 2016, 112, 2560-2568."/>
    <s v="Yes"/>
    <s v="No"/>
    <s v="Yes"/>
    <s v="Yes"/>
    <s v="Yes"/>
    <s v="Yes"/>
    <s v="No"/>
    <s v="No"/>
    <s v="No"/>
    <s v="No"/>
    <s v="No"/>
    <s v="No"/>
    <m/>
    <s v="Cradle to Retail"/>
    <s v="No"/>
    <s v="No"/>
    <s v="1kg chocolate"/>
    <s v="N/A"/>
    <s v=""/>
    <s v=""/>
    <s v=""/>
    <s v=""/>
    <m/>
    <m/>
    <m/>
    <m/>
    <m/>
    <m/>
    <m/>
    <m/>
    <m/>
    <m/>
    <n v="40.700000000000003"/>
    <m/>
    <m/>
    <m/>
    <m/>
    <m/>
    <m/>
    <m/>
    <m/>
    <m/>
    <m/>
    <m/>
    <m/>
    <n v="2.82"/>
  </r>
  <r>
    <x v="5"/>
    <x v="120"/>
    <s v="Fresh or Not Specified"/>
    <s v="Breakfast Cereal (minus consumption)"/>
    <m/>
    <s v="UK"/>
    <n v="2015"/>
    <s v="(1) Harish Kumar Jeswania; (2) Richard Burkinshawb; (1) Adisa Azapagica"/>
    <s v="(1) School of Chemical Engineering and Analytical Science, The Mill, Sackville Street, The University of Manchester, Manchester M13 9PL, United Kingdom; (2) Kellogg Management Services (Europe) Limited, The Kellogg Building, Talbot Road, Manchester, M16 0PU, United Kingdom"/>
    <s v="Peer Reviewed Journal"/>
    <s v="Jeswani, H. K., Burkinshaw, R. and Azapagic, A., Environmental sustainability issues in the food – energy – water nexus : Breakfast cereals and snacks. Sustainable Production and Consumption 2015, 2 (August), 17-28."/>
    <s v="Yes"/>
    <s v="Yes"/>
    <s v="Yes"/>
    <s v="Yes"/>
    <s v="Yes"/>
    <s v="Yes"/>
    <s v="No"/>
    <s v="No"/>
    <s v="No"/>
    <s v="No"/>
    <s v="No"/>
    <s v="No"/>
    <m/>
    <s v="Cradle to Retail"/>
    <s v="Yes"/>
    <s v="No"/>
    <s v="1kg cereal"/>
    <s v="N/A"/>
    <s v=""/>
    <s v=""/>
    <s v=""/>
    <s v=""/>
    <m/>
    <m/>
    <m/>
    <m/>
    <m/>
    <m/>
    <m/>
    <m/>
    <m/>
    <m/>
    <n v="32.39"/>
    <s v="CML 2001, Updated April 2013"/>
    <m/>
    <m/>
    <m/>
    <m/>
    <m/>
    <m/>
    <m/>
    <m/>
    <m/>
    <m/>
    <m/>
    <n v="2.64"/>
  </r>
  <r>
    <x v="5"/>
    <x v="120"/>
    <s v="Fresh or Not Specified"/>
    <s v="Breakfast Cereal (includes consumption with milk)"/>
    <m/>
    <s v="UK"/>
    <n v="2015"/>
    <s v="(1) Harish Kumar Jeswania; (2) Richard Burkinshawb; (1) Adisa Azapagica"/>
    <s v="(1) School of Chemical Engineering and Analytical Science, The Mill, Sackville Street, The University of Manchester, Manchester M13 9PL, United Kingdom; (2) Kellogg Management Services (Europe) Limited, The Kellogg Building, Talbot Road, Manchester, M16 0PU, United Kingdom"/>
    <s v="Peer Reviewed Journal"/>
    <s v="Jeswani, H. K., Burkinshaw, R. and Azapagic, A., Environmental sustainability issues in the food – energy – water nexus : Breakfast cereals and snacks. Sustainable Production and Consumption 2015, 2 (August), 17-28."/>
    <s v="Yes"/>
    <s v="Yes"/>
    <s v="Yes"/>
    <s v="Yes"/>
    <s v="Yes"/>
    <s v="Yes"/>
    <s v="Yes"/>
    <s v="Yes"/>
    <s v="No"/>
    <s v="No"/>
    <s v="Yes"/>
    <s v="No"/>
    <m/>
    <s v="Cradle to Grave"/>
    <s v="Yes"/>
    <s v="No"/>
    <s v="1kg cereal"/>
    <s v="N/A"/>
    <s v=""/>
    <s v=""/>
    <s v=""/>
    <s v=""/>
    <m/>
    <m/>
    <m/>
    <m/>
    <m/>
    <m/>
    <m/>
    <m/>
    <m/>
    <m/>
    <n v="77.489999999999995"/>
    <s v="CML 2001, Updated April 2013"/>
    <m/>
    <m/>
    <m/>
    <m/>
    <m/>
    <m/>
    <m/>
    <m/>
    <m/>
    <m/>
    <m/>
    <n v="8.84"/>
  </r>
  <r>
    <x v="6"/>
    <x v="38"/>
    <s v="Fresh or Not Specified"/>
    <s v="Tofu"/>
    <s v="No"/>
    <s v="Indonesia"/>
    <n v="2014"/>
    <s v="Sidharta Sahirman Ardiansyah"/>
    <s v="Universitas Jenderal Soedirman, Purwokerto, Indonesia"/>
    <s v="Conference Proceedings"/>
    <s v="Ardiansyah, S. S., Assessment of Tofu Carbon Footprint in Banyumas, Indonesia - Towards 'Greener' Tofu. Proceeding of International Conference On Research, Implementation And Education Of Mathematics And Sciences 2014, Yogyakarta State University, 18-20 May 2014 S-97 - S-103."/>
    <s v="Yes"/>
    <s v="No"/>
    <s v="Yes"/>
    <s v="Yes"/>
    <s v="No"/>
    <s v="No"/>
    <s v="No"/>
    <s v="No"/>
    <s v="No"/>
    <s v="No"/>
    <s v="No"/>
    <s v="No"/>
    <m/>
    <s v="Cradle to Processing Gate"/>
    <s v="No"/>
    <s v="No"/>
    <s v="1kg tofu"/>
    <s v="N/A"/>
    <s v=""/>
    <s v=""/>
    <s v=""/>
    <s v=""/>
    <m/>
    <m/>
    <m/>
    <m/>
    <m/>
    <m/>
    <m/>
    <m/>
    <m/>
    <m/>
    <n v="11.44"/>
    <m/>
    <m/>
    <m/>
    <m/>
    <m/>
    <m/>
    <m/>
    <m/>
    <m/>
    <m/>
    <m/>
    <m/>
    <n v="1.6995199999999999"/>
  </r>
  <r>
    <x v="6"/>
    <x v="121"/>
    <s v="Fresh or Not Specified"/>
    <s v="Soy Burger"/>
    <s v="No"/>
    <s v="Netherlands"/>
    <n v="2011"/>
    <s v="A. Ertug Ercina (1); Maite M. Aldayab (2); Arjen Y. Hoekstraa (1)"/>
    <s v="(1) Twente Water Centre, University of Twente, P.O. Box 217, 7500 AE Enschede, The Netherlands; (2) United Nations Environment Programme, Division of Technology, Industry and Economics, Sustainable Consumption and Production Branch, 15, rue de Milan F-75441, Paris, France"/>
    <s v="Peer Reviewed Journal"/>
    <s v="Ercin, A. E., Aldaya, M. M. and Hoekstra, A. Y., The water footprint of soy milk and soy burger and equivalent animal products. Ecological Indicators 2012, 18, 392-402."/>
    <s v="Yes"/>
    <s v="No"/>
    <s v="Yes"/>
    <s v="Yes"/>
    <s v="Yes"/>
    <s v="No"/>
    <s v="No"/>
    <s v="No"/>
    <s v="No"/>
    <s v="No"/>
    <s v="No"/>
    <s v="No"/>
    <m/>
    <s v="Cradle to Processing Gate"/>
    <s v="No"/>
    <s v="No"/>
    <s v="150g soy burger"/>
    <s v="Reported Value x (20/3)"/>
    <s v=""/>
    <s v=""/>
    <s v=""/>
    <s v=""/>
    <m/>
    <m/>
    <m/>
    <m/>
    <m/>
    <m/>
    <m/>
    <m/>
    <m/>
    <m/>
    <m/>
    <m/>
    <m/>
    <m/>
    <m/>
    <m/>
    <m/>
    <m/>
    <m/>
    <m/>
    <m/>
    <m/>
    <m/>
    <m/>
  </r>
  <r>
    <x v="7"/>
    <x v="40"/>
    <s v="Fresh or Not Specified"/>
    <s v="Soy Milk"/>
    <s v="No"/>
    <s v="Netherlands"/>
    <n v="2011"/>
    <s v="A. Ertug Ercina (1); Maite M. Aldayab (2); Arjen Y. Hoekstraa (1)"/>
    <s v="(1) Twente Water Centre, University of Twente, P.O. Box 217, 7500 AE Enschede, The Netherlands; (2) United Nations Environment Programme, Division of Technology, Industry and Economics, Sustainable Consumption and Production Branch, 15, rue de Milan F-75441, Paris, France"/>
    <s v="Peer Reviewed Journal"/>
    <s v="Ercin, A. E., Aldaya, M. M. and Hoekstra, A. Y., The water footprint of soy milk and soy burger and equivalent animal products. Ecological Indicators 2012, 18, 392-402."/>
    <s v="Yes"/>
    <s v="No"/>
    <s v="Yes"/>
    <s v="Yes"/>
    <s v="Yes"/>
    <s v="No"/>
    <s v="No"/>
    <s v="No"/>
    <s v="No"/>
    <s v="No"/>
    <s v="No"/>
    <s v="No"/>
    <m/>
    <s v="Cradle to Processing Gate"/>
    <s v="No"/>
    <s v="No"/>
    <s v="1 liter soy milk"/>
    <s v="Reported value / density of soy milk (1.08 kg/L)"/>
    <s v=""/>
    <s v=""/>
    <s v=""/>
    <s v=""/>
    <m/>
    <m/>
    <m/>
    <m/>
    <m/>
    <m/>
    <m/>
    <m/>
    <m/>
    <m/>
    <m/>
    <m/>
    <m/>
    <m/>
    <m/>
    <m/>
    <m/>
    <m/>
    <m/>
    <m/>
    <m/>
    <m/>
    <m/>
    <m/>
  </r>
  <r>
    <x v="5"/>
    <x v="67"/>
    <s v="Fresh or Not Specified"/>
    <s v="Crop Rotation, Wheat after Wheat"/>
    <s v="Yes"/>
    <s v="New South Whales (N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20499999999999999"/>
    <s v=""/>
    <m/>
    <m/>
    <m/>
    <m/>
    <m/>
    <m/>
    <m/>
    <m/>
    <m/>
    <m/>
    <m/>
    <m/>
    <m/>
    <m/>
    <m/>
    <m/>
    <m/>
    <m/>
    <m/>
    <m/>
    <m/>
    <m/>
    <n v="0.20499999999999999"/>
    <m/>
  </r>
  <r>
    <x v="5"/>
    <x v="67"/>
    <s v="Fresh or Not Specified"/>
    <s v="Crop Rotation, Wheat after Canola"/>
    <s v="Yes"/>
    <s v="New South Whales (N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17899999999999999"/>
    <s v=""/>
    <m/>
    <m/>
    <m/>
    <m/>
    <m/>
    <m/>
    <m/>
    <m/>
    <m/>
    <m/>
    <m/>
    <m/>
    <m/>
    <m/>
    <m/>
    <m/>
    <m/>
    <m/>
    <m/>
    <m/>
    <m/>
    <m/>
    <n v="0.17899999999999999"/>
    <m/>
  </r>
  <r>
    <x v="5"/>
    <x v="67"/>
    <s v="Fresh or Not Specified"/>
    <s v="Crop Rotation, Wheat after Chickpea"/>
    <s v="Yes"/>
    <s v="New South Whales (N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154"/>
    <s v=""/>
    <m/>
    <m/>
    <m/>
    <m/>
    <m/>
    <m/>
    <m/>
    <m/>
    <m/>
    <m/>
    <m/>
    <m/>
    <m/>
    <m/>
    <m/>
    <m/>
    <m/>
    <m/>
    <m/>
    <m/>
    <m/>
    <m/>
    <n v="0.154"/>
    <m/>
  </r>
  <r>
    <x v="5"/>
    <x v="67"/>
    <s v="Fresh or Not Specified"/>
    <s v="Crop Rotation, Wheat after Wheat"/>
    <s v="Yes"/>
    <s v="New South Whales (S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2404"/>
    <s v=""/>
    <m/>
    <m/>
    <m/>
    <m/>
    <m/>
    <m/>
    <m/>
    <m/>
    <m/>
    <m/>
    <m/>
    <m/>
    <m/>
    <m/>
    <m/>
    <m/>
    <m/>
    <m/>
    <m/>
    <m/>
    <m/>
    <m/>
    <n v="0.2404"/>
    <m/>
  </r>
  <r>
    <x v="5"/>
    <x v="67"/>
    <s v="Fresh or Not Specified"/>
    <s v="Crop Rotation, Wheat after Canola"/>
    <s v="Yes"/>
    <s v="New South Whales (S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214"/>
    <s v=""/>
    <m/>
    <m/>
    <m/>
    <m/>
    <m/>
    <m/>
    <m/>
    <m/>
    <m/>
    <m/>
    <m/>
    <m/>
    <m/>
    <m/>
    <m/>
    <m/>
    <m/>
    <m/>
    <m/>
    <m/>
    <m/>
    <m/>
    <n v="0.214"/>
    <m/>
  </r>
  <r>
    <x v="5"/>
    <x v="67"/>
    <s v="Fresh or Not Specified"/>
    <s v="Crop Rotation, Wheat after Field Peas"/>
    <s v="Yes"/>
    <s v="New South Whales (SW)"/>
    <n v="2015"/>
    <s v="Aaron Simmons (1); Sally Muir (2); Pip Brock (3); David Herridge (4)"/>
    <s v="(1) Department of Primary Industries, Locked Bag 21, Orange, NSW 2800; (2) Department of Primary Industries, 4 Marsden Park Road, Calala, NSW 2340; (3) Department of Primary Industries, Locked Bag 1, Nelson Bay, NSW 2315; (4) University of New England, School of Environmental and Rural Science, Armidale, NSW 2351"/>
    <s v="Conference Proceedings"/>
    <s v="Simmons, A., Muir, S., Brock, P. and Herridge, D., Life Cycle Assessment of grain cropping. Proceedings of the 17th ASA Conference 2015, 1-4."/>
    <s v="Yes"/>
    <s v="Yes"/>
    <s v="No"/>
    <s v="No"/>
    <s v="No"/>
    <s v="No"/>
    <s v="No"/>
    <s v="No"/>
    <s v="No"/>
    <s v="No"/>
    <s v="No"/>
    <s v="No"/>
    <m/>
    <s v="Cradle to Farm Gate"/>
    <s v="No"/>
    <s v="No"/>
    <s v="1 tonne of wheat"/>
    <s v="Reported Value / 1000"/>
    <s v=""/>
    <s v=""/>
    <n v="0.17799999999999999"/>
    <s v=""/>
    <m/>
    <m/>
    <m/>
    <m/>
    <m/>
    <m/>
    <m/>
    <m/>
    <m/>
    <m/>
    <m/>
    <m/>
    <m/>
    <m/>
    <m/>
    <m/>
    <m/>
    <m/>
    <m/>
    <m/>
    <m/>
    <m/>
    <n v="0.17799999999999999"/>
    <m/>
  </r>
  <r>
    <x v="5"/>
    <x v="122"/>
    <s v="Fresh or Not Specified"/>
    <s v="Rice - Using measured field emissions and GWP_100"/>
    <s v="No"/>
    <s v="California"/>
    <n v="2014"/>
    <s v="Sonja Brodt (1); Alissa Kendall (2); Yaser Mohammadi (1)(3) Aslihan Arslan (1); Juhong Yuan (2); In-Sung Lee (2); Bruce Linquist (3)"/>
    <s v="(1) Agricultural Sustainability Institute, University of California, 1 Shields Ave., Davis, CA 95616, USA; (2) Department of Civil and Environmental Engineering, University of California, 1 Shields Ave., Davis, CA 95616, USA ;(3) Department of Plant Sciences, University of California, 1 Shields Ave., Davis, CA 95616, USA"/>
    <s v="Peer Reviewed Journal"/>
    <s v="Brodt, S. B., Kendall, A., Mohammadi, Y., Arslan, A., Yuan, J., Lee, I.-S. and Linquist, B., Life cycle greenhouse gas emissions in California rice production. Field Crops Research 2014, 169, 89-98."/>
    <s v="Yes"/>
    <s v="No"/>
    <s v="Yes"/>
    <s v="Yes"/>
    <s v="No"/>
    <s v="No"/>
    <s v="No"/>
    <s v="No"/>
    <s v="No"/>
    <s v="No"/>
    <s v="No"/>
    <s v="No"/>
    <m/>
    <s v="Cradle to Processing"/>
    <s v="No"/>
    <s v="Yes"/>
    <s v="1 kg rice"/>
    <s v="N/A"/>
    <s v=""/>
    <n v="0.13930000000000001"/>
    <n v="1.4993100000000001"/>
    <s v=""/>
    <m/>
    <n v="5.7700000000000001E-2"/>
    <n v="8.1600000000000006E-2"/>
    <m/>
    <m/>
    <m/>
    <m/>
    <m/>
    <m/>
    <m/>
    <m/>
    <m/>
    <s v="No Data except tranport and processing"/>
    <n v="1.4993100000000001"/>
    <m/>
    <m/>
    <m/>
    <m/>
    <m/>
    <m/>
    <m/>
    <m/>
    <n v="1.4993100000000001"/>
    <n v="1.55"/>
  </r>
  <r>
    <x v="8"/>
    <x v="123"/>
    <m/>
    <m/>
    <s v="No"/>
    <s v="US"/>
    <n v="2002"/>
    <s v="Seungdo Kim and Bruce E. Dale"/>
    <s v="Department of Chemical Engineering &amp; Materials Science, Room 2527, Engineering Building, Michigan State University, East Lansing, MI"/>
    <s v="Peer Reviewed Journal"/>
    <s v="Kim, S. and Dale, B. E., Allocation procedure in ethanol production system from corn grain i. system expansion. The International Journal of Life Cycle Assessment 2002, 7 (4), 237-243."/>
    <s v="Yes"/>
    <s v="No"/>
    <s v="No"/>
    <s v="Yes"/>
    <s v="No"/>
    <s v="No"/>
    <s v="No"/>
    <s v="No"/>
    <s v="No"/>
    <s v="No"/>
    <s v="No"/>
    <s v="No"/>
    <m/>
    <s v="derived from system expansion approach to assigning net energy to corn ethanol"/>
    <s v="No"/>
    <s v="No"/>
    <s v="kg corn oil"/>
    <m/>
    <s v=""/>
    <s v=""/>
    <s v=""/>
    <s v=""/>
    <m/>
    <m/>
    <m/>
    <m/>
    <m/>
    <m/>
    <m/>
    <m/>
    <m/>
    <m/>
    <n v="12.5"/>
    <s v="MJ (net energy)"/>
    <m/>
    <m/>
    <m/>
    <m/>
    <m/>
    <m/>
    <m/>
    <m/>
    <m/>
    <m/>
    <m/>
    <m/>
  </r>
  <r>
    <x v="5"/>
    <x v="124"/>
    <m/>
    <m/>
    <s v="No"/>
    <s v="US"/>
    <n v="2002"/>
    <s v="Seungdo Kim and Bruce E. Dale"/>
    <s v="Department of Chemical Engineering &amp; Materials Science, Room 2527, Engineering Building, Michigan State University, East Lansing, MI"/>
    <s v="Peer Reviewed Journal"/>
    <s v="Kim, S. and Dale, B. E., Allocation procedure in ethanol production system from corn grain i. system expansion. The International Journal of Life Cycle Assessment 2002, 7 (4), 237-243."/>
    <s v="Yes"/>
    <s v="No"/>
    <s v="No"/>
    <s v="Yes"/>
    <s v="No"/>
    <s v="No"/>
    <s v="No"/>
    <s v="No"/>
    <s v="No"/>
    <s v="No"/>
    <s v="No"/>
    <s v="No"/>
    <m/>
    <s v="derived from system expansion approach to assigning net energy to corn ethanol"/>
    <s v="No"/>
    <s v="No"/>
    <s v="kg corn gluten meal"/>
    <m/>
    <s v=""/>
    <s v=""/>
    <s v=""/>
    <s v=""/>
    <m/>
    <m/>
    <m/>
    <m/>
    <m/>
    <m/>
    <m/>
    <m/>
    <m/>
    <m/>
    <n v="4.2"/>
    <s v="MJ (net energy)"/>
    <m/>
    <m/>
    <m/>
    <m/>
    <m/>
    <m/>
    <m/>
    <m/>
    <m/>
    <m/>
    <m/>
    <m/>
  </r>
  <r>
    <x v="8"/>
    <x v="47"/>
    <s v="Fresh or Not Specified"/>
    <s v="average across US ; accounts for regional variation"/>
    <s v="No"/>
    <s v="US"/>
    <n v="2009"/>
    <s v="Seungdo Kim &amp; Bruce E. Dale"/>
    <s v="Department of Chemical Engineering &amp; Materials Science, Room 2527, Engineering Building, Michigan State University, East Lansing, MI"/>
    <s v="Peer Reviewed Journal"/>
    <s v="Kim, S. and Dale, B. E., Regional variations in greenhouse gas emissions of biobased products in the United States—corn-based ethanol and soybean oil. The International Journal of Life Cycle Assessment 2009, 14 (6), 540-546."/>
    <s v="Yes"/>
    <s v="Yes"/>
    <s v="No"/>
    <s v="Yes"/>
    <s v="No"/>
    <s v="No"/>
    <s v="No"/>
    <s v="No"/>
    <s v="No"/>
    <s v="No"/>
    <s v="No"/>
    <s v="No"/>
    <m/>
    <s v="direct land use change included in the form of changes in soil organic carbon"/>
    <s v="No"/>
    <s v="No"/>
    <s v="kg soybean oil"/>
    <m/>
    <s v=""/>
    <s v=""/>
    <s v=""/>
    <s v=""/>
    <m/>
    <m/>
    <m/>
    <m/>
    <m/>
    <m/>
    <m/>
    <m/>
    <m/>
    <m/>
    <m/>
    <m/>
    <m/>
    <m/>
    <m/>
    <m/>
    <m/>
    <m/>
    <m/>
    <m/>
    <m/>
    <m/>
    <m/>
    <n v="1.2"/>
  </r>
  <r>
    <x v="12"/>
    <x v="104"/>
    <s v="Canned"/>
    <s v="Canned Sardines, purse seine fishery, includes olive oil &amp; salt"/>
    <s v="No"/>
    <s v="Portugal"/>
    <n v="2015"/>
    <s v="Cheila Almeida, Sofia Vaz, and Friederike Ziegler"/>
    <s v="SIK–The Swedish Institute for Food and Biotechnology, Sustainable Food Production, P.O. Box 5401, SE-402 29 G¨oteborg, Sweden"/>
    <s v="Peer Reviewed Journal"/>
    <s v="Almeida, C., Vaz, S. and Ziegler, F., Environmental Life Cycle Assessment of a Canned Sardine Product from Portugal. Journal of Industrial Ecology 2015, 19 (4), 607-617."/>
    <s v="Yes"/>
    <s v="No"/>
    <s v="Yes"/>
    <s v="Yes"/>
    <s v="Yes"/>
    <s v="Yes"/>
    <s v="Yes"/>
    <s v="No"/>
    <s v="No"/>
    <s v="No"/>
    <s v="No"/>
    <s v="No"/>
    <m/>
    <s v="transported to grocery in Lisbon, Portugal"/>
    <s v="Yes"/>
    <s v="Yes"/>
    <s v="1 kg edible"/>
    <m/>
    <n v="8.76"/>
    <s v=""/>
    <n v="1.4169"/>
    <n v="2.0179999999999998"/>
    <n v="8.76"/>
    <m/>
    <m/>
    <n v="41.84"/>
    <n v="0.34"/>
    <m/>
    <m/>
    <m/>
    <m/>
    <n v="8.76"/>
    <n v="51"/>
    <m/>
    <m/>
    <n v="1.4169"/>
    <m/>
    <n v="0.60109999999999997"/>
    <n v="5.5175000000000001"/>
    <n v="2.4E-2"/>
    <m/>
    <m/>
    <m/>
    <m/>
    <n v="1.4169"/>
    <n v="7.6"/>
  </r>
  <r>
    <x v="12"/>
    <x v="104"/>
    <s v="Fresh or Not Specified"/>
    <s v="Fresh Sardines, purse seine fishery"/>
    <s v="No"/>
    <s v="Portugal"/>
    <n v="2015"/>
    <s v="Cheila Almeida, Sofia Vaz, and Friederike Ziegler"/>
    <s v="SIK–The Swedish Institute for Food and Biotechnology, Sustainable Food Production, P.O. Box 5401, SE-402 29 G¨oteborg, Sweden"/>
    <s v="Peer Reviewed Journal"/>
    <s v="Almeida, C., Vaz, S. and Ziegler, F., Environmental Life Cycle Assessment of a Canned Sardine Product from Portugal. Journal of Industrial Ecology 2015, 19 (4), 607-617."/>
    <s v="Yes"/>
    <s v="No"/>
    <s v="Yes"/>
    <s v="Yes"/>
    <s v="Yes"/>
    <s v="Yes"/>
    <s v="Yes"/>
    <s v="No"/>
    <s v="No"/>
    <s v="No"/>
    <s v="No"/>
    <s v="No"/>
    <m/>
    <s v="transported to grocery in Lisbon, Portugal"/>
    <s v="Yes"/>
    <s v="No"/>
    <s v="1 kg edible"/>
    <m/>
    <s v=""/>
    <s v=""/>
    <s v=""/>
    <s v=""/>
    <m/>
    <m/>
    <m/>
    <m/>
    <m/>
    <m/>
    <m/>
    <m/>
    <m/>
    <m/>
    <n v="13"/>
    <m/>
    <m/>
    <m/>
    <m/>
    <m/>
    <m/>
    <m/>
    <m/>
    <m/>
    <m/>
    <m/>
    <m/>
    <n v="0.8"/>
  </r>
  <r>
    <x v="12"/>
    <x v="104"/>
    <s v="Frozen"/>
    <s v="Frozen Sardines, purse seine fishery"/>
    <s v="No"/>
    <s v="Portugal"/>
    <n v="2015"/>
    <s v="Cheila Almeida, Sofia Vaz, and Friederike Ziegler"/>
    <s v="SIK–The Swedish Institute for Food and Biotechnology, Sustainable Food Production, P.O. Box 5401, SE-402 29 G¨oteborg, Sweden"/>
    <s v="Peer Reviewed Journal"/>
    <s v="Almeida, C., Vaz, S. and Ziegler, F., Environmental Life Cycle Assessment of a Canned Sardine Product from Portugal. Journal of Industrial Ecology 2015, 19 (4), 607-617."/>
    <s v="Yes"/>
    <s v="No"/>
    <s v="Yes"/>
    <s v="Yes"/>
    <s v="Yes"/>
    <s v="Yes"/>
    <s v="Yes"/>
    <s v="No"/>
    <s v="No"/>
    <s v="No"/>
    <s v="No"/>
    <s v="No"/>
    <m/>
    <s v="transported to grocery in Lisbon, Portugal"/>
    <s v="Yes"/>
    <s v="No"/>
    <s v="1 kg edible"/>
    <m/>
    <s v=""/>
    <s v=""/>
    <s v=""/>
    <s v=""/>
    <m/>
    <m/>
    <m/>
    <m/>
    <m/>
    <m/>
    <m/>
    <m/>
    <m/>
    <m/>
    <n v="17"/>
    <m/>
    <m/>
    <m/>
    <m/>
    <m/>
    <m/>
    <m/>
    <m/>
    <m/>
    <m/>
    <m/>
    <m/>
    <n v="0.99"/>
  </r>
  <r>
    <x v="12"/>
    <x v="102"/>
    <s v="Fresh (Live)"/>
    <s v="Atlantic Salmon, copper alloy mesh net pens"/>
    <s v="Yes"/>
    <s v="Chile"/>
    <n v="2015"/>
    <s v="Nathan Ayer a,*, Shelly Martin b, Robert L. Dwyer c, Langley Gace c, Lise Laurin a"/>
    <s v="a EarthShift Global LLC, 31 Leach Rd. Kittery, ME 03904 USA b EarthShift, 830 Taft Road Huntington, VT 05462 USA c International Copper Association, USA"/>
    <s v="Peer Reviewed Journal"/>
    <s v="Ayer, N. W., Martin, S., Dwyer, R. L., Gace, L. and Laurin, L., Environmental performance of copper-alloy Net-pens: Life cycle assessment of Atlantic salmon grow-out in copper-alloy and nylon net-pens. Aquaculture 2016, 453, 93-103."/>
    <s v="Yes"/>
    <s v="No"/>
    <s v="No"/>
    <s v="No"/>
    <s v="No"/>
    <s v="No"/>
    <s v="No"/>
    <s v="No"/>
    <s v="No"/>
    <s v="No"/>
    <s v="No"/>
    <s v="No"/>
    <m/>
    <m/>
    <s v="No"/>
    <s v="Yes"/>
    <s v="1 metric ton mature live weight fish"/>
    <s v="/1000/.72  filet yield (72%) from Table 4.5 of http://brage.bibsys.no/xmlui/bitstream/handle/11250/186065/deependra%20acharya.pdf?sequence=1"/>
    <n v="43.888888888888893"/>
    <s v=""/>
    <n v="3.0694444444444446"/>
    <s v=""/>
    <m/>
    <m/>
    <m/>
    <m/>
    <m/>
    <m/>
    <m/>
    <m/>
    <m/>
    <n v="43.888888888888893"/>
    <m/>
    <m/>
    <m/>
    <m/>
    <m/>
    <m/>
    <m/>
    <m/>
    <m/>
    <m/>
    <m/>
    <m/>
    <n v="3.0694444444444446"/>
    <m/>
  </r>
  <r>
    <x v="12"/>
    <x v="102"/>
    <s v="Fresh (Live)"/>
    <s v="Atlantic Salmon, nylon net pens"/>
    <s v="Yes"/>
    <s v="Chile"/>
    <n v="2015"/>
    <s v="Nathan Ayer a,*, Shelly Martin b, Robert L. Dwyer c, Langley Gace c, Lise Laurin a"/>
    <s v="a EarthShift Global LLC, 31 Leach Rd. Kittery, ME 03904 USA b EarthShift, 830 Taft Road Huntington, VT 05462 USA c International Copper Association, USA"/>
    <s v="Peer Reviewed Journal"/>
    <s v="Ayer, N. W., Martin, S., Dwyer, R. L., Gace, L. and Laurin, L., Environmental performance of copper-alloy Net-pens: Life cycle assessment of Atlantic salmon grow-out in copper-alloy and nylon net-pens. Aquaculture 2016, 453, 93-103."/>
    <s v="Yes"/>
    <s v="No"/>
    <s v="No"/>
    <s v="No"/>
    <s v="No"/>
    <s v="No"/>
    <s v="No"/>
    <s v="No"/>
    <s v="No"/>
    <s v="No"/>
    <s v="No"/>
    <s v="No"/>
    <m/>
    <m/>
    <s v="No"/>
    <s v="Yes"/>
    <s v="1 metric ton mature live weight fish"/>
    <s v="/1000/.72  filet yield (72%) from Table 4.5 of http://brage.bibsys.no/xmlui/bitstream/handle/11250/186065/deependra%20acharya.pdf?sequence=1"/>
    <n v="53.472222222222221"/>
    <s v=""/>
    <n v="3.6944444444444446"/>
    <s v=""/>
    <m/>
    <m/>
    <m/>
    <m/>
    <m/>
    <m/>
    <m/>
    <m/>
    <m/>
    <n v="53.472222222222221"/>
    <m/>
    <m/>
    <m/>
    <m/>
    <m/>
    <m/>
    <m/>
    <m/>
    <m/>
    <m/>
    <m/>
    <m/>
    <n v="3.6944444444444446"/>
    <m/>
  </r>
  <r>
    <x v="12"/>
    <x v="111"/>
    <s v="Frozen"/>
    <s v="Tropical Rock Lobster, frozen tail shipped from N. Australia to US"/>
    <s v="No"/>
    <s v="Australia"/>
    <n v="2016"/>
    <s v="Ingrid E. van Putten, Anna K. Farmery, Bridget S. Green, Alistair J. Hobday, Lilly Lim-Camacho, Ana Norman-L´opez, and Robert W. Parker"/>
    <s v="Commonwealth Scientific and Industrial Research Organization, Oceans and Atmosphere, in Hobart, Tasmania, Australia."/>
    <s v="Peer Reviewed Journal"/>
    <s v="Van Putten, I. E., Farmery, A. K., Green, B. S., Hobday, A. J., Lim-Camacho, L., Norman-López, A. and Parker, R. W., The Environmental Impact of Two Australian Rock Lobster Fishery Supply Chains under a Changing Climate. Journal of Industrial Ecology 2016, 20(6), 1384-1398."/>
    <s v="Yes"/>
    <s v="No"/>
    <s v="Yes"/>
    <s v="Yes"/>
    <s v="Yes"/>
    <s v="Yes"/>
    <s v="No"/>
    <s v="No"/>
    <s v="No"/>
    <s v="No"/>
    <s v="No"/>
    <s v="No"/>
    <m/>
    <s v="cradle to import market port in US"/>
    <s v="No"/>
    <s v="Yes"/>
    <s v="1 kg frozen lobster tail"/>
    <m/>
    <n v="244.72"/>
    <n v="246.05"/>
    <n v="18.308"/>
    <n v="18.407499999999999"/>
    <n v="244.72"/>
    <m/>
    <n v="1.33"/>
    <n v="1.33"/>
    <n v="18.62"/>
    <m/>
    <m/>
    <m/>
    <m/>
    <n v="244.72"/>
    <n v="266"/>
    <m/>
    <m/>
    <n v="18.308"/>
    <m/>
    <n v="9.9499999999999991E-2"/>
    <n v="9.9499999999999991E-2"/>
    <n v="1.393"/>
    <m/>
    <m/>
    <m/>
    <m/>
    <n v="18.308"/>
    <n v="19.899999999999999"/>
  </r>
  <r>
    <x v="12"/>
    <x v="102"/>
    <s v="Fresh (Live)"/>
    <s v="Farmed Rainbow Trout, flow-through production system"/>
    <s v="Yes"/>
    <s v="Iran"/>
    <n v="2015"/>
    <s v="Majid Dekamin a, *, Hadi Veisi b, Edwin Safari c, Houman Liaghati b, Korus Khoshbakht b, Mohammad G. Dekamin d"/>
    <s v="a Faculty of Agriculture Sciences, University of Mohaghegh Ardabili, Ardabil, Iran b Environmental Sciences Research Institute (ESRI), Shahid Beheshti University, Tehran, Iran c Department of Environmental Engineering, University of Tehran, Tehran, Iran d Department of Chemistry, Iran University of Science &amp; Technology, Tehran 16846-13114, Iran"/>
    <s v="Peer Reviewed Journal"/>
    <s v="Dekamin, M., Veisi, H., Safari, E., Liaghati, H., Khoshbakht, K. and Dekamin, M. G., Life cycle assessment for rainbow trout (Oncorhynchus mykiss) production systems: a case study for Iran. Journal of Cleaner Production 2015, 91, 43-55."/>
    <s v="Yes"/>
    <s v="No"/>
    <s v="No"/>
    <s v="No"/>
    <s v="No"/>
    <s v="No"/>
    <s v="No"/>
    <s v="No"/>
    <s v="No"/>
    <s v="No"/>
    <s v="No"/>
    <s v="No"/>
    <m/>
    <s v="cradle to farm gate"/>
    <s v="No"/>
    <s v="No"/>
    <s v="1 tonne live rainbow trout"/>
    <s v="/1000/.65 assuming 65% fillet yield, ave of high and low FY from http://onlinelibrary.wiley.com/doi/10.1111/j.1745-4573.2010.00214.x/abstract"/>
    <s v=""/>
    <s v=""/>
    <n v="1.7846153846153845"/>
    <s v=""/>
    <m/>
    <m/>
    <m/>
    <m/>
    <m/>
    <m/>
    <m/>
    <m/>
    <m/>
    <m/>
    <m/>
    <m/>
    <m/>
    <m/>
    <m/>
    <m/>
    <m/>
    <m/>
    <m/>
    <m/>
    <m/>
    <m/>
    <n v="1.7846153846153845"/>
    <m/>
  </r>
  <r>
    <x v="12"/>
    <x v="102"/>
    <s v="Fresh (Live)"/>
    <s v="Farmed Rainbow Trout, semi-closed recirc. system"/>
    <s v="Yes"/>
    <s v="Iran"/>
    <n v="2015"/>
    <s v="Majid Dekamin a, *, Hadi Veisi b, Edwin Safari c, Houman Liaghati b, Korus Khoshbakht b, Mohammad G. Dekamin d"/>
    <s v="a Faculty of Agriculture Sciences, University of Mohaghegh Ardabili, Ardabil, Iran b Environmental Sciences Research Institute (ESRI), Shahid Beheshti University, Tehran, Iran c Department of Environmental Engineering, University of Tehran, Tehran, Iran d Department of Chemistry, Iran University of Science &amp; Technology, Tehran 16846-13114, Iran"/>
    <s v="Peer Reviewed Journal"/>
    <s v="Dekamin, M., Veisi, H., Safari, E., Liaghati, H., Khoshbakht, K. and Dekamin, M. G., Life cycle assessment for rainbow trout (Oncorhynchus mykiss) production systems: a case study for Iran. Journal of Cleaner Production 2015, 91, 43-55."/>
    <s v="Yes"/>
    <s v="No"/>
    <s v="No"/>
    <s v="No"/>
    <s v="No"/>
    <s v="No"/>
    <s v="No"/>
    <s v="No"/>
    <s v="No"/>
    <s v="No"/>
    <s v="No"/>
    <s v="No"/>
    <m/>
    <s v="cradle to farm gate"/>
    <s v="No"/>
    <s v="No"/>
    <s v="1 tonne live rainbow trout"/>
    <s v="/1000/.65 assuming 65% fillet yield, ave of high and low FY from http://onlinelibrary.wiley.com/doi/10.1111/j.1745-4573.2010.00214.x/abstract"/>
    <s v=""/>
    <s v=""/>
    <n v="9.8153846153846143"/>
    <s v=""/>
    <m/>
    <m/>
    <m/>
    <m/>
    <m/>
    <m/>
    <m/>
    <m/>
    <m/>
    <m/>
    <m/>
    <m/>
    <m/>
    <m/>
    <m/>
    <m/>
    <m/>
    <m/>
    <m/>
    <m/>
    <m/>
    <m/>
    <n v="9.8153846153846143"/>
    <m/>
  </r>
  <r>
    <x v="12"/>
    <x v="102"/>
    <s v="Fresh (Live)"/>
    <s v="Farmed Rainbow Trout, recirculating system"/>
    <s v="Yes"/>
    <s v="Iran"/>
    <n v="2015"/>
    <s v="Majid Dekamin a, *, Hadi Veisi b, Edwin Safari c, Houman Liaghati b, Korus Khoshbakht b, Mohammad G. Dekamin d"/>
    <s v="a Faculty of Agriculture Sciences, University of Mohaghegh Ardabili, Ardabil, Iran b Environmental Sciences Research Institute (ESRI), Shahid Beheshti University, Tehran, Iran c Department of Environmental Engineering, University of Tehran, Tehran, Iran d Department of Chemistry, Iran University of Science &amp; Technology, Tehran 16846-13114, Iran"/>
    <s v="Peer Reviewed Journal"/>
    <s v="Dekamin, M., Veisi, H., Safari, E., Liaghati, H., Khoshbakht, K. and Dekamin, M. G., Life cycle assessment for rainbow trout (Oncorhynchus mykiss) production systems: a case study for Iran. Journal of Cleaner Production 2015, 91, 43-55."/>
    <s v="Yes"/>
    <s v="No"/>
    <s v="No"/>
    <s v="No"/>
    <s v="No"/>
    <s v="No"/>
    <s v="No"/>
    <s v="No"/>
    <s v="No"/>
    <s v="No"/>
    <s v="No"/>
    <s v="No"/>
    <m/>
    <s v="cradle to farm gate"/>
    <s v="No"/>
    <s v="No"/>
    <s v="1 tonne live rainbow trout"/>
    <s v="/1000/.65 assuming 65% fillet yield, ave of high and low FY from http://onlinelibrary.wiley.com/doi/10.1111/j.1745-4573.2010.00214.x/abstract"/>
    <s v=""/>
    <s v=""/>
    <n v="9.3846153846153832"/>
    <s v=""/>
    <m/>
    <m/>
    <m/>
    <m/>
    <m/>
    <m/>
    <m/>
    <m/>
    <m/>
    <m/>
    <m/>
    <m/>
    <m/>
    <m/>
    <m/>
    <m/>
    <m/>
    <m/>
    <m/>
    <m/>
    <m/>
    <m/>
    <n v="9.3846153846153832"/>
    <m/>
  </r>
  <r>
    <x v="5"/>
    <x v="67"/>
    <s v="Dried"/>
    <s v="average US wheat production"/>
    <s v="No"/>
    <s v="US"/>
    <n v="2006"/>
    <s v="Gerhard Piringer and Laura J. Steinberg"/>
    <s v="Department of Civil and Environmental Engineering Tulane University New Orleans, LA 70118"/>
    <s v="Peer Reviewed Journal"/>
    <s v="Piringer, G. and Steinberg, L. J., Reevaluation of energy use in wheat production in the United States. Journal of Industrial Ecology 2006, 10 (1-2), 149-167."/>
    <s v="Yes"/>
    <s v="No"/>
    <s v="No"/>
    <s v="No"/>
    <s v="No"/>
    <s v="No"/>
    <s v="No"/>
    <s v="No"/>
    <s v="No"/>
    <s v="No"/>
    <s v="No"/>
    <s v="No"/>
    <m/>
    <s v="cradle to farm gate"/>
    <s v="No"/>
    <s v="No"/>
    <s v="1 kg wheat grain"/>
    <m/>
    <n v="3.8849999999999998"/>
    <s v=""/>
    <s v=""/>
    <s v=""/>
    <m/>
    <m/>
    <m/>
    <m/>
    <m/>
    <m/>
    <m/>
    <m/>
    <m/>
    <n v="3.8849999999999998"/>
    <m/>
    <m/>
    <m/>
    <m/>
    <m/>
    <m/>
    <m/>
    <m/>
    <m/>
    <m/>
    <m/>
    <m/>
    <m/>
    <m/>
  </r>
  <r>
    <x v="5"/>
    <x v="125"/>
    <s v="Dried"/>
    <s v="conventional"/>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5.2"/>
    <s v=""/>
    <n v="0.69599999999999995"/>
    <s v=""/>
    <m/>
    <m/>
    <m/>
    <m/>
    <m/>
    <m/>
    <m/>
    <m/>
    <m/>
    <n v="5.2"/>
    <m/>
    <s v="CED v. 1.03"/>
    <m/>
    <m/>
    <m/>
    <m/>
    <m/>
    <m/>
    <m/>
    <m/>
    <m/>
    <m/>
    <n v="0.69599999999999995"/>
    <m/>
  </r>
  <r>
    <x v="5"/>
    <x v="125"/>
    <s v="Dried"/>
    <s v="organic"/>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2.2000000000000002"/>
    <s v=""/>
    <n v="0.54100000000000004"/>
    <s v=""/>
    <m/>
    <m/>
    <m/>
    <m/>
    <m/>
    <m/>
    <m/>
    <m/>
    <m/>
    <n v="2.2000000000000002"/>
    <m/>
    <s v="CED v. 1.03"/>
    <m/>
    <m/>
    <m/>
    <m/>
    <m/>
    <m/>
    <m/>
    <m/>
    <m/>
    <m/>
    <n v="0.54100000000000004"/>
    <m/>
  </r>
  <r>
    <x v="5"/>
    <x v="126"/>
    <s v="Dried"/>
    <s v="Zea Maize, conventional"/>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2.4"/>
    <s v=""/>
    <n v="0.33"/>
    <s v=""/>
    <m/>
    <m/>
    <m/>
    <m/>
    <m/>
    <m/>
    <m/>
    <m/>
    <m/>
    <n v="2.4"/>
    <m/>
    <s v="CED v. 1.03"/>
    <m/>
    <m/>
    <m/>
    <m/>
    <m/>
    <m/>
    <m/>
    <m/>
    <m/>
    <m/>
    <n v="0.33"/>
    <m/>
  </r>
  <r>
    <x v="5"/>
    <x v="126"/>
    <s v="Dried"/>
    <s v="Zea Maize, organic"/>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1.3"/>
    <s v=""/>
    <n v="0.25600000000000001"/>
    <s v=""/>
    <m/>
    <m/>
    <m/>
    <m/>
    <m/>
    <m/>
    <m/>
    <m/>
    <m/>
    <n v="1.3"/>
    <m/>
    <s v="CED v. 1.03"/>
    <m/>
    <m/>
    <m/>
    <m/>
    <m/>
    <m/>
    <m/>
    <m/>
    <m/>
    <m/>
    <n v="0.25600000000000001"/>
    <m/>
  </r>
  <r>
    <x v="11"/>
    <x v="127"/>
    <s v="Dried"/>
    <s v="conventional"/>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2.2999999999999998"/>
    <s v=""/>
    <n v="0.24759999999999999"/>
    <s v=""/>
    <m/>
    <m/>
    <m/>
    <m/>
    <m/>
    <m/>
    <m/>
    <m/>
    <m/>
    <n v="2.2999999999999998"/>
    <m/>
    <s v="CED v. 1.03"/>
    <m/>
    <m/>
    <m/>
    <m/>
    <m/>
    <m/>
    <m/>
    <m/>
    <m/>
    <m/>
    <n v="0.24759999999999999"/>
    <m/>
  </r>
  <r>
    <x v="11"/>
    <x v="127"/>
    <s v="Dried"/>
    <s v="organic"/>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1.5"/>
    <s v=""/>
    <n v="0.19"/>
    <s v=""/>
    <m/>
    <m/>
    <m/>
    <m/>
    <m/>
    <m/>
    <m/>
    <m/>
    <m/>
    <n v="1.5"/>
    <m/>
    <s v="CED v. 1.03"/>
    <m/>
    <m/>
    <m/>
    <m/>
    <m/>
    <m/>
    <m/>
    <m/>
    <m/>
    <m/>
    <n v="0.19"/>
    <m/>
  </r>
  <r>
    <x v="5"/>
    <x v="67"/>
    <s v="Dried"/>
    <s v="conventional"/>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2.7"/>
    <s v=""/>
    <n v="0.38200000000000001"/>
    <s v=""/>
    <m/>
    <m/>
    <m/>
    <m/>
    <m/>
    <m/>
    <m/>
    <m/>
    <m/>
    <n v="2.7"/>
    <m/>
    <s v="CED v. 1.03"/>
    <m/>
    <m/>
    <m/>
    <m/>
    <m/>
    <m/>
    <m/>
    <m/>
    <m/>
    <m/>
    <n v="0.38200000000000001"/>
    <m/>
  </r>
  <r>
    <x v="5"/>
    <x v="67"/>
    <s v="Dried"/>
    <s v="organic"/>
    <s v="Yes"/>
    <s v="Canada"/>
    <n v="2008"/>
    <s v="N. Pelletier,  N. Arsenault, P. Tyedmers"/>
    <s v="School for Resource and Environmental Studies, Dalhousie University, Kenneth C. Rowe Management Building, 6100 University Avenue, Suite 5010, Halifax, NS, Canada"/>
    <s v="Peer Reviewed Journal"/>
    <s v="Pelletier, N., Arsenault, N. and Tyedmers, P., Scenario Modeling Potential Eco-Efficiency Gains from a Transition to Organic Agriculture: Life Cycle Perspectives on Canadian Canola, Corn, Soy, and Wheat Production. Environmental Management 2008, 42 (6), 989-1001."/>
    <s v="Yes"/>
    <s v="No"/>
    <s v="No"/>
    <s v="No"/>
    <s v="No"/>
    <s v="No"/>
    <s v="No"/>
    <s v="No"/>
    <s v="No"/>
    <s v="No"/>
    <s v="No"/>
    <s v="No"/>
    <m/>
    <s v="cradle to farm gate"/>
    <s v="No"/>
    <s v="No"/>
    <s v="1kg at farm gate"/>
    <m/>
    <n v="0.8"/>
    <s v=""/>
    <n v="0.29099999999999998"/>
    <s v=""/>
    <m/>
    <m/>
    <m/>
    <m/>
    <m/>
    <m/>
    <m/>
    <m/>
    <m/>
    <n v="0.8"/>
    <m/>
    <s v="CED v. 1.03"/>
    <m/>
    <m/>
    <m/>
    <m/>
    <m/>
    <m/>
    <m/>
    <m/>
    <m/>
    <m/>
    <n v="0.29099999999999998"/>
    <m/>
  </r>
  <r>
    <x v="5"/>
    <x v="128"/>
    <m/>
    <s v="conventional"/>
    <s v="Yes"/>
    <s v="US"/>
    <n v="2009"/>
    <s v="Kyle Meisterling a,*, Constantine Samaras a,b, Vanessa Schweizer a"/>
    <s v="a Department of Engineering and Public Policy, Carnegie Mellon University, 5000 Forbes Avenue, Pittsburgh, PA b Department of Civil and Environmental Engineering, Carnegie Mellon University, 5000 Forbes Avenue, Pittsburgh, PA 15213, USA15213, USA"/>
    <s v="Peer Reviewed Journal"/>
    <s v="Meisterling, K., Samaras, C. and Schweizer, V., Decisions to reduce greenhouse gases from agriculture and product transport: LCA case study of organic and conventional wheat. Journal of Cleaner Production 2009, 17 (2), 222-230."/>
    <s v="Yes"/>
    <s v="No"/>
    <s v="Yes"/>
    <s v="Yes"/>
    <s v="No"/>
    <s v="Yes"/>
    <s v="No"/>
    <s v="No"/>
    <s v="No"/>
    <s v="No"/>
    <s v="No"/>
    <s v="No"/>
    <m/>
    <m/>
    <s v="No"/>
    <s v="No"/>
    <s v="0.67 kg whole-wheat flour"/>
    <s v="/.67"/>
    <s v=""/>
    <s v=""/>
    <n v="0.28358208955223879"/>
    <s v=""/>
    <m/>
    <m/>
    <m/>
    <m/>
    <m/>
    <m/>
    <m/>
    <m/>
    <m/>
    <m/>
    <n v="4.9253731343283577E-3"/>
    <m/>
    <m/>
    <m/>
    <m/>
    <m/>
    <m/>
    <m/>
    <m/>
    <m/>
    <m/>
    <m/>
    <n v="0.28358208955223879"/>
    <n v="0.4925373134328358"/>
  </r>
  <r>
    <x v="5"/>
    <x v="128"/>
    <m/>
    <s v="organic"/>
    <s v="Yes"/>
    <s v="US"/>
    <n v="2009"/>
    <s v="Kyle Meisterling a,*, Constantine Samaras a,b, Vanessa Schweizer a"/>
    <s v="a Department of Engineering and Public Policy, Carnegie Mellon University, 5000 Forbes Avenue, Pittsburgh, PA b Department of Civil and Environmental Engineering, Carnegie Mellon University, 5000 Forbes Avenue, Pittsburgh, PA 15213, USA15213, USA"/>
    <s v="Peer Reviewed Journal"/>
    <s v="Meisterling, K., Samaras, C. and Schweizer, V., Decisions to reduce greenhouse gases from agriculture and product transport: LCA case study of organic and conventional wheat. Journal of Cleaner Production 2009, 17 (2), 222-230."/>
    <s v="Yes"/>
    <s v="No"/>
    <s v="Yes"/>
    <s v="Yes"/>
    <s v="No"/>
    <s v="Yes"/>
    <s v="No"/>
    <s v="No"/>
    <s v="No"/>
    <s v="No"/>
    <s v="No"/>
    <s v="No"/>
    <m/>
    <m/>
    <s v="No"/>
    <s v="No"/>
    <s v="0.67 kg whole-wheat flour"/>
    <s v="/.67"/>
    <s v=""/>
    <s v=""/>
    <n v="0.23880597014925373"/>
    <s v=""/>
    <m/>
    <m/>
    <m/>
    <m/>
    <m/>
    <m/>
    <m/>
    <m/>
    <m/>
    <m/>
    <n v="4.0298507462686569E-3"/>
    <m/>
    <m/>
    <m/>
    <m/>
    <m/>
    <m/>
    <m/>
    <m/>
    <m/>
    <m/>
    <m/>
    <n v="0.23880597014925373"/>
    <n v="0.44776119402985071"/>
  </r>
  <r>
    <x v="5"/>
    <x v="129"/>
    <s v="Cooked"/>
    <s v="10% milled"/>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59.8% moisture"/>
    <s v=""/>
    <s v=""/>
    <n v="0.23066722408026757"/>
    <n v="0.3213026755852843"/>
    <m/>
    <m/>
    <m/>
    <m/>
    <m/>
    <m/>
    <m/>
    <m/>
    <m/>
    <m/>
    <m/>
    <m/>
    <m/>
    <n v="0.23066722408026757"/>
    <n v="9.0635451505016729E-2"/>
    <m/>
    <n v="6.344481605351171E-3"/>
    <m/>
    <n v="2.49247491638796E-2"/>
    <n v="0.11329431438127091"/>
    <m/>
    <m/>
    <n v="0.23066722408026757"/>
    <n v="0.45317725752508364"/>
  </r>
  <r>
    <x v="5"/>
    <x v="129"/>
    <s v="Cooked"/>
    <s v="2% milled"/>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63.1% moisture"/>
    <s v=""/>
    <s v=""/>
    <n v="0.17907765451664026"/>
    <n v="0.2494421553090333"/>
    <m/>
    <m/>
    <m/>
    <m/>
    <m/>
    <m/>
    <m/>
    <m/>
    <m/>
    <m/>
    <m/>
    <m/>
    <m/>
    <n v="0.17907765451664026"/>
    <n v="7.0364500792393023E-2"/>
    <m/>
    <n v="4.9255150554675118E-3"/>
    <m/>
    <n v="1.9350237717908083E-2"/>
    <n v="8.7955625990491282E-2"/>
    <m/>
    <m/>
    <n v="0.17907765451664026"/>
    <n v="0.35182250396196513"/>
  </r>
  <r>
    <x v="5"/>
    <x v="129"/>
    <s v="Cooked"/>
    <s v="5% milled"/>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64.1% moisture"/>
    <s v=""/>
    <s v=""/>
    <n v="0.1889890795631825"/>
    <n v="0.26324804992199685"/>
    <m/>
    <m/>
    <m/>
    <m/>
    <m/>
    <m/>
    <m/>
    <m/>
    <m/>
    <m/>
    <m/>
    <m/>
    <m/>
    <n v="0.1889890795631825"/>
    <n v="7.4258970358814347E-2"/>
    <m/>
    <n v="5.1981279251170041E-3"/>
    <m/>
    <n v="2.0421216848673946E-2"/>
    <n v="9.2823712948517934E-2"/>
    <m/>
    <m/>
    <n v="0.1889890795631825"/>
    <n v="0.37129485179407173"/>
  </r>
  <r>
    <x v="5"/>
    <x v="122"/>
    <s v="Cooked"/>
    <s v="brown rice"/>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65% moisture"/>
    <s v=""/>
    <s v=""/>
    <n v="0.15426615384615386"/>
    <n v="0.21488153846153848"/>
    <m/>
    <m/>
    <m/>
    <m/>
    <m/>
    <m/>
    <m/>
    <m/>
    <m/>
    <m/>
    <m/>
    <m/>
    <m/>
    <n v="0.15426615384615386"/>
    <n v="6.061538461538462E-2"/>
    <m/>
    <n v="4.2430769230769232E-3"/>
    <m/>
    <n v="1.666923076923077E-2"/>
    <n v="7.5769230769230769E-2"/>
    <m/>
    <m/>
    <n v="0.15426615384615386"/>
    <n v="0.30307692307692308"/>
  </r>
  <r>
    <x v="5"/>
    <x v="129"/>
    <s v="Cooked"/>
    <s v="parboiled rice"/>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70.8% moisture"/>
    <s v=""/>
    <s v=""/>
    <n v="0.20129943502824862"/>
    <n v="0.28039548022598876"/>
    <m/>
    <m/>
    <m/>
    <m/>
    <m/>
    <m/>
    <m/>
    <m/>
    <m/>
    <m/>
    <m/>
    <m/>
    <m/>
    <n v="0.20129943502824862"/>
    <n v="7.9096045197740134E-2"/>
    <m/>
    <n v="5.5367231638418094E-3"/>
    <m/>
    <n v="2.1751412429378534E-2"/>
    <n v="9.887005649717516E-2"/>
    <m/>
    <m/>
    <n v="0.20129943502824862"/>
    <n v="0.39548022598870064"/>
  </r>
  <r>
    <x v="5"/>
    <x v="122"/>
    <s v="Cooked"/>
    <s v="germinated brown rice"/>
    <s v="No"/>
    <s v="Japan"/>
    <n v="2009"/>
    <s v="Poritosh Roy a,*, Tsutomu Ijiri b, Daisuke Nei a, Takahiro Orikasa a, Hiroshi Okadome a, Nobutaka Nakamura a, Takeo Shiina a,*"/>
    <s v="a Distribution Engineering Laboratory, National Food Research Institute, Kannondai 2-1-12, Tsukuba-shi, Ibaraki 305-8642, Japan b Forage Rice Research Team (Kanto Region), National Agricultural Research Center, Kannondai 3-1-1, Tsukuba-shi, Ibaraki 305-8666, Japan"/>
    <s v="Peer Reviewed Journal"/>
    <s v="Roy, P., Ijiri, T., Nei, D., Orikasa, T., Okadome, H., Nakamura, N. and Shiina, T., Life cycle inventory (LCI) of different forms of rice consumed in households in Japan. Journal of Food Engineering 2009, 91 (1), 49-55."/>
    <s v="Yes"/>
    <s v="No"/>
    <s v="Yes"/>
    <s v="Yes"/>
    <s v="Yes"/>
    <s v="Yes"/>
    <s v="Yes"/>
    <s v="Yes"/>
    <s v="No"/>
    <s v="Yes"/>
    <s v="No"/>
    <s v="No"/>
    <m/>
    <s v="cradle to cooked rice, including waste, in Japanese households; assuming paper bag"/>
    <s v="Yes"/>
    <s v="Yes"/>
    <s v="1 kg cooked rice"/>
    <s v="63.1% moisture"/>
    <s v=""/>
    <s v=""/>
    <n v="0.19763074484944534"/>
    <n v="0.2752852614896989"/>
    <m/>
    <m/>
    <m/>
    <m/>
    <m/>
    <m/>
    <m/>
    <m/>
    <m/>
    <m/>
    <m/>
    <m/>
    <m/>
    <n v="0.19763074484944534"/>
    <n v="7.7654516640253579E-2"/>
    <m/>
    <n v="5.4358161648177502E-3"/>
    <m/>
    <n v="2.135499207606973E-2"/>
    <n v="9.706814580031696E-2"/>
    <m/>
    <m/>
    <n v="0.19763074484944534"/>
    <n v="0.38827258320126784"/>
  </r>
  <r>
    <x v="0"/>
    <x v="0"/>
    <s v="Fresh or Not Specified"/>
    <s v="Fluid Milk and its coproducts"/>
    <s v="yes - allocation method includes 100% emissions from dairy"/>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
    <s v=""/>
    <m/>
    <m/>
    <m/>
    <m/>
    <m/>
    <m/>
    <m/>
    <m/>
    <m/>
    <m/>
    <m/>
    <m/>
    <m/>
    <m/>
    <m/>
    <m/>
    <m/>
    <m/>
    <m/>
    <m/>
    <m/>
    <m/>
    <n v="1"/>
    <m/>
  </r>
  <r>
    <x v="0"/>
    <x v="0"/>
    <s v="Fresh or Not Specified"/>
    <s v="Fluid Milk and its coproducts"/>
    <s v="yes - allocation method includes 100% emissions from dairy"/>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1599999999999999"/>
    <s v=""/>
    <m/>
    <m/>
    <m/>
    <m/>
    <m/>
    <m/>
    <m/>
    <m/>
    <m/>
    <m/>
    <m/>
    <m/>
    <m/>
    <m/>
    <m/>
    <m/>
    <m/>
    <m/>
    <m/>
    <m/>
    <m/>
    <m/>
    <n v="1.1599999999999999"/>
    <m/>
  </r>
  <r>
    <x v="0"/>
    <x v="0"/>
    <s v="Fresh or Not Specified"/>
    <s v="Fluid Milk and its coproducts"/>
    <s v="yes - allocation models uses system expansion replacing beef only"/>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63"/>
    <s v=""/>
    <m/>
    <m/>
    <m/>
    <m/>
    <m/>
    <m/>
    <m/>
    <m/>
    <m/>
    <m/>
    <m/>
    <m/>
    <m/>
    <m/>
    <m/>
    <m/>
    <m/>
    <m/>
    <m/>
    <m/>
    <m/>
    <m/>
    <n v="0.63"/>
    <m/>
  </r>
  <r>
    <x v="0"/>
    <x v="0"/>
    <s v="Fresh or Not Specified"/>
    <s v="Fluid Milk and its coproducts"/>
    <s v="yes - allocation models uses system expansion replacing beef only"/>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73"/>
    <s v=""/>
    <m/>
    <m/>
    <m/>
    <m/>
    <m/>
    <m/>
    <m/>
    <m/>
    <m/>
    <m/>
    <m/>
    <m/>
    <m/>
    <m/>
    <m/>
    <m/>
    <m/>
    <m/>
    <m/>
    <m/>
    <m/>
    <m/>
    <n v="0.73"/>
    <m/>
  </r>
  <r>
    <x v="0"/>
    <x v="0"/>
    <s v="Fresh or Not Specified"/>
    <s v="Fluid Milk and its coproducts"/>
    <s v="yes - allocation models uses system expansion replacing mix of meat"/>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76"/>
    <s v=""/>
    <m/>
    <m/>
    <m/>
    <m/>
    <m/>
    <m/>
    <m/>
    <m/>
    <m/>
    <m/>
    <m/>
    <m/>
    <m/>
    <m/>
    <m/>
    <m/>
    <m/>
    <m/>
    <m/>
    <m/>
    <m/>
    <m/>
    <n v="0.76"/>
    <m/>
  </r>
  <r>
    <x v="0"/>
    <x v="0"/>
    <s v="Fresh or Not Specified"/>
    <s v="Fluid Milk and its coproducts"/>
    <s v="yes - allocation models uses system expansion replacing mix of meat"/>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85"/>
    <s v=""/>
    <m/>
    <m/>
    <m/>
    <m/>
    <m/>
    <m/>
    <m/>
    <m/>
    <m/>
    <m/>
    <m/>
    <m/>
    <m/>
    <m/>
    <m/>
    <m/>
    <m/>
    <m/>
    <m/>
    <m/>
    <m/>
    <m/>
    <n v="0.85"/>
    <m/>
  </r>
  <r>
    <x v="0"/>
    <x v="0"/>
    <s v="Fresh or Not Specified"/>
    <s v="Fluid Milk and its coproducts"/>
    <s v="yes - allocation model using physical causality allocation"/>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86"/>
    <s v=""/>
    <m/>
    <m/>
    <m/>
    <m/>
    <m/>
    <m/>
    <m/>
    <m/>
    <m/>
    <m/>
    <m/>
    <m/>
    <m/>
    <m/>
    <m/>
    <m/>
    <m/>
    <m/>
    <m/>
    <m/>
    <m/>
    <m/>
    <n v="0.86"/>
    <m/>
  </r>
  <r>
    <x v="0"/>
    <x v="0"/>
    <s v="Fresh or Not Specified"/>
    <s v="Fluid Milk and its coproducts"/>
    <s v="yes - allocation model using physical causality allocation"/>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99"/>
    <s v=""/>
    <m/>
    <m/>
    <m/>
    <m/>
    <m/>
    <m/>
    <m/>
    <m/>
    <m/>
    <m/>
    <m/>
    <m/>
    <m/>
    <m/>
    <m/>
    <m/>
    <m/>
    <m/>
    <m/>
    <m/>
    <m/>
    <m/>
    <n v="0.99"/>
    <m/>
  </r>
  <r>
    <x v="0"/>
    <x v="0"/>
    <s v="Fresh or Not Specified"/>
    <s v="Fluid Milk and its coproducts"/>
    <s v="yes - allocation model using economic allocation"/>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94"/>
    <s v=""/>
    <m/>
    <m/>
    <m/>
    <m/>
    <m/>
    <m/>
    <m/>
    <m/>
    <m/>
    <m/>
    <m/>
    <m/>
    <m/>
    <m/>
    <m/>
    <m/>
    <m/>
    <m/>
    <m/>
    <m/>
    <m/>
    <m/>
    <n v="0.94"/>
    <m/>
  </r>
  <r>
    <x v="0"/>
    <x v="0"/>
    <s v="Fresh or Not Specified"/>
    <s v="Fluid Milk and its coproducts"/>
    <s v="yes - allocation model using economic allocation"/>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02"/>
    <s v=""/>
    <m/>
    <m/>
    <m/>
    <m/>
    <m/>
    <m/>
    <m/>
    <m/>
    <m/>
    <m/>
    <m/>
    <m/>
    <m/>
    <m/>
    <m/>
    <m/>
    <m/>
    <m/>
    <m/>
    <m/>
    <m/>
    <m/>
    <n v="1.02"/>
    <m/>
  </r>
  <r>
    <x v="0"/>
    <x v="0"/>
    <s v="Fresh or Not Specified"/>
    <s v="Fluid Milk and its coproducts"/>
    <s v="yes - allocation model using protein allocation"/>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94"/>
    <s v=""/>
    <m/>
    <m/>
    <m/>
    <m/>
    <m/>
    <m/>
    <m/>
    <m/>
    <m/>
    <m/>
    <m/>
    <m/>
    <m/>
    <m/>
    <m/>
    <m/>
    <m/>
    <m/>
    <m/>
    <m/>
    <m/>
    <m/>
    <n v="0.94"/>
    <m/>
  </r>
  <r>
    <x v="0"/>
    <x v="0"/>
    <s v="Fresh or Not Specified"/>
    <s v="Fluid Milk and its coproducts"/>
    <s v="yes - allocation model using protein allocation"/>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08"/>
    <s v=""/>
    <m/>
    <m/>
    <m/>
    <m/>
    <m/>
    <m/>
    <m/>
    <m/>
    <m/>
    <m/>
    <m/>
    <m/>
    <m/>
    <m/>
    <m/>
    <m/>
    <m/>
    <m/>
    <m/>
    <m/>
    <m/>
    <m/>
    <n v="1.08"/>
    <m/>
  </r>
  <r>
    <x v="0"/>
    <x v="0"/>
    <s v="Fresh or Not Specified"/>
    <s v="Fluid Milk and its coproducts"/>
    <s v="yes - allocation model using mass allocation"/>
    <s v="New Zealand"/>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0.98"/>
    <s v=""/>
    <m/>
    <m/>
    <m/>
    <m/>
    <m/>
    <m/>
    <m/>
    <m/>
    <m/>
    <m/>
    <m/>
    <m/>
    <m/>
    <m/>
    <m/>
    <m/>
    <m/>
    <m/>
    <m/>
    <m/>
    <m/>
    <m/>
    <n v="0.98"/>
    <m/>
  </r>
  <r>
    <x v="0"/>
    <x v="0"/>
    <s v="Fresh or Not Specified"/>
    <s v="Fluid Milk and its coproducts"/>
    <s v="yes - allocation model using mass allocation"/>
    <s v="Sweden"/>
    <n v="2011"/>
    <s v="Anna Flysjö; Christel Cederberg; Maria Henriksson; Stewart Ledgard"/>
    <m/>
    <s v="Peer Reviewed Journal"/>
    <s v="Flysjö, A., Cederberg, C. and Henriksson, M., How does co-product handling affect the carbon footprint of milk ? Case study of milk production in New Zealand and Sweden. International Journal of Life Cycle Assessment 2011, 16, 420-430."/>
    <s v="Yes"/>
    <s v="No"/>
    <s v="No"/>
    <s v="No"/>
    <s v="No"/>
    <s v="No"/>
    <s v="No"/>
    <s v="No"/>
    <s v="No"/>
    <s v="No"/>
    <s v="No"/>
    <s v="No"/>
    <m/>
    <s v="Cradle to Farm Gate"/>
    <s v="No"/>
    <s v="No"/>
    <s v="1 kg Energy-Corrected Milk (ECM)"/>
    <s v="N/A"/>
    <s v=""/>
    <s v=""/>
    <n v="1.1399999999999999"/>
    <s v=""/>
    <m/>
    <m/>
    <m/>
    <m/>
    <m/>
    <m/>
    <m/>
    <m/>
    <m/>
    <m/>
    <m/>
    <m/>
    <m/>
    <m/>
    <m/>
    <m/>
    <m/>
    <m/>
    <m/>
    <m/>
    <m/>
    <m/>
    <n v="1.1399999999999999"/>
    <m/>
  </r>
  <r>
    <x v="5"/>
    <x v="67"/>
    <s v="Fresh or Not Specified"/>
    <s v="conventional"/>
    <s v="Yes"/>
    <s v="Belgium"/>
    <n v="2015"/>
    <s v="Florence Van Stappen a*, Astrid Loriers b*, Michaël Mathot b, Viviane Planchon b, Didier Stilmant b, Frédéric Debode c"/>
    <s v="aAgricultural Machines and Facilities Unit, Walloon Agricultural Research Centre (CRA-W), 146 chaussée de Namur, 5030 Gembloux, Belgium  b Farming Systems, Territory and Information Technologies Unit, CRA-W, 100 rue du Serpont, 6800 Libramont, Belgium c Authentication and traceability of agricultural products Unit, CRA-W, 24 chaussée de Namur, 5030 Gembloux, Belgium"/>
    <s v="Peer Reviewed Journal"/>
    <s v="Van Stappen, F., Loriers, A., Mathot, M., Planchon, V., Stilmant, D. and Debode, F., Organic Versus Conventional Farming: The Case of wheat Production in Wallonia (Belgium). Agriculture and Agricultural Science Procedia 2015, 7, 272-279."/>
    <s v="Yes"/>
    <s v="No"/>
    <s v="No"/>
    <s v="No"/>
    <s v="No"/>
    <s v="No"/>
    <s v="No"/>
    <s v="No"/>
    <s v="No"/>
    <s v="No"/>
    <s v="No"/>
    <s v="Yes"/>
    <m/>
    <s v="cradle to farm gate"/>
    <s v="No"/>
    <s v="Yes"/>
    <s v="1 kg fresh matter (15% moisture)"/>
    <m/>
    <n v="2"/>
    <s v=""/>
    <n v="0.34899999999999998"/>
    <s v=""/>
    <m/>
    <m/>
    <m/>
    <m/>
    <m/>
    <m/>
    <m/>
    <m/>
    <n v="0.52"/>
    <n v="2"/>
    <m/>
    <s v="ecoinvent"/>
    <s v="Only Ag Prod and Capital Goods Reported, not Full LC"/>
    <n v="0.34899999999999998"/>
    <m/>
    <m/>
    <m/>
    <m/>
    <m/>
    <m/>
    <m/>
    <n v="3.1409999999999993E-2"/>
    <n v="0.34899999999999998"/>
    <m/>
  </r>
  <r>
    <x v="5"/>
    <x v="67"/>
    <s v="Fresh or Not Specified"/>
    <s v="organic"/>
    <s v="Yes"/>
    <s v="Belgium"/>
    <n v="2015"/>
    <s v="Florence Van Stappen a*, Astrid Loriers b*, Michaël Mathot b, Viviane Planchon b, Didier Stilmant b, Frédéric Debode c"/>
    <s v="aAgricultural Machines and Facilities Unit, Walloon Agricultural Research Centre (CRA-W), 146 chaussée de Namur, 5030 Gembloux, Belgium  b Farming Systems, Territory and Information Technologies Unit, CRA-W, 100 rue du Serpont, 6800 Libramont, Belgium c Authentication and traceability of agricultural products Unit, CRA-W, 24 chaussée de Namur, 5030 Gembloux, Belgium"/>
    <s v="Peer Reviewed Journal"/>
    <s v="Van Stappen, F., Loriers, A., Mathot, M., Planchon, V., Stilmant, D. and Debode, F., Organic Versus Conventional Farming: The Case of wheat Production in Wallonia (Belgium). Agriculture and Agricultural Science Procedia 2015, 7, 272-279."/>
    <s v="Yes"/>
    <s v="No"/>
    <s v="No"/>
    <s v="No"/>
    <s v="No"/>
    <s v="No"/>
    <s v="No"/>
    <s v="No"/>
    <s v="No"/>
    <s v="No"/>
    <s v="No"/>
    <s v="Yes"/>
    <m/>
    <s v="cradle to farm gate"/>
    <s v="No"/>
    <s v="Yes"/>
    <s v="1 kg fresh matter (15% moisture)"/>
    <m/>
    <n v="1"/>
    <s v=""/>
    <n v="0.307"/>
    <s v=""/>
    <m/>
    <m/>
    <m/>
    <m/>
    <m/>
    <m/>
    <m/>
    <m/>
    <n v="0.75"/>
    <n v="1"/>
    <m/>
    <s v="ecoinvent"/>
    <s v="Only Ag Prod and Capital Goods Reported, not Full LC"/>
    <n v="0.307"/>
    <m/>
    <m/>
    <m/>
    <m/>
    <m/>
    <m/>
    <m/>
    <n v="7.9820000000000002E-2"/>
    <n v="0.307"/>
    <m/>
  </r>
  <r>
    <x v="5"/>
    <x v="129"/>
    <s v="Dried"/>
    <s v="white milled, delivered to local supermarket"/>
    <s v="Yes"/>
    <s v="Italy, Vercelli district"/>
    <n v="2009"/>
    <s v="Gian Andrea Blengini*, Mirko Busto"/>
    <s v="DITAG – Land, Environment and Geo-Engineering Department, Politecnico di Torino, Corso Duca degli Abruzzi 24, 10129 Turin, Italy"/>
    <s v="Peer Reviewed Journal"/>
    <s v="Blengini, G. A. and Busto, M., The life cycle of rice: LCA of alternative agri-food chain management systems in Vercelli (Italy). Journal of environmental management 2009, 90 (3), 1512-22."/>
    <s v="Yes"/>
    <s v="No"/>
    <s v="Yes"/>
    <s v="Yes"/>
    <s v="Yes"/>
    <s v="Yes"/>
    <s v="No"/>
    <s v="No"/>
    <s v="No"/>
    <s v="No"/>
    <s v="No"/>
    <s v="Yes"/>
    <m/>
    <s v="cradle to supermarket"/>
    <s v="No"/>
    <s v="Yes"/>
    <s v="1kg delivered to Italian supermarket"/>
    <m/>
    <n v="6.6530400000000007"/>
    <n v="7.9077800000000007"/>
    <n v="2.32944"/>
    <n v="2.4177599999999999"/>
    <n v="6.6530400000000007"/>
    <m/>
    <n v="1.25474"/>
    <n v="3.2827500000000001"/>
    <n v="2.6116099999999998"/>
    <m/>
    <m/>
    <m/>
    <n v="0.80245"/>
    <n v="6.6530400000000007"/>
    <n v="14.59"/>
    <s v="non-renewable energy"/>
    <m/>
    <n v="2.32944"/>
    <m/>
    <n v="8.8319999999999996E-2"/>
    <n v="0.12972"/>
    <n v="0.16835999999999998"/>
    <m/>
    <m/>
    <m/>
    <n v="4.4159999999999998E-2"/>
    <n v="2.32944"/>
    <n v="2.76"/>
  </r>
  <r>
    <x v="11"/>
    <x v="130"/>
    <s v="Processed"/>
    <s v="Peanut butter"/>
    <s v="No"/>
    <s v="USA  "/>
    <n v="2012"/>
    <s v="James McCarty (a, b); Heather Sandefur (a, b); Marty Matlock (a, b); Greg Thoma (c); Dae Soo Kim(c)"/>
    <s v="(a) Department of Agricultural and Biological Engineering, University of Arkansas, Fayetteville, AR_x000a_; (b) Center for Agricultural and Rural Sustainability, University of Arkansas, Fayetteville, AR_x000a_;_x000a_ (c) Ralph E. Martin Department of Chemical Engineering, University of Arkansas, Fayetteville, AR;"/>
    <s v="Industry Based Report"/>
    <s v="Mccarty, J., Sandefur, H., Matlock, M., Thoma, G. and Kim, D. S., National Scan-level Life Cycle Assessment for Production of US Peanut Butter. 2012, ."/>
    <s v="Yes"/>
    <s v="Yes"/>
    <s v="Yes"/>
    <s v="Yes"/>
    <s v="Yes"/>
    <s v="Yes"/>
    <s v="Yes"/>
    <s v="Yes"/>
    <s v="Yes"/>
    <s v="No"/>
    <s v="Yes"/>
    <s v="No"/>
    <s v="Waste disposal (packaging to landfill, etc)"/>
    <s v="Cradle to grave, including waste disposal to landfill etc."/>
    <s v="Yes"/>
    <s v="Yes"/>
    <s v="1 kg peanut butter"/>
    <m/>
    <s v=""/>
    <s v=""/>
    <n v="0.51100000000000001"/>
    <n v="1.597"/>
    <m/>
    <m/>
    <m/>
    <m/>
    <m/>
    <m/>
    <m/>
    <m/>
    <m/>
    <m/>
    <n v="26.107200000000002"/>
    <m/>
    <m/>
    <n v="0.51100000000000001"/>
    <n v="1.0859999999999999"/>
    <m/>
    <m/>
    <m/>
    <n v="0.20399999999999999"/>
    <n v="0.76200000000000001"/>
    <m/>
    <m/>
    <n v="0.51100000000000001"/>
    <n v="2.64"/>
  </r>
  <r>
    <x v="0"/>
    <x v="0"/>
    <s v="Fresh or Not Specified"/>
    <s v="Conventional Milk"/>
    <s v="Yes - Conv and Org"/>
    <s v="Netherlands"/>
    <n v="2008"/>
    <s v="M.A. Thomassen (1); K.J. van Calker (2); M.C.J. Smits (3); G.L. Iepema (4); I.J.M. de Boer  (1)"/>
    <s v="(1) Animal Production Systems Group, Wageningen University and Research Centre, P.O. Box 338, 6700 AH Wageningen, The Netherlands;(2) Agricultural Economic Research Institute, Wageningen University and Research Centre, The Netherlands;(3) Animal Sciences Group, Wageningen, University and Research Centre, The Netherlands;(4) Louis Bolk Institute, The Netherlands"/>
    <s v="Peer Reviewed Journal"/>
    <s v="Thomassen, M. A., Van Calker, K. J., Smits, M. C. J., Iepema, G. L. and De Boer, I. J. M., Life cycle assessment of conventional and organic milk production in the Netherlands. Agricultural Systems 2008, 96 (1-3), 95-107."/>
    <s v="Yes"/>
    <s v="Yes"/>
    <s v="No"/>
    <s v="No"/>
    <s v="No"/>
    <s v="No"/>
    <s v="No"/>
    <s v="No"/>
    <s v="No"/>
    <s v="No"/>
    <s v="No"/>
    <s v="No"/>
    <m/>
    <s v="Cradle to Farm Gate"/>
    <s v="No"/>
    <s v="No"/>
    <s v="1 kg of Fat and Protein Corrected Milk leaving the Farm Gate"/>
    <s v="n/a"/>
    <n v="5"/>
    <s v=""/>
    <n v="1.4"/>
    <s v=""/>
    <m/>
    <m/>
    <m/>
    <m/>
    <m/>
    <m/>
    <m/>
    <m/>
    <m/>
    <n v="5"/>
    <m/>
    <m/>
    <m/>
    <m/>
    <m/>
    <m/>
    <m/>
    <m/>
    <m/>
    <m/>
    <m/>
    <m/>
    <n v="1.4"/>
    <m/>
  </r>
  <r>
    <x v="0"/>
    <x v="0"/>
    <s v="Fresh or Not Specified"/>
    <s v="Organic Milk"/>
    <s v="Yes - Conv and Org"/>
    <s v="Netherlands"/>
    <n v="2008"/>
    <s v="M.A. Thomassen (1); K.J. van Calker (2); M.C.J. Smits (3); G.L. Iepema (4); I.J.M. de Boer  (1)"/>
    <s v="(1) Animal Production Systems Group, Wageningen University and Research Centre, P.O. Box 338, 6700 AH Wageningen, The Netherlands;(2) Agricultural Economic Research Institute, Wageningen University and Research Centre, The Netherlands;(3) Animal Sciences Group, Wageningen, University and Research Centre, The Netherlands;(4) Louis Bolk Institute, The Netherlands"/>
    <s v="Peer Reviewed Journal"/>
    <s v="Thomassen, M. A., Van Calker, K. J., Smits, M. C. J., Iepema, G. L. and De Boer, I. J. M., Life cycle assessment of conventional and organic milk production in the Netherlands. Agricultural Systems 2008, 96 (1-3), 95-107."/>
    <s v="Yes"/>
    <s v="Yes"/>
    <s v="No"/>
    <s v="No"/>
    <s v="No"/>
    <s v="No"/>
    <s v="No"/>
    <s v="No"/>
    <s v="No"/>
    <s v="No"/>
    <s v="No"/>
    <s v="No"/>
    <m/>
    <s v="Cradle to Farm Gate"/>
    <s v="No"/>
    <s v="No"/>
    <s v="1 kg of Fat and Protein Corrected Milk leaving the Farm Gate"/>
    <s v="n/a"/>
    <n v="3.1"/>
    <s v=""/>
    <n v="1.5"/>
    <s v=""/>
    <m/>
    <m/>
    <m/>
    <m/>
    <m/>
    <m/>
    <m/>
    <m/>
    <m/>
    <n v="3.1"/>
    <m/>
    <m/>
    <m/>
    <m/>
    <m/>
    <m/>
    <m/>
    <m/>
    <m/>
    <m/>
    <m/>
    <m/>
    <n v="1.5"/>
    <m/>
  </r>
  <r>
    <x v="9"/>
    <x v="131"/>
    <s v="Fresh or Not Specified"/>
    <s v="raw canesugar; reporting  &quot;state average&quot; values here"/>
    <s v="Yes"/>
    <s v="Australia"/>
    <n v="2007"/>
    <s v="M.A. RENOUF1,3, M.K. WEGENER2,3"/>
    <s v="1 School of Geography, Planning and Architecture, 2 School of Natural and Rural Systems Management, The University of Queensland, St. Lucia, Qld  3Cooperative Research Centre for Sugar Industry Innovation through Biotechnology"/>
    <s v="Conference Proceedings"/>
    <s v="Renouf, M. A. and Wegener, M., Environmental life cycle assessment (LCA) of sugarcane production and processing in Australia. 385-400."/>
    <s v="Yes"/>
    <s v="No"/>
    <s v="Yes"/>
    <s v="Yes"/>
    <s v="No"/>
    <s v="No"/>
    <s v="No"/>
    <s v="No"/>
    <s v="No"/>
    <s v="No"/>
    <s v="No"/>
    <s v="Yes"/>
    <m/>
    <s v="through to raw sugar"/>
    <s v="No"/>
    <s v="Yes"/>
    <s v="1 tonne raw sugar"/>
    <s v="/1000"/>
    <n v="3.5960999999999999"/>
    <n v="3.5160999999999998"/>
    <n v="0.68779999999999997"/>
    <n v="0.73280000000000001"/>
    <n v="3.4260999999999999"/>
    <m/>
    <n v="0.09"/>
    <m/>
    <m/>
    <m/>
    <m/>
    <m/>
    <n v="9.5000000000000001E-2"/>
    <n v="3.5960999999999999"/>
    <n v="3.5375000000000001"/>
    <m/>
    <m/>
    <n v="0.68779999999999997"/>
    <m/>
    <n v="4.4999999999999998E-2"/>
    <m/>
    <m/>
    <m/>
    <m/>
    <m/>
    <n v="1.7999999999999999E-2"/>
    <n v="0.68779999999999997"/>
    <n v="0.75079999999999991"/>
  </r>
  <r>
    <x v="9"/>
    <x v="52"/>
    <s v="Fresh or Not Specified"/>
    <s v="national average"/>
    <s v="No"/>
    <s v="Argentina"/>
    <n v="2016"/>
    <s v="María Mujica, Gabriel Blanco, Estela Santalla"/>
    <s v="Facultad de Ingeniería. INTELYMEC. Universidad Nacional del Centro de la Provincia_x000a_de Buenos Aires UNCPBA"/>
    <s v="Peer Reviewed Journal"/>
    <s v="Mujica, M., Blanco, G. and Santalla, E., Carbon Footprint of Honey Produced in Argentina. Journal of Cleaner Production 2016, ."/>
    <s v="Yes"/>
    <s v="No"/>
    <s v="Yes"/>
    <s v="Yes"/>
    <s v="No"/>
    <s v="Yes"/>
    <s v="No"/>
    <s v="No"/>
    <s v="No"/>
    <s v="No"/>
    <s v="No"/>
    <s v="No"/>
    <m/>
    <s v="delivered to Buenos Aires seaport"/>
    <s v="No"/>
    <s v="Yes"/>
    <s v="kg honey"/>
    <m/>
    <s v=""/>
    <s v=""/>
    <n v="0.21"/>
    <n v="2.44"/>
    <m/>
    <m/>
    <m/>
    <m/>
    <m/>
    <m/>
    <m/>
    <m/>
    <m/>
    <m/>
    <m/>
    <m/>
    <m/>
    <n v="0.21"/>
    <m/>
    <n v="2.23"/>
    <m/>
    <n v="0.08"/>
    <m/>
    <m/>
    <m/>
    <m/>
    <n v="0.21"/>
    <n v="2.5"/>
  </r>
  <r>
    <x v="10"/>
    <x v="132"/>
    <s v="Fresh or Not Specified"/>
    <m/>
    <s v="No"/>
    <s v="Ghana"/>
    <n v="2008"/>
    <s v="Augustine Ntiamoah a, George Afrane b"/>
    <s v="a Chemical Engineering Department, Kwame Nkrumah University of Science &amp; Technology, Kumasi, Ghana b Koforidua Polytechnic, Koforidua, Ghana"/>
    <s v="Peer Reviewed Journal"/>
    <s v="Ntiamoah, A. and Afrane, G., Environmental impacts of cocoa production and processing in Ghana: life cycle assessment approach. Journal of Cleaner Production 2008, 16 (16), 1735-1740."/>
    <s v="Yes"/>
    <s v="No"/>
    <s v="Yes"/>
    <s v="Yes"/>
    <s v="No"/>
    <s v="No"/>
    <s v="No"/>
    <s v="No"/>
    <s v="No"/>
    <s v="No"/>
    <s v="No"/>
    <s v="No"/>
    <m/>
    <s v="processing of 1 kg cocoa bean"/>
    <s v="No"/>
    <s v="No"/>
    <s v="1 kg cocoa beans processed"/>
    <s v="/0.31948  ; reported inventory gives wt of products from processing of 1 kg cocoa beans; assuming mass allocation"/>
    <s v=""/>
    <s v=""/>
    <s v=""/>
    <s v=""/>
    <m/>
    <m/>
    <m/>
    <m/>
    <m/>
    <m/>
    <m/>
    <m/>
    <m/>
    <m/>
    <m/>
    <m/>
    <m/>
    <m/>
    <m/>
    <m/>
    <m/>
    <m/>
    <m/>
    <m/>
    <m/>
    <m/>
    <m/>
    <n v="1.0105796919994992"/>
  </r>
  <r>
    <x v="10"/>
    <x v="133"/>
    <s v="Fresh or Not Specified"/>
    <m/>
    <s v="No"/>
    <s v="Ghana"/>
    <n v="2008"/>
    <s v="Augustine Ntiamoah a, George Afrane b"/>
    <s v="a Chemical Engineering Department, Kwame Nkrumah University of Science &amp; Technology, Kumasi, Ghana b Koforidua Polytechnic, Koforidua, Ghana"/>
    <s v="Peer Reviewed Journal"/>
    <s v="Ntiamoah, A. and Afrane, G., Environmental impacts of cocoa production and processing in Ghana: life cycle assessment approach. Journal of Cleaner Production 2008, 16 (16), 1735-1740."/>
    <s v="Yes"/>
    <s v="No"/>
    <s v="Yes"/>
    <s v="Yes"/>
    <s v="No"/>
    <s v="No"/>
    <s v="No"/>
    <s v="No"/>
    <s v="No"/>
    <s v="No"/>
    <s v="No"/>
    <s v="No"/>
    <m/>
    <s v="processing of 1 kg cocoa bean"/>
    <s v="No"/>
    <s v="No"/>
    <s v="1 kg cocoa beans processed"/>
    <s v="/0.23125  ; reported inventory gives wt of products from processing of 1 kg cocoa beans; assuming mass allocation"/>
    <s v=""/>
    <s v=""/>
    <s v=""/>
    <s v=""/>
    <m/>
    <m/>
    <m/>
    <m/>
    <m/>
    <m/>
    <m/>
    <m/>
    <m/>
    <m/>
    <m/>
    <m/>
    <m/>
    <m/>
    <m/>
    <m/>
    <m/>
    <m/>
    <m/>
    <m/>
    <m/>
    <m/>
    <m/>
    <n v="1.3961513513513513"/>
  </r>
  <r>
    <x v="10"/>
    <x v="134"/>
    <s v="Fresh or Not Specified"/>
    <m/>
    <s v="No"/>
    <s v="Ghana"/>
    <n v="2008"/>
    <s v="Augustine Ntiamoah a, George Afrane b"/>
    <s v="a Chemical Engineering Department, Kwame Nkrumah University of Science &amp; Technology, Kumasi, Ghana b Koforidua Polytechnic, Koforidua, Ghana"/>
    <s v="Peer Reviewed Journal"/>
    <s v="Ntiamoah, A. and Afrane, G., Environmental impacts of cocoa production and processing in Ghana: life cycle assessment approach. Journal of Cleaner Production 2008, 16 (16), 1735-1740."/>
    <s v="Yes"/>
    <s v="No"/>
    <s v="Yes"/>
    <s v="Yes"/>
    <s v="No"/>
    <s v="No"/>
    <s v="No"/>
    <s v="No"/>
    <s v="No"/>
    <s v="No"/>
    <s v="No"/>
    <s v="No"/>
    <m/>
    <s v="processing of 1 kg cocoa bean"/>
    <s v="No"/>
    <s v="No"/>
    <s v="1 kg cocoa beans processed"/>
    <s v="/0.26875  ; reported inventory gives wt of products from processing of 1 kg cocoa beans; assuming mass allocation"/>
    <s v=""/>
    <s v=""/>
    <s v=""/>
    <s v=""/>
    <m/>
    <m/>
    <m/>
    <m/>
    <m/>
    <m/>
    <m/>
    <m/>
    <m/>
    <m/>
    <m/>
    <m/>
    <m/>
    <m/>
    <m/>
    <m/>
    <m/>
    <m/>
    <m/>
    <m/>
    <m/>
    <m/>
    <m/>
    <n v="1.2013395348837208"/>
  </r>
  <r>
    <x v="10"/>
    <x v="135"/>
    <s v="Fresh or Not Specified"/>
    <m/>
    <s v="No"/>
    <s v="Ghana"/>
    <n v="2008"/>
    <s v="Augustine Ntiamoah a, George Afrane b"/>
    <s v="a Chemical Engineering Department, Kwame Nkrumah University of Science &amp; Technology, Kumasi, Ghana b Koforidua Polytechnic, Koforidua, Ghana"/>
    <s v="Peer Reviewed Journal"/>
    <s v="Ntiamoah, A. and Afrane, G., Environmental impacts of cocoa production and processing in Ghana: life cycle assessment approach. Journal of Cleaner Production 2008, 16 (16), 1735-1740."/>
    <s v="Yes"/>
    <s v="No"/>
    <s v="Yes"/>
    <s v="Yes"/>
    <s v="No"/>
    <s v="No"/>
    <s v="No"/>
    <s v="No"/>
    <s v="No"/>
    <s v="No"/>
    <s v="No"/>
    <s v="No"/>
    <m/>
    <s v="processing of 1 kg cocoa bean"/>
    <s v="No"/>
    <s v="No"/>
    <s v="1 kg cocoa beans processed"/>
    <s v="/0.075  ; reported inventory gives wt of products from processing of 1 kg cocoa beans; assuming mass allocation"/>
    <s v=""/>
    <s v=""/>
    <s v=""/>
    <s v=""/>
    <m/>
    <m/>
    <m/>
    <m/>
    <m/>
    <m/>
    <m/>
    <m/>
    <m/>
    <m/>
    <m/>
    <m/>
    <m/>
    <m/>
    <m/>
    <m/>
    <m/>
    <m/>
    <m/>
    <m/>
    <m/>
    <m/>
    <m/>
    <n v="4.3048000000000002"/>
  </r>
  <r>
    <x v="4"/>
    <x v="85"/>
    <s v="Fresh or Not Specified"/>
    <s v="Organic Pear grown in hilly land (Liaoning)"/>
    <s v="Yes"/>
    <s v="China "/>
    <n v="2010"/>
    <s v="Yuexian Liu (a,b); Vibeke Langer (a); Henning Høgh-Jensen (c); Henrik Egelyng (d)"/>
    <s v="(a) Department of Agriculture and Ecology, Faculty of Life Sciences, University of Copenhagen, Højbakkegaard Alle 9, DK-2630 Taastrup, Denmark_x000a_; (b) Information Institute, Beijing Academy of Agriculture and Forestry, Beijing 100094, P.R. China; (c) Department of Policy Analysis, National Environmental Research Institute, Aarhus University, Frederiksborgvej 399, DK-4000 Roskilde, Denmark_x000a_; (d) Danish Institute for International Studies, Strandgade 56, DK-1401 Copenhagen, Denmark"/>
    <s v="Peer Reviewed Journal"/>
    <s v="Liu, Y., Langer, V., Høgh-Jensen, H. and Egelyng, H., Life Cycle Assessment of fossil energy use and greenhouse gas emissions in Chinese pear production. Journal of Cleaner Production 2010, 18 (14), 1423-1430."/>
    <s v="Yes"/>
    <s v="No"/>
    <s v="Yes"/>
    <s v="Yes"/>
    <s v="Yes"/>
    <s v="Yes"/>
    <s v="No"/>
    <s v="No"/>
    <s v="No"/>
    <s v="No"/>
    <s v="No"/>
    <s v="No"/>
    <m/>
    <s v="Farm to retail point; average of one beijing farm and one liaoning farm taken for hilly land representation"/>
    <s v="No"/>
    <s v="Yes"/>
    <s v="1 tonne of pears"/>
    <s v="/1000"/>
    <n v="1.1120000000000001"/>
    <n v="1.5680000000000001"/>
    <n v="0.06"/>
    <n v="8.2599999999999993E-2"/>
    <n v="1.1120000000000001"/>
    <m/>
    <n v="0.45600000000000002"/>
    <m/>
    <n v="1.25"/>
    <m/>
    <m/>
    <m/>
    <m/>
    <n v="1.1120000000000001"/>
    <n v="2.82"/>
    <m/>
    <m/>
    <n v="5.5599999999999997E-2"/>
    <m/>
    <n v="2.7E-2"/>
    <m/>
    <n v="6.7999999999999996E-3"/>
    <m/>
    <m/>
    <m/>
    <m/>
    <n v="0.06"/>
    <n v="0.09"/>
  </r>
  <r>
    <x v="4"/>
    <x v="85"/>
    <s v="Fresh or Not Specified"/>
    <s v="Conventional grown pears - hilly land (Liaoning)"/>
    <s v="Yes"/>
    <s v="China "/>
    <n v="2010"/>
    <s v="Yuexian Liu (a,b); Vibeke Langer (a); Henning Høgh-Jensen (c); Henrik Egelyng (d)"/>
    <s v="(a) Department of Agriculture and Ecology, Faculty of Life Sciences, University of Copenhagen, Højbakkegaard Alle 9, DK-2630 Taastrup, Denmark_x000a_; (b) Information Institute, Beijing Academy of Agriculture and Forestry, Beijing 100094, P.R. China; (c) Department of Policy Analysis, National Environmental Research Institute, Aarhus University, Frederiksborgvej 399, DK-4000 Roskilde, Denmark_x000a_; (d) Danish Institute for International Studies, Strandgade 56, DK-1401 Copenhagen, Denmark"/>
    <s v="Peer Reviewed Journal"/>
    <s v="Liu, Y., Langer, V., Høgh-Jensen, H. and Egelyng, H., Life Cycle Assessment of fossil energy use and greenhouse gas emissions in Chinese pear production. Journal of Cleaner Production 2010, 18 (14), 1423-1430."/>
    <s v="Yes"/>
    <s v="No"/>
    <s v="Yes"/>
    <s v="Yes"/>
    <s v="Yes"/>
    <s v="Yes"/>
    <s v="No"/>
    <s v="No"/>
    <s v="No"/>
    <s v="No"/>
    <s v="No"/>
    <s v="No"/>
    <m/>
    <s v="Farm to retail point"/>
    <s v="No"/>
    <s v="Yes"/>
    <s v="1 tonne of pears"/>
    <s v="/1000"/>
    <n v="1.32"/>
    <n v="1.5225"/>
    <n v="0.28899999999999998"/>
    <n v="0.30099999999999999"/>
    <n v="1.32"/>
    <m/>
    <n v="0.20250000000000001"/>
    <m/>
    <n v="1.25"/>
    <m/>
    <m/>
    <m/>
    <m/>
    <n v="1.32"/>
    <n v="2.7725"/>
    <m/>
    <m/>
    <n v="0.28899999999999998"/>
    <m/>
    <n v="1.2E-2"/>
    <m/>
    <n v="6.7999999999999996E-3"/>
    <m/>
    <m/>
    <m/>
    <m/>
    <n v="0.28899999999999998"/>
    <n v="0.30779999999999996"/>
  </r>
  <r>
    <x v="4"/>
    <x v="85"/>
    <s v="Fresh or Not Specified"/>
    <s v="Organic Pear grown in lowlands (Beijing)"/>
    <s v="Yes"/>
    <s v="China "/>
    <n v="2010"/>
    <s v="Yuexian Liu (a,b); Vibeke Langer (a); Henning Høgh-Jensen (c); Henrik Egelyng (d)"/>
    <s v="(a) Department of Agriculture and Ecology, Faculty of Life Sciences, University of Copenhagen, Højbakkegaard Alle 9, DK-2630 Taastrup, Denmark_x000a_; (b) Information Institute, Beijing Academy of Agriculture and Forestry, Beijing 100094, P.R. China; (c) Department of Policy Analysis, National Environmental Research Institute, Aarhus University, Frederiksborgvej 399, DK-4000 Roskilde, Denmark_x000a_; (d) Danish Institute for International Studies, Strandgade 56, DK-1401 Copenhagen, Denmark"/>
    <s v="Peer Reviewed Journal"/>
    <s v="Liu, Y., Langer, V., Høgh-Jensen, H. and Egelyng, H., Life Cycle Assessment of fossil energy use and greenhouse gas emissions in Chinese pear production. Journal of Cleaner Production 2010, 18 (14), 1423-1430."/>
    <s v="Yes"/>
    <s v="No"/>
    <s v="Yes"/>
    <s v="Yes"/>
    <s v="Yes"/>
    <s v="Yes"/>
    <s v="No"/>
    <s v="No"/>
    <s v="No"/>
    <s v="No"/>
    <s v="No"/>
    <s v="No"/>
    <m/>
    <s v="Farm to retail point"/>
    <s v="No"/>
    <s v="Yes"/>
    <s v="1 tonne of pears"/>
    <s v="/1000"/>
    <n v="2.5470000000000002"/>
    <n v="5.2657000000000007"/>
    <n v="0.2069"/>
    <n v="0.37090000000000001"/>
    <n v="2.5470000000000002"/>
    <m/>
    <n v="2.7187000000000001"/>
    <m/>
    <n v="0.42499999999999999"/>
    <m/>
    <m/>
    <m/>
    <m/>
    <n v="2.5470000000000002"/>
    <n v="5.6906999999999996"/>
    <m/>
    <m/>
    <n v="0.2069"/>
    <m/>
    <n v="0.16400000000000001"/>
    <m/>
    <n v="2.5000000000000001E-3"/>
    <m/>
    <m/>
    <m/>
    <m/>
    <n v="0.2069"/>
    <n v="0.37340000000000001"/>
  </r>
  <r>
    <x v="4"/>
    <x v="85"/>
    <s v="Fresh or Not Specified"/>
    <s v="Conventional grown pears - lowlands (Beijing)"/>
    <s v="Yes"/>
    <s v="China "/>
    <n v="2010"/>
    <s v="Yuexian Liu (a,b); Vibeke Langer (a); Henning Høgh-Jensen (c); Henrik Egelyng (d)"/>
    <s v="(a) Department of Agriculture and Ecology, Faculty of Life Sciences, University of Copenhagen, Højbakkegaard Alle 9, DK-2630 Taastrup, Denmark_x000a_; (b) Information Institute, Beijing Academy of Agriculture and Forestry, Beijing 100094, P.R. China; (c) Department of Policy Analysis, National Environmental Research Institute, Aarhus University, Frederiksborgvej 399, DK-4000 Roskilde, Denmark_x000a_; (d) Danish Institute for International Studies, Strandgade 56, DK-1401 Copenhagen, Denmark"/>
    <s v="Peer Reviewed Journal"/>
    <s v="Liu, Y., Langer, V., Høgh-Jensen, H. and Egelyng, H., Life Cycle Assessment of fossil energy use and greenhouse gas emissions in Chinese pear production. Journal of Cleaner Production 2010, 18 (14), 1423-1430."/>
    <s v="Yes"/>
    <s v="No"/>
    <s v="Yes"/>
    <s v="Yes"/>
    <s v="Yes"/>
    <s v="Yes"/>
    <s v="No"/>
    <s v="No"/>
    <s v="No"/>
    <s v="No"/>
    <s v="No"/>
    <s v="No"/>
    <m/>
    <s v="Farm to retail point"/>
    <s v="No"/>
    <s v="Yes"/>
    <s v="1 tonne of pears"/>
    <s v="/1000"/>
    <n v="2.109"/>
    <n v="3.9276999999999997"/>
    <n v="0.379"/>
    <n v="0.48899999999999999"/>
    <n v="2.109"/>
    <m/>
    <n v="1.8187"/>
    <m/>
    <n v="0.57499999999999996"/>
    <m/>
    <m/>
    <m/>
    <m/>
    <n v="2.109"/>
    <n v="4.5026999999999999"/>
    <m/>
    <m/>
    <n v="0.379"/>
    <m/>
    <n v="0.11"/>
    <m/>
    <n v="3.3E-3"/>
    <m/>
    <m/>
    <m/>
    <m/>
    <n v="0.379"/>
    <n v="0.49230000000000002"/>
  </r>
  <r>
    <x v="4"/>
    <x v="66"/>
    <s v="Fresh or Not Specified"/>
    <s v="Central Portugal, mixed orchard"/>
    <s v="Yes"/>
    <s v="Portugal"/>
    <n v="2013"/>
    <s v="Filipa Figueiredo (a); António Peres (b); Érica G. Castanheira (a); Filipe Maia (e); Manuel Feliciano (b); António Ramos (c,d); João Carneiro (c,d); Fausto Freire (a); M. Ângelo Rodrigues (b); Vlad C. Coroama (a);"/>
    <s v="(a) ADAI-LAETA (Center for Industrial Ecology) Department of Mechanical Engineering. University of Coimbra Rua Luís Reis Santos, 3030-788 Coimbra, Portugal; (b) Mountain Research Centre (CIMO), ESA- Polytechnic Institute of Bragança Campus de Sta Apolónia, Apartado 1172, 5301-854 Bragança, Portugal; (c) Escola Superior Agrária de Castelo BrancoQta. Sra de Mércules, Apartado 119, 6001-909 Castelo Branco, Portugal; (d) CERNAS – Centro de Estudos de Recursos Naturais, Ambiente e Sociedade Campus de Sta Apolónia, Apartado 1172, 5301-854 Bragança, Portugal; (e) School of Agriculture, Polytechnic Institute of Bragança"/>
    <s v="Conference Proceedings"/>
    <s v="Figueiredo, F., Feliciano, M., Maia, F., Coroama, V. C. and Freire, F., Carbon Footprint of Apple and Pear : Orchards, Storage and Distribution. Energy for Sustainability 2013 Sustainable Cities: Designing for People and the Planet 2013, 1-5."/>
    <s v="Yes"/>
    <s v="No"/>
    <s v="Yes"/>
    <s v="Yes"/>
    <s v="No"/>
    <s v="Yes"/>
    <s v="No"/>
    <s v="No"/>
    <s v="No"/>
    <s v="No"/>
    <s v="No"/>
    <s v="No"/>
    <s v="Cold storage included"/>
    <s v="Farm to retail"/>
    <s v="No"/>
    <s v="No"/>
    <s v="1 kg fruit"/>
    <m/>
    <s v=""/>
    <s v=""/>
    <n v="0.10333329999999999"/>
    <s v=""/>
    <m/>
    <m/>
    <m/>
    <m/>
    <m/>
    <m/>
    <m/>
    <m/>
    <m/>
    <m/>
    <m/>
    <m/>
    <m/>
    <m/>
    <m/>
    <m/>
    <m/>
    <m/>
    <m/>
    <m/>
    <m/>
    <m/>
    <n v="0.10333329999999999"/>
    <n v="0.19708329999999999"/>
  </r>
  <r>
    <x v="4"/>
    <x v="85"/>
    <s v="Fresh or Not Specified"/>
    <s v="Central Portugal, mixed orchard"/>
    <s v="Yes"/>
    <s v="Portugal"/>
    <n v="2013"/>
    <s v="Filipa Figueiredo (a); António Peres (b); Érica G. Castanheira (a); Filipe Maia (e); Manuel Feliciano (b); António Ramos (c,d); João Carneiro (c,d); Fausto Freire (a); M. Ângelo Rodrigues (b); Vlad C. Coroama (a);"/>
    <s v="(a) ADAI-LAETA (Center for Industrial Ecology) Department of Mechanical Engineering. University of Coimbra Rua Luís Reis Santos, 3030-788 Coimbra, Portugal; (b) Mountain Research Centre (CIMO), ESA- Polytechnic Institute of Bragança Campus de Sta Apolónia, Apartado 1172, 5301-854 Bragança, Portugal; (c) Escola Superior Agrária de Castelo BrancoQta. Sra de Mércules, Apartado 119, 6001-909 Castelo Branco, Portugal; (d) CERNAS – Centro de Estudos de Recursos Naturais, Ambiente e Sociedade Campus de Sta Apolónia, Apartado 1172, 5301-854 Bragança, Portugal; (e) School of Agriculture, Polytechnic Institute of Bragança"/>
    <s v="Conference Proceedings"/>
    <s v="Figueiredo, F., Feliciano, M., Maia, F., Coroama, V. C. and Freire, F., Carbon Footprint of Apple and Pear : Orchards, Storage and Distribution. Energy for Sustainability 2013 Sustainable Cities: Designing for People and the Planet 2013, 1-5."/>
    <s v="Yes"/>
    <s v="No"/>
    <s v="Yes"/>
    <s v="Yes"/>
    <s v="No"/>
    <s v="Yes"/>
    <s v="No"/>
    <s v="No"/>
    <s v="No"/>
    <s v="No"/>
    <s v="No"/>
    <s v="No"/>
    <s v="Cold storage included"/>
    <s v="Farm to retail"/>
    <s v="No"/>
    <s v="No"/>
    <s v="1 kg fruit"/>
    <m/>
    <s v=""/>
    <s v=""/>
    <n v="7.809524000000001E-2"/>
    <s v=""/>
    <m/>
    <m/>
    <m/>
    <m/>
    <m/>
    <m/>
    <m/>
    <m/>
    <m/>
    <m/>
    <m/>
    <m/>
    <m/>
    <m/>
    <m/>
    <m/>
    <m/>
    <m/>
    <m/>
    <m/>
    <m/>
    <m/>
    <n v="7.809524000000001E-2"/>
    <n v="0.17184524000000001"/>
  </r>
  <r>
    <x v="4"/>
    <x v="66"/>
    <s v="Fresh or Not Specified"/>
    <s v="North Portugal, dedicated orchard"/>
    <s v="Yes"/>
    <s v="Portugal"/>
    <n v="2013"/>
    <s v="Filipa Figueiredo (a); António Peres (b); Érica G. Castanheira (a); Filipe Maia (e); Manuel Feliciano (b); António Ramos (c,d); João Carneiro (c,d); Fausto Freire (a); M. Ângelo Rodrigues (b); Vlad C. Coroama (a);"/>
    <s v="(a) ADAI-LAETA (Center for Industrial Ecology) Department of Mechanical Engineering. University of Coimbra Rua Luís Reis Santos, 3030-788 Coimbra, Portugal; (b) Mountain Research Centre (CIMO), ESA- Polytechnic Institute of Bragança Campus de Sta Apolónia, Apartado 1172, 5301-854 Bragança, Portugal; (c) Escola Superior Agrária de Castelo BrancoQta. Sra de Mércules, Apartado 119, 6001-909 Castelo Branco, Portugal; (d) CERNAS – Centro de Estudos de Recursos Naturais, Ambiente e Sociedade Campus de Sta Apolónia, Apartado 1172, 5301-854 Bragança, Portugal; (e) School of Agriculture, Polytechnic Institute of Bragança"/>
    <s v="Conference Proceedings"/>
    <s v="Figueiredo, F., Feliciano, M., Maia, F., Coroama, V. C. and Freire, F., Carbon Footprint of Apple and Pear : Orchards, Storage and Distribution. Energy for Sustainability 2013 Sustainable Cities: Designing for People and the Planet 2013, 1-5."/>
    <s v="Yes"/>
    <s v="No"/>
    <s v="Yes"/>
    <s v="Yes"/>
    <s v="Yes"/>
    <s v="Yes"/>
    <s v="No"/>
    <s v="No"/>
    <s v="No"/>
    <s v="No"/>
    <s v="No"/>
    <s v="No"/>
    <s v="Cold storage included"/>
    <s v="Farm to retail"/>
    <s v="No"/>
    <s v="No"/>
    <s v="1 kg fruit"/>
    <m/>
    <s v=""/>
    <s v=""/>
    <n v="0.1257143"/>
    <s v=""/>
    <m/>
    <m/>
    <m/>
    <m/>
    <m/>
    <m/>
    <m/>
    <m/>
    <m/>
    <m/>
    <m/>
    <m/>
    <m/>
    <m/>
    <m/>
    <m/>
    <m/>
    <m/>
    <m/>
    <m/>
    <m/>
    <m/>
    <n v="0.1257143"/>
    <n v="0.26169330000000002"/>
  </r>
  <r>
    <x v="7"/>
    <x v="108"/>
    <s v="Fresh or Not Specified"/>
    <s v="Malawian tea"/>
    <s v="No"/>
    <s v="Malawi"/>
    <n v="2015"/>
    <s v="J.L. Taulo; A.B. Sebitosi"/>
    <s v="Department of Mechanical &amp; Mechatronic Engineering, Stellenbosch University, P/Bag X1, Matieland 7602, South Africa"/>
    <s v="Peer Reviewed Journal"/>
    <s v="Taulo, J. L. and Sebitosi, A. B., Material and energy fl ow analysis of the Malawian tea industry. Renewable and Sustainable Energy Reviews 2016, 56, 1337-1350."/>
    <s v="No"/>
    <s v="No"/>
    <s v="No"/>
    <s v="Yes"/>
    <s v="No"/>
    <s v="No"/>
    <s v="No"/>
    <s v="No"/>
    <s v="No"/>
    <s v="No"/>
    <s v="No"/>
    <s v="No"/>
    <m/>
    <s v="Processing Only (withering, rolling, oxidation, drying, sorting)"/>
    <s v="Yes"/>
    <s v="No"/>
    <s v="1 kg dried tea leaves"/>
    <s v="N/A"/>
    <s v=""/>
    <n v="50.580000000000005"/>
    <s v=""/>
    <n v="4.32"/>
    <m/>
    <m/>
    <n v="50.580000000000005"/>
    <m/>
    <m/>
    <m/>
    <m/>
    <m/>
    <m/>
    <m/>
    <n v="50.580000000000005"/>
    <s v="MJ/kg"/>
    <m/>
    <m/>
    <m/>
    <n v="4.32"/>
    <m/>
    <m/>
    <m/>
    <m/>
    <m/>
    <m/>
    <m/>
    <n v="4.32"/>
  </r>
  <r>
    <x v="3"/>
    <x v="19"/>
    <s v="Fresh or Not Specified"/>
    <s v="organic"/>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0.86899999999999999"/>
    <s v=""/>
    <n v="6.3E-2"/>
    <s v=""/>
    <m/>
    <m/>
    <m/>
    <m/>
    <m/>
    <m/>
    <m/>
    <m/>
    <m/>
    <n v="0.86899999999999999"/>
    <m/>
    <s v="CML baseline 2 2002"/>
    <m/>
    <m/>
    <m/>
    <m/>
    <m/>
    <m/>
    <m/>
    <m/>
    <m/>
    <m/>
    <n v="6.3E-2"/>
    <m/>
  </r>
  <r>
    <x v="4"/>
    <x v="66"/>
    <s v="Fresh or Not Specified"/>
    <s v="traditional intensive farming"/>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1.2"/>
    <s v=""/>
    <n v="9.7000000000000003E-2"/>
    <s v=""/>
    <m/>
    <m/>
    <m/>
    <m/>
    <m/>
    <m/>
    <m/>
    <m/>
    <m/>
    <n v="1.2"/>
    <m/>
    <s v="CML baseline 2 2002"/>
    <m/>
    <m/>
    <m/>
    <m/>
    <m/>
    <m/>
    <m/>
    <m/>
    <m/>
    <m/>
    <n v="9.7000000000000003E-2"/>
    <m/>
  </r>
  <r>
    <x v="4"/>
    <x v="85"/>
    <s v="Fresh or Not Specified"/>
    <s v="organic"/>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6.0720000000000001"/>
    <s v=""/>
    <n v="0.376"/>
    <s v=""/>
    <m/>
    <m/>
    <m/>
    <m/>
    <m/>
    <m/>
    <m/>
    <m/>
    <m/>
    <n v="6.0720000000000001"/>
    <m/>
    <s v="CML baseline 2 2002"/>
    <m/>
    <m/>
    <m/>
    <m/>
    <m/>
    <m/>
    <m/>
    <m/>
    <m/>
    <m/>
    <n v="0.376"/>
    <m/>
  </r>
  <r>
    <x v="5"/>
    <x v="67"/>
    <s v="Fresh or Not Specified"/>
    <s v="traditional intensive farming"/>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3.0979999999999999"/>
    <s v=""/>
    <n v="0.50900000000000001"/>
    <s v=""/>
    <m/>
    <m/>
    <m/>
    <m/>
    <m/>
    <m/>
    <m/>
    <m/>
    <m/>
    <n v="3.0979999999999999"/>
    <m/>
    <s v="CML baseline 2 2002"/>
    <m/>
    <m/>
    <m/>
    <m/>
    <m/>
    <m/>
    <m/>
    <m/>
    <m/>
    <m/>
    <n v="0.50900000000000001"/>
    <m/>
  </r>
  <r>
    <x v="3"/>
    <x v="57"/>
    <s v="Fresh or Not Specified"/>
    <s v="Chicory Lettuce, traditional intensive farming"/>
    <s v="No"/>
    <s v="Italy"/>
    <n v="2015"/>
    <s v="Elena Tamburini *, Paola Pedrini †, Maria Gabriella Marchetti †, Elisa Anna Fano † and Giuseppe Castaldelli"/>
    <s v="Department of Life Science and Biotechnology, University of Ferrara, Via L. Borsari, 46, 44100 Ferrara, Italy"/>
    <s v="Peer Reviewed Journal"/>
    <s v="Tamburini, E., Pedrini, P., Marchetti, M., Fano, E. and Castaldelli, G., Life Cycle Based Evaluation of Environmental and Economic Impacts of Agricultural Productions in the Mediterranean Area. Sustainability 2015, 7 (3), 2915-2935."/>
    <s v="Yes"/>
    <s v="No"/>
    <s v="No"/>
    <s v="No"/>
    <s v="No"/>
    <s v="No"/>
    <s v="No"/>
    <s v="No"/>
    <s v="No"/>
    <s v="No"/>
    <s v="No"/>
    <s v="Yes"/>
    <m/>
    <m/>
    <s v="No"/>
    <s v="No"/>
    <s v="1 kg fresh crops"/>
    <m/>
    <n v="4.12"/>
    <s v=""/>
    <n v="0.32700000000000001"/>
    <s v=""/>
    <m/>
    <m/>
    <m/>
    <m/>
    <m/>
    <m/>
    <m/>
    <m/>
    <m/>
    <n v="4.12"/>
    <m/>
    <s v="CML baseline 2 2002"/>
    <m/>
    <m/>
    <m/>
    <m/>
    <m/>
    <m/>
    <m/>
    <m/>
    <m/>
    <m/>
    <n v="0.32700000000000001"/>
    <m/>
  </r>
  <r>
    <x v="1"/>
    <x v="3"/>
    <s v="Fresh or Not Specified"/>
    <s v="grass-based system"/>
    <s v="Yes"/>
    <s v="Belgium"/>
    <n v="2015"/>
    <s v="Fabienne Rabiera, *, Rocco Lioyb, Christian Paulc, Florence Van Stappena, Didier Stilmanta, Michaël Mathota"/>
    <s v="aWalloon Agricultural Research Centre, 146, Chaussée de Namur, 5030 Gembloux, BelgiumbConvis s.c. Zone artisanale et commerciale 4, 9004 Ettelbruck, Luxembourg , c SPIGVA, Rue du Carmel, 1 6900 Marloie, Belgium"/>
    <s v="Peer Reviewed Journal"/>
    <s v="Rabier, F., Lioy, R., Paul, C. and Stappen, F. V., Assessment of GHG emissions and their variability of meat production systems in Wallonia based on grass and maize. Agriculture and Agricultural Science Procedia 2015, 7, 223-228."/>
    <s v="Yes"/>
    <s v="No"/>
    <s v="No"/>
    <s v="No"/>
    <s v="No"/>
    <s v="No"/>
    <s v="No"/>
    <s v="No"/>
    <s v="No"/>
    <s v="No"/>
    <s v="No"/>
    <s v="No"/>
    <m/>
    <m/>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5.326174122241206"/>
    <s v=""/>
    <m/>
    <m/>
    <m/>
    <m/>
    <m/>
    <m/>
    <m/>
    <m/>
    <m/>
    <m/>
    <m/>
    <m/>
    <m/>
    <m/>
    <m/>
    <m/>
    <m/>
    <m/>
    <m/>
    <m/>
    <m/>
    <m/>
    <n v="45.326174122241206"/>
    <m/>
  </r>
  <r>
    <x v="1"/>
    <x v="3"/>
    <s v="Fresh or Not Specified"/>
    <s v="grass-corn based system"/>
    <s v="Yes"/>
    <s v="Belgium"/>
    <n v="2015"/>
    <s v="Fabienne Rabiera, *, Rocco Lioyb, Christian Paulc, Florence Van Stappena, Didier Stilmanta, Michaël Mathota"/>
    <s v="aWalloon Agricultural Research Centre, 146, Chaussée de Namur, 5030 Gembloux, BelgiumbConvis s.c. Zone artisanale et commerciale 4, 9004 Ettelbruck, Luxembourg , c SPIGVA, Rue du Carmel, 1 6900 Marloie, Belgium"/>
    <s v="Peer Reviewed Journal"/>
    <s v="Rabier, F., Lioy, R., Paul, C. and Stappen, F. V., Assessment of GHG emissions and their variability of meat production systems in Wallonia based on grass and maize. Agriculture and Agricultural Science Procedia 2015, 7, 223-228."/>
    <s v="Yes"/>
    <s v="No"/>
    <s v="No"/>
    <s v="No"/>
    <s v="No"/>
    <s v="No"/>
    <s v="No"/>
    <s v="No"/>
    <s v="No"/>
    <s v="No"/>
    <s v="No"/>
    <s v="No"/>
    <m/>
    <m/>
    <s v="No"/>
    <s v="No"/>
    <s v="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47.816623249836873"/>
    <s v=""/>
    <m/>
    <m/>
    <m/>
    <m/>
    <m/>
    <m/>
    <m/>
    <m/>
    <m/>
    <m/>
    <m/>
    <m/>
    <m/>
    <m/>
    <m/>
    <m/>
    <m/>
    <m/>
    <m/>
    <m/>
    <m/>
    <m/>
    <n v="47.816623249836873"/>
    <m/>
  </r>
  <r>
    <x v="1"/>
    <x v="23"/>
    <s v="Fresh or Not Specified"/>
    <s v="study considers co-product diest; recording only control diet here."/>
    <s v="Yes"/>
    <s v="Canada (Ontario and Quebec)"/>
    <n v="2016"/>
    <s v="S. G. Mackenzie*1, I. Leinonen1, N. Ferguson2 and I. Kyriazakis1"/>
    <s v="School of Agriculture, Food and Rural Development, Newcastle University, Newcastle upon Tyne, NE1 7RU, UK  _x000a_2 Trouw Nutrition Canada, 150 Research Ln, Guelph, ON N1G 4T2, Canada"/>
    <s v="Peer Reviewed Journal"/>
    <s v="Mackenzie, S. G., Leinonen, I., Ferguson, N. and Kyriazakis, I., Can the environmental impact of pig systems be reduced by utilising co-products as feed? Journal of Cleaner Production 2016, 115, 172-181."/>
    <s v="Yes"/>
    <s v="No"/>
    <s v="No"/>
    <s v="No"/>
    <s v="No"/>
    <s v="No"/>
    <s v="No"/>
    <s v="No"/>
    <s v="No"/>
    <s v="No"/>
    <s v="No"/>
    <s v="No"/>
    <m/>
    <m/>
    <s v="No"/>
    <s v="No"/>
    <s v="1 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21.673525377229083"/>
    <s v=""/>
    <n v="3.0178326474622774"/>
    <s v=""/>
    <m/>
    <m/>
    <m/>
    <m/>
    <m/>
    <m/>
    <m/>
    <m/>
    <m/>
    <n v="21.673525377229083"/>
    <m/>
    <s v="Impact 2002+"/>
    <m/>
    <m/>
    <m/>
    <m/>
    <m/>
    <m/>
    <m/>
    <m/>
    <m/>
    <m/>
    <n v="3.0178326474622774"/>
    <m/>
  </r>
  <r>
    <x v="1"/>
    <x v="23"/>
    <s v="Fresh or Not Specified"/>
    <m/>
    <s v="No"/>
    <s v="Australia"/>
    <n v="2016"/>
    <s v="Thomas Winklera, Kerstin Schopfa, Ralf Aschemanna,*, Wilfried Winiwarterb"/>
    <s v="a) University of Graz, Institute of Systems Sciences, Innovation and Sustainability Research, Merangasse 18, 8010 Graz, Austria b) International Institute for Applied Systems Analysis, Schlossplatz 1, 2361 Laxenburg, Austria"/>
    <s v="Peer Reviewed Journal"/>
    <s v="Winkler, T., Schopf, K., Aschemann, R. and Winiwarter, W., From farm to fork – A life cycle assessment of fresh Austrian pork. Journal of Cleaner Production 2016, 116, 80-9."/>
    <s v="Yes"/>
    <s v="No"/>
    <s v="Yes"/>
    <s v="Yes"/>
    <s v="Yes"/>
    <s v="Yes"/>
    <s v="Yes"/>
    <s v="Yes"/>
    <s v="Yes"/>
    <s v="Yes"/>
    <s v="No"/>
    <s v="No"/>
    <m/>
    <s v="farm to fork"/>
    <s v="No"/>
    <s v="Yes"/>
    <s v="1 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6.0123456790123457"/>
    <n v="6.207133058984911"/>
    <m/>
    <m/>
    <m/>
    <m/>
    <m/>
    <m/>
    <m/>
    <m/>
    <m/>
    <m/>
    <m/>
    <m/>
    <m/>
    <n v="6.0123456790123457"/>
    <m/>
    <n v="0.19478737997256515"/>
    <m/>
    <n v="0.23045267489711938"/>
    <m/>
    <n v="6.8587105624142664E-2"/>
    <m/>
    <m/>
    <n v="6.0123456790123457"/>
    <n v="6.5171467764060367"/>
  </r>
  <r>
    <x v="4"/>
    <x v="66"/>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24"/>
    <s v=""/>
    <m/>
    <m/>
    <m/>
    <m/>
    <m/>
    <m/>
    <m/>
    <m/>
    <m/>
    <m/>
    <m/>
    <m/>
    <m/>
    <m/>
    <m/>
    <m/>
    <m/>
    <m/>
    <m/>
    <m/>
    <m/>
    <m/>
    <n v="0.24"/>
    <m/>
  </r>
  <r>
    <x v="4"/>
    <x v="20"/>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27"/>
    <s v=""/>
    <m/>
    <m/>
    <m/>
    <m/>
    <m/>
    <m/>
    <m/>
    <m/>
    <m/>
    <m/>
    <m/>
    <m/>
    <m/>
    <m/>
    <m/>
    <m/>
    <m/>
    <m/>
    <m/>
    <m/>
    <m/>
    <m/>
    <n v="0.27"/>
    <m/>
  </r>
  <r>
    <x v="4"/>
    <x v="136"/>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14000000000000001"/>
    <s v=""/>
    <m/>
    <m/>
    <m/>
    <m/>
    <m/>
    <m/>
    <m/>
    <m/>
    <m/>
    <m/>
    <m/>
    <m/>
    <m/>
    <m/>
    <m/>
    <m/>
    <m/>
    <m/>
    <m/>
    <m/>
    <m/>
    <m/>
    <n v="0.14000000000000001"/>
    <m/>
  </r>
  <r>
    <x v="4"/>
    <x v="137"/>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37"/>
    <s v=""/>
    <m/>
    <m/>
    <m/>
    <m/>
    <m/>
    <m/>
    <m/>
    <m/>
    <m/>
    <m/>
    <m/>
    <m/>
    <m/>
    <m/>
    <m/>
    <m/>
    <m/>
    <m/>
    <m/>
    <m/>
    <m/>
    <m/>
    <n v="0.37"/>
    <m/>
  </r>
  <r>
    <x v="4"/>
    <x v="85"/>
    <s v="Fresh or Not Specified"/>
    <s v="production methods in Chinese region known for particular fruit production"/>
    <s v="No"/>
    <s v="China"/>
    <n v="2015"/>
    <s v="Ming Yan1 &amp; Kun Cheng1 &amp; Qian Yue1 &amp; Yu Yan1 &amp; Robert M. Rees3 &amp; Genxing Pan1,2,3"/>
    <s v="1 Institute of Resource, Ecosystem and Environment of Agriculture and Center of Agriculture and Climate Change, Nanjing Agricultural University, 1 Weigang, Nanjing 210095, China 2 Center of Agro-forestry Carbon Sink and Land Remediation, Zhejiang A&amp;F University, Lin-an, Hangzhou, China 3 Carbon Management Center, Scotish Rural College, King’s Building, West Main Road, Edinburgh EH9 3JG, UK"/>
    <s v="Peer Reviewed Journal"/>
    <s v="Yan, M., Cheng, K., Yue, Q., Yan, Y., Rees, R. M. and Pan, G., Farm and product carbon footprints of China’s fruit production—life cycle inventory of representative orchards of five major fruits. Environmental Science and Pollution Research 2016, 23(5) 4681-4691."/>
    <s v="Yes"/>
    <s v="No"/>
    <s v="No"/>
    <s v="No"/>
    <s v="No"/>
    <s v="No"/>
    <s v="No"/>
    <s v="No"/>
    <s v="No"/>
    <s v="No"/>
    <s v="No"/>
    <s v="No"/>
    <m/>
    <m/>
    <s v="No"/>
    <s v="No"/>
    <s v="1 kg fruit"/>
    <m/>
    <s v=""/>
    <s v=""/>
    <n v="0.18"/>
    <s v=""/>
    <m/>
    <m/>
    <m/>
    <m/>
    <m/>
    <m/>
    <m/>
    <m/>
    <m/>
    <m/>
    <m/>
    <m/>
    <m/>
    <m/>
    <m/>
    <m/>
    <m/>
    <m/>
    <m/>
    <m/>
    <m/>
    <m/>
    <n v="0.18"/>
    <m/>
  </r>
  <r>
    <x v="5"/>
    <x v="126"/>
    <s v="Fresh or Not Specified"/>
    <s v="Hard Maize"/>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622"/>
    <s v=""/>
    <m/>
    <m/>
    <m/>
    <m/>
    <m/>
    <m/>
    <m/>
    <m/>
    <m/>
    <m/>
    <m/>
    <m/>
    <m/>
    <m/>
    <m/>
    <m/>
    <m/>
    <m/>
    <m/>
    <m/>
    <m/>
    <m/>
    <n v="0.622"/>
    <m/>
  </r>
  <r>
    <x v="4"/>
    <x v="138"/>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55600000000000005"/>
    <s v=""/>
    <m/>
    <m/>
    <m/>
    <m/>
    <m/>
    <m/>
    <m/>
    <m/>
    <m/>
    <m/>
    <m/>
    <m/>
    <m/>
    <m/>
    <m/>
    <m/>
    <m/>
    <m/>
    <m/>
    <m/>
    <m/>
    <m/>
    <n v="0.55600000000000005"/>
    <m/>
  </r>
  <r>
    <x v="3"/>
    <x v="44"/>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51800000000000002"/>
    <s v=""/>
    <m/>
    <m/>
    <m/>
    <m/>
    <m/>
    <m/>
    <m/>
    <m/>
    <m/>
    <m/>
    <m/>
    <m/>
    <m/>
    <m/>
    <m/>
    <m/>
    <m/>
    <m/>
    <m/>
    <m/>
    <m/>
    <m/>
    <n v="0.51800000000000002"/>
    <m/>
  </r>
  <r>
    <x v="4"/>
    <x v="66"/>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38100000000000001"/>
    <s v=""/>
    <m/>
    <m/>
    <m/>
    <m/>
    <m/>
    <m/>
    <m/>
    <m/>
    <m/>
    <m/>
    <m/>
    <m/>
    <m/>
    <m/>
    <m/>
    <m/>
    <m/>
    <m/>
    <m/>
    <m/>
    <m/>
    <m/>
    <n v="0.38100000000000001"/>
    <m/>
  </r>
  <r>
    <x v="4"/>
    <x v="137"/>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59099999999999997"/>
    <s v=""/>
    <m/>
    <m/>
    <m/>
    <m/>
    <m/>
    <m/>
    <m/>
    <m/>
    <m/>
    <m/>
    <m/>
    <m/>
    <m/>
    <m/>
    <m/>
    <m/>
    <m/>
    <m/>
    <m/>
    <m/>
    <m/>
    <m/>
    <n v="0.59099999999999997"/>
    <m/>
  </r>
  <r>
    <x v="4"/>
    <x v="89"/>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5"/>
    <s v=""/>
    <m/>
    <m/>
    <m/>
    <m/>
    <m/>
    <m/>
    <m/>
    <m/>
    <m/>
    <m/>
    <m/>
    <m/>
    <m/>
    <m/>
    <m/>
    <m/>
    <m/>
    <m/>
    <m/>
    <m/>
    <m/>
    <m/>
    <n v="0.5"/>
    <m/>
  </r>
  <r>
    <x v="4"/>
    <x v="81"/>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32400000000000001"/>
    <s v=""/>
    <m/>
    <m/>
    <m/>
    <m/>
    <m/>
    <m/>
    <m/>
    <m/>
    <m/>
    <m/>
    <m/>
    <m/>
    <m/>
    <m/>
    <m/>
    <m/>
    <m/>
    <m/>
    <m/>
    <m/>
    <m/>
    <m/>
    <n v="0.32400000000000001"/>
    <m/>
  </r>
  <r>
    <x v="3"/>
    <x v="139"/>
    <s v="Fresh or Not Specified"/>
    <m/>
    <s v="No"/>
    <s v="Peru"/>
    <n v="2012"/>
    <s v="Karin Bartl,*,† Francesca Verones,‡ and Stefanie Hellweg‡"/>
    <s v="†Institute of Agricultural Sciences−Animal Nutrition, ETH Zurich, 8092 Zurich, Switzerland ‡Institute of Environmental Engineering, ETH Zurich, 8093 Zurich, Switzerland"/>
    <s v="Peer Reviewed Journal"/>
    <s v="Bartl, K., Verones, F. and Hellweg, S., Life cycle assessment based evaluation of regional impacts from agricultural production at the Peruvian coast. Environmental science &amp; technology 2012, 46 (18), 9872-80."/>
    <s v="Yes"/>
    <s v="No"/>
    <s v="No"/>
    <s v="No"/>
    <s v="No"/>
    <s v="No"/>
    <s v="No"/>
    <s v="No"/>
    <s v="No"/>
    <s v="No"/>
    <s v="No"/>
    <s v="No"/>
    <m/>
    <s v="no delivery to market included"/>
    <s v="No"/>
    <s v="No"/>
    <s v="1 kg"/>
    <m/>
    <s v=""/>
    <s v=""/>
    <n v="0.90600000000000003"/>
    <s v=""/>
    <m/>
    <m/>
    <m/>
    <m/>
    <m/>
    <m/>
    <m/>
    <m/>
    <m/>
    <m/>
    <m/>
    <m/>
    <m/>
    <m/>
    <m/>
    <m/>
    <m/>
    <m/>
    <m/>
    <m/>
    <m/>
    <m/>
    <n v="0.90600000000000003"/>
    <m/>
  </r>
  <r>
    <x v="5"/>
    <x v="140"/>
    <s v="Fresh or Not Specified"/>
    <s v="Oatmeal"/>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Yes"/>
    <s v="No"/>
    <s v="No"/>
    <m/>
    <s v="cradle to grave"/>
    <s v="no?"/>
    <s v="Yes"/>
    <s v="1 kg"/>
    <m/>
    <s v=""/>
    <s v=""/>
    <n v="0.65051999999999999"/>
    <s v=""/>
    <m/>
    <m/>
    <m/>
    <m/>
    <m/>
    <m/>
    <m/>
    <m/>
    <m/>
    <m/>
    <m/>
    <m/>
    <m/>
    <n v="0.65051999999999999"/>
    <m/>
    <m/>
    <n v="4.1700000000000001E-2"/>
    <n v="3.3360000000000001E-2"/>
    <n v="5.0039999999999994E-2"/>
    <n v="5.0039999999999994E-2"/>
    <m/>
    <m/>
    <n v="0.65051999999999999"/>
    <n v="0.83399999999999996"/>
  </r>
  <r>
    <x v="7"/>
    <x v="141"/>
    <s v="Fresh or Not Specified"/>
    <s v="Medium Strength"/>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No"/>
    <s v="No"/>
    <s v="No"/>
    <m/>
    <s v="cradle to grave"/>
    <s v="no?"/>
    <s v="Yes"/>
    <s v="1 kg"/>
    <m/>
    <s v=""/>
    <s v=""/>
    <n v="0.10740000000000001"/>
    <s v=""/>
    <m/>
    <m/>
    <m/>
    <m/>
    <m/>
    <m/>
    <m/>
    <m/>
    <m/>
    <m/>
    <m/>
    <m/>
    <m/>
    <n v="0.10740000000000001"/>
    <m/>
    <m/>
    <m/>
    <m/>
    <n v="0.15036000000000002"/>
    <n v="0.27924000000000004"/>
    <m/>
    <m/>
    <n v="0.10740000000000001"/>
    <n v="0.53700000000000003"/>
  </r>
  <r>
    <x v="3"/>
    <x v="142"/>
    <s v="Fresh or Not Specified"/>
    <m/>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No"/>
    <s v="No"/>
    <s v="No"/>
    <m/>
    <s v="cradle to grave"/>
    <s v="no?"/>
    <s v="Yes"/>
    <s v="1 kg"/>
    <m/>
    <s v=""/>
    <s v=""/>
    <n v="0.38279999999999997"/>
    <s v=""/>
    <m/>
    <m/>
    <m/>
    <m/>
    <m/>
    <m/>
    <m/>
    <m/>
    <m/>
    <m/>
    <m/>
    <m/>
    <m/>
    <n v="0.38279999999999997"/>
    <m/>
    <m/>
    <n v="5.9400000000000001E-2"/>
    <m/>
    <n v="0.1386"/>
    <n v="1.9800000000000002E-2"/>
    <n v="5.9400000000000001E-2"/>
    <m/>
    <n v="0.38279999999999997"/>
    <n v="0.66"/>
  </r>
  <r>
    <x v="3"/>
    <x v="143"/>
    <s v="Fresh or Not Specified"/>
    <s v="greenhouse production"/>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No"/>
    <s v="No"/>
    <s v="No"/>
    <m/>
    <s v="cradle to grave"/>
    <s v="no?"/>
    <s v="Yes"/>
    <s v="1 kg"/>
    <m/>
    <s v=""/>
    <s v=""/>
    <n v="3.8605999999999998"/>
    <s v=""/>
    <m/>
    <m/>
    <m/>
    <m/>
    <m/>
    <m/>
    <m/>
    <m/>
    <m/>
    <m/>
    <m/>
    <m/>
    <m/>
    <n v="3.8605999999999998"/>
    <m/>
    <m/>
    <m/>
    <m/>
    <m/>
    <n v="0.11939999999999999"/>
    <m/>
    <m/>
    <n v="3.8605999999999998"/>
    <n v="3.98"/>
  </r>
  <r>
    <x v="0"/>
    <x v="4"/>
    <s v="Fresh or Not Specified"/>
    <m/>
    <s v="No"/>
    <s v="Finland"/>
    <n v="2009"/>
    <s v="Kirsi Usva, Merja Saarinen, Juha-Matti Katajajuuri and Sirpa Kurppa"/>
    <s v="MTT Agrifood Research Finland, Biotechnology and Food Research, FI-31600 Jokioinen, Finland"/>
    <s v="Peer Reviewed Journal"/>
    <s v="Usva, K., Saarinen, M., Katajajuuri, J. M. and Kurppa, S., Supply chain integrated LCA approach to assess environmental impacts of food production in Finland. Agricultural and Food Science 2009, 18 (3-4), 460-476."/>
    <s v="Yes"/>
    <s v="No"/>
    <s v="Yes"/>
    <s v="Yes"/>
    <s v="Yes"/>
    <s v="Yes"/>
    <s v="Yes"/>
    <s v="Yes"/>
    <s v="No"/>
    <s v="No"/>
    <s v="No"/>
    <s v="No"/>
    <m/>
    <s v="cradle to grave"/>
    <s v="no?"/>
    <s v="Yes"/>
    <s v="1 kg"/>
    <m/>
    <s v=""/>
    <s v=""/>
    <n v="11.802700000000002"/>
    <s v=""/>
    <m/>
    <m/>
    <m/>
    <m/>
    <m/>
    <m/>
    <m/>
    <m/>
    <m/>
    <m/>
    <m/>
    <m/>
    <m/>
    <n v="11.791700000000001"/>
    <m/>
    <m/>
    <m/>
    <n v="0.12870000000000001"/>
    <n v="1.0276000000000001"/>
    <n v="0.1217"/>
    <m/>
    <m/>
    <n v="11.802700000000002"/>
    <n v="12.97"/>
  </r>
  <r>
    <x v="1"/>
    <x v="144"/>
    <s v="Fresh or Not Specified"/>
    <s v="Snails, semi-intensive rearing system in Southern Italy"/>
    <s v="No"/>
    <s v="Italy"/>
    <n v="2016"/>
    <s v="Annachiara Forte a,⁎, Amalia Zucaro a, Gionata De Vico a, Angelo Fierro a,b"/>
    <s v="a Dipartimento di Biologia, Università di Napoli Federico II, Italy_x000a_b Laboratorio di Urbanistica e di Pianificazione del Territorio (LUPT), Università di Napoli Federico II, Italy"/>
    <s v="Peer Reviewed Journal"/>
    <s v="Forte, A., Zucaro, A., Vico, G. D. and Fierro, A., Carbon footprint of heliciculture : A case study from an Italian experimental farm. AGSY 2016, 142, 99-111."/>
    <s v="Yes"/>
    <s v="No"/>
    <s v="No"/>
    <s v="Yes"/>
    <s v="Yes"/>
    <s v="No"/>
    <s v="No"/>
    <s v="No"/>
    <s v="No"/>
    <s v="No"/>
    <s v="No"/>
    <s v="No"/>
    <m/>
    <s v="cradle to farm gate"/>
    <s v="No"/>
    <s v="Yes"/>
    <s v="1 kg edible snail meat"/>
    <m/>
    <s v=""/>
    <s v=""/>
    <n v="0.7"/>
    <s v=""/>
    <m/>
    <m/>
    <m/>
    <m/>
    <m/>
    <m/>
    <m/>
    <m/>
    <m/>
    <m/>
    <m/>
    <m/>
    <m/>
    <n v="0.7"/>
    <m/>
    <m/>
    <n v="6.9999999999999993E-3"/>
    <m/>
    <m/>
    <m/>
    <m/>
    <m/>
    <n v="0.7"/>
    <m/>
  </r>
  <r>
    <x v="10"/>
    <x v="145"/>
    <m/>
    <m/>
    <s v="No"/>
    <s v="Italy"/>
    <n v="2014"/>
    <s v="Fabio Gresta,1 Anna I. De Luca,1 Alfio Strano,1 Giacomo Falcone,1 Carmelo Santonoceto,1 Umberto Anastasi,2 Giovanni Gulisano1"/>
    <s v="1Department of Agriculture (AGRARIA), Mediterranean University of Reggio Calabria;2Department of Agricultural and Food Science (DISPA), University of Catania, Italy"/>
    <s v="Peer Reviewed Journal"/>
    <s v="Gresta, F., De Luca, A. I., Strano, A., Falcone, G., Santonoceto, C., Anastasi, U. and Gulisano, G., Economic and environmental sustainability analysis of guar (Cyamopsis tetragonoloba L.) farming process in a Mediterranean area: two case studies. Italian Journal of Agronomy 2014, 9 (1), 20-20."/>
    <s v="Yes"/>
    <s v="No"/>
    <s v="No"/>
    <s v="No"/>
    <s v="No"/>
    <s v="No"/>
    <s v="No"/>
    <s v="No"/>
    <s v="No"/>
    <s v="No"/>
    <s v="No"/>
    <s v="No"/>
    <m/>
    <s v="cradle to gate"/>
    <s v="No"/>
    <s v="No"/>
    <s v="ha"/>
    <s v="used reported yield to convert to 1 kg guar seed"/>
    <s v=""/>
    <s v=""/>
    <n v="1.4"/>
    <s v=""/>
    <m/>
    <m/>
    <m/>
    <m/>
    <m/>
    <m/>
    <m/>
    <m/>
    <m/>
    <m/>
    <m/>
    <m/>
    <m/>
    <m/>
    <m/>
    <m/>
    <m/>
    <m/>
    <m/>
    <m/>
    <m/>
    <m/>
    <n v="1.4"/>
    <m/>
  </r>
  <r>
    <x v="4"/>
    <x v="89"/>
    <s v="Fresh or Not Specified"/>
    <s v="organic"/>
    <s v="No"/>
    <s v="Mexico"/>
    <n v="2014"/>
    <s v="Marta Astiera,∗, Yair Merlín-Uribeb, Laura Villamil-Echeverric, Alfredo Garciarreald,_x000a_Mayra E. Gavitob, Omar R. Maserab"/>
    <s v="a Centro de Investigaciones en Geografía Ambiental, Universidad Nacional Autónoma de México, Antigua Carretera a Pátzcuaro No. 8701, Col. Ex-Hacienda de San José de La Huerta C.P. 58190, Morelia, Michoacán, Mexico b Centro de Investigaciones en Ecosistemas, Universidad Nacional Autónoma de México, Antigua Carretera a Pátzcuaro No. 8701, Col. Ex-Hacienda de San José de La Huerta C.P. 58190, Morelia, Michoacán, Mexico c Programa de Biología, Facultad de Ciencias Básicas, Corporación Universitaria Santa Rosa de Cabal, UNISARC Kilómetro 4 Vía Santa Rosa de Cabal – Chinchiná (Caldas) Santa Rosa de Cabal, Risaralda, Colombia d Licienciatura en Ciencias Ambientales, Escuela Nacional de Estudios Superiores, Universidad Nacional Autónoma de México, Antigua Carretera a Pátzcuaro No. 8701, Col. Ex-Hacienda de San José de La Huerta C.P. 58190, Morelia, Michoacán, Mexico"/>
    <s v="Peer Reviewed Journal"/>
    <s v="Astier, M., Merlín-Uribe, Y., Villamil-Echeverri, L., Garciarreal, A., Gavito, M. E. and Masera, O. R., Energy balance and greenhouse gas emissions in organic and conventional avocado orchards in Mexico. Ecological Indicators 2014, 43 (0), 281-287."/>
    <s v="Yes"/>
    <s v="No"/>
    <s v="No"/>
    <s v="No"/>
    <s v="No"/>
    <s v="No"/>
    <s v="No"/>
    <s v="No"/>
    <s v="No"/>
    <s v="No"/>
    <s v="No"/>
    <s v="No"/>
    <m/>
    <s v="energy &amp; GHGE balances around farm production"/>
    <s v="No"/>
    <s v="No"/>
    <s v="reported per ha; converted to per kg with reported yield"/>
    <m/>
    <n v="5.61"/>
    <s v=""/>
    <n v="0.41399999999999998"/>
    <s v=""/>
    <m/>
    <m/>
    <m/>
    <m/>
    <m/>
    <m/>
    <m/>
    <m/>
    <m/>
    <n v="5.61"/>
    <m/>
    <m/>
    <m/>
    <m/>
    <m/>
    <m/>
    <m/>
    <m/>
    <m/>
    <m/>
    <m/>
    <m/>
    <n v="0.41399999999999998"/>
    <m/>
  </r>
  <r>
    <x v="4"/>
    <x v="89"/>
    <s v="Fresh or Not Specified"/>
    <s v="conventional"/>
    <s v="No"/>
    <s v="Mexico"/>
    <n v="2014"/>
    <s v="Marta Astiera,∗, Yair Merlín-Uribeb, Laura Villamil-Echeverric, Alfredo Garciarreald,_x000a_Mayra E. Gavitob, Omar R. Maserab"/>
    <s v="a Centro de Investigaciones en Geografía Ambiental, Universidad Nacional Autónoma de México, Antigua Carretera a Pátzcuaro No. 8701, Col. Ex-Hacienda de San José de La Huerta C.P. 58190, Morelia, Michoacán, Mexico b Centro de Investigaciones en Ecosistemas, Universidad Nacional Autónoma de México, Antigua Carretera a Pátzcuaro No. 8701, Col. Ex-Hacienda de San José de La Huerta C.P. 58190, Morelia, Michoacán, Mexico c Programa de Biología, Facultad de Ciencias Básicas, Corporación Universitaria Santa Rosa de Cabal, UNISARC Kilómetro 4 Vía Santa Rosa de Cabal – Chinchiná (Caldas) Santa Rosa de Cabal, Risaralda, Colombia d Licienciatura en Ciencias Ambientales, Escuela Nacional de Estudios Superiores, Universidad Nacional Autónoma de México, Antigua Carretera a Pátzcuaro No. 8701, Col. Ex-Hacienda de San José de La Huerta C.P. 58190, Morelia, Michoacán, Mexico"/>
    <s v="Peer Reviewed Journal"/>
    <s v="Astier, M., Merlín-Uribe, Y., Villamil-Echeverri, L., Garciarreal, A., Gavito, M. E. and Masera, O. R., Energy balance and greenhouse gas emissions in organic and conventional avocado orchards in Mexico. Ecological Indicators 2014, 43 (0), 281-287."/>
    <s v="Yes"/>
    <s v="No"/>
    <s v="No"/>
    <s v="No"/>
    <s v="No"/>
    <s v="No"/>
    <s v="No"/>
    <s v="No"/>
    <s v="No"/>
    <s v="No"/>
    <s v="No"/>
    <s v="No"/>
    <m/>
    <s v="energy &amp; GHGE balances around farm production"/>
    <s v="No"/>
    <s v="No"/>
    <s v="reported per ha; converted to per kg with reported yield"/>
    <m/>
    <n v="8"/>
    <s v=""/>
    <n v="0.53600000000000003"/>
    <s v=""/>
    <m/>
    <m/>
    <m/>
    <m/>
    <m/>
    <m/>
    <m/>
    <m/>
    <m/>
    <n v="8"/>
    <m/>
    <m/>
    <m/>
    <m/>
    <m/>
    <m/>
    <m/>
    <m/>
    <m/>
    <m/>
    <m/>
    <m/>
    <n v="0.53600000000000003"/>
    <m/>
  </r>
  <r>
    <x v="10"/>
    <x v="146"/>
    <s v="Dried"/>
    <s v="ave. of three farms"/>
    <s v="No"/>
    <s v="Thailand"/>
    <n v="2015"/>
    <s v="Phairat Usubharatana and Harnpon Phungrassami"/>
    <s v="Chemical Engineering Dept, Thammasat Univ, Pathumthani, Thailand"/>
    <s v="Peer Reviewed Journal"/>
    <s v="Usubharatana, P. and Phungrassami, H., ScienceDirect Carbon Footprint of Cassava Starch Production in North-Eastern Thailand. Procedia CIRP 2015, 00, 462-467."/>
    <s v="Yes"/>
    <s v="No"/>
    <s v="Yes"/>
    <s v="Yes"/>
    <s v="No"/>
    <s v="No"/>
    <s v="No"/>
    <s v="No"/>
    <s v="No"/>
    <s v="No"/>
    <s v="No"/>
    <s v="No"/>
    <m/>
    <s v="cradle to processor gate"/>
    <s v="No"/>
    <s v="Yes"/>
    <s v="1000 kg dry native starch"/>
    <s v="/1000"/>
    <s v=""/>
    <s v=""/>
    <n v="0.30199999999999999"/>
    <n v="0.59399999999999997"/>
    <m/>
    <m/>
    <m/>
    <m/>
    <m/>
    <m/>
    <m/>
    <m/>
    <m/>
    <m/>
    <m/>
    <m/>
    <m/>
    <n v="0.30199999999999999"/>
    <m/>
    <n v="0.29199999999999998"/>
    <m/>
    <m/>
    <m/>
    <m/>
    <m/>
    <m/>
    <n v="0.30199999999999999"/>
    <n v="0.59399999999999997"/>
  </r>
  <r>
    <x v="8"/>
    <x v="46"/>
    <s v="Fresh or Not Specified"/>
    <m/>
    <s v="No"/>
    <s v="Indonesia/Malaysia"/>
    <n v="2015"/>
    <s v="Jannick H. Schmidt"/>
    <s v="2.-0 LCA consultants, Skibbrogade 5, 1, 9000 Aalborg, Denmark"/>
    <s v="Peer Reviewed Journal"/>
    <s v="Schmidt, J. H., Life cycle assessment of five vegetable oils. Journal of Cleaner Production 2015, 87, 130-138."/>
    <s v="Yes"/>
    <s v="Yes"/>
    <s v="Yes"/>
    <s v="Yes"/>
    <s v="No"/>
    <s v="No"/>
    <s v="No"/>
    <s v="No"/>
    <s v="No"/>
    <s v="No"/>
    <s v="No"/>
    <s v="No"/>
    <m/>
    <s v="consequential LCA; results presented here exclude indirect land use changes and biogenic carbon uptake"/>
    <s v="No"/>
    <s v="Yes"/>
    <s v="tonne refined oil"/>
    <s v="/1000"/>
    <s v=""/>
    <s v=""/>
    <n v="3.2585000000000002"/>
    <n v="4.2419000000000002"/>
    <m/>
    <m/>
    <m/>
    <m/>
    <m/>
    <m/>
    <m/>
    <m/>
    <m/>
    <m/>
    <m/>
    <m/>
    <m/>
    <n v="3.2585000000000002"/>
    <m/>
    <n v="0.98340000000000005"/>
    <m/>
    <m/>
    <m/>
    <m/>
    <m/>
    <m/>
    <n v="3.2585000000000002"/>
    <n v="4.2418999999999993"/>
  </r>
  <r>
    <x v="8"/>
    <x v="147"/>
    <s v="Fresh or Not Specified"/>
    <m/>
    <s v="No"/>
    <s v="Europe"/>
    <n v="2015"/>
    <s v="Jannick H. Schmidt"/>
    <s v="2.-0 LCA consultants, Skibbrogade 5, 1, 9000 Aalborg, Denmark"/>
    <s v="Peer Reviewed Journal"/>
    <s v="Schmidt, J. H., Life cycle assessment of five vegetable oils. Journal of Cleaner Production 2015, 87, 130-138."/>
    <s v="Yes"/>
    <s v="Yes"/>
    <s v="Yes"/>
    <s v="Yes"/>
    <s v="No"/>
    <s v="No"/>
    <s v="No"/>
    <s v="No"/>
    <s v="No"/>
    <s v="No"/>
    <s v="No"/>
    <s v="No"/>
    <m/>
    <s v="consequential LCA; results presented here exclude indirect land use changes and biogenic carbon uptake"/>
    <s v="No"/>
    <s v="Yes"/>
    <s v="tonne refined oil"/>
    <s v="/1000"/>
    <s v=""/>
    <s v=""/>
    <n v="2.2469999999999999"/>
    <n v="2.63"/>
    <m/>
    <m/>
    <m/>
    <m/>
    <m/>
    <m/>
    <m/>
    <m/>
    <m/>
    <m/>
    <m/>
    <m/>
    <m/>
    <n v="2.2469999999999999"/>
    <m/>
    <n v="0.38300000000000001"/>
    <m/>
    <m/>
    <m/>
    <m/>
    <m/>
    <m/>
    <n v="2.2469999999999999"/>
    <n v="2.7280000000000002"/>
  </r>
  <r>
    <x v="8"/>
    <x v="49"/>
    <s v="Fresh or Not Specified"/>
    <m/>
    <s v="No"/>
    <s v="Ukraine"/>
    <n v="2015"/>
    <s v="Jannick H. Schmidt"/>
    <s v="2.-0 LCA consultants, Skibbrogade 5, 1, 9000 Aalborg, Denmark"/>
    <s v="Peer Reviewed Journal"/>
    <s v="Schmidt, J. H., Life cycle assessment of five vegetable oils. Journal of Cleaner Production 2015, 87, 130-138."/>
    <s v="Yes"/>
    <s v="Yes"/>
    <s v="Yes"/>
    <s v="Yes"/>
    <s v="No"/>
    <s v="No"/>
    <s v="No"/>
    <s v="No"/>
    <s v="No"/>
    <s v="No"/>
    <s v="No"/>
    <s v="No"/>
    <m/>
    <s v="consequential LCA; results presented here exclude indirect land use changes and biogenic carbon uptake"/>
    <s v="No"/>
    <s v="Yes"/>
    <s v="tonne refined oil"/>
    <s v="/1000"/>
    <s v=""/>
    <s v=""/>
    <n v="1.968"/>
    <n v="2.6459999999999999"/>
    <m/>
    <m/>
    <m/>
    <m/>
    <m/>
    <m/>
    <m/>
    <m/>
    <m/>
    <m/>
    <m/>
    <m/>
    <m/>
    <n v="1.968"/>
    <m/>
    <n v="0.67800000000000005"/>
    <m/>
    <m/>
    <m/>
    <m/>
    <m/>
    <m/>
    <n v="1.968"/>
    <n v="2.6360000000000001"/>
  </r>
  <r>
    <x v="8"/>
    <x v="50"/>
    <s v="Fresh or Not Specified"/>
    <m/>
    <s v="No"/>
    <s v="India"/>
    <n v="2015"/>
    <s v="Jannick H. Schmidt"/>
    <s v="2.-0 LCA consultants, Skibbrogade 5, 1, 9000 Aalborg, Denmark"/>
    <s v="Peer Reviewed Journal"/>
    <s v="Schmidt, J. H., Life cycle assessment of five vegetable oils. Journal of Cleaner Production 2015, 87, 130-138."/>
    <s v="Yes"/>
    <s v="Yes"/>
    <s v="Yes"/>
    <s v="Yes"/>
    <s v="No"/>
    <s v="No"/>
    <s v="No"/>
    <s v="No"/>
    <s v="No"/>
    <s v="No"/>
    <s v="No"/>
    <s v="No"/>
    <m/>
    <s v="consequential LCA; results presented here exclude indirect land use changes and biogenic carbon uptake"/>
    <s v="No"/>
    <s v="Yes"/>
    <s v="tonne refined oil"/>
    <s v="/1000"/>
    <s v=""/>
    <s v=""/>
    <n v="2.714"/>
    <n v="4.9488000000000003"/>
    <m/>
    <m/>
    <m/>
    <m/>
    <m/>
    <m/>
    <m/>
    <m/>
    <m/>
    <m/>
    <m/>
    <m/>
    <m/>
    <n v="2.714"/>
    <m/>
    <n v="2.2347999999999999"/>
    <m/>
    <m/>
    <m/>
    <m/>
    <m/>
    <m/>
    <n v="2.714"/>
    <n v="4.9487999999999994"/>
  </r>
  <r>
    <x v="8"/>
    <x v="51"/>
    <s v="Fresh or Not Specified"/>
    <m/>
    <s v="No"/>
    <s v="Turkey"/>
    <n v="2011"/>
    <s v="Mustafa Özilgena, Esra Sorgüvenb"/>
    <s v="a Department of Food Engineering, Faculty of Engineering, Yeditepe University, 34755 Kayisdagi Istanbul, Turkey b Department of Mechanical Engineering, Faculty of Engineering, Yeditepe University, Atas¸ ehir 34755, Kayisdagi Istanbul, Turkey"/>
    <s v="Peer Reviewed Journal"/>
    <s v="Özilgen, M. and Sorgüven, E., Energy and exergy utilization, and carbon dioxide emission in vegetable oil production. Energy 2011, 36 (10), 5954-5967."/>
    <s v="Yes"/>
    <s v="No"/>
    <s v="Yes"/>
    <s v="Yes"/>
    <s v="Yes"/>
    <s v="Yes"/>
    <s v="No"/>
    <s v="No"/>
    <s v="No"/>
    <s v="No"/>
    <s v="No"/>
    <s v="No"/>
    <m/>
    <s v="only accounts CO2 emissions, therfore not logging GHGE"/>
    <s v="No"/>
    <s v="Yes"/>
    <s v="ton packaged oil"/>
    <s v="/1000"/>
    <n v="8.5329999999999995"/>
    <n v="8.8000699999999998"/>
    <s v=""/>
    <s v=""/>
    <n v="8.5329999999999995"/>
    <m/>
    <n v="0.26706999999999997"/>
    <n v="1.0069999999999999"/>
    <n v="0.22209999999999999"/>
    <m/>
    <m/>
    <m/>
    <m/>
    <n v="8.5329999999999995"/>
    <n v="10.029"/>
    <m/>
    <m/>
    <m/>
    <m/>
    <m/>
    <m/>
    <m/>
    <m/>
    <m/>
    <m/>
    <m/>
    <m/>
    <m/>
  </r>
  <r>
    <x v="8"/>
    <x v="49"/>
    <s v="Fresh or Not Specified"/>
    <m/>
    <s v="No"/>
    <s v="Turkey"/>
    <n v="2011"/>
    <s v="Mustafa Özilgena, Esra Sorgüvenb"/>
    <s v="a Department of Food Engineering, Faculty of Engineering, Yeditepe University, 34755 Kayisdagi Istanbul, Turkey b Department of Mechanical Engineering, Faculty of Engineering, Yeditepe University, Atas¸ ehir 34755, Kayisdagi Istanbul, Turkey"/>
    <s v="Peer Reviewed Journal"/>
    <s v="Özilgen, M. and Sorgüven, E., Energy and exergy utilization, and carbon dioxide emission in vegetable oil production. Energy 2011, 36 (10), 5954-5967."/>
    <s v="Yes"/>
    <s v="No"/>
    <s v="Yes"/>
    <s v="Yes"/>
    <s v="Yes"/>
    <s v="Yes"/>
    <s v="No"/>
    <s v="No"/>
    <s v="No"/>
    <s v="No"/>
    <s v="No"/>
    <s v="No"/>
    <m/>
    <s v="only accounts CO2 emissions, therfore not logging GHGE"/>
    <s v="No"/>
    <s v="Yes"/>
    <s v="ton packaged oil"/>
    <s v="/1000"/>
    <n v="5.1790000000000003"/>
    <n v="5.7941000000000003"/>
    <s v=""/>
    <s v=""/>
    <n v="5.1790000000000003"/>
    <n v="8.09E-2"/>
    <n v="0.53420000000000001"/>
    <n v="1.4929000000000001"/>
    <n v="0.44419999999999998"/>
    <m/>
    <m/>
    <m/>
    <m/>
    <n v="5.1790000000000003"/>
    <n v="7.7949999999999999"/>
    <m/>
    <m/>
    <m/>
    <m/>
    <m/>
    <m/>
    <m/>
    <m/>
    <m/>
    <m/>
    <m/>
    <m/>
    <m/>
  </r>
  <r>
    <x v="8"/>
    <x v="47"/>
    <s v="Fresh or Not Specified"/>
    <m/>
    <s v="No"/>
    <s v="Turkey"/>
    <n v="2011"/>
    <s v="Mustafa Özilgena, Esra Sorgüvenb"/>
    <s v="a Department of Food Engineering, Faculty of Engineering, Yeditepe University, 34755 Kayisdagi Istanbul, Turkey b Department of Mechanical Engineering, Faculty of Engineering, Yeditepe University, Atas¸ ehir 34755, Kayisdagi Istanbul, Turkey"/>
    <s v="Peer Reviewed Journal"/>
    <s v="Özilgen, M. and Sorgüven, E., Energy and exergy utilization, and carbon dioxide emission in vegetable oil production. Energy 2011, 36 (10), 5954-5967."/>
    <s v="Yes"/>
    <s v="No"/>
    <s v="Yes"/>
    <s v="Yes"/>
    <s v="Yes"/>
    <s v="Yes"/>
    <s v="No"/>
    <s v="No"/>
    <s v="No"/>
    <s v="No"/>
    <s v="No"/>
    <s v="No"/>
    <m/>
    <s v="only accounts CO2 emissions, therfore not logging GHGE"/>
    <s v="No"/>
    <s v="Yes"/>
    <s v="ton packaged oil"/>
    <s v="/1000"/>
    <n v="6.0730000000000004"/>
    <n v="6.4828999999999999"/>
    <s v=""/>
    <s v=""/>
    <n v="6.0730000000000004"/>
    <n v="8.09E-2"/>
    <n v="0.32900000000000001"/>
    <n v="0.95889999999999997"/>
    <n v="0.1777"/>
    <m/>
    <m/>
    <m/>
    <m/>
    <n v="6.0730000000000004"/>
    <n v="7.6189999999999998"/>
    <m/>
    <m/>
    <m/>
    <m/>
    <m/>
    <m/>
    <m/>
    <m/>
    <m/>
    <m/>
    <m/>
    <m/>
    <m/>
  </r>
  <r>
    <x v="11"/>
    <x v="148"/>
    <s v="Fresh or Not Specified"/>
    <s v="Hazelnut in Bag"/>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52"/>
    <n v="0.64"/>
    <m/>
    <m/>
    <m/>
    <m/>
    <m/>
    <m/>
    <m/>
    <m/>
    <m/>
    <m/>
    <m/>
    <m/>
    <m/>
    <n v="0.52"/>
    <n v="0.03"/>
    <n v="0.09"/>
    <n v="0.36"/>
    <n v="0.2"/>
    <m/>
    <m/>
    <m/>
    <m/>
    <n v="0.52"/>
    <n v="1.2"/>
  </r>
  <r>
    <x v="11"/>
    <x v="115"/>
    <s v="Fresh or Not Specified"/>
    <s v="Peanut in Bag"/>
    <s v="No"/>
    <s v="Italy / Argentina"/>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62"/>
    <n v="0.82"/>
    <m/>
    <m/>
    <m/>
    <m/>
    <m/>
    <m/>
    <m/>
    <m/>
    <m/>
    <m/>
    <m/>
    <m/>
    <m/>
    <n v="0.62"/>
    <n v="0.09"/>
    <n v="0.11"/>
    <n v="0.33"/>
    <n v="0.2"/>
    <m/>
    <m/>
    <m/>
    <m/>
    <n v="0.62"/>
    <n v="1.36"/>
  </r>
  <r>
    <x v="11"/>
    <x v="149"/>
    <s v="Fresh or Not Specified"/>
    <s v="Hazelnut paste in US"/>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52"/>
    <n v="0.75"/>
    <m/>
    <m/>
    <m/>
    <m/>
    <m/>
    <m/>
    <m/>
    <m/>
    <m/>
    <m/>
    <m/>
    <m/>
    <m/>
    <n v="0.52"/>
    <n v="0.04"/>
    <n v="0.19"/>
    <n v="0.78"/>
    <n v="7.0000000000000007E-2"/>
    <m/>
    <m/>
    <m/>
    <m/>
    <n v="0.52"/>
    <n v="1.59"/>
  </r>
  <r>
    <x v="11"/>
    <x v="130"/>
    <s v="Fresh or Not Specified"/>
    <s v="Peanut paste in US"/>
    <s v="No"/>
    <s v="Italy / Argentina"/>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62"/>
    <n v="0.89999999999999991"/>
    <m/>
    <m/>
    <m/>
    <m/>
    <m/>
    <m/>
    <m/>
    <m/>
    <m/>
    <m/>
    <m/>
    <m/>
    <m/>
    <n v="0.62"/>
    <n v="0.09"/>
    <n v="0.19"/>
    <n v="0.78"/>
    <n v="7.0000000000000007E-2"/>
    <m/>
    <m/>
    <m/>
    <m/>
    <n v="0.62"/>
    <n v="1.75"/>
  </r>
  <r>
    <x v="11"/>
    <x v="149"/>
    <s v="Fresh or Not Specified"/>
    <s v="Hazelnut paste in EU Market"/>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52"/>
    <n v="0.75"/>
    <m/>
    <m/>
    <m/>
    <m/>
    <m/>
    <m/>
    <m/>
    <m/>
    <m/>
    <m/>
    <m/>
    <m/>
    <m/>
    <n v="0.52"/>
    <n v="0.04"/>
    <n v="0.19"/>
    <n v="0.83"/>
    <n v="0.2"/>
    <m/>
    <m/>
    <m/>
    <m/>
    <n v="0.52"/>
    <n v="1.78"/>
  </r>
  <r>
    <x v="11"/>
    <x v="130"/>
    <s v="Fresh or Not Specified"/>
    <s v="Peanut paste in EU Market"/>
    <s v="No"/>
    <s v="Italy / Argentina"/>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0.62"/>
    <n v="0.89999999999999991"/>
    <m/>
    <m/>
    <m/>
    <m/>
    <m/>
    <m/>
    <m/>
    <m/>
    <m/>
    <m/>
    <m/>
    <m/>
    <m/>
    <n v="0.62"/>
    <n v="0.09"/>
    <n v="0.19"/>
    <n v="0.82"/>
    <n v="0.2"/>
    <m/>
    <m/>
    <m/>
    <m/>
    <n v="0.62"/>
    <n v="1.93"/>
  </r>
  <r>
    <x v="11"/>
    <x v="150"/>
    <s v="Fresh or Not Specified"/>
    <s v="Pistachio in Bag"/>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74"/>
    <n v="1.84"/>
    <m/>
    <m/>
    <m/>
    <m/>
    <m/>
    <m/>
    <m/>
    <m/>
    <m/>
    <m/>
    <m/>
    <m/>
    <m/>
    <n v="1.74"/>
    <n v="0.04"/>
    <n v="0.06"/>
    <n v="0.3"/>
    <n v="0.2"/>
    <m/>
    <m/>
    <m/>
    <m/>
    <n v="1.74"/>
    <n v="2.33"/>
  </r>
  <r>
    <x v="11"/>
    <x v="82"/>
    <s v="Fresh or Not Specified"/>
    <s v="Almond in Bag"/>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95"/>
    <n v="2.08"/>
    <m/>
    <m/>
    <m/>
    <m/>
    <m/>
    <m/>
    <m/>
    <m/>
    <m/>
    <m/>
    <m/>
    <m/>
    <m/>
    <n v="1.95"/>
    <n v="0.03"/>
    <n v="0.1"/>
    <n v="0.34"/>
    <n v="0.2"/>
    <m/>
    <m/>
    <m/>
    <m/>
    <n v="1.95"/>
    <n v="2.61"/>
  </r>
  <r>
    <x v="11"/>
    <x v="151"/>
    <s v="Fresh or Not Specified"/>
    <s v="Hazelnut spread cream in jar US"/>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1300000000000001"/>
    <n v="1.77"/>
    <m/>
    <m/>
    <m/>
    <m/>
    <m/>
    <m/>
    <m/>
    <m/>
    <m/>
    <m/>
    <m/>
    <m/>
    <m/>
    <n v="1.1300000000000001"/>
    <n v="0.04"/>
    <n v="0.6"/>
    <n v="0.78"/>
    <n v="7.0000000000000007E-2"/>
    <m/>
    <m/>
    <m/>
    <m/>
    <n v="1.1300000000000001"/>
    <n v="2.61"/>
  </r>
  <r>
    <x v="11"/>
    <x v="151"/>
    <s v="Fresh or Not Specified"/>
    <s v="Hazelnut spread cream in jar EU"/>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1399999999999999"/>
    <n v="1.7799999999999998"/>
    <m/>
    <m/>
    <m/>
    <m/>
    <m/>
    <m/>
    <m/>
    <m/>
    <m/>
    <m/>
    <m/>
    <m/>
    <m/>
    <n v="1.1399999999999999"/>
    <n v="0.04"/>
    <n v="0.6"/>
    <n v="0.82"/>
    <n v="0.2"/>
    <m/>
    <m/>
    <m/>
    <m/>
    <n v="1.1399999999999999"/>
    <n v="2.81"/>
  </r>
  <r>
    <x v="11"/>
    <x v="82"/>
    <s v="Fresh or Not Specified"/>
    <s v="Almond paste, US Market"/>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93"/>
    <n v="2.06"/>
    <m/>
    <m/>
    <m/>
    <m/>
    <m/>
    <m/>
    <m/>
    <m/>
    <m/>
    <m/>
    <m/>
    <m/>
    <m/>
    <n v="1.93"/>
    <n v="0.04"/>
    <n v="0.09"/>
    <n v="0.78"/>
    <n v="7.0000000000000007E-2"/>
    <m/>
    <m/>
    <m/>
    <m/>
    <n v="1.93"/>
    <n v="2.89"/>
  </r>
  <r>
    <x v="11"/>
    <x v="82"/>
    <s v="Fresh or Not Specified"/>
    <s v="Almond paste, EU market"/>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1.93"/>
    <n v="2.06"/>
    <m/>
    <m/>
    <m/>
    <m/>
    <m/>
    <m/>
    <m/>
    <m/>
    <m/>
    <m/>
    <m/>
    <m/>
    <m/>
    <n v="1.93"/>
    <n v="0.04"/>
    <n v="0.09"/>
    <n v="0.83"/>
    <n v="0.2"/>
    <m/>
    <m/>
    <m/>
    <m/>
    <n v="1.93"/>
    <n v="3.07"/>
  </r>
  <r>
    <x v="11"/>
    <x v="152"/>
    <s v="Fresh or Not Specified"/>
    <s v="Chocolate covered hazelnut"/>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2.41"/>
    <n v="2.6100000000000003"/>
    <m/>
    <m/>
    <m/>
    <m/>
    <m/>
    <m/>
    <m/>
    <m/>
    <m/>
    <m/>
    <m/>
    <m/>
    <m/>
    <n v="2.41"/>
    <n v="0.04"/>
    <n v="0.16"/>
    <n v="0.61"/>
    <n v="0.2"/>
    <m/>
    <m/>
    <m/>
    <m/>
    <n v="2.41"/>
    <n v="3.43"/>
  </r>
  <r>
    <x v="11"/>
    <x v="82"/>
    <s v="Fresh or Not Specified"/>
    <s v="Chocolate covered almond"/>
    <s v="No"/>
    <s v="Italy"/>
    <n v="2015"/>
    <s v="Roberto Volpe (1_x000a_); Simona Messineo (2); Maurizio Volpe (1); Antonio Messineo (1)"/>
    <s v="(1) Facoltà di Ingegneria e Architettura, Università degli Studi di Enna “Kore”, Cittadella Universitaria, Enna 94100, Italy; E-Mails: roberto.volpe@unikore.it (R.V.); maurizio.volpe@unikore.it (M.V.); (2) Siciliacque S.p.A., Via Gioacchino di Marzo, Palermo 90144, Italy"/>
    <s v="Peer Reviewed Journal"/>
    <s v="Volpe, R., Messineo, S., Volpe, M. and Messineo, A., Carbon Footprint of Tree Nuts Based Consumer Products. Sustainability 2015, 7, 14917-14934."/>
    <s v="Yes"/>
    <s v="No"/>
    <s v="Yes"/>
    <s v="Yes"/>
    <s v="Yes"/>
    <s v="Yes"/>
    <s v="Yes"/>
    <s v="No"/>
    <s v="Yes"/>
    <s v="No"/>
    <s v="No"/>
    <s v="No"/>
    <m/>
    <s v="cradle to packaging gate (includes transpo after packaging to retail)"/>
    <s v="No"/>
    <s v="Yes"/>
    <s v="kg packaged product"/>
    <s v="n/a"/>
    <s v=""/>
    <s v=""/>
    <n v="4.16"/>
    <n v="4.3100000000000005"/>
    <m/>
    <m/>
    <m/>
    <m/>
    <m/>
    <m/>
    <m/>
    <m/>
    <m/>
    <m/>
    <m/>
    <m/>
    <m/>
    <n v="4.16"/>
    <n v="0.04"/>
    <n v="0.11"/>
    <n v="0.28999999999999998"/>
    <n v="0.2"/>
    <m/>
    <m/>
    <m/>
    <m/>
    <n v="4.16"/>
    <n v="4.8"/>
  </r>
  <r>
    <x v="11"/>
    <x v="116"/>
    <s v="Fresh or Not Specified"/>
    <s v="small scale mechanized roast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0.41424"/>
    <m/>
    <m/>
    <m/>
    <m/>
    <m/>
    <m/>
    <m/>
    <m/>
    <m/>
    <m/>
    <m/>
    <m/>
    <m/>
    <m/>
    <n v="8.702E-2"/>
    <n v="0.32722000000000001"/>
    <n v="2.1930000000000002E-2"/>
    <n v="0.21873999999999999"/>
    <m/>
    <m/>
    <m/>
    <m/>
    <m/>
    <n v="0.65490999999999999"/>
  </r>
  <r>
    <x v="11"/>
    <x v="116"/>
    <s v="Fresh or Not Specified"/>
    <s v="large scale mechanied roast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0.14235"/>
    <m/>
    <m/>
    <m/>
    <m/>
    <m/>
    <m/>
    <m/>
    <m/>
    <m/>
    <m/>
    <m/>
    <m/>
    <m/>
    <m/>
    <n v="8.702E-2"/>
    <n v="5.5329999999999997E-2"/>
    <n v="2.1930000000000002E-2"/>
    <n v="0.21873999999999999"/>
    <m/>
    <m/>
    <m/>
    <m/>
    <m/>
    <n v="0.38302000000000003"/>
  </r>
  <r>
    <x v="11"/>
    <x v="116"/>
    <s v="Fresh or Not Specified"/>
    <s v="large scale thermal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1.9833500000000002"/>
    <m/>
    <m/>
    <m/>
    <m/>
    <m/>
    <m/>
    <m/>
    <m/>
    <m/>
    <m/>
    <m/>
    <m/>
    <m/>
    <m/>
    <n v="8.702E-2"/>
    <n v="1.8963300000000001"/>
    <n v="2.1930000000000002E-2"/>
    <n v="0.21873999999999999"/>
    <m/>
    <m/>
    <m/>
    <m/>
    <m/>
    <n v="2.2240199999999999"/>
  </r>
  <r>
    <x v="11"/>
    <x v="116"/>
    <s v="Fresh or Not Specified"/>
    <s v="small scale thermal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3.2003399999999997"/>
    <m/>
    <m/>
    <m/>
    <m/>
    <m/>
    <m/>
    <m/>
    <m/>
    <m/>
    <m/>
    <m/>
    <m/>
    <m/>
    <m/>
    <n v="8.702E-2"/>
    <n v="3.1133199999999999"/>
    <n v="2.1930000000000002E-2"/>
    <n v="0.21873999999999999"/>
    <m/>
    <m/>
    <m/>
    <m/>
    <m/>
    <n v="3.4410099999999995"/>
  </r>
  <r>
    <x v="11"/>
    <x v="116"/>
    <s v="Fresh or Not Specified"/>
    <s v="large scale electric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1.1412"/>
    <m/>
    <m/>
    <m/>
    <m/>
    <m/>
    <m/>
    <m/>
    <m/>
    <m/>
    <m/>
    <m/>
    <m/>
    <m/>
    <m/>
    <n v="8.702E-2"/>
    <n v="1.0541799999999999"/>
    <n v="2.1930000000000002E-2"/>
    <n v="0.21873999999999999"/>
    <m/>
    <m/>
    <m/>
    <m/>
    <m/>
    <n v="1.3818699999999999"/>
  </r>
  <r>
    <x v="11"/>
    <x v="116"/>
    <s v="Fresh or Not Specified"/>
    <s v="small scale electric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2.2345999999999999"/>
    <m/>
    <m/>
    <m/>
    <m/>
    <m/>
    <m/>
    <m/>
    <m/>
    <m/>
    <m/>
    <m/>
    <m/>
    <m/>
    <m/>
    <n v="8.702E-2"/>
    <n v="2.14758"/>
    <n v="2.1930000000000002E-2"/>
    <n v="0.21873999999999999"/>
    <m/>
    <m/>
    <m/>
    <m/>
    <m/>
    <n v="2.4752699999999996"/>
  </r>
  <r>
    <x v="11"/>
    <x v="116"/>
    <s v="Fresh or Not Specified"/>
    <s v="small scale mechanized roast method factories, Ghana (Raw) to Vietnam (Packaging) to US (Retail)"/>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1.97007"/>
    <m/>
    <m/>
    <m/>
    <m/>
    <m/>
    <m/>
    <m/>
    <m/>
    <m/>
    <m/>
    <m/>
    <m/>
    <m/>
    <m/>
    <n v="1.6428499999999999"/>
    <n v="0.32722000000000001"/>
    <n v="2.0310000000000002E-2"/>
    <n v="0.36062"/>
    <m/>
    <m/>
    <m/>
    <m/>
    <m/>
    <n v="2.351"/>
  </r>
  <r>
    <x v="11"/>
    <x v="116"/>
    <s v="Fresh or Not Specified"/>
    <s v="large scale mechanied roast method factories, Ghana (Raw) to Vietnam (Packaging) to US (Retail)"/>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1.69818"/>
    <m/>
    <m/>
    <m/>
    <m/>
    <m/>
    <m/>
    <m/>
    <m/>
    <m/>
    <m/>
    <m/>
    <m/>
    <m/>
    <m/>
    <n v="1.6428499999999999"/>
    <n v="5.5329999999999997E-2"/>
    <n v="2.0310000000000002E-2"/>
    <n v="0.36062"/>
    <m/>
    <m/>
    <m/>
    <m/>
    <m/>
    <n v="2.07911"/>
  </r>
  <r>
    <x v="11"/>
    <x v="116"/>
    <s v="Fresh or Not Specified"/>
    <s v="large scale thermal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3.53918"/>
    <m/>
    <m/>
    <m/>
    <m/>
    <m/>
    <m/>
    <m/>
    <m/>
    <m/>
    <m/>
    <m/>
    <m/>
    <m/>
    <m/>
    <n v="1.6428499999999999"/>
    <n v="1.8963300000000001"/>
    <n v="2.0310000000000002E-2"/>
    <n v="0.36062"/>
    <m/>
    <m/>
    <m/>
    <m/>
    <m/>
    <n v="3.9201099999999998"/>
  </r>
  <r>
    <x v="11"/>
    <x v="116"/>
    <s v="Fresh or Not Specified"/>
    <s v="small scale thermal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4.75617"/>
    <m/>
    <m/>
    <m/>
    <m/>
    <m/>
    <m/>
    <m/>
    <m/>
    <m/>
    <m/>
    <m/>
    <m/>
    <m/>
    <m/>
    <n v="1.6428499999999999"/>
    <n v="3.1133199999999999"/>
    <n v="2.0310000000000002E-2"/>
    <n v="0.36062"/>
    <m/>
    <m/>
    <m/>
    <m/>
    <m/>
    <n v="5.1371000000000002"/>
  </r>
  <r>
    <x v="11"/>
    <x v="116"/>
    <s v="Fresh or Not Specified"/>
    <s v="large scale electric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2.6970299999999998"/>
    <m/>
    <m/>
    <m/>
    <m/>
    <m/>
    <m/>
    <m/>
    <m/>
    <m/>
    <m/>
    <m/>
    <m/>
    <m/>
    <m/>
    <n v="1.6428499999999999"/>
    <n v="1.0541799999999999"/>
    <n v="2.0310000000000002E-2"/>
    <n v="0.36062"/>
    <m/>
    <m/>
    <m/>
    <m/>
    <m/>
    <n v="3.0779599999999996"/>
  </r>
  <r>
    <x v="11"/>
    <x v="116"/>
    <s v="Fresh or Not Specified"/>
    <s v="small scale electric steam method factories, Ghana to US"/>
    <s v="No"/>
    <s v="West Africa"/>
    <n v="2015"/>
    <s v="Martin Agyemang (1); Qinghua Zhu (2); Yihui Tian (3)"/>
    <s v="(1) Faculty of Management and Economics, Dalian University of Technology, Dalian, Liaoning Province 116024, PR China, martinon463@gmail.com;(2) Antai College of Economics and Management, Shanghai Jiao Tong University, 1954 Huashan Road, Shanghai (200030), qhzhu@sjtu.edu.cn; (3) Faculty of Management and Economics, Dalian University of Technology, Dalian, Liaoning Province 116024, PR China, tianyh@dlut.edu.cn"/>
    <s v="Peer Reviewed Journal"/>
    <s v="Agyemang, M., Zhu, Q. and Tian, Y., Analysis of Opportunities for Greenhouse Emission Reduction in the Global Supply Chains of Cashew Industry in West Africa. Journal of Cleaner Production 2016, 115, 149-161."/>
    <s v="Yes"/>
    <s v="No"/>
    <s v="Yes"/>
    <s v="Yes"/>
    <s v="Yes"/>
    <s v="Yes"/>
    <s v="Yes"/>
    <s v="No"/>
    <s v="No"/>
    <s v="No"/>
    <s v="No"/>
    <s v="No"/>
    <m/>
    <s v="cradle to retail gate"/>
    <s v="No"/>
    <s v="Yes"/>
    <s v="1000kg of cashew kernels"/>
    <s v="Reported Value / 1000"/>
    <s v=""/>
    <s v=""/>
    <s v=""/>
    <n v="3.7904299999999997"/>
    <m/>
    <m/>
    <m/>
    <m/>
    <m/>
    <m/>
    <m/>
    <m/>
    <m/>
    <m/>
    <m/>
    <m/>
    <m/>
    <m/>
    <n v="1.6428499999999999"/>
    <n v="2.14758"/>
    <n v="2.0310000000000002E-2"/>
    <n v="0.36062"/>
    <m/>
    <m/>
    <m/>
    <m/>
    <m/>
    <n v="4.17136"/>
  </r>
  <r>
    <x v="10"/>
    <x v="153"/>
    <s v="Fresh or Not Specified"/>
    <m/>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s v=""/>
    <s v=""/>
    <s v=""/>
    <s v=""/>
    <m/>
    <m/>
    <m/>
    <m/>
    <m/>
    <m/>
    <m/>
    <m/>
    <m/>
    <m/>
    <n v="1086"/>
    <m/>
    <m/>
    <m/>
    <m/>
    <m/>
    <m/>
    <m/>
    <m/>
    <m/>
    <m/>
    <m/>
    <m/>
    <n v="72.5"/>
  </r>
  <r>
    <x v="10"/>
    <x v="154"/>
    <s v="Fresh or Not Specified"/>
    <m/>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s v=""/>
    <s v=""/>
    <s v=""/>
    <s v=""/>
    <m/>
    <m/>
    <m/>
    <m/>
    <m/>
    <m/>
    <m/>
    <m/>
    <m/>
    <m/>
    <n v="675"/>
    <m/>
    <m/>
    <m/>
    <m/>
    <m/>
    <m/>
    <m/>
    <m/>
    <m/>
    <m/>
    <m/>
    <m/>
    <n v="43"/>
  </r>
  <r>
    <x v="7"/>
    <x v="65"/>
    <s v="Fresh or Not Specified"/>
    <s v="Natural Orange Juice"/>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n v="5.6"/>
    <n v="8.3999999999999986"/>
    <n v="0.47399999999999998"/>
    <n v="0.55120000000000002"/>
    <n v="5.6"/>
    <m/>
    <n v="2.8"/>
    <m/>
    <n v="5.6"/>
    <m/>
    <m/>
    <m/>
    <m/>
    <n v="5.6"/>
    <n v="14"/>
    <m/>
    <m/>
    <n v="0.47399999999999998"/>
    <m/>
    <n v="7.7200000000000005E-2"/>
    <m/>
    <n v="0.30790000000000001"/>
    <m/>
    <m/>
    <m/>
    <m/>
    <n v="0.47399999999999998"/>
    <n v="0.85909999999999997"/>
  </r>
  <r>
    <x v="7"/>
    <x v="155"/>
    <s v="Fresh or Not Specified"/>
    <s v="Natural Lemon Juice"/>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n v="4"/>
    <n v="6"/>
    <n v="0.26400000000000001"/>
    <n v="0.33160000000000001"/>
    <n v="4"/>
    <m/>
    <n v="2"/>
    <m/>
    <n v="4"/>
    <m/>
    <m/>
    <m/>
    <m/>
    <n v="4"/>
    <n v="9.8000000000000007"/>
    <m/>
    <m/>
    <n v="0.26400000000000001"/>
    <m/>
    <n v="6.7599999999999993E-2"/>
    <m/>
    <n v="0.28999999999999998"/>
    <m/>
    <m/>
    <m/>
    <m/>
    <n v="0.26400000000000001"/>
    <n v="0.62159999999999993"/>
  </r>
  <r>
    <x v="7"/>
    <x v="156"/>
    <s v="Frozen"/>
    <s v="Orange Juice Concentrate"/>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s v=""/>
    <s v=""/>
    <s v=""/>
    <s v=""/>
    <m/>
    <m/>
    <m/>
    <m/>
    <m/>
    <m/>
    <m/>
    <m/>
    <m/>
    <m/>
    <n v="108"/>
    <m/>
    <m/>
    <m/>
    <m/>
    <m/>
    <m/>
    <m/>
    <m/>
    <m/>
    <m/>
    <m/>
    <m/>
    <n v="5.7"/>
  </r>
  <r>
    <x v="7"/>
    <x v="157"/>
    <s v="Frozen"/>
    <s v="Lemon Juice Concentrate"/>
    <s v="Yes"/>
    <s v="Italy"/>
    <n v="2010"/>
    <s v="Marco Beccali a, Maurizio Cellura a,*, Maria Iudicello a, Marina Mistretta b"/>
    <s v="a Dipartimento di Ricerche Energetiche e Ambientali (D.R.E.AM.), Università di Palermo, Viale delle Scienze, 90128 Palermo, Italy b Dipartimento di Arte, Scienza e Tecnica del Costruire (D.A.S.TE.C.), Università Mediterranea di Reggio Calabria, Salita Melissari, 89124 Reggio Calabria, Italy"/>
    <s v="Peer Reviewed Journal"/>
    <s v="Beccali, M., Cellura, M., Iudicello, M. and Mistretta, M., Life cycle assessment of Italian citrus-based products. Sensitivity analysis and improvement scenarios. Journal of Environmental Management 2010, 91 (7), 1415-1428."/>
    <s v="Yes"/>
    <s v="No"/>
    <s v="Yes"/>
    <s v="Yes"/>
    <s v="Yes"/>
    <s v="Yes"/>
    <s v="No"/>
    <s v="No"/>
    <s v="No"/>
    <s v="No"/>
    <s v="No"/>
    <s v="No"/>
    <m/>
    <s v="cradle to distribution firms in Italy, USA &amp; Japan"/>
    <s v="No"/>
    <s v="No"/>
    <s v="1 kg product"/>
    <m/>
    <s v=""/>
    <s v=""/>
    <s v=""/>
    <s v=""/>
    <m/>
    <m/>
    <m/>
    <m/>
    <m/>
    <m/>
    <m/>
    <m/>
    <m/>
    <m/>
    <n v="76"/>
    <m/>
    <m/>
    <m/>
    <m/>
    <m/>
    <m/>
    <m/>
    <m/>
    <m/>
    <m/>
    <m/>
    <m/>
    <n v="4"/>
  </r>
  <r>
    <x v="4"/>
    <x v="73"/>
    <s v="Canned"/>
    <s v="Spanish-style green table, packed in tins, ave. of 3 tin sizes"/>
    <s v="Yes"/>
    <s v="Italy"/>
    <n v="2010"/>
    <s v="G.M. CAPPELLETTI*, G.M. NICOLETTI1 and C. RUSSO1"/>
    <s v="1Dipartimento di Scienze Economico-Aziendali, Giuridiche, Merceologiche e Geografiche (SEAGMeG), Università degli Studi di Foggia, Via Caggese, 1, 71100 Foggia, ItalyBIOAGROMED (Istituto per la Ricerca e le Applicazioni Biotecnologiche per la Sicurezza e la Valorizzazione dei Prodotti Tipici e di Qualità), Università degli Studi di Foggia, Foggia, Italy1Dipartimento di Scienze Economico-Aziendali, Giuridiche, Merceologiche e Geografiche (SEAGMeG), Università degli Studi di Foggia, Via Caggese, 1, 71100 Foggia, Italy"/>
    <s v="Peer Reviewed Journal"/>
    <s v="Cappelletti, G. M., Nicoletti, G. M. and Russo, C., LIFE CYCLE ASSESSMENT ( LCA ) OF SPANISH-STYLE GREEN TABLE OLIVES. Italian Journal of Food Science 2010, 22 (1), 3-14."/>
    <s v="Yes"/>
    <s v="No"/>
    <s v="Yes"/>
    <s v="Yes"/>
    <s v="Yes"/>
    <s v="No"/>
    <s v="No"/>
    <s v="No"/>
    <s v="No"/>
    <s v="No"/>
    <s v="No"/>
    <s v="No"/>
    <m/>
    <s v="cradle to factory gate"/>
    <s v="No"/>
    <s v="No"/>
    <s v="100 kg of drained packaged olives, including pit"/>
    <s v="/100"/>
    <n v="7.7979999999999992"/>
    <s v=""/>
    <n v="0.56869999999999998"/>
    <s v=""/>
    <m/>
    <m/>
    <m/>
    <m/>
    <m/>
    <m/>
    <m/>
    <m/>
    <m/>
    <n v="7.7979999999999992"/>
    <n v="16.840999999999998"/>
    <m/>
    <m/>
    <m/>
    <m/>
    <m/>
    <m/>
    <m/>
    <m/>
    <m/>
    <m/>
    <m/>
    <n v="0.56869999999999998"/>
    <n v="9.1310000000000002"/>
  </r>
  <r>
    <x v="4"/>
    <x v="73"/>
    <s v="Canned"/>
    <s v="Spanish-style green table, packed in glass jars, ave. of 6 jar sizes"/>
    <s v="Yes"/>
    <s v="Italy"/>
    <n v="2010"/>
    <s v="G.M. CAPPELLETTI*, G.M. NICOLETTI1 and C. RUSSO1"/>
    <s v="1Dipartimento di Scienze Economico-Aziendali, Giuridiche, Merceologiche e Geografiche (SEAGMeG), Università degli Studi di Foggia, Via Caggese, 1, 71100 Foggia, ItalyBIOAGROMED (Istituto per la Ricerca e le Applicazioni Biotecnologiche per la Sicurezza e la Valorizzazione dei Prodotti Tipici e di Qualità), Università degli Studi di Foggia, Foggia, Italy1Dipartimento di Scienze Economico-Aziendali, Giuridiche, Merceologiche e Geografiche (SEAGMeG), Università degli Studi di Foggia, Via Caggese, 1, 71100 Foggia, Italy"/>
    <s v="Peer Reviewed Journal"/>
    <s v="Cappelletti, G. M., Nicoletti, G. M. and Russo, C., LIFE CYCLE ASSESSMENT ( LCA ) OF SPANISH-STYLE GREEN TABLE OLIVES. Italian Journal of Food Science 2010, 22 (1), 3-14."/>
    <s v="Yes"/>
    <s v="No"/>
    <s v="Yes"/>
    <s v="Yes"/>
    <s v="Yes"/>
    <s v="No"/>
    <s v="No"/>
    <s v="No"/>
    <s v="No"/>
    <s v="No"/>
    <s v="No"/>
    <s v="No"/>
    <m/>
    <s v="cradle to factory gate"/>
    <s v="No"/>
    <s v="No"/>
    <s v="100 kg of drained packaged olives, including pit"/>
    <s v="/100"/>
    <n v="7.7979999999999992"/>
    <s v=""/>
    <n v="0.56869999999999998"/>
    <s v=""/>
    <m/>
    <m/>
    <m/>
    <m/>
    <m/>
    <m/>
    <m/>
    <m/>
    <m/>
    <n v="7.7979999999999992"/>
    <n v="19.774999999999999"/>
    <m/>
    <m/>
    <m/>
    <m/>
    <m/>
    <m/>
    <m/>
    <m/>
    <m/>
    <m/>
    <m/>
    <n v="0.56869999999999998"/>
    <n v="8.3840000000000003"/>
  </r>
  <r>
    <x v="4"/>
    <x v="81"/>
    <s v="Fresh or Not Specified"/>
    <s v="Strawberries"/>
    <s v="Yes"/>
    <s v="Italy"/>
    <n v="2015"/>
    <s v="Cristiana Peano (a); Claudio Baudino (a, b); Nadia Tecco (a); Vincenzo Girgenti (a);"/>
    <s v="(a) Department of Agricultural, Forestry and Food Sciences, University of Turin, Turin, Italy_x000a_; (b) Ortofruit Italia, Saluzzo, Italy;"/>
    <s v="Peer Reviewed Journal"/>
    <s v="Peano, C., Baudino, C., Tecco, N. and Girgenti, V., Green marketing tools for fruit growers associated groups: application of the Life Cycle Assessment (LCA) for strawberries and berry fruits ecobranding in northern Italy. Journal of Cleaner Production 2015, 104, 59-67."/>
    <s v="Yes"/>
    <s v="Yes"/>
    <s v="Yes"/>
    <s v="Yes"/>
    <s v="Yes"/>
    <s v="Yes"/>
    <s v="Yes"/>
    <s v="No"/>
    <s v="No"/>
    <s v="No"/>
    <s v="No"/>
    <s v="No"/>
    <s v="packaging waste disposal"/>
    <m/>
    <s v="Yes"/>
    <s v="Yes"/>
    <s v="0.250kg"/>
    <s v="/0.25"/>
    <n v="9.6999999999999993"/>
    <s v=""/>
    <n v="0.32400000000000001"/>
    <s v=""/>
    <n v="9.6999999999999993"/>
    <m/>
    <m/>
    <n v="4.484"/>
    <n v="0.6"/>
    <m/>
    <m/>
    <n v="0.02"/>
    <m/>
    <n v="9.6999999999999993"/>
    <n v="14.8"/>
    <s v="NRE e Impact 2002 þ v. 2.04:"/>
    <m/>
    <n v="0.32400000000000001"/>
    <m/>
    <m/>
    <n v="0.16400000000000001"/>
    <n v="0.04"/>
    <m/>
    <m/>
    <n v="2.4E-2"/>
    <m/>
    <n v="0.32400000000000001"/>
    <n v="0.55200000000000005"/>
  </r>
  <r>
    <x v="4"/>
    <x v="79"/>
    <s v="Fresh or Not Specified"/>
    <s v="Blue berries"/>
    <s v="Yes"/>
    <s v="Italy"/>
    <n v="2015"/>
    <s v="Cristiana Peano (a); Claudio Baudino (a, b); Nadia Tecco (a); Vincenzo Girgenti (a);"/>
    <s v="(a) Department of Agricultural, Forestry and Food Sciences, University of Turin, Turin, Italy_x000a_; (b) Ortofruit Italia, Saluzzo, Italy;"/>
    <s v="Peer Reviewed Journal"/>
    <s v="Peano, C., Baudino, C., Tecco, N. and Girgenti, V., Green marketing tools for fruit growers associated groups: application of the Life Cycle Assessment (LCA) for strawberries and berry fruits ecobranding in northern Italy. Journal of Cleaner Production 2015, 104, 59-67."/>
    <s v="Yes"/>
    <s v="Yes"/>
    <s v="Yes"/>
    <s v="Yes"/>
    <s v="Yes"/>
    <s v="Yes"/>
    <s v="Yes"/>
    <s v="No"/>
    <s v="No"/>
    <s v="No"/>
    <s v="No"/>
    <s v="No"/>
    <s v="packaging waste disposal"/>
    <m/>
    <s v="Yes"/>
    <s v="Yes"/>
    <s v="0.125g"/>
    <s v="/0.125"/>
    <n v="3.2320000000000002"/>
    <s v=""/>
    <n v="0.16800000000000001"/>
    <s v=""/>
    <n v="3.2320000000000002"/>
    <m/>
    <m/>
    <n v="4.4880000000000004"/>
    <n v="1.248"/>
    <m/>
    <m/>
    <n v="1.6E-2"/>
    <m/>
    <n v="3.2320000000000002"/>
    <n v="8.984"/>
    <s v="NRE e Impact 2002 þ v. 2.04:"/>
    <m/>
    <n v="0.16800000000000001"/>
    <m/>
    <m/>
    <n v="0.16800000000000001"/>
    <n v="0.08"/>
    <m/>
    <m/>
    <n v="2.4E-2"/>
    <m/>
    <n v="0.16800000000000001"/>
    <n v="0.44"/>
  </r>
  <r>
    <x v="4"/>
    <x v="68"/>
    <s v="Fresh or Not Specified"/>
    <s v="Raspberry"/>
    <s v="Yes"/>
    <s v="Italy"/>
    <n v="2015"/>
    <s v="Cristiana Peano (a); Claudio Baudino (a, b); Nadia Tecco (a); Vincenzo Girgenti (a);"/>
    <s v="(a) Department of Agricultural, Forestry and Food Sciences, University of Turin, Turin, Italy_x000a_; (b) Ortofruit Italia, Saluzzo, Italy;"/>
    <s v="Peer Reviewed Journal"/>
    <s v="Peano, C., Baudino, C., Tecco, N. and Girgenti, V., Green marketing tools for fruit growers associated groups: application of the Life Cycle Assessment (LCA) for strawberries and berry fruits ecobranding in northern Italy. Journal of Cleaner Production 2015, 104, 59-67."/>
    <s v="Yes"/>
    <s v="Yes"/>
    <s v="Yes"/>
    <s v="Yes"/>
    <s v="Yes"/>
    <s v="Yes"/>
    <s v="Yes"/>
    <s v="No"/>
    <s v="No"/>
    <s v="No"/>
    <s v="No"/>
    <s v="No"/>
    <s v="packaging waste disposal"/>
    <m/>
    <s v="Yes"/>
    <s v="Yes"/>
    <s v="0.125g"/>
    <s v="/0.125"/>
    <n v="3.8479999999999999"/>
    <s v=""/>
    <n v="0.192"/>
    <s v=""/>
    <n v="3.8479999999999999"/>
    <m/>
    <m/>
    <n v="4.4880000000000004"/>
    <n v="0.6"/>
    <m/>
    <m/>
    <n v="1.6E-2"/>
    <m/>
    <n v="3.8479999999999999"/>
    <n v="8.952"/>
    <s v="NRE e Impact 2002 þ v. 2.04:"/>
    <m/>
    <n v="0.192"/>
    <m/>
    <m/>
    <n v="0.16800000000000001"/>
    <n v="3.2000000000000001E-2"/>
    <m/>
    <m/>
    <n v="2.4E-2"/>
    <m/>
    <n v="0.192"/>
    <n v="0.41599999999999998"/>
  </r>
  <r>
    <x v="11"/>
    <x v="148"/>
    <s v="Fresh or Not Specified"/>
    <s v="Small farms &lt;1 ha"/>
    <s v="Yes"/>
    <s v="Iran"/>
    <n v="2015"/>
    <s v="Alireza Sabzevari (a); Hamed Kouchaki-Penchah (b); Ashkan Nabavi-Pelesaraei (c)"/>
    <s v="(a) Department of Agricultural Machinery Engineering, Faculty of Agriculture, Dezful Branch, Islamic Azad University, Dezful, IRAN; (b) Department of Agricultural Machinery Engineering, Faculty of Agricultural Engineering and Technology, University of Tehran, Karaj, IRAN; (c) Young Researchers and Elite Club, Langroud Branch,_x000a_ Islamic Azad University, Langroud, IRAN;"/>
    <s v="Peer Reviewed Journal"/>
    <s v="Sabzevari, A., Kouchaki-Penchah, H. and Nabavi-Pelesaraei, A., Investigation of Life Cycle Assessment of Hazelnut Production in Guilan Province of I . R . Iran Based on Orchards size Levels. Bioloigical Journal 2015, 7 (1), 807-813."/>
    <s v="Yes"/>
    <s v="No"/>
    <s v="No"/>
    <s v="No"/>
    <s v="No"/>
    <s v="No"/>
    <s v="No"/>
    <s v="No"/>
    <s v="No"/>
    <s v="No"/>
    <s v="No"/>
    <s v="Yes"/>
    <m/>
    <s v="production only"/>
    <s v="No"/>
    <s v="No"/>
    <s v="1 tonne of Hazelnut"/>
    <s v="/1000"/>
    <s v=""/>
    <s v=""/>
    <s v=""/>
    <s v=""/>
    <m/>
    <m/>
    <m/>
    <m/>
    <m/>
    <m/>
    <m/>
    <m/>
    <m/>
    <m/>
    <m/>
    <m/>
    <m/>
    <m/>
    <m/>
    <m/>
    <m/>
    <m/>
    <m/>
    <m/>
    <m/>
    <m/>
    <m/>
    <n v="0.77522999999999997"/>
  </r>
  <r>
    <x v="11"/>
    <x v="148"/>
    <s v="Fresh or Not Specified"/>
    <s v="Medium farms 1&lt;ha&lt;3"/>
    <s v="Yes"/>
    <s v="Iran"/>
    <n v="2015"/>
    <s v="Alireza Sabzevari (a); Hamed Kouchaki-Penchah (b); Ashkan Nabavi-Pelesaraei (c)"/>
    <s v="(a) Department of Agricultural Machinery Engineering, Faculty of Agriculture, Dezful Branch, Islamic Azad University, Dezful, IRAN; (b) Department of Agricultural Machinery Engineering, Faculty of Agricultural Engineering and Technology, University of Tehran, Karaj, IRAN; (c) Young Researchers and Elite Club, Langroud Branch,_x000a_ Islamic Azad University, Langroud, IRAN;"/>
    <s v="Peer Reviewed Journal"/>
    <s v="Sabzevari, A., Kouchaki-Penchah, H. and Nabavi-Pelesaraei, A., Investigation of Life Cycle Assessment of Hazelnut Production in Guilan Province of I . R . Iran Based on Orchards size Levels. Bioloigical Journal 2015, 7 (1), 807-813."/>
    <s v="Yes"/>
    <s v="No"/>
    <s v="No"/>
    <s v="No"/>
    <s v="No"/>
    <s v="No"/>
    <s v="No"/>
    <s v="No"/>
    <s v="No"/>
    <s v="No"/>
    <s v="No"/>
    <s v="Yes"/>
    <m/>
    <s v="production only"/>
    <s v="No"/>
    <s v="No"/>
    <s v="1 tonne of Hazelnut"/>
    <s v="/1000"/>
    <s v=""/>
    <s v=""/>
    <s v=""/>
    <s v=""/>
    <m/>
    <m/>
    <m/>
    <m/>
    <m/>
    <m/>
    <m/>
    <m/>
    <m/>
    <m/>
    <m/>
    <m/>
    <m/>
    <m/>
    <m/>
    <m/>
    <m/>
    <m/>
    <m/>
    <m/>
    <m/>
    <m/>
    <m/>
    <n v="0.66598999999999997"/>
  </r>
  <r>
    <x v="11"/>
    <x v="148"/>
    <s v="Fresh or Not Specified"/>
    <s v="Large farms &gt;3 ha"/>
    <s v="Yes"/>
    <s v="Iran"/>
    <n v="2015"/>
    <s v="Alireza Sabzevari (a); Hamed Kouchaki-Penchah (b); Ashkan Nabavi-Pelesaraei (c)"/>
    <s v="(a) Department of Agricultural Machinery Engineering, Faculty of Agriculture, Dezful Branch, Islamic Azad University, Dezful, IRAN; (b) Department of Agricultural Machinery Engineering, Faculty of Agricultural Engineering and Technology, University of Tehran, Karaj, IRAN; (c) Young Researchers and Elite Club, Langroud Branch,_x000a_ Islamic Azad University, Langroud, IRAN;"/>
    <s v="Peer Reviewed Journal"/>
    <s v="Sabzevari, A., Kouchaki-Penchah, H. and Nabavi-Pelesaraei, A., Investigation of Life Cycle Assessment of Hazelnut Production in Guilan Province of I . R . Iran Based on Orchards size Levels. Bioloigical Journal 2015, 7 (1), 807-813."/>
    <s v="Yes"/>
    <s v="No"/>
    <s v="No"/>
    <s v="No"/>
    <s v="No"/>
    <s v="No"/>
    <s v="No"/>
    <s v="No"/>
    <s v="No"/>
    <s v="No"/>
    <s v="No"/>
    <s v="Yes"/>
    <m/>
    <s v="production only"/>
    <s v="No"/>
    <s v="No"/>
    <s v="1 tonne of Hazelnut"/>
    <s v="/1000"/>
    <s v=""/>
    <s v=""/>
    <s v=""/>
    <s v=""/>
    <m/>
    <m/>
    <m/>
    <m/>
    <m/>
    <m/>
    <m/>
    <m/>
    <m/>
    <m/>
    <m/>
    <m/>
    <m/>
    <m/>
    <m/>
    <m/>
    <m/>
    <m/>
    <m/>
    <m/>
    <m/>
    <m/>
    <m/>
    <n v="0.75046000000000002"/>
  </r>
  <r>
    <x v="7"/>
    <x v="65"/>
    <s v="Processed"/>
    <s v="large scale organic orange juice"/>
    <s v="Yes"/>
    <s v="Brazil"/>
    <n v="2011"/>
    <s v="Marie Trydeman Knudsen (a); Gustavo Fonseca de Almeida (b); Vibeke Langer (a); Lucimar Santiago de Abreu (c) Niels Halberg (d)"/>
    <s v="(a) Department of Agriculture and Ecology, Faculty of Life Sciences, University of Copenhagen, Taastrup, Denmark; (b) Centre of Agricultural Sciences, Federal University of São Carlos, 330, Araras, São Paulo, Brazil; (c) Embrapa Environment,_x000a_ P.O. Box 69, Jaguariúna, São Paulo, Brazil; (d) International Centre for Research in Organic Food Systems_x000a_ (ICROFS);"/>
    <s v="Peer Reviewed Journal"/>
    <s v="Knudsen, M. T., Fonseca De Almeida, G., Langer, V., Santiago De Abreu, L. and Halberg, N., Environmental assessment of organic juice imported to Denmark: A case study on oranges (Citrus sinensis) from Brazil. Organic Agriculture 2011, 1 (3), 167-185."/>
    <s v="Yes"/>
    <s v="Yes"/>
    <s v="No"/>
    <s v="No"/>
    <s v="No"/>
    <s v="No"/>
    <s v="No"/>
    <s v="No"/>
    <s v="No"/>
    <s v="No"/>
    <s v="No"/>
    <s v="No"/>
    <m/>
    <s v="Cradle to retail, residue use included"/>
    <s v="No"/>
    <s v="Yes"/>
    <s v="1 tonne oranges at farm gate"/>
    <s v="/1000"/>
    <n v="0.95199999999999996"/>
    <s v=""/>
    <n v="0.114"/>
    <s v=""/>
    <m/>
    <m/>
    <m/>
    <m/>
    <m/>
    <m/>
    <m/>
    <m/>
    <m/>
    <n v="0.95199999999999996"/>
    <m/>
    <m/>
    <m/>
    <m/>
    <m/>
    <m/>
    <m/>
    <m/>
    <m/>
    <m/>
    <m/>
    <m/>
    <n v="0.114"/>
    <m/>
  </r>
  <r>
    <x v="7"/>
    <x v="65"/>
    <s v="Fresh or Not Specified"/>
    <s v="Small scale organic orange orchard"/>
    <s v="Yes"/>
    <s v="Brazil"/>
    <n v="2011"/>
    <s v="Marie Trydeman Knudsen (a); Gustavo Fonseca de Almeida (b); Vibeke Langer (a); Lucimar Santiago de Abreu (c) Niels Halberg (d)"/>
    <s v="(a) Department of Agriculture and Ecology, Faculty of Life Sciences, University of Copenhagen, Taastrup, Denmark; (b) Centre of Agricultural Sciences, Federal University of São Carlos, 330, Araras, São Paulo, Brazil; (c) Embrapa Environment,_x000a_ P.O. Box 69, Jaguariúna, São Paulo, Brazil; (d) International Centre for Research in Organic Food Systems_x000a_ (ICROFS);"/>
    <s v="Peer Reviewed Journal"/>
    <s v="Knudsen, M. T., Fonseca De Almeida, G., Langer, V., Santiago De Abreu, L. and Halberg, N., Environmental assessment of organic juice imported to Denmark: A case study on oranges (Citrus sinensis) from Brazil. Organic Agriculture 2011, 1 (3), 167-185."/>
    <s v="Yes"/>
    <s v="Yes"/>
    <s v="Yes"/>
    <s v="Yes"/>
    <s v="Yes"/>
    <s v="Yes"/>
    <s v="No"/>
    <s v="No"/>
    <s v="No"/>
    <s v="No"/>
    <s v="No"/>
    <s v="No"/>
    <m/>
    <s v="Cradle to farm gate only"/>
    <s v="No"/>
    <s v="No"/>
    <s v="1 tonne oranges at farm gate and 1 litre of OJ sold to denmark"/>
    <s v="/1000 until farm gate, then (*1.048)kg/L"/>
    <n v="0.89312977099236635"/>
    <n v="2.7452290076335877"/>
    <n v="0.10305343511450381"/>
    <n v="0.17080152671755722"/>
    <n v="0.89312977099236635"/>
    <m/>
    <n v="1.8520992366412214"/>
    <m/>
    <n v="3.646946564885496"/>
    <m/>
    <m/>
    <m/>
    <m/>
    <n v="0.89312977099236635"/>
    <n v="6.3921755725190836"/>
    <m/>
    <m/>
    <n v="0.10305343511450381"/>
    <m/>
    <n v="6.7748091603053423E-2"/>
    <m/>
    <n v="0.23282442748091603"/>
    <m/>
    <m/>
    <m/>
    <m/>
    <n v="0.10305343511450381"/>
    <n v="0.40458015267175568"/>
  </r>
  <r>
    <x v="7"/>
    <x v="65"/>
    <s v="Fresh or Not Specified"/>
    <s v="Small scale conventional orange orchards"/>
    <s v="Yes"/>
    <s v="Brazil"/>
    <n v="2011"/>
    <s v="Marie Trydeman Knudsen (a); Gustavo Fonseca de Almeida (b); Vibeke Langer (a); Lucimar Santiago de Abreu (c) Niels Halberg (d)"/>
    <s v="(a) Department of Agriculture and Ecology, Faculty of Life Sciences, University of Copenhagen, Taastrup, Denmark; (b) Centre of Agricultural Sciences, Federal University of São Carlos, 330, Araras, São Paulo, Brazil; (c) Embrapa Environment,_x000a_ P.O. Box 69, Jaguariúna, São Paulo, Brazil; (d) International Centre for Research in Organic Food Systems_x000a_ (ICROFS);"/>
    <s v="Peer Reviewed Journal"/>
    <s v="Knudsen, M. T., Fonseca De Almeida, G., Langer, V., Santiago De Abreu, L. and Halberg, N., Environmental assessment of organic juice imported to Denmark: A case study on oranges (Citrus sinensis) from Brazil. Organic Agriculture 2011, 1 (3), 167-185."/>
    <s v="Yes"/>
    <s v="Yes"/>
    <s v="No"/>
    <s v="No"/>
    <s v="No"/>
    <s v="No"/>
    <s v="No"/>
    <s v="No"/>
    <s v="No"/>
    <s v="No"/>
    <s v="No"/>
    <s v="No"/>
    <m/>
    <s v="Cradle to farm gate only"/>
    <s v="No"/>
    <s v="No"/>
    <s v="1 tonne oranges at farm gate"/>
    <s v="/1000"/>
    <n v="1.2649999999999999"/>
    <s v=""/>
    <n v="0.112"/>
    <s v=""/>
    <m/>
    <m/>
    <m/>
    <m/>
    <m/>
    <m/>
    <m/>
    <m/>
    <m/>
    <n v="1.2649999999999999"/>
    <m/>
    <m/>
    <m/>
    <m/>
    <m/>
    <m/>
    <m/>
    <m/>
    <m/>
    <m/>
    <m/>
    <m/>
    <n v="0.112"/>
    <m/>
  </r>
  <r>
    <x v="4"/>
    <x v="137"/>
    <s v="Fresh or Not Specified"/>
    <s v="Growth"/>
    <s v="Yes"/>
    <s v="Spain"/>
    <n v="2015"/>
    <s v="Elisabet Vinyes (a); Carles M. Gasol (a, b); Luis Asin (c); Simo Alegre (c)_x000a_, Pere Munoz (a, d);"/>
    <s v="(a) Sostenipra Research Group, Universitat Autonoma de Barcelona, 08193 Bellaterra, Barcelona, Spain; (b) Inedit Innovacio s.l. Research Park of UAB, UAB Campus, 08193 Bellaterra, Spain ; (c) Institute for Research and Technology in Food and Agriculture (IRTA), 25198 Lleida, Spain_x000a_; (d) Institute for Research and Technology in Food and Agriculture (IRTA), 08348 Cabrils, Barcelona, Spain"/>
    <s v="Peer Reviewed Journal"/>
    <s v="Vinyes, E., Gasol, C. M., Asin, L., Alegre, S. and Muñoz, P., Life Cycle Assessment of multiyear peach production. Journal of Cleaner Production 2015, 104, 68-79."/>
    <s v="Yes"/>
    <s v="Yes"/>
    <s v="No"/>
    <s v="No"/>
    <s v="No"/>
    <s v="No"/>
    <s v="No"/>
    <s v="No"/>
    <s v="No"/>
    <s v="No"/>
    <s v="No"/>
    <s v="Yes"/>
    <m/>
    <s v="Production alone"/>
    <s v="No"/>
    <s v="No"/>
    <s v="1 kg peaches"/>
    <m/>
    <n v="2.38"/>
    <s v=""/>
    <n v="0.125"/>
    <s v=""/>
    <m/>
    <m/>
    <m/>
    <m/>
    <m/>
    <m/>
    <m/>
    <m/>
    <m/>
    <n v="2.38"/>
    <m/>
    <m/>
    <m/>
    <m/>
    <m/>
    <m/>
    <m/>
    <m/>
    <m/>
    <m/>
    <m/>
    <m/>
    <n v="0.125"/>
    <m/>
  </r>
  <r>
    <x v="4"/>
    <x v="137"/>
    <s v="Fresh or Not Specified"/>
    <s v="Low yield"/>
    <s v="Yes"/>
    <s v="Spain"/>
    <n v="2015"/>
    <s v="Elisabet Vinyes (a); Carles M. Gasol (a, b); Luis Asin (c); Simo Alegre (c)_x000a_, Pere Munoz (a, d);"/>
    <s v="(a) Sostenipra Research Group, Universitat Autonoma de Barcelona, 08193 Bellaterra, Barcelona, Spain; (b) Inedit Innovacio s.l. Research Park of UAB, UAB Campus, 08193 Bellaterra, Spain ; (c) Institute for Research and Technology in Food and Agriculture (IRTA), 25198 Lleida, Spain_x000a_; (d) Institute for Research and Technology in Food and Agriculture (IRTA), 08348 Cabrils, Barcelona, Spain"/>
    <s v="Peer Reviewed Journal"/>
    <s v="Vinyes, E., Gasol, C. M., Asin, L., Alegre, S. and Muñoz, P., Life Cycle Assessment of multiyear peach production. Journal of Cleaner Production 2015, 104, 68-79."/>
    <s v="Yes"/>
    <s v="Yes"/>
    <s v="No"/>
    <s v="No"/>
    <s v="No"/>
    <s v="No"/>
    <s v="No"/>
    <s v="No"/>
    <s v="No"/>
    <s v="No"/>
    <s v="No"/>
    <s v="Yes"/>
    <m/>
    <s v="Production alone"/>
    <s v="No"/>
    <s v="No"/>
    <s v="1 kg peaches"/>
    <m/>
    <n v="1.76"/>
    <s v=""/>
    <n v="0.183"/>
    <s v=""/>
    <m/>
    <m/>
    <m/>
    <m/>
    <m/>
    <m/>
    <m/>
    <m/>
    <m/>
    <n v="1.76"/>
    <m/>
    <m/>
    <m/>
    <m/>
    <m/>
    <m/>
    <m/>
    <m/>
    <m/>
    <m/>
    <m/>
    <m/>
    <n v="0.183"/>
    <m/>
  </r>
  <r>
    <x v="4"/>
    <x v="137"/>
    <s v="Fresh or Not Specified"/>
    <s v="Moderate"/>
    <s v="Yes"/>
    <s v="Spain"/>
    <n v="2015"/>
    <s v="Elisabet Vinyes (a); Carles M. Gasol (a, b); Luis Asin (c); Simo Alegre (c)_x000a_, Pere Munoz (a, d);"/>
    <s v="(a) Sostenipra Research Group, Universitat Autonoma de Barcelona, 08193 Bellaterra, Barcelona, Spain; (b) Inedit Innovacio s.l. Research Park of UAB, UAB Campus, 08193 Bellaterra, Spain ; (c) Institute for Research and Technology in Food and Agriculture (IRTA), 25198 Lleida, Spain_x000a_; (d) Institute for Research and Technology in Food and Agriculture (IRTA), 08348 Cabrils, Barcelona, Spain"/>
    <s v="Peer Reviewed Journal"/>
    <s v="Vinyes, E., Gasol, C. M., Asin, L., Alegre, S. and Muñoz, P., Life Cycle Assessment of multiyear peach production. Journal of Cleaner Production 2015, 104, 68-79."/>
    <s v="Yes"/>
    <s v="Yes"/>
    <s v="No"/>
    <s v="No"/>
    <s v="No"/>
    <s v="No"/>
    <s v="No"/>
    <s v="No"/>
    <s v="No"/>
    <s v="No"/>
    <s v="No"/>
    <s v="Yes"/>
    <m/>
    <s v="Production alone"/>
    <s v="No"/>
    <s v="No"/>
    <s v="1 kg peaches"/>
    <m/>
    <n v="1.0900000000000001"/>
    <s v=""/>
    <n v="0.125"/>
    <s v=""/>
    <m/>
    <m/>
    <m/>
    <m/>
    <m/>
    <m/>
    <m/>
    <m/>
    <m/>
    <n v="1.0900000000000001"/>
    <m/>
    <m/>
    <m/>
    <m/>
    <m/>
    <m/>
    <m/>
    <m/>
    <m/>
    <m/>
    <m/>
    <m/>
    <n v="0.125"/>
    <m/>
  </r>
  <r>
    <x v="4"/>
    <x v="137"/>
    <s v="Fresh or Not Specified"/>
    <s v="High yield"/>
    <s v="Yes"/>
    <s v="Spain"/>
    <n v="2015"/>
    <s v="Elisabet Vinyes (a); Carles M. Gasol (a, b); Luis Asin (c); Simo Alegre (c)_x000a_, Pere Munoz (a, d);"/>
    <s v="(a) Sostenipra Research Group, Universitat Autonoma de Barcelona, 08193 Bellaterra, Barcelona, Spain; (b) Inedit Innovacio s.l. Research Park of UAB, UAB Campus, 08193 Bellaterra, Spain ; (c) Institute for Research and Technology in Food and Agriculture (IRTA), 25198 Lleida, Spain_x000a_; (d) Institute for Research and Technology in Food and Agriculture (IRTA), 08348 Cabrils, Barcelona, Spain"/>
    <s v="Peer Reviewed Journal"/>
    <s v="Vinyes, E., Gasol, C. M., Asin, L., Alegre, S. and Muñoz, P., Life Cycle Assessment of multiyear peach production. Journal of Cleaner Production 2015, 104, 68-79."/>
    <s v="Yes"/>
    <s v="Yes"/>
    <s v="No"/>
    <s v="No"/>
    <s v="No"/>
    <s v="No"/>
    <s v="No"/>
    <s v="No"/>
    <s v="No"/>
    <s v="No"/>
    <s v="No"/>
    <s v="Yes"/>
    <m/>
    <s v="Production alone"/>
    <s v="No"/>
    <s v="No"/>
    <s v="1 kg peaches"/>
    <m/>
    <n v="1.62"/>
    <s v=""/>
    <n v="0.16200000000000001"/>
    <s v=""/>
    <m/>
    <m/>
    <m/>
    <m/>
    <m/>
    <m/>
    <m/>
    <m/>
    <m/>
    <n v="1.62"/>
    <m/>
    <m/>
    <m/>
    <m/>
    <m/>
    <m/>
    <m/>
    <m/>
    <m/>
    <m/>
    <m/>
    <m/>
    <n v="0.16200000000000001"/>
    <m/>
  </r>
  <r>
    <x v="4"/>
    <x v="158"/>
    <s v="Fresh or Not Specified"/>
    <s v="Andean Blackberry"/>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17"/>
    <s v=""/>
    <m/>
    <m/>
    <m/>
    <m/>
    <m/>
    <m/>
    <m/>
    <m/>
    <m/>
    <m/>
    <m/>
    <m/>
    <m/>
    <m/>
    <m/>
    <m/>
    <m/>
    <m/>
    <m/>
    <m/>
    <m/>
    <m/>
    <n v="0.17"/>
    <m/>
  </r>
  <r>
    <x v="4"/>
    <x v="159"/>
    <s v="Fresh or Not Specified"/>
    <s v="Lulo"/>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38700000000000001"/>
    <s v=""/>
    <m/>
    <m/>
    <m/>
    <m/>
    <m/>
    <m/>
    <m/>
    <m/>
    <m/>
    <m/>
    <m/>
    <m/>
    <m/>
    <m/>
    <m/>
    <m/>
    <m/>
    <m/>
    <m/>
    <m/>
    <m/>
    <m/>
    <n v="0.38700000000000001"/>
    <m/>
  </r>
  <r>
    <x v="4"/>
    <x v="160"/>
    <s v="Fresh or Not Specified"/>
    <s v="Passion Fruit"/>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125"/>
    <s v=""/>
    <m/>
    <m/>
    <m/>
    <m/>
    <m/>
    <m/>
    <m/>
    <m/>
    <m/>
    <m/>
    <m/>
    <m/>
    <m/>
    <m/>
    <m/>
    <m/>
    <m/>
    <m/>
    <m/>
    <m/>
    <m/>
    <m/>
    <n v="0.125"/>
    <m/>
  </r>
  <r>
    <x v="4"/>
    <x v="161"/>
    <s v="Fresh or Not Specified"/>
    <s v="Tree Tomato"/>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34499999999999997"/>
    <s v=""/>
    <m/>
    <m/>
    <m/>
    <m/>
    <m/>
    <m/>
    <m/>
    <m/>
    <m/>
    <m/>
    <m/>
    <m/>
    <m/>
    <m/>
    <m/>
    <m/>
    <m/>
    <m/>
    <m/>
    <m/>
    <m/>
    <m/>
    <n v="0.34499999999999997"/>
    <m/>
  </r>
  <r>
    <x v="4"/>
    <x v="162"/>
    <s v="Fresh or Not Specified"/>
    <s v="Golden Berry"/>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189"/>
    <s v=""/>
    <m/>
    <m/>
    <m/>
    <m/>
    <m/>
    <m/>
    <m/>
    <m/>
    <m/>
    <m/>
    <m/>
    <m/>
    <m/>
    <m/>
    <m/>
    <m/>
    <m/>
    <m/>
    <m/>
    <m/>
    <m/>
    <m/>
    <n v="0.189"/>
    <m/>
  </r>
  <r>
    <x v="4"/>
    <x v="43"/>
    <s v="Fresh or Not Specified"/>
    <s v="Pineapple"/>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60499999999999998"/>
    <s v=""/>
    <m/>
    <m/>
    <m/>
    <m/>
    <m/>
    <m/>
    <m/>
    <m/>
    <m/>
    <m/>
    <m/>
    <m/>
    <m/>
    <m/>
    <m/>
    <m/>
    <m/>
    <m/>
    <m/>
    <m/>
    <m/>
    <m/>
    <n v="0.60499999999999998"/>
    <m/>
  </r>
  <r>
    <x v="4"/>
    <x v="89"/>
    <s v="Fresh or Not Specified"/>
    <s v="Avacado"/>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17"/>
    <s v=""/>
    <m/>
    <m/>
    <m/>
    <m/>
    <m/>
    <m/>
    <m/>
    <m/>
    <m/>
    <m/>
    <m/>
    <m/>
    <m/>
    <m/>
    <m/>
    <m/>
    <m/>
    <m/>
    <m/>
    <m/>
    <m/>
    <m/>
    <n v="0.17"/>
    <m/>
  </r>
  <r>
    <x v="4"/>
    <x v="163"/>
    <s v="Fresh or Not Specified"/>
    <s v="Mango"/>
    <s v="No"/>
    <s v="Columbia"/>
    <n v="2013"/>
    <s v="Sophie Graefe (a,b); Jeimar Tapasco (a); Alonso Gonzalez (a)"/>
    <s v="(a) Int. Cent. Trop. Agric. ZCIAT), Recta Cali-Palmira km 17, Cali, Colombia; (b) Georg-August-Univ. Göttingen, Trop. Silvic. For. Ecol., Büsgenweg 1, 37077 Göttingen, Germ., sgraefe@gwdg.de"/>
    <s v="Peer Reviewed Journal"/>
    <s v="Graefe, S. G., Tapasco, J. T. and Gonzalez, A. G., Resource use and GHG emissions of eight tropical fruit species cultivated in Colombia. Fruits 2013, 68 (4), 303-314."/>
    <s v="Yes"/>
    <s v="No"/>
    <s v="No"/>
    <s v="No"/>
    <s v="No"/>
    <s v="No"/>
    <s v="No"/>
    <s v="No"/>
    <s v="No"/>
    <s v="No"/>
    <s v="No"/>
    <s v="No"/>
    <m/>
    <s v="Cradle to Farm Gate"/>
    <s v="No"/>
    <s v="No"/>
    <s v="1 tonne fruit"/>
    <s v="RV / 1000"/>
    <s v=""/>
    <s v=""/>
    <n v="0.441"/>
    <s v=""/>
    <m/>
    <m/>
    <m/>
    <m/>
    <m/>
    <m/>
    <m/>
    <m/>
    <m/>
    <m/>
    <m/>
    <m/>
    <m/>
    <m/>
    <m/>
    <m/>
    <m/>
    <m/>
    <m/>
    <m/>
    <m/>
    <m/>
    <n v="0.441"/>
    <m/>
  </r>
  <r>
    <x v="4"/>
    <x v="66"/>
    <s v="Fresh or Not Specified"/>
    <s v="Apples, grown and consum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32"/>
    <s v=""/>
    <m/>
    <m/>
    <m/>
    <m/>
    <m/>
    <m/>
    <m/>
    <m/>
    <m/>
    <m/>
    <m/>
    <m/>
    <m/>
    <m/>
    <m/>
    <m/>
    <m/>
    <m/>
    <m/>
    <m/>
    <m/>
    <m/>
    <n v="0.32"/>
    <n v="0.41799999999999998"/>
  </r>
  <r>
    <x v="4"/>
    <x v="164"/>
    <s v="Fresh or Not Specified"/>
    <s v="Cherries, grown and consum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32"/>
    <s v=""/>
    <m/>
    <m/>
    <m/>
    <m/>
    <m/>
    <m/>
    <m/>
    <m/>
    <m/>
    <m/>
    <m/>
    <m/>
    <m/>
    <m/>
    <m/>
    <m/>
    <m/>
    <m/>
    <m/>
    <m/>
    <m/>
    <m/>
    <n v="0.32"/>
    <n v="0.41799999999999998"/>
  </r>
  <r>
    <x v="4"/>
    <x v="81"/>
    <s v="Fresh or Not Specified"/>
    <s v="Strawberries, grown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84"/>
    <s v=""/>
    <m/>
    <m/>
    <m/>
    <m/>
    <m/>
    <m/>
    <m/>
    <m/>
    <m/>
    <m/>
    <m/>
    <m/>
    <m/>
    <m/>
    <m/>
    <m/>
    <m/>
    <m/>
    <m/>
    <m/>
    <m/>
    <m/>
    <n v="0.84"/>
    <n v="0.93799999999999994"/>
  </r>
  <r>
    <x v="3"/>
    <x v="165"/>
    <s v="Fresh or Not Specified"/>
    <s v="Garlic, grown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56999999999999995"/>
    <s v=""/>
    <m/>
    <m/>
    <m/>
    <m/>
    <m/>
    <m/>
    <m/>
    <m/>
    <m/>
    <m/>
    <m/>
    <m/>
    <m/>
    <m/>
    <m/>
    <m/>
    <m/>
    <m/>
    <m/>
    <m/>
    <m/>
    <m/>
    <n v="0.56999999999999995"/>
    <n v="0.66800000000000004"/>
  </r>
  <r>
    <x v="3"/>
    <x v="166"/>
    <s v="Fresh or Not Specified"/>
    <s v="Peas, grown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28999999999999998"/>
    <s v=""/>
    <m/>
    <m/>
    <m/>
    <m/>
    <m/>
    <m/>
    <m/>
    <m/>
    <m/>
    <m/>
    <m/>
    <m/>
    <m/>
    <m/>
    <m/>
    <m/>
    <m/>
    <m/>
    <m/>
    <m/>
    <m/>
    <m/>
    <n v="0.28999999999999998"/>
    <n v="0.38800000000000001"/>
  </r>
  <r>
    <x v="4"/>
    <x v="66"/>
    <s v="Fresh or Not Specified"/>
    <s v="Apples,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43"/>
    <s v=""/>
    <m/>
    <m/>
    <m/>
    <m/>
    <m/>
    <m/>
    <m/>
    <m/>
    <m/>
    <m/>
    <m/>
    <m/>
    <m/>
    <m/>
    <m/>
    <m/>
    <m/>
    <m/>
    <m/>
    <m/>
    <m/>
    <m/>
    <n v="0.43"/>
    <n v="0.55000000000000004"/>
  </r>
  <r>
    <x v="4"/>
    <x v="164"/>
    <s v="Fresh or Not Specified"/>
    <s v="Cherries,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43"/>
    <s v=""/>
    <m/>
    <m/>
    <m/>
    <m/>
    <m/>
    <m/>
    <m/>
    <m/>
    <m/>
    <m/>
    <m/>
    <m/>
    <m/>
    <m/>
    <m/>
    <m/>
    <m/>
    <m/>
    <m/>
    <m/>
    <m/>
    <m/>
    <n v="0.43"/>
    <n v="0.67600000000000005"/>
  </r>
  <r>
    <x v="4"/>
    <x v="81"/>
    <s v="Fresh or Not Specified"/>
    <s v="Strawberries,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1.06"/>
    <s v=""/>
    <m/>
    <m/>
    <m/>
    <m/>
    <m/>
    <m/>
    <m/>
    <m/>
    <m/>
    <m/>
    <m/>
    <m/>
    <m/>
    <m/>
    <m/>
    <m/>
    <m/>
    <m/>
    <m/>
    <m/>
    <m/>
    <m/>
    <n v="1.06"/>
    <n v="1.2270000000000001"/>
  </r>
  <r>
    <x v="3"/>
    <x v="165"/>
    <s v="Fresh or Not Specified"/>
    <s v="Garlic,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68"/>
    <s v=""/>
    <m/>
    <m/>
    <m/>
    <m/>
    <m/>
    <m/>
    <m/>
    <m/>
    <m/>
    <m/>
    <m/>
    <m/>
    <m/>
    <m/>
    <m/>
    <m/>
    <m/>
    <m/>
    <m/>
    <m/>
    <m/>
    <m/>
    <n v="0.68"/>
    <n v="0.874"/>
  </r>
  <r>
    <x v="3"/>
    <x v="166"/>
    <s v="Fresh or Not Specified"/>
    <s v="Peas,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4"/>
    <s v=""/>
    <m/>
    <m/>
    <m/>
    <m/>
    <m/>
    <m/>
    <m/>
    <m/>
    <m/>
    <m/>
    <m/>
    <m/>
    <m/>
    <m/>
    <m/>
    <m/>
    <m/>
    <m/>
    <m/>
    <m/>
    <m/>
    <m/>
    <n v="0.4"/>
    <n v="0.59699999999999998"/>
  </r>
  <r>
    <x v="4"/>
    <x v="66"/>
    <s v="Fresh or Not Specified"/>
    <s v="Apples,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88"/>
    <s v=""/>
    <m/>
    <m/>
    <m/>
    <m/>
    <m/>
    <m/>
    <m/>
    <m/>
    <m/>
    <m/>
    <m/>
    <m/>
    <m/>
    <m/>
    <m/>
    <m/>
    <m/>
    <m/>
    <m/>
    <m/>
    <m/>
    <m/>
    <n v="0.88"/>
    <n v="13.093"/>
  </r>
  <r>
    <x v="4"/>
    <x v="164"/>
    <s v="Fresh or Not Specified"/>
    <s v="Cherries,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88"/>
    <s v=""/>
    <m/>
    <m/>
    <m/>
    <m/>
    <m/>
    <m/>
    <m/>
    <m/>
    <m/>
    <m/>
    <m/>
    <m/>
    <m/>
    <m/>
    <m/>
    <m/>
    <m/>
    <m/>
    <m/>
    <m/>
    <m/>
    <m/>
    <n v="0.88"/>
    <n v="12.157"/>
  </r>
  <r>
    <x v="4"/>
    <x v="81"/>
    <s v="Fresh or Not Specified"/>
    <s v="Strawberries,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1.39"/>
    <s v=""/>
    <m/>
    <m/>
    <m/>
    <m/>
    <m/>
    <m/>
    <m/>
    <m/>
    <m/>
    <m/>
    <m/>
    <m/>
    <m/>
    <m/>
    <m/>
    <m/>
    <m/>
    <m/>
    <m/>
    <m/>
    <m/>
    <m/>
    <n v="1.39"/>
    <n v="7.3520000000000003"/>
  </r>
  <r>
    <x v="3"/>
    <x v="165"/>
    <s v="Fresh or Not Specified"/>
    <s v="Garlic,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68700000000000006"/>
    <s v=""/>
    <m/>
    <m/>
    <m/>
    <m/>
    <m/>
    <m/>
    <m/>
    <m/>
    <m/>
    <m/>
    <m/>
    <m/>
    <m/>
    <m/>
    <m/>
    <m/>
    <m/>
    <m/>
    <m/>
    <m/>
    <m/>
    <m/>
    <n v="0.68700000000000006"/>
    <n v="11.420999999999999"/>
  </r>
  <r>
    <x v="3"/>
    <x v="166"/>
    <s v="Fresh or Not Specified"/>
    <s v="Peas, NOT grown in Europe and used in UK"/>
    <s v="No"/>
    <s v="UK"/>
    <n v="2015"/>
    <s v="Marian Michalsky; Peter S. Hooda"/>
    <s v="School of Geography, Geology and the Environment, Kingston University London, Kingston upon Thames, Surrey KT1_x000a_ 2EE, United Kingdom"/>
    <s v="Peer Reviewed Journal"/>
    <s v="Michalsky, M. N. and Hooda, P. S., Greenhouse gas emissions of imported and locally produced fruit and vegetable commodities : A quantitative assessment. Environmental Science and Policy 2015, 48, 32-43."/>
    <s v="Yes"/>
    <s v="No"/>
    <s v="Yes"/>
    <s v="Yes"/>
    <s v="No"/>
    <s v="Yes"/>
    <s v="No"/>
    <s v="No"/>
    <s v="No"/>
    <s v="Yes"/>
    <s v="No"/>
    <s v="No"/>
    <m/>
    <s v="Cradle to Retail Gate"/>
    <s v="No"/>
    <s v="No"/>
    <s v="kg fruit/veg"/>
    <m/>
    <s v=""/>
    <s v=""/>
    <n v="0.4"/>
    <s v=""/>
    <m/>
    <m/>
    <m/>
    <m/>
    <m/>
    <m/>
    <m/>
    <m/>
    <m/>
    <m/>
    <m/>
    <m/>
    <m/>
    <m/>
    <m/>
    <m/>
    <m/>
    <m/>
    <m/>
    <m/>
    <m/>
    <m/>
    <n v="0.4"/>
    <n v="10.635"/>
  </r>
  <r>
    <x v="4"/>
    <x v="91"/>
    <s v="Fresh or Not Specified"/>
    <s v="Gold Kiwi"/>
    <s v="Yes"/>
    <s v="New Zealand"/>
    <n v="2014"/>
    <s v="Karin_x000a_ Muller (a); Allister Holmes (b); Markus Deurer (c); Brent E. Clothier (c)"/>
    <s v="(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
    <s v="Peer Reviewed Journal"/>
    <s v="Müller, K., Holmes, A., Deurer, M. and Clothier, B. E., Eco-efficiency as a sustainability measure for kiwifruit production in New Zealand. Journal of Cleaner Production 2015, 106, 333-342."/>
    <s v="Yes"/>
    <s v="No"/>
    <s v="No"/>
    <s v="No"/>
    <s v="No"/>
    <s v="No"/>
    <s v="No"/>
    <s v="No"/>
    <s v="No"/>
    <s v="No"/>
    <s v="No"/>
    <s v="No"/>
    <m/>
    <s v="Cradle to Farm Gate"/>
    <s v="No"/>
    <s v="No"/>
    <s v="kg fruit produced"/>
    <m/>
    <s v=""/>
    <s v=""/>
    <n v="0.217"/>
    <s v=""/>
    <m/>
    <m/>
    <m/>
    <m/>
    <m/>
    <m/>
    <m/>
    <m/>
    <m/>
    <m/>
    <m/>
    <m/>
    <m/>
    <m/>
    <m/>
    <m/>
    <m/>
    <m/>
    <m/>
    <m/>
    <m/>
    <m/>
    <n v="0.217"/>
    <m/>
  </r>
  <r>
    <x v="4"/>
    <x v="91"/>
    <s v="Fresh or Not Specified"/>
    <s v="Green Kiwi"/>
    <s v="Yes"/>
    <s v="New Zealand"/>
    <n v="2014"/>
    <s v="Karin_x000a_ Muller (a); Allister Holmes (b); Markus Deurer (c); Brent E. Clothier (c)"/>
    <s v="(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
    <s v="Peer Reviewed Journal"/>
    <s v="Müller, K., Holmes, A., Deurer, M. and Clothier, B. E., Eco-efficiency as a sustainability measure for kiwifruit production in New Zealand. Journal of Cleaner Production 2015, 106, 333-342."/>
    <s v="Yes"/>
    <s v="No"/>
    <s v="No"/>
    <s v="No"/>
    <s v="No"/>
    <s v="No"/>
    <s v="No"/>
    <s v="No"/>
    <s v="No"/>
    <s v="No"/>
    <s v="No"/>
    <s v="No"/>
    <m/>
    <s v="Cradle to Farm Gate"/>
    <s v="No"/>
    <s v="No"/>
    <s v="kg fruit produced"/>
    <m/>
    <s v=""/>
    <s v=""/>
    <n v="0.13500000000000001"/>
    <s v=""/>
    <m/>
    <m/>
    <m/>
    <m/>
    <m/>
    <m/>
    <m/>
    <m/>
    <m/>
    <m/>
    <m/>
    <m/>
    <m/>
    <m/>
    <m/>
    <m/>
    <m/>
    <m/>
    <m/>
    <m/>
    <m/>
    <m/>
    <n v="0.13500000000000001"/>
    <m/>
  </r>
  <r>
    <x v="4"/>
    <x v="91"/>
    <s v="Fresh or Not Specified"/>
    <s v="Green Kiwi, Integrated Cultivar"/>
    <s v="Yes"/>
    <s v="New Zealand"/>
    <n v="2014"/>
    <s v="Karin_x000a_ Muller (a); Allister Holmes (b); Markus Deurer (c); Brent E. Clothier (c)"/>
    <s v="(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
    <s v="Peer Reviewed Journal"/>
    <s v="Müller, K., Holmes, A., Deurer, M. and Clothier, B. E., Eco-efficiency as a sustainability measure for kiwifruit production in New Zealand. Journal of Cleaner Production 2015, 106, 333-342."/>
    <s v="Yes"/>
    <s v="No"/>
    <s v="No"/>
    <s v="No"/>
    <s v="No"/>
    <s v="No"/>
    <s v="No"/>
    <s v="No"/>
    <s v="No"/>
    <s v="No"/>
    <s v="No"/>
    <s v="No"/>
    <m/>
    <s v="Cradle to Farm Gate"/>
    <s v="No"/>
    <s v="No"/>
    <s v="kg fruit produced"/>
    <m/>
    <s v=""/>
    <s v=""/>
    <n v="0.14599999999999999"/>
    <s v=""/>
    <m/>
    <m/>
    <m/>
    <m/>
    <m/>
    <m/>
    <m/>
    <m/>
    <m/>
    <m/>
    <m/>
    <m/>
    <m/>
    <m/>
    <m/>
    <m/>
    <m/>
    <m/>
    <m/>
    <m/>
    <m/>
    <m/>
    <n v="0.14599999999999999"/>
    <m/>
  </r>
  <r>
    <x v="4"/>
    <x v="91"/>
    <s v="Fresh or Not Specified"/>
    <s v="Green Kiwi, Organic Cultivar"/>
    <s v="Yes"/>
    <s v="New Zealand"/>
    <n v="2014"/>
    <s v="Karin_x000a_ Muller (a); Allister Holmes (b); Markus Deurer (c); Brent E. Clothier (c)"/>
    <s v="(a) The New Zealand Institute for Plant &amp; Food Research Limited (PFR), Private Bag 3230, Waikato Mail Centre, Hamilton 3240, New Zealand; (b) PlusGroup Horticulture Ltd, 37A Newnham Road, R.D. 2, Tauranga 3173, New Zealand;(b) ;(c) PFR, Private Bag, Manawatu Mail Centre 11600, Palmerston North 4442, New Zealand"/>
    <s v="Peer Reviewed Journal"/>
    <s v="Müller, K., Holmes, A., Deurer, M. and Clothier, B. E., Eco-efficiency as a sustainability measure for kiwifruit production in New Zealand. Journal of Cleaner Production 2015, 106, 333-342."/>
    <s v="Yes"/>
    <s v="No"/>
    <s v="No"/>
    <s v="No"/>
    <s v="No"/>
    <s v="No"/>
    <s v="No"/>
    <s v="No"/>
    <s v="No"/>
    <s v="No"/>
    <s v="No"/>
    <s v="No"/>
    <m/>
    <s v="Cradle to Farm Gate"/>
    <s v="No"/>
    <s v="No"/>
    <s v="kg fruit produced"/>
    <m/>
    <s v=""/>
    <s v=""/>
    <n v="0.20399999999999999"/>
    <s v=""/>
    <m/>
    <m/>
    <m/>
    <m/>
    <m/>
    <m/>
    <m/>
    <m/>
    <m/>
    <m/>
    <m/>
    <m/>
    <m/>
    <m/>
    <m/>
    <m/>
    <m/>
    <m/>
    <m/>
    <m/>
    <m/>
    <m/>
    <n v="0.20399999999999999"/>
    <m/>
  </r>
  <r>
    <x v="2"/>
    <x v="2"/>
    <s v="Fresh or Not Specified"/>
    <s v="Caged Hens"/>
    <s v="Yes"/>
    <s v="UK"/>
    <n v="2011"/>
    <s v="I. Leinonen (a); A. G. Williams (b); J. Wiseman (c); J. Guy (a); I. Kyriazakis (a)"/>
    <s v="(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kg eggs"/>
    <s v="RV / 1000"/>
    <n v="16.88"/>
    <s v=""/>
    <n v="2.92"/>
    <s v=""/>
    <m/>
    <m/>
    <m/>
    <m/>
    <m/>
    <m/>
    <m/>
    <m/>
    <m/>
    <n v="16.88"/>
    <m/>
    <m/>
    <m/>
    <m/>
    <m/>
    <m/>
    <m/>
    <m/>
    <m/>
    <m/>
    <m/>
    <m/>
    <n v="2.92"/>
    <m/>
  </r>
  <r>
    <x v="2"/>
    <x v="2"/>
    <s v="Fresh or Not Specified"/>
    <s v="Barned Hens"/>
    <s v="Yes"/>
    <s v="UK"/>
    <n v="2011"/>
    <s v="I. Leinonen (a); A. G. Williams (b); J. Wiseman (c); J. Guy (a); I. Kyriazakis (a)"/>
    <s v="(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kg eggs"/>
    <s v="RV / 1000"/>
    <n v="22.2"/>
    <s v=""/>
    <n v="3.45"/>
    <s v=""/>
    <m/>
    <m/>
    <m/>
    <m/>
    <m/>
    <m/>
    <m/>
    <m/>
    <m/>
    <n v="22.2"/>
    <m/>
    <m/>
    <m/>
    <m/>
    <m/>
    <m/>
    <m/>
    <m/>
    <m/>
    <m/>
    <m/>
    <m/>
    <n v="3.45"/>
    <m/>
  </r>
  <r>
    <x v="2"/>
    <x v="2"/>
    <s v="Fresh or Not Specified"/>
    <s v="Free Range Hens"/>
    <s v="Yes"/>
    <s v="UK"/>
    <n v="2011"/>
    <s v="I. Leinonen (a); A. G. Williams (b); J. Wiseman (c); J. Guy (a); I. Kyriazakis (a)"/>
    <s v="(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kg eggs"/>
    <s v="RV / 1000"/>
    <n v="18.78"/>
    <s v=""/>
    <n v="3.38"/>
    <s v=""/>
    <m/>
    <m/>
    <m/>
    <m/>
    <m/>
    <m/>
    <m/>
    <m/>
    <m/>
    <n v="18.78"/>
    <m/>
    <m/>
    <m/>
    <m/>
    <m/>
    <m/>
    <m/>
    <m/>
    <m/>
    <m/>
    <m/>
    <m/>
    <n v="3.38"/>
    <m/>
  </r>
  <r>
    <x v="2"/>
    <x v="2"/>
    <s v="Fresh or Not Specified"/>
    <s v="Organic Hens"/>
    <s v="Yes"/>
    <s v="UK"/>
    <n v="2011"/>
    <s v="I. Leinonen (a); A. G. Williams (b); J. Wiseman (c); J. Guy (a); I. Kyriazakis (a)"/>
    <s v="(a) School of Agriculture, Food, and Rural Development, Newcastle University, Newcastle upon Tyne, NE1 7RU United Kingdom; (b) School of Applied Sciences, Cranfield University, Bedford, MK43 0AL United Kingdom; (c) School of Biosciences, University of Nottingham, Sutton Bonington Campus, LE12 5RD United Kingdom"/>
    <s v="Peer Reviewed Journal"/>
    <s v="Leinonen, I., Williams, A. G., Wiseman, J., Guy, J. and Kyriazakis, I., Predicting the environmental impacts of chicken systems in the United Kingdom through a life cycle assessment: Egg production systems. Poultry Science 2012, 91 (1), 26-40."/>
    <s v="Yes"/>
    <s v="No"/>
    <s v="No"/>
    <s v="No"/>
    <s v="No"/>
    <s v="No"/>
    <s v="No"/>
    <s v="No"/>
    <s v="No"/>
    <s v="No"/>
    <s v="No"/>
    <s v="No"/>
    <m/>
    <s v="Cradle to Farm Gate"/>
    <s v="No"/>
    <s v="No"/>
    <s v="1000kg eggs"/>
    <s v="RV / 1000"/>
    <n v="26.41"/>
    <s v=""/>
    <n v="3.42"/>
    <s v=""/>
    <m/>
    <m/>
    <m/>
    <m/>
    <m/>
    <m/>
    <m/>
    <m/>
    <m/>
    <n v="26.41"/>
    <m/>
    <m/>
    <m/>
    <m/>
    <m/>
    <m/>
    <m/>
    <m/>
    <m/>
    <m/>
    <m/>
    <m/>
    <n v="3.42"/>
    <m/>
  </r>
  <r>
    <x v="3"/>
    <x v="19"/>
    <s v="Fresh or Not Specified"/>
    <s v="Whole Tomatoes"/>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0088000000000001"/>
    <n v="8.9300000000000004E-2"/>
    <n v="9.0400000000000008E-2"/>
    <n v="0.93"/>
    <n v="7.8799999999999995E-2"/>
    <m/>
    <n v="0.59219999999999995"/>
    <n v="0.80810000000000004"/>
    <m/>
    <m/>
    <n v="3.5000000000000001E-3"/>
    <m/>
    <n v="0.93"/>
    <n v="2.4127999999999998"/>
    <m/>
    <m/>
    <n v="8.9300000000000004E-2"/>
    <n v="1.1000000000000001E-3"/>
    <m/>
    <n v="8.0399999999999999E-2"/>
    <n v="1.12E-2"/>
    <m/>
    <m/>
    <n v="6.8500000000000002E-3"/>
    <m/>
    <n v="8.9300000000000004E-2"/>
    <n v="0.18940000000000001"/>
  </r>
  <r>
    <x v="3"/>
    <x v="17"/>
    <s v="Fresh or Not Specified"/>
    <s v="Tomato Paste"/>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4378"/>
    <n v="8.9300000000000004E-2"/>
    <n v="0.11840000000000001"/>
    <n v="0.93"/>
    <n v="0.1613"/>
    <n v="0.34649999999999997"/>
    <n v="0.1772"/>
    <n v="3.1339999999999999"/>
    <m/>
    <m/>
    <m/>
    <m/>
    <n v="0.93"/>
    <n v="4.7489999999999997"/>
    <m/>
    <m/>
    <n v="8.9300000000000004E-2"/>
    <n v="2.3E-3"/>
    <n v="2.6800000000000001E-2"/>
    <n v="2.07E-2"/>
    <n v="4.3499999999999997E-2"/>
    <m/>
    <m/>
    <m/>
    <m/>
    <n v="8.9300000000000004E-2"/>
    <n v="0.18260000000000001"/>
  </r>
  <r>
    <x v="3"/>
    <x v="16"/>
    <s v="Fresh or Not Specified"/>
    <s v="Whole Peeled Tomatoes"/>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1055999999999999"/>
    <n v="8.9300000000000004E-2"/>
    <n v="9.2700000000000005E-2"/>
    <n v="0.93"/>
    <n v="0.1613"/>
    <n v="1.43E-2"/>
    <n v="0.90380000000000005"/>
    <n v="15.9834"/>
    <m/>
    <m/>
    <m/>
    <m/>
    <n v="0.93"/>
    <n v="18.020800000000001"/>
    <m/>
    <m/>
    <n v="8.9300000000000004E-2"/>
    <n v="2.3E-3"/>
    <n v="1.1000000000000001E-3"/>
    <n v="0.106"/>
    <n v="0.22189999999999999"/>
    <m/>
    <m/>
    <n v="1.1000000000000001E-3"/>
    <m/>
    <n v="8.9300000000000004E-2"/>
    <n v="0.40920000000000001"/>
  </r>
  <r>
    <x v="3"/>
    <x v="15"/>
    <s v="Fresh or Not Specified"/>
    <s v="Diced Tomatoes"/>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1055999999999999"/>
    <n v="8.9300000000000004E-2"/>
    <n v="9.2700000000000005E-2"/>
    <n v="0.93"/>
    <n v="0.1613"/>
    <n v="1.43E-2"/>
    <n v="0.90380000000000005"/>
    <n v="15.9834"/>
    <m/>
    <m/>
    <m/>
    <m/>
    <n v="0.93"/>
    <n v="18.0227"/>
    <m/>
    <m/>
    <n v="8.9300000000000004E-2"/>
    <n v="2.3E-3"/>
    <n v="1.1000000000000001E-3"/>
    <n v="0.106"/>
    <n v="0.22189999999999999"/>
    <m/>
    <m/>
    <n v="1.1000000000000001E-3"/>
    <m/>
    <n v="8.9300000000000004E-2"/>
    <n v="0.40920000000000001"/>
  </r>
  <r>
    <x v="3"/>
    <x v="167"/>
    <s v="Fresh or Not Specified"/>
    <s v="Tomato Juice"/>
    <s v="No"/>
    <s v="Turkey"/>
    <n v="2011"/>
    <s v="Ahmet Karakaya (a_x000a_); Mustafa Özilgen (a,b)"/>
    <s v="(a) Department of Chemical Engineering, Yeditepe University, Kayisdagi, 34755 Istanbul, Turkey; (b) Department of Food Engineering, Yeditepe University, Kayisdagi, 34755 Istanbul, Turkey"/>
    <s v="Peer Reviewed Journal"/>
    <s v="Karakaya, A. and Özilgen, M., Energy utilization and carbon dioxide emission in the fresh , paste , whole-peeled , diced , and juiced tomato production processes. Energy 2011, 36 (8), 5101-5110."/>
    <s v="Yes"/>
    <s v="No"/>
    <s v="Yes"/>
    <s v="Yes"/>
    <s v="Yes"/>
    <s v="Yes"/>
    <s v="No"/>
    <s v="No"/>
    <s v="No"/>
    <s v="No"/>
    <s v="No"/>
    <s v="No"/>
    <m/>
    <s v="Cradle to Retail and Waste Disposal/Recycling"/>
    <s v="Yes"/>
    <s v="Yes"/>
    <s v="1 tonne tomatoes"/>
    <s v="RV / 1000"/>
    <n v="0.93"/>
    <n v="1.6705000000000001"/>
    <n v="8.9300000000000004E-2"/>
    <n v="0.1002"/>
    <n v="0.93"/>
    <n v="0.1613"/>
    <n v="0.57920000000000005"/>
    <n v="1.1700999999999999"/>
    <n v="9.4019999999999992"/>
    <m/>
    <m/>
    <m/>
    <m/>
    <n v="0.93"/>
    <n v="12.242599999999999"/>
    <m/>
    <m/>
    <n v="8.9300000000000004E-2"/>
    <n v="2.3E-3"/>
    <n v="8.6E-3"/>
    <n v="0.3412"/>
    <n v="0.1305"/>
    <m/>
    <m/>
    <n v="8.0000000000000004E-4"/>
    <m/>
    <n v="8.9300000000000004E-2"/>
    <n v="0.57269999999999999"/>
  </r>
  <r>
    <x v="3"/>
    <x v="19"/>
    <s v="Fresh or Not Specified"/>
    <s v="cultivation in open-field with compost plus mineral_x000a_ fertilizers"/>
    <s v="Yes"/>
    <s v="Spain"/>
    <n v="2011"/>
    <s v="Julia Martínez-Blanco (a); Pere Muñoz (b); Assumpció Antón (b,c); Joan Rieradevall (a,d)"/>
    <s v="(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
    <s v="Peer Reviewed Journal"/>
    <s v="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
    <s v="Yes"/>
    <s v="No"/>
    <s v="No"/>
    <s v="No"/>
    <s v="No"/>
    <s v="No"/>
    <s v="No"/>
    <s v="No"/>
    <s v="No"/>
    <s v="No"/>
    <s v="No"/>
    <s v="No"/>
    <m/>
    <s v="Cradle to Farm Gate"/>
    <s v="Yes"/>
    <s v="No"/>
    <s v="1 tonne of tomatoes"/>
    <s v="RV / 1000"/>
    <n v="3.9775999999999998"/>
    <s v=""/>
    <n v="0.28916999999999998"/>
    <s v=""/>
    <m/>
    <m/>
    <m/>
    <m/>
    <m/>
    <m/>
    <m/>
    <m/>
    <m/>
    <n v="3.9775999999999998"/>
    <m/>
    <m/>
    <m/>
    <m/>
    <m/>
    <m/>
    <m/>
    <m/>
    <m/>
    <m/>
    <m/>
    <m/>
    <n v="0.28916999999999998"/>
    <m/>
  </r>
  <r>
    <x v="3"/>
    <x v="19"/>
    <s v="Fresh or Not Specified"/>
    <s v="cultivation in open-field with mineral fertilizers"/>
    <s v="Yes"/>
    <s v="Spain"/>
    <n v="2011"/>
    <s v="Julia Martínez-Blanco (a); Pere Muñoz (b); Assumpció Antón (b,c); Joan Rieradevall (a,d)"/>
    <s v="(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
    <s v="Peer Reviewed Journal"/>
    <s v="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
    <s v="Yes"/>
    <s v="No"/>
    <s v="No"/>
    <s v="No"/>
    <s v="No"/>
    <s v="No"/>
    <s v="No"/>
    <s v="No"/>
    <s v="No"/>
    <s v="No"/>
    <s v="No"/>
    <s v="No"/>
    <m/>
    <s v="Cradle to Farm Gate"/>
    <s v="Yes"/>
    <s v="No"/>
    <s v="1 tonne of tomatoes"/>
    <s v="RV / 1000"/>
    <n v="2.2599999999999998"/>
    <s v=""/>
    <n v="0.15606"/>
    <s v=""/>
    <m/>
    <m/>
    <m/>
    <m/>
    <m/>
    <m/>
    <m/>
    <m/>
    <m/>
    <n v="2.2599999999999998"/>
    <m/>
    <m/>
    <m/>
    <m/>
    <m/>
    <m/>
    <m/>
    <m/>
    <m/>
    <m/>
    <m/>
    <m/>
    <n v="0.15606"/>
    <m/>
  </r>
  <r>
    <x v="3"/>
    <x v="19"/>
    <s v="Fresh or Not Specified"/>
    <s v="cultivation under greenhouse with compost plus_x000a_ mineral fertilizers"/>
    <s v="Yes"/>
    <s v="Spain"/>
    <n v="2011"/>
    <s v="Julia Martínez-Blanco (a); Pere Muñoz (b); Assumpció Antón (b,c); Joan Rieradevall (a,d)"/>
    <s v="(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
    <s v="Peer Reviewed Journal"/>
    <s v="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
    <s v="Yes"/>
    <s v="No"/>
    <s v="No"/>
    <s v="No"/>
    <s v="No"/>
    <s v="No"/>
    <s v="No"/>
    <s v="No"/>
    <s v="No"/>
    <s v="No"/>
    <s v="No"/>
    <s v="No"/>
    <m/>
    <s v="Cradle to Farm Gate"/>
    <s v="Yes"/>
    <s v="No"/>
    <s v="1 tonne of tomatoes"/>
    <s v="RV / 1000"/>
    <n v="3.1414"/>
    <s v=""/>
    <n v="0.18207000000000001"/>
    <s v=""/>
    <m/>
    <m/>
    <m/>
    <m/>
    <m/>
    <m/>
    <m/>
    <m/>
    <m/>
    <n v="3.1414"/>
    <m/>
    <m/>
    <m/>
    <m/>
    <m/>
    <m/>
    <m/>
    <m/>
    <m/>
    <m/>
    <m/>
    <m/>
    <n v="0.18207000000000001"/>
    <m/>
  </r>
  <r>
    <x v="3"/>
    <x v="19"/>
    <s v="Fresh or Not Specified"/>
    <s v="cultivation under greenhouse with mineral_x000a_ fertilizers"/>
    <s v="Yes"/>
    <s v="Spain"/>
    <n v="2011"/>
    <s v="Julia Martínez-Blanco (a); Pere Muñoz (b); Assumpció Antón (b,c); Joan Rieradevall (a,d)"/>
    <s v="(a) Institute of Environmental Science and Technology (ICTA), Universitat Autònoma de Barcelona, 08193 Bellaterra, Barcelona, Spain; (b) Institute for Research and Technlology in Food and Agriculture (IRTA), 08348 Cabrils, Barcelona, Spain; (c) Departament d’Enginyeria Quimica, Universitat Rovira i Virgili (URV), 43007 Tarragona, Tarragona, Spain; (d) Chemical Engineering Department, Universitat Autònoma de Barcelona (UAB), 08193 Bellaterra, Barcelona, Spain"/>
    <s v="Peer Reviewed Journal"/>
    <s v="Martínez-Blanco, J., Muñoz, P., Antón, A. and Rieradevall, J., Assessment of tomato Mediterranean production in open-field and standard multi-tunnel greenhouse, with compost or mineral fertilizers, from an agricultural and environmental standpoint. Journal of Cleaner Production 2011, 19 (9-10), 985-997."/>
    <s v="Yes"/>
    <s v="No"/>
    <s v="No"/>
    <s v="No"/>
    <s v="No"/>
    <s v="No"/>
    <s v="No"/>
    <s v="No"/>
    <s v="No"/>
    <s v="No"/>
    <s v="No"/>
    <s v="No"/>
    <m/>
    <s v="Cradle to Farm Gate"/>
    <s v="Yes"/>
    <s v="No"/>
    <s v="1 tonne of tomatoes"/>
    <s v="RV / 1000"/>
    <n v="2.5537999999999998"/>
    <s v=""/>
    <n v="0.153"/>
    <s v=""/>
    <m/>
    <m/>
    <m/>
    <m/>
    <m/>
    <m/>
    <m/>
    <m/>
    <m/>
    <n v="2.5537999999999998"/>
    <m/>
    <m/>
    <m/>
    <m/>
    <m/>
    <m/>
    <m/>
    <m/>
    <m/>
    <m/>
    <m/>
    <m/>
    <n v="0.153"/>
    <m/>
  </r>
  <r>
    <x v="3"/>
    <x v="57"/>
    <s v="Fresh or Not Specified"/>
    <s v="Winter Lettuce cultivated in a hoop house in Michigan and consumed in Michigan"/>
    <s v="No"/>
    <s v="US"/>
    <n v="2013"/>
    <s v="Rachel Plawecki (1); Rich Pirog (1,2); Adam Montri (3); Michael W. Hamm(1,2,4,5)"/>
    <s v="(1) Department of Community, Agriculture, Recreation and Resource Studies, Michigan State University, East Lansing, MI 48824, USA.; (2) Center for Regional Food Systems, Michigan State University, East Lansing, MI 48824, USA; (3) Department of Horticulture, Michigan State University, East Lansing, MI 48824, USA.; (4) Department of Plant, Soil and Microbial Sciences, Michigan State University, East Lansing, MI 48824, USA.; (5) Department of Food Science and Human Nutrition, Michigan State University, East Lansing, MI 48824, USA."/>
    <s v="Other (specify)"/>
    <s v="Plawecki, R., Pirog, R., Montri, A. and Hamm, M. W., Comparative carbon footprint assessment of winter lettuce production in two climatic zones for Midwestern market. Renewable Agriculture and Food Systems 2013, 29 (4), 310-318."/>
    <s v="Yes"/>
    <s v="No"/>
    <s v="No"/>
    <s v="No"/>
    <s v="No"/>
    <s v="Yes"/>
    <s v="No"/>
    <s v="No"/>
    <s v="No"/>
    <s v="No"/>
    <s v="No"/>
    <s v="No"/>
    <m/>
    <s v="Cradle to Retail"/>
    <s v="No"/>
    <s v="No"/>
    <s v="1 kg lettuce"/>
    <s v="n/a"/>
    <s v=""/>
    <s v=""/>
    <s v=""/>
    <s v=""/>
    <m/>
    <m/>
    <m/>
    <m/>
    <m/>
    <m/>
    <m/>
    <m/>
    <m/>
    <m/>
    <m/>
    <m/>
    <m/>
    <m/>
    <m/>
    <m/>
    <m/>
    <m/>
    <m/>
    <m/>
    <m/>
    <m/>
    <m/>
    <n v="0.19800000000000001"/>
  </r>
  <r>
    <x v="3"/>
    <x v="57"/>
    <s v="Fresh or Not Specified"/>
    <s v="Winter Lettuce cultivated outdoors in CA then transported to Michigan"/>
    <s v="No"/>
    <s v="US"/>
    <n v="2013"/>
    <s v="Rachel Plawecki (1); Rich Pirog (1,2); Adam Montri (3); Michael W. Hamm(1,2,4,5)"/>
    <s v="(1) Department of Community, Agriculture, Recreation and Resource Studies, Michigan State University, East Lansing, MI 48824, USA.; (2) Center for Regional Food Systems, Michigan State University, East Lansing, MI 48824, USA; (3) Department of Horticulture, Michigan State University, East Lansing, MI 48824, USA.; (4) Department of Plant, Soil and Microbial Sciences, Michigan State University, East Lansing, MI 48824, USA.; (5) Department of Food Science and Human Nutrition, Michigan State University, East Lansing, MI 48824, USA."/>
    <s v="Other (specify)"/>
    <s v="Plawecki, R., Pirog, R., Montri, A. and Hamm, M. W., Comparative carbon footprint assessment of winter lettuce production in two climatic zones for Midwestern market. Renewable Agriculture and Food Systems 2013, 29 (4), 310-318."/>
    <s v="Yes"/>
    <s v="No"/>
    <s v="No"/>
    <s v="No"/>
    <s v="No"/>
    <s v="Yes"/>
    <s v="No"/>
    <s v="No"/>
    <s v="No"/>
    <s v="No"/>
    <s v="No"/>
    <s v="No"/>
    <m/>
    <s v="Cradle to Retail"/>
    <s v="No"/>
    <s v="No"/>
    <s v="1 kg lettuce"/>
    <s v="n/a"/>
    <s v=""/>
    <s v=""/>
    <s v=""/>
    <s v=""/>
    <m/>
    <m/>
    <m/>
    <m/>
    <m/>
    <m/>
    <m/>
    <m/>
    <m/>
    <m/>
    <m/>
    <m/>
    <m/>
    <m/>
    <m/>
    <m/>
    <m/>
    <m/>
    <m/>
    <m/>
    <m/>
    <m/>
    <m/>
    <n v="0.85699999999999998"/>
  </r>
  <r>
    <x v="4"/>
    <x v="137"/>
    <s v="Fresh or Not Specified"/>
    <s v="peaches"/>
    <s v="No"/>
    <s v="Italy"/>
    <n v="2014"/>
    <s v="Carlo Ingrao (a, b); Donald Huisingh (c); Agata Matarazzo (b_x000a_); Caterina Tricase (a); Maria Teresa Clasadonte (b);"/>
    <s v="(a) Department of Economics, University of Foggia, Via Romolo Caggese, 1, 71121 Foggia Italy_x000a_; (b) Department of Economics and Business, University of Catania, Corso Italia, 55, 95129 Catania Italy_x000a_; (c) University of Tennessee, Institute for a Secure and Sustainable Environment, 311 Conference Centre Building, Knoxville, TN 37996-4134, USA"/>
    <s v="Peer Reviewed Journal"/>
    <s v="Lo Giudice, A., Mbohwa, C., Clasadonte, M. and Ingrao, C., Life cycle assessment interpretation and improvement of the Sicilian artichokes production. International Journal of Environmental Research 2014, 8 (2), 305-316."/>
    <s v="Yes"/>
    <s v="Yes"/>
    <s v="No"/>
    <s v="No"/>
    <s v="No"/>
    <s v="No"/>
    <s v="No"/>
    <s v="No"/>
    <s v="No"/>
    <s v="No"/>
    <s v="No"/>
    <s v="Yes"/>
    <s v="waste disposal - plastic boxes for fertiliser transport"/>
    <s v="Production only"/>
    <s v="No"/>
    <s v="No"/>
    <s v="1 ha of peach orchard"/>
    <s v="Conversion = 31500kg/ha.yr (mentioned in paper)"/>
    <s v=""/>
    <s v=""/>
    <s v=""/>
    <s v=""/>
    <m/>
    <m/>
    <m/>
    <m/>
    <m/>
    <m/>
    <m/>
    <m/>
    <m/>
    <m/>
    <n v="8.6666666666666661"/>
    <m/>
    <m/>
    <m/>
    <m/>
    <m/>
    <m/>
    <m/>
    <m/>
    <m/>
    <m/>
    <m/>
    <m/>
    <n v="0.23428571428571429"/>
  </r>
  <r>
    <x v="4"/>
    <x v="136"/>
    <s v="Fresh or Not Specified"/>
    <s v="Orange fruit"/>
    <s v="No"/>
    <s v="Brazil"/>
    <n v="2009"/>
    <s v="Leda Coltro (a); Anna Lúcia Mourad (a); Rojane M. Kletecke (a); Taíssa A. Mendonça (a); Sílvia P. M. Germer (a);"/>
    <s v="(a) CETEA—Packaging Technology Center,_x000a_ ITAL—Institute of Food Technology,_x000a_ P.O. Box 139, 13070-178 Campinas, SP, Brazil"/>
    <s v="Peer Reviewed Journal"/>
    <s v="Coltro, L., Mourad, A. L., Kletecke, R. M., Mendonça, T. A. and Germer, S. P. M., Assessing the environmental profile of orange production in Brazil. The International Journal of Life Cycle Assessment 2009, 14 (7), 656-664."/>
    <s v="Yes"/>
    <s v="Yes"/>
    <s v="Yes"/>
    <s v="No"/>
    <s v="No"/>
    <s v="No"/>
    <s v="No"/>
    <s v="No"/>
    <s v="No"/>
    <s v="No"/>
    <s v="No"/>
    <s v="No"/>
    <m/>
    <s v="Cradle to gate"/>
    <s v="No"/>
    <s v="No"/>
    <s v="1000 kg of orange"/>
    <s v="/1000"/>
    <s v=""/>
    <s v=""/>
    <s v=""/>
    <s v=""/>
    <m/>
    <m/>
    <m/>
    <m/>
    <m/>
    <m/>
    <m/>
    <m/>
    <m/>
    <m/>
    <n v="1.54"/>
    <m/>
    <m/>
    <m/>
    <m/>
    <m/>
    <m/>
    <m/>
    <m/>
    <m/>
    <m/>
    <m/>
    <m/>
    <m/>
  </r>
  <r>
    <x v="4"/>
    <x v="168"/>
    <s v="Fresh or Not Specified"/>
    <s v="Greenhouse strawberries"/>
    <s v="Yes"/>
    <s v="Iran"/>
    <n v="2013"/>
    <s v="Benyamin Khoshnevisan (a); Shahin Rafiee (a); Hossein Mousazadeh (a);"/>
    <s v="(a) Department of Agricultural Machinery Engineering, Faculty of Agricultural Engineering and Technology, University of Tehran, Karaj, Iran"/>
    <s v="Peer Reviewed Journal"/>
    <s v="Khoshnevisan, B., Rafiee, S. and Mousazadeh, H., Environmental impact assessment of open field and greenhouse strawberry production. European Journal of Agronomy 2013, 50, 29-37."/>
    <s v="Yes"/>
    <s v="No"/>
    <s v="No"/>
    <s v="No"/>
    <s v="No"/>
    <s v="No"/>
    <s v="No"/>
    <s v="No"/>
    <s v="No"/>
    <s v="No"/>
    <s v="No"/>
    <s v="Yes"/>
    <m/>
    <s v="Agricultural production"/>
    <s v="No"/>
    <s v="No"/>
    <s v="1 ton of strawberries"/>
    <s v="/1000"/>
    <s v=""/>
    <s v=""/>
    <s v=""/>
    <s v=""/>
    <m/>
    <m/>
    <m/>
    <m/>
    <m/>
    <m/>
    <m/>
    <m/>
    <m/>
    <m/>
    <m/>
    <m/>
    <m/>
    <m/>
    <m/>
    <m/>
    <m/>
    <m/>
    <m/>
    <m/>
    <m/>
    <m/>
    <m/>
    <n v="0.69499999999999995"/>
  </r>
  <r>
    <x v="4"/>
    <x v="81"/>
    <s v="Fresh or Not Specified"/>
    <s v="Open field strawberries"/>
    <s v="Yes"/>
    <s v="Iran"/>
    <n v="2013"/>
    <s v="Benyamin Khoshnevisan (a); Shahin Rafiee (a); Hossein Mousazadeh (a);"/>
    <s v="(a) Department of Agricultural Machinery Engineering, Faculty of Agricultural Engineering and Technology, University of Tehran, Karaj, Iran"/>
    <s v="Peer Reviewed Journal"/>
    <s v="Khoshnevisan, B., Rafiee, S. and Mousazadeh, H., Environmental impact assessment of open field and greenhouse strawberry production. European Journal of Agronomy 2013, 50, 29-37."/>
    <s v="Yes"/>
    <s v="No"/>
    <s v="No"/>
    <s v="No"/>
    <s v="No"/>
    <s v="No"/>
    <s v="No"/>
    <s v="No"/>
    <s v="No"/>
    <s v="No"/>
    <s v="No"/>
    <s v="Yes"/>
    <m/>
    <s v="Agricultural production"/>
    <s v="No"/>
    <s v="No"/>
    <s v="1 ton of strawberries"/>
    <s v="/1000"/>
    <s v=""/>
    <s v=""/>
    <s v=""/>
    <s v=""/>
    <m/>
    <m/>
    <m/>
    <m/>
    <m/>
    <m/>
    <m/>
    <m/>
    <m/>
    <m/>
    <m/>
    <m/>
    <m/>
    <m/>
    <m/>
    <m/>
    <m/>
    <m/>
    <m/>
    <m/>
    <m/>
    <m/>
    <m/>
    <n v="0.58499999999999996"/>
  </r>
  <r>
    <x v="3"/>
    <x v="94"/>
    <s v="Fresh or Not Specified"/>
    <s v="Organic Carrots"/>
    <s v="Yes"/>
    <s v="Finland"/>
    <n v="2014"/>
    <s v="Raghu KC (a)"/>
    <s v="(a) Lappeenranta University of Technology;"/>
    <s v="Master's Thesis"/>
    <s v="Kc, R., Comparative life cycle assessment on organic and conventional carrots - case; Carrots from south-savo and imported carrots from Italy. 2014, ."/>
    <s v="Yes"/>
    <s v="No"/>
    <s v="Yes"/>
    <s v="No"/>
    <s v="No"/>
    <s v="Yes"/>
    <s v="No"/>
    <s v="No"/>
    <s v="No"/>
    <s v="No"/>
    <s v="No"/>
    <s v="No"/>
    <m/>
    <s v="Agricultural production"/>
    <s v="No"/>
    <s v="No"/>
    <s v="1 kg carrots"/>
    <m/>
    <s v=""/>
    <s v=""/>
    <s v=""/>
    <s v=""/>
    <m/>
    <m/>
    <m/>
    <m/>
    <m/>
    <m/>
    <m/>
    <m/>
    <m/>
    <m/>
    <n v="1.33"/>
    <m/>
    <m/>
    <m/>
    <m/>
    <m/>
    <m/>
    <m/>
    <m/>
    <m/>
    <m/>
    <m/>
    <m/>
    <n v="4.0000000000000001E-3"/>
  </r>
  <r>
    <x v="3"/>
    <x v="94"/>
    <s v="Fresh or Not Specified"/>
    <s v="Conventional grown"/>
    <s v="Yes"/>
    <s v="Italy"/>
    <n v="2014"/>
    <s v="Raghu KC (a)"/>
    <s v="(a) Lappeenranta University of Technology;"/>
    <s v="Master's Thesis"/>
    <s v="Kc, R., Comparative life cycle assessment on organic and conventional carrots - case; Carrots from south-savo and imported carrots from Italy. 2014, ."/>
    <s v="Yes"/>
    <s v="No"/>
    <s v="Yes"/>
    <s v="No"/>
    <s v="No"/>
    <s v="Yes"/>
    <s v="No"/>
    <s v="No"/>
    <s v="No"/>
    <s v="No"/>
    <s v="No"/>
    <s v="No"/>
    <m/>
    <s v="Agricultural production"/>
    <s v="No"/>
    <s v="No"/>
    <s v="1 kg carrots"/>
    <m/>
    <s v=""/>
    <s v=""/>
    <s v=""/>
    <s v=""/>
    <m/>
    <m/>
    <m/>
    <m/>
    <m/>
    <m/>
    <m/>
    <m/>
    <m/>
    <m/>
    <n v="3.68"/>
    <m/>
    <m/>
    <m/>
    <m/>
    <m/>
    <m/>
    <m/>
    <m/>
    <m/>
    <m/>
    <m/>
    <m/>
    <n v="0.28000000000000003"/>
  </r>
  <r>
    <x v="3"/>
    <x v="94"/>
    <s v="Fresh or Not Specified"/>
    <s v="Conventional grown"/>
    <s v="Yes"/>
    <s v="Finland"/>
    <n v="2014"/>
    <s v="Raghu KC (a)"/>
    <s v="(a) Lappeenranta University of Technology;"/>
    <s v="Master's Thesis"/>
    <s v="Kc, R., Comparative life cycle assessment on organic and conventional carrots - case; Carrots from south-savo and imported carrots from Italy. 2014, ."/>
    <s v="Yes"/>
    <s v="No"/>
    <s v="Yes"/>
    <s v="No"/>
    <s v="No"/>
    <s v="Yes"/>
    <s v="No"/>
    <s v="No"/>
    <s v="No"/>
    <s v="No"/>
    <s v="No"/>
    <s v="No"/>
    <m/>
    <s v="Agricultural production"/>
    <s v="No"/>
    <s v="No"/>
    <s v="1 kg carrots"/>
    <m/>
    <s v=""/>
    <s v=""/>
    <s v=""/>
    <s v=""/>
    <m/>
    <m/>
    <m/>
    <m/>
    <m/>
    <m/>
    <m/>
    <m/>
    <m/>
    <m/>
    <n v="1.88"/>
    <m/>
    <m/>
    <m/>
    <m/>
    <m/>
    <m/>
    <m/>
    <m/>
    <m/>
    <m/>
    <m/>
    <m/>
    <n v="0.14199999999999999"/>
  </r>
  <r>
    <x v="4"/>
    <x v="136"/>
    <s v="Fresh or Not Specified"/>
    <s v="Integrated production"/>
    <s v="No"/>
    <s v="Italy"/>
    <n v="2013"/>
    <s v="A. Lo Giudice (a); C. Mbohwa (a); M.T. Clasadonte (b); C. Ingrao (c);"/>
    <s v="(a) Department of Quality and Operations Management Faculty of Engineering and the Built Environment, University of Johannesburg South Africa Doornfontein 2028, Johannesburg, South Africa; (b)Department of Economics and Business, University of Catania, Corso Italia 55, 95129, Catania, Italy"/>
    <s v="Peer Reviewed Journal"/>
    <s v="Giudice, A. L., Mbohwa, C., Clasadonte, M. and Incrao, C., Environmental assessment of the citrus fruit production in Sicily using LCA. Italian Journal of Food Science 2013, 25 (2), 202."/>
    <s v="Yes"/>
    <s v="No"/>
    <s v="Yes"/>
    <s v="Yes"/>
    <s v="Yes"/>
    <s v="Yes"/>
    <s v="No"/>
    <s v="No"/>
    <s v="No"/>
    <s v="No"/>
    <s v="No"/>
    <s v="Yes"/>
    <m/>
    <s v="Cradle to retail"/>
    <s v="No"/>
    <s v="No"/>
    <s v="1 ton oranges"/>
    <s v="/1000"/>
    <s v=""/>
    <s v=""/>
    <s v=""/>
    <s v=""/>
    <m/>
    <m/>
    <m/>
    <m/>
    <m/>
    <m/>
    <m/>
    <m/>
    <m/>
    <m/>
    <n v="5.53"/>
    <m/>
    <m/>
    <m/>
    <m/>
    <m/>
    <m/>
    <m/>
    <m/>
    <m/>
    <m/>
    <m/>
    <m/>
    <n v="0.25700000000000001"/>
  </r>
  <r>
    <x v="3"/>
    <x v="18"/>
    <s v="Fresh or Not Specified"/>
    <s v="Waste volatisation - heating of greenhouse"/>
    <s v="Yes"/>
    <s v="Italy"/>
    <n v="2014"/>
    <s v="Joana Almeida (a); Wouter M.J. Achten (a); Bruno Verbist (a); Reindert F. Heuts (a); Eddie Schrevens (a); and Bart Muys (a);"/>
    <s v="(a) KU Leuven–University of Leuven, Division Forest, Nature and Landscape, Celestijnenlaan 200 E box 2411, BE-3001 Leuven, Belgium."/>
    <s v="Peer Reviewed Journal"/>
    <s v="Almeida, J., Achten, W. M. J., Verbist, B., Heuts, R. F., Schrevens, E. and Muys, B., Carbon and Water Footprints and Energy Use of Greenhouse Tomato Production in Northern Italy. Journal of Industrial Ecology 2014, 18 (6), 898-908."/>
    <s v="Yes"/>
    <s v="No"/>
    <s v="No"/>
    <s v="No"/>
    <s v="Yes"/>
    <s v="No"/>
    <s v="No"/>
    <s v="No"/>
    <s v="No"/>
    <s v="No"/>
    <s v="No"/>
    <s v="Yes"/>
    <m/>
    <s v="Production only"/>
    <s v="No"/>
    <s v="Yes"/>
    <s v="1 kg tomato"/>
    <m/>
    <n v="22.352170000000001"/>
    <s v=""/>
    <n v="0.812253"/>
    <s v=""/>
    <n v="22.352170000000001"/>
    <m/>
    <m/>
    <n v="4.7519999999999998"/>
    <m/>
    <m/>
    <m/>
    <m/>
    <n v="7.8029999999999999"/>
    <n v="22.352170000000001"/>
    <n v="35"/>
    <m/>
    <m/>
    <n v="0.812253"/>
    <m/>
    <m/>
    <n v="5.0326999999999997E-2"/>
    <m/>
    <m/>
    <m/>
    <m/>
    <n v="0.49769999999999998"/>
    <n v="0.812253"/>
    <n v="1.37"/>
  </r>
  <r>
    <x v="3"/>
    <x v="18"/>
    <s v="Fresh or Not Specified"/>
    <s v="Natural gas heating of greenhouse"/>
    <s v="Yes"/>
    <s v="Italy"/>
    <n v="2014"/>
    <s v="Joana Almeida (a); Wouter M.J. Achten (a); Bruno Verbist (a); Reindert F. Heuts (a); Eddie Schrevens (a); and Bart Muys (a);"/>
    <s v="(a) KU Leuven–University of Leuven, Division Forest, Nature and Landscape, Celestijnenlaan 200 E box 2411, BE-3001 Leuven, Belgium."/>
    <s v="Peer Reviewed Journal"/>
    <s v="Almeida, J., Achten, W. M. J., Verbist, B., Heuts, R. F., Schrevens, E. and Muys, B., Carbon and Water Footprints and Energy Use of Greenhouse Tomato Production in Northern Italy. Journal of Industrial Ecology 2014, 18 (6), 898-908."/>
    <s v="Yes"/>
    <s v="No"/>
    <s v="No"/>
    <s v="No"/>
    <s v="Yes"/>
    <s v="No"/>
    <s v="No"/>
    <s v="No"/>
    <s v="No"/>
    <s v="No"/>
    <s v="No"/>
    <s v="Yes"/>
    <m/>
    <s v="Production only"/>
    <s v="No"/>
    <s v="Yes"/>
    <s v="1 kg tomato"/>
    <m/>
    <n v="50.963999999999999"/>
    <s v=""/>
    <n v="3.0140340000000001"/>
    <s v=""/>
    <n v="50.963999999999999"/>
    <m/>
    <m/>
    <n v="4.7519999999999998"/>
    <m/>
    <m/>
    <m/>
    <m/>
    <n v="7.8029999999999999"/>
    <n v="50.963999999999999"/>
    <n v="63.6"/>
    <m/>
    <m/>
    <n v="3.0140340000000001"/>
    <m/>
    <m/>
    <n v="5.0326999999999997E-2"/>
    <m/>
    <m/>
    <m/>
    <m/>
    <n v="0.49769999999999998"/>
    <n v="3.0140340000000001"/>
    <n v="3.59"/>
  </r>
  <r>
    <x v="3"/>
    <x v="18"/>
    <s v="Fresh or Not Specified"/>
    <s v="Cogeneration heating of greenhouse"/>
    <s v="Yes"/>
    <s v="Italy"/>
    <n v="2014"/>
    <s v="Joana Almeida (a); Wouter M.J. Achten (a); Bruno Verbist (a); Reindert F. Heuts (a); Eddie Schrevens (a); and Bart Muys (a);"/>
    <s v="(a) KU Leuven–University of Leuven, Division Forest, Nature and Landscape, Celestijnenlaan 200 E box 2411, BE-3001 Leuven, Belgium."/>
    <s v="Peer Reviewed Journal"/>
    <s v="Almeida, J., Achten, W. M. J., Verbist, B., Heuts, R. F., Schrevens, E. and Muys, B., Carbon and Water Footprints and Energy Use of Greenhouse Tomato Production in Northern Italy. Journal of Industrial Ecology 2014, 18 (6), 898-908."/>
    <s v="Yes"/>
    <s v="No"/>
    <s v="No"/>
    <s v="No"/>
    <s v="Yes"/>
    <s v="No"/>
    <s v="No"/>
    <s v="No"/>
    <s v="No"/>
    <s v="No"/>
    <s v="No"/>
    <s v="Yes"/>
    <m/>
    <s v="Production only"/>
    <s v="No"/>
    <s v="Yes"/>
    <s v="1 kg tomato"/>
    <m/>
    <n v="31.48611"/>
    <s v=""/>
    <n v="2.1017410000000001"/>
    <s v=""/>
    <n v="31.48611"/>
    <m/>
    <m/>
    <n v="4.7519999999999998"/>
    <m/>
    <m/>
    <m/>
    <m/>
    <n v="7.8029999999999999"/>
    <n v="31.48611"/>
    <n v="44"/>
    <m/>
    <m/>
    <n v="2.1017410000000001"/>
    <m/>
    <m/>
    <n v="5.0326999999999997E-2"/>
    <m/>
    <m/>
    <m/>
    <m/>
    <n v="0.49769999999999998"/>
    <n v="2.1017410000000001"/>
    <n v="2.69"/>
  </r>
  <r>
    <x v="3"/>
    <x v="63"/>
    <s v="Fresh or Not Specified"/>
    <s v="Sajor-Caju Mushrooms, Small Farm (&lt; 20,000 kg per year)"/>
    <s v="No"/>
    <s v="Thailand"/>
    <n v="2014"/>
    <s v="S. Ueawiwatsakul (a); T. Mungcharoen (b); R. Tongpool (c)"/>
    <s v="(a) Thailand Advanced Institute of science and_x000a_ Technology and Tokyo Institute of Technology (TAIST-Tokyo Tech), Faculty of Engineering, Kesetsart University, Bangkok 10900, Thailand; (b) Faculty of Engineering, Kasetsart University,_x000a_ Bangkok 10900, Thailand;(c) National Metal and Materials Technology Center,_x000a_ Pathumthani, 12120, Thailand"/>
    <s v="Peer Reviewed Journal"/>
    <s v="Ueawiwatsakul, S., Mungcharoen, T. and Tongpool, R., Life Cycle Assessment of Sajor-caju Mushroom (Pleurotus Sajor-caju) from Different Sizes of Farms in Thailand. International Journal of Environmental Science and Development 2014, 5 (5), 435-439."/>
    <s v="Yes"/>
    <s v="No"/>
    <s v="No"/>
    <s v="No"/>
    <s v="No"/>
    <s v="No"/>
    <s v="No"/>
    <s v="No"/>
    <s v="No"/>
    <s v="No"/>
    <s v="No"/>
    <s v="No"/>
    <m/>
    <s v="Cradle to Farm Gate"/>
    <s v="No"/>
    <s v="No"/>
    <s v="1 kg of sajor-caju"/>
    <s v="N/A"/>
    <n v="4.9137899999999997"/>
    <s v=""/>
    <n v="3.0145179999999998"/>
    <s v=""/>
    <m/>
    <m/>
    <m/>
    <m/>
    <m/>
    <m/>
    <m/>
    <m/>
    <m/>
    <n v="4.9137899999999997"/>
    <m/>
    <m/>
    <m/>
    <m/>
    <m/>
    <m/>
    <m/>
    <m/>
    <m/>
    <m/>
    <m/>
    <m/>
    <n v="3.0145179999999998"/>
    <m/>
  </r>
  <r>
    <x v="3"/>
    <x v="63"/>
    <s v="Fresh or Not Specified"/>
    <s v="Sajor-Caju Mushrooms, Medium Farm (20,000-40,000 kg per year)"/>
    <s v="No"/>
    <s v="Thailand"/>
    <n v="2014"/>
    <s v="S. Ueawiwatsakul (a); T. Mungcharoen (b); R. Tongpool (c)"/>
    <s v="(a) Thailand Advanced Institute of science and_x000a_ Technology and Tokyo Institute of Technology (TAIST-Tokyo Tech), Faculty of Engineering, Kesetsart University, Bangkok 10900, Thailand; (b) Faculty of Engineering, Kasetsart University,_x000a_ Bangkok 10900, Thailand;(c) National Metal and Materials Technology Center,_x000a_ Pathumthani, 12120, Thailand"/>
    <s v="Peer Reviewed Journal"/>
    <s v="Ueawiwatsakul, S., Mungcharoen, T. and Tongpool, R., Life Cycle Assessment of Sajor-caju Mushroom (Pleurotus Sajor-caju) from Different Sizes of Farms in Thailand. International Journal of Environmental Science and Development 2014, 5 (5), 435-439."/>
    <s v="Yes"/>
    <s v="No"/>
    <s v="No"/>
    <s v="No"/>
    <s v="No"/>
    <s v="No"/>
    <s v="No"/>
    <s v="No"/>
    <s v="No"/>
    <s v="No"/>
    <s v="No"/>
    <s v="No"/>
    <m/>
    <s v="Cradle to Farm Gate"/>
    <s v="No"/>
    <s v="No"/>
    <s v="1 kg of sajor-caju"/>
    <s v="N/A"/>
    <n v="5.2694879999999999"/>
    <s v=""/>
    <n v="5.0029450000000004"/>
    <s v=""/>
    <m/>
    <m/>
    <m/>
    <m/>
    <m/>
    <m/>
    <m/>
    <m/>
    <m/>
    <n v="5.2694879999999999"/>
    <m/>
    <m/>
    <m/>
    <m/>
    <m/>
    <m/>
    <m/>
    <m/>
    <m/>
    <m/>
    <m/>
    <m/>
    <n v="5.0029450000000004"/>
    <m/>
  </r>
  <r>
    <x v="3"/>
    <x v="63"/>
    <s v="Fresh or Not Specified"/>
    <s v="Sajor-Caju Mushrooms, Large Farm (&gt; 40,000 kg per year)"/>
    <s v="No"/>
    <s v="Thailand"/>
    <n v="2014"/>
    <s v="S. Ueawiwatsakul (a); T. Mungcharoen (b); R. Tongpool (c)"/>
    <s v="(a) Thailand Advanced Institute of science and_x000a_ Technology and Tokyo Institute of Technology (TAIST-Tokyo Tech), Faculty of Engineering, Kesetsart University, Bangkok 10900, Thailand; (b) Faculty of Engineering, Kasetsart University,_x000a_ Bangkok 10900, Thailand;(c) National Metal and Materials Technology Center,_x000a_ Pathumthani, 12120, Thailand"/>
    <s v="Peer Reviewed Journal"/>
    <s v="Ueawiwatsakul, S., Mungcharoen, T. and Tongpool, R., Life Cycle Assessment of Sajor-caju Mushroom (Pleurotus Sajor-caju) from Different Sizes of Farms in Thailand. International Journal of Environmental Science and Development 2014, 5 (5), 435-439."/>
    <s v="Yes"/>
    <s v="No"/>
    <s v="No"/>
    <s v="No"/>
    <s v="No"/>
    <s v="No"/>
    <s v="No"/>
    <s v="No"/>
    <s v="No"/>
    <s v="No"/>
    <s v="No"/>
    <s v="No"/>
    <m/>
    <s v="Cradle to Farm Gate"/>
    <s v="No"/>
    <s v="No"/>
    <s v="1 kg of sajor-caju"/>
    <s v="N/A"/>
    <n v="4.3407419999999997"/>
    <s v=""/>
    <n v="3.371086"/>
    <s v=""/>
    <m/>
    <m/>
    <m/>
    <m/>
    <m/>
    <m/>
    <m/>
    <m/>
    <m/>
    <n v="4.3407419999999997"/>
    <m/>
    <m/>
    <m/>
    <m/>
    <m/>
    <m/>
    <m/>
    <m/>
    <m/>
    <m/>
    <m/>
    <m/>
    <n v="3.371086"/>
    <m/>
  </r>
  <r>
    <x v="3"/>
    <x v="86"/>
    <s v="Fresh or Not Specified"/>
    <s v="Cucumber, grown in greenhouse"/>
    <s v="No"/>
    <s v="Iran"/>
    <n v="2013"/>
    <s v="Benyamin Khoshnevisan (a); Sean Clark (b); Shahin Rafiee (a); Mahmoud Omid (a); Hossein Mousazadeh (a)"/>
    <m/>
    <s v="Peer Reviewed Journal"/>
    <s v="Khoshnevisan, B., Rafiee, S. and Mousazadeh, H., Environmental impact assessment of open field and greenhouse strawberry production. European Journal of Agronomy 2013, 50, 29-37."/>
    <s v="Yes"/>
    <s v="No"/>
    <s v="No"/>
    <s v="No"/>
    <s v="No"/>
    <s v="No"/>
    <s v="No"/>
    <s v="No"/>
    <s v="No"/>
    <s v="No"/>
    <s v="No"/>
    <s v="No"/>
    <m/>
    <s v="Cradle to Farm Gate"/>
    <s v="No"/>
    <s v="No"/>
    <s v="tonne of crop"/>
    <s v="RV / 1000"/>
    <s v=""/>
    <s v=""/>
    <n v="0.12938999999999998"/>
    <s v=""/>
    <m/>
    <m/>
    <m/>
    <m/>
    <m/>
    <m/>
    <m/>
    <m/>
    <m/>
    <m/>
    <m/>
    <m/>
    <m/>
    <m/>
    <m/>
    <m/>
    <m/>
    <m/>
    <m/>
    <m/>
    <m/>
    <m/>
    <n v="0.12938999999999998"/>
    <m/>
  </r>
  <r>
    <x v="3"/>
    <x v="18"/>
    <s v="Fresh or Not Specified"/>
    <s v="Tomato, grown in greenhouse"/>
    <s v="No"/>
    <s v="Iran"/>
    <n v="2013"/>
    <s v="Benyamin Khoshnevisan (a); Sean Clark (b); Shahin Rafiee (a); Mahmoud Omid (a); Hossein Mousazadeh (a)"/>
    <m/>
    <s v="Peer Reviewed Journal"/>
    <s v="Khoshnevisan, B., Rafiee, S. and Mousazadeh, H., Environmental impact assessment of open field and greenhouse strawberry production. European Journal of Agronomy 2013, 50, 29-37."/>
    <s v="Yes"/>
    <s v="No"/>
    <s v="No"/>
    <s v="No"/>
    <s v="No"/>
    <s v="No"/>
    <s v="No"/>
    <s v="No"/>
    <s v="No"/>
    <s v="No"/>
    <s v="No"/>
    <s v="No"/>
    <m/>
    <s v="Cradle to Farm Gate"/>
    <s v="No"/>
    <s v="No"/>
    <s v="tonne of crop"/>
    <s v="RV / 1000"/>
    <s v=""/>
    <s v=""/>
    <n v="0.24493000000000001"/>
    <s v=""/>
    <m/>
    <m/>
    <m/>
    <m/>
    <m/>
    <m/>
    <m/>
    <m/>
    <m/>
    <m/>
    <m/>
    <m/>
    <m/>
    <m/>
    <m/>
    <m/>
    <m/>
    <m/>
    <m/>
    <m/>
    <m/>
    <m/>
    <n v="0.24493000000000001"/>
    <m/>
  </r>
  <r>
    <x v="0"/>
    <x v="0"/>
    <s v="Fresh or Not Specified"/>
    <s v="Fluid Milk"/>
    <s v="No"/>
    <s v="Portugal"/>
    <n v="2010"/>
    <s v="É.G. Castanheira (a); A.C. Dias (b); L. Arroja (b); R. Amaro (c)"/>
    <s v="(a) ADAI, Department of Mechanical Engineering – University of Coimbra, 3030-788 Coimbra, Portugal; (b) CESAM, Department of Environment and Planning – University of Aveiro, 3810-193 Aveiro, Portugal; (c) CERNAS, Escola Superior Agrária, Instituto Politécnico de Coimbra, 3040-316 Coimbra, Portugal"/>
    <s v="Peer Reviewed Journal"/>
    <s v="Castanheira, É. G., Dias, A. C., Arroja, L. and Amaro, R., The environmental performance of milk production on a typical Portuguese dairy farm. Agricultural Systems 2010, 103 (7), 498-507."/>
    <s v="Yes"/>
    <s v="No"/>
    <s v="No"/>
    <s v="No"/>
    <s v="No"/>
    <s v="No"/>
    <s v="No"/>
    <s v="No"/>
    <s v="No"/>
    <s v="No"/>
    <s v="No"/>
    <s v="No"/>
    <m/>
    <s v="Cradle to Farm Gate"/>
    <s v="No"/>
    <s v="No"/>
    <s v="1 tonne raw milk delivered to farm gate"/>
    <s v="RV / 1000"/>
    <s v=""/>
    <s v=""/>
    <n v="1.02078"/>
    <s v=""/>
    <m/>
    <m/>
    <m/>
    <m/>
    <m/>
    <m/>
    <m/>
    <m/>
    <m/>
    <m/>
    <m/>
    <m/>
    <m/>
    <m/>
    <m/>
    <m/>
    <m/>
    <m/>
    <m/>
    <m/>
    <m/>
    <m/>
    <n v="1.02078"/>
    <m/>
  </r>
  <r>
    <x v="0"/>
    <x v="0"/>
    <s v="Fresh or Not Specified"/>
    <s v="Fluid Milk"/>
    <s v="No"/>
    <s v="UK"/>
    <n v="2012"/>
    <s v="DairyCo"/>
    <s v="Agriculture and Horticulture_x000a_ Development Board, UK"/>
    <s v="Government Report"/>
    <s v="DairyCo. Greenhouse gas emissions on British dairy farms: Agriculture and Horticulture Development Board; 2012."/>
    <s v="Yes"/>
    <s v="No"/>
    <s v="No"/>
    <s v="No"/>
    <s v="No"/>
    <s v="No"/>
    <s v="No"/>
    <s v="No"/>
    <s v="No"/>
    <s v="No"/>
    <s v="No"/>
    <s v="No"/>
    <m/>
    <s v="Cradle to Farm Gate"/>
    <s v="No"/>
    <s v="No"/>
    <s v="1 liter of FCMP"/>
    <s v="RV x (1000L/1m^3) x (1m^3/1035kg)"/>
    <s v=""/>
    <s v=""/>
    <n v="1.2647342995169082"/>
    <s v=""/>
    <m/>
    <m/>
    <m/>
    <m/>
    <m/>
    <m/>
    <m/>
    <m/>
    <m/>
    <m/>
    <m/>
    <m/>
    <m/>
    <m/>
    <m/>
    <m/>
    <m/>
    <m/>
    <m/>
    <m/>
    <m/>
    <m/>
    <n v="1.2647342995169082"/>
    <m/>
  </r>
  <r>
    <x v="4"/>
    <x v="66"/>
    <s v="Fresh or Not Specified"/>
    <s v="European consumption in country of production"/>
    <s v="No"/>
    <s v="Europe"/>
    <n v="2007"/>
    <s v="Llorenç Milà i Canals1*, Sarah J. Cowell1,2, Sarah Sim1 and Lauren Basson1"/>
    <s v="1 Centre for Environmental Strategy, University of Surrey (D3), GU2 7XH Guildford (Surrey), UK, 2 Sustainability and Society, Landcare Research, PO Box 40, Lincoln 7640, New Zealand"/>
    <s v="Peer Reviewed Journal"/>
    <s v="Milà I Canals, L., Cowell, S. J., Sim, S. and Basson, L., Comparing domestic versus imported apples: a focus on energy use. Environmental science and pollution research international 2007, 14 (5), 338-344."/>
    <s v="Yes"/>
    <s v="No"/>
    <s v="Yes"/>
    <s v="No"/>
    <s v="Yes"/>
    <s v="Yes"/>
    <s v="No"/>
    <s v="No"/>
    <s v="No"/>
    <s v="No"/>
    <s v="No"/>
    <s v="No"/>
    <m/>
    <s v="cradle to retail; reporting average of 4 seasons"/>
    <s v="yes, during storage"/>
    <s v="Yes"/>
    <s v="1 kg apples at European retail outlet"/>
    <m/>
    <n v="1.25"/>
    <n v="2.4875000000000003"/>
    <s v=""/>
    <s v=""/>
    <n v="1.25"/>
    <n v="1.2375000000000003"/>
    <m/>
    <n v="0.65"/>
    <n v="0.2"/>
    <m/>
    <m/>
    <m/>
    <m/>
    <n v="1.25"/>
    <n v="3.3499999999999996"/>
    <m/>
    <m/>
    <m/>
    <m/>
    <m/>
    <m/>
    <m/>
    <m/>
    <m/>
    <m/>
    <m/>
    <m/>
    <m/>
  </r>
  <r>
    <x v="4"/>
    <x v="66"/>
    <s v="Fresh or Not Specified"/>
    <s v="European consumption, European production, not consumed in country of production"/>
    <s v="No"/>
    <s v="Europe"/>
    <n v="2007"/>
    <s v="Llorenç Milà i Canals1*, Sarah J. Cowell1,2, Sarah Sim1 and Lauren Basson1"/>
    <s v="1 Centre for Environmental Strategy, University of Surrey (D3), GU2 7XH Guildford (Surrey), UK, 2 Sustainability and Society, Landcare Research, PO Box 40, Lincoln 7640, New Zealand"/>
    <s v="Peer Reviewed Journal"/>
    <s v="Milà I Canals, L., Cowell, S. J., Sim, S. and Basson, L., Comparing domestic versus imported apples: a focus on energy use. Environmental science and pollution research international 2007, 14 (5), 338-344."/>
    <s v="Yes"/>
    <s v="No"/>
    <s v="Yes"/>
    <s v="No"/>
    <s v="Yes"/>
    <s v="Yes"/>
    <s v="No"/>
    <s v="No"/>
    <s v="No"/>
    <s v="No"/>
    <s v="No"/>
    <s v="No"/>
    <m/>
    <s v="cradle to retail; reporting average of 4 seasons"/>
    <s v="yes, during storage"/>
    <s v="Yes"/>
    <s v="1 kg apples at European retail outlet"/>
    <m/>
    <n v="1.25"/>
    <n v="3.7475000000000001"/>
    <s v=""/>
    <s v=""/>
    <n v="1.25"/>
    <n v="2.4975000000000001"/>
    <m/>
    <n v="0.65"/>
    <n v="0.2"/>
    <m/>
    <m/>
    <m/>
    <m/>
    <n v="1.25"/>
    <n v="4.625"/>
    <m/>
    <m/>
    <m/>
    <m/>
    <m/>
    <m/>
    <m/>
    <m/>
    <m/>
    <m/>
    <m/>
    <m/>
    <m/>
  </r>
  <r>
    <x v="4"/>
    <x v="66"/>
    <s v="Fresh or Not Specified"/>
    <s v="European consumption, New Zealand production"/>
    <s v="No"/>
    <s v="New Zealand"/>
    <n v="2007"/>
    <s v="Llorenç Milà i Canals1*, Sarah J. Cowell1,2, Sarah Sim1 and Lauren Basson1"/>
    <s v="1 Centre for Environmental Strategy, University of Surrey (D3), GU2 7XH Guildford (Surrey), UK, 2 Sustainability and Society, Landcare Research, PO Box 40, Lincoln 7640, New Zealand"/>
    <s v="Peer Reviewed Journal"/>
    <s v="Milà I Canals, L., Cowell, S. J., Sim, S. and Basson, L., Comparing domestic versus imported apples: a focus on energy use. Environmental science and pollution research international 2007, 14 (5), 338-344."/>
    <s v="Yes"/>
    <s v="No"/>
    <s v="Yes"/>
    <s v="No"/>
    <s v="Yes"/>
    <s v="Yes"/>
    <s v="No"/>
    <s v="No"/>
    <s v="No"/>
    <s v="No"/>
    <s v="No"/>
    <s v="No"/>
    <m/>
    <s v="cradle to retail; reporting average of 4 seasons"/>
    <s v="yes, during storage"/>
    <s v="Yes"/>
    <s v="1 kg apples at European retail outlet"/>
    <m/>
    <n v="0.54749999999999999"/>
    <n v="4.6150000000000002"/>
    <s v=""/>
    <s v=""/>
    <n v="0.54749999999999999"/>
    <n v="4.0674999999999999"/>
    <m/>
    <n v="0.65"/>
    <n v="0.2"/>
    <m/>
    <m/>
    <m/>
    <m/>
    <n v="0.54749999999999999"/>
    <n v="5.4499999999999993"/>
    <m/>
    <m/>
    <m/>
    <m/>
    <m/>
    <m/>
    <m/>
    <m/>
    <m/>
    <m/>
    <m/>
    <m/>
    <m/>
  </r>
  <r>
    <x v="4"/>
    <x v="66"/>
    <s v="Fresh or Not Specified"/>
    <s v="European consumption, other southern hemisphere country production"/>
    <m/>
    <s v="Southern Hemisphere, not new zealand"/>
    <n v="2007"/>
    <s v="Llorenç Milà i Canals1*, Sarah J. Cowell1,2, Sarah Sim1 and Lauren Basson1"/>
    <s v="1 Centre for Environmental Strategy, University of Surrey (D3), GU2 7XH Guildford (Surrey), UK, 2 Sustainability and Society, Landcare Research, PO Box 40, Lincoln 7640, New Zealand"/>
    <s v="Peer Reviewed Journal"/>
    <s v="Milà I Canals, L., Cowell, S. J., Sim, S. and Basson, L., Comparing domestic versus imported apples: a focus on energy use. Environmental science and pollution research international 2007, 14 (5), 338-344."/>
    <s v="Yes"/>
    <s v="No"/>
    <s v="Yes"/>
    <s v="No"/>
    <s v="Yes"/>
    <s v="Yes"/>
    <s v="No"/>
    <s v="No"/>
    <s v="No"/>
    <s v="No"/>
    <s v="No"/>
    <s v="No"/>
    <m/>
    <s v="cradle to retail; reporting average of 4 seasons"/>
    <s v="yes, during storage"/>
    <s v="Yes"/>
    <s v="1 kg apples at European retail outlet"/>
    <m/>
    <n v="1.2"/>
    <n v="3.8875000000000002"/>
    <s v=""/>
    <s v=""/>
    <n v="1.2"/>
    <n v="2.6875"/>
    <m/>
    <n v="0.65"/>
    <n v="0.2"/>
    <m/>
    <m/>
    <m/>
    <m/>
    <n v="1.2"/>
    <n v="4.7250000000000005"/>
    <m/>
    <m/>
    <m/>
    <m/>
    <m/>
    <m/>
    <m/>
    <m/>
    <m/>
    <m/>
    <m/>
    <m/>
    <m/>
  </r>
  <r>
    <x v="7"/>
    <x v="110"/>
    <s v="bottled"/>
    <s v="Coca-Cola, 330 mL aluminum can"/>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49438725062525446"/>
  </r>
  <r>
    <x v="7"/>
    <x v="110"/>
    <s v="bottled"/>
    <s v="Coca-Cola, 330 mL glass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1.0469377072064212"/>
  </r>
  <r>
    <x v="7"/>
    <x v="110"/>
    <s v="bottled"/>
    <s v="Coca-Cola, 2 L plastic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23992322456813819"/>
  </r>
  <r>
    <x v="7"/>
    <x v="110"/>
    <s v="bottled"/>
    <s v="Diet Coke, 330 mL aluminum can"/>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43622404466934217"/>
  </r>
  <r>
    <x v="7"/>
    <x v="110"/>
    <s v="bottled"/>
    <s v="Diet Coke, 330 mL glass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98877450125050892"/>
  </r>
  <r>
    <x v="7"/>
    <x v="110"/>
    <s v="bottled"/>
    <s v="Diet Coke, 2 L plastic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19193857965451055"/>
  </r>
  <r>
    <x v="7"/>
    <x v="110"/>
    <s v="bottled"/>
    <s v="Coke Zero, 330 mL aluminum can"/>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43622404466934217"/>
  </r>
  <r>
    <x v="7"/>
    <x v="110"/>
    <s v="bottled"/>
    <s v="Coke Zero, 330 mL glass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98877450125050892"/>
  </r>
  <r>
    <x v="7"/>
    <x v="110"/>
    <s v="bottled"/>
    <s v="Coke Zero, 2 L plastic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19193857965451055"/>
  </r>
  <r>
    <x v="7"/>
    <x v="110"/>
    <s v="bottled"/>
    <s v="Oasis, 375 mL glass bottle"/>
    <m/>
    <m/>
    <m/>
    <s v="Coca-Cola Great Britian"/>
    <m/>
    <s v="Other (specify)"/>
    <s v="Coca-Cola Great Britain. What's the carbon footprint of a Coca-Cola? [cited 2017 February] Available from: http://www.cocacola.co.uk/packages/sustainability/whats-the-carbon-footprint-of-a-coca-cola"/>
    <m/>
    <m/>
    <m/>
    <m/>
    <m/>
    <m/>
    <m/>
    <m/>
    <m/>
    <m/>
    <m/>
    <m/>
    <m/>
    <m/>
    <m/>
    <m/>
    <m/>
    <m/>
    <s v=""/>
    <s v=""/>
    <s v=""/>
    <s v=""/>
    <m/>
    <m/>
    <m/>
    <m/>
    <m/>
    <m/>
    <m/>
    <m/>
    <m/>
    <m/>
    <m/>
    <m/>
    <m/>
    <m/>
    <m/>
    <m/>
    <m/>
    <m/>
    <m/>
    <m/>
    <m/>
    <m/>
    <m/>
    <n v="0.87012156110044792"/>
  </r>
  <r>
    <x v="7"/>
    <x v="141"/>
    <s v="bottled"/>
    <s v="glass bottle"/>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No"/>
    <s v="No"/>
    <s v="No"/>
    <s v="No"/>
    <s v="No"/>
    <s v="No"/>
    <s v="no"/>
    <m/>
    <m/>
    <m/>
    <s v="g per litre beer"/>
    <s v="/1000/1.01 (assumed density of beer in kg/L)"/>
    <s v=""/>
    <s v=""/>
    <n v="0.15445544554455445"/>
    <n v="0.85940594059405928"/>
    <m/>
    <m/>
    <m/>
    <m/>
    <m/>
    <m/>
    <m/>
    <m/>
    <m/>
    <m/>
    <m/>
    <m/>
    <m/>
    <n v="0.15445544554455445"/>
    <n v="1.782178217821782E-2"/>
    <n v="0.68712871287128707"/>
    <n v="0.52772277227722775"/>
    <m/>
    <m/>
    <m/>
    <m/>
    <m/>
    <n v="0.15445544554455445"/>
    <n v="1.387128712871287"/>
  </r>
  <r>
    <x v="7"/>
    <x v="141"/>
    <s v="draft"/>
    <m/>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No"/>
    <s v="No"/>
    <s v="No"/>
    <s v="No"/>
    <s v="No"/>
    <s v="No"/>
    <s v="no"/>
    <m/>
    <m/>
    <m/>
    <s v="g per litre beer"/>
    <s v="/1000/1.01 (assumed density of beer in kg/L)"/>
    <s v=""/>
    <s v=""/>
    <n v="0.15445544554455445"/>
    <n v="0.83960396039603957"/>
    <m/>
    <m/>
    <m/>
    <m/>
    <m/>
    <m/>
    <m/>
    <m/>
    <m/>
    <m/>
    <m/>
    <m/>
    <m/>
    <n v="0.15445544554455445"/>
    <m/>
    <n v="0.68514851485148509"/>
    <n v="6.3366336633663367E-2"/>
    <n v="0.14653465346534653"/>
    <m/>
    <m/>
    <m/>
    <m/>
    <n v="0.15445544554455445"/>
    <n v="1.0485148514851486"/>
  </r>
  <r>
    <x v="7"/>
    <x v="141"/>
    <s v="bottled"/>
    <s v="glass bottle"/>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No"/>
    <s v="No"/>
    <s v="No"/>
    <s v="No"/>
    <s v="No"/>
    <s v="No"/>
    <s v="no"/>
    <m/>
    <m/>
    <m/>
    <s v="g per litre beer"/>
    <s v="/1000/1.01 (assumed density of beer in kg/L)"/>
    <s v=""/>
    <s v=""/>
    <n v="0.33564356435643561"/>
    <n v="0.82178217821782173"/>
    <m/>
    <m/>
    <m/>
    <m/>
    <m/>
    <m/>
    <m/>
    <m/>
    <m/>
    <m/>
    <m/>
    <m/>
    <m/>
    <n v="0.33564356435643561"/>
    <n v="0.36336633663366336"/>
    <n v="0.12277227722772277"/>
    <n v="0.17722772277227722"/>
    <m/>
    <m/>
    <m/>
    <m/>
    <m/>
    <n v="0.33564356435643561"/>
    <n v="1.0138613861386139"/>
  </r>
  <r>
    <x v="7"/>
    <x v="141"/>
    <s v="draft"/>
    <m/>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No"/>
    <s v="No"/>
    <s v="No"/>
    <s v="No"/>
    <s v="No"/>
    <s v="No"/>
    <s v="no"/>
    <m/>
    <m/>
    <m/>
    <s v="g per litre beer"/>
    <s v="/1000/1.01 (assumed density of beer in kg/L)"/>
    <s v=""/>
    <s v=""/>
    <n v="0.33589108910891086"/>
    <n v="0.82351485148514847"/>
    <m/>
    <m/>
    <m/>
    <m/>
    <m/>
    <m/>
    <m/>
    <m/>
    <m/>
    <m/>
    <m/>
    <m/>
    <m/>
    <n v="0.33589108910891086"/>
    <n v="0.3636138613861386"/>
    <n v="0.12400990099009901"/>
    <n v="0.19133663366336634"/>
    <m/>
    <m/>
    <m/>
    <m/>
    <m/>
    <n v="0.33589108910891086"/>
    <n v="1"/>
  </r>
  <r>
    <x v="7"/>
    <x v="141"/>
    <m/>
    <m/>
    <m/>
    <m/>
    <n v="2010"/>
    <s v="Henrik Saxe"/>
    <s v="Institute of Food and Resource Economics, Copenhagen"/>
    <s v="NGO Report"/>
    <s v="Saxe H. LCA-based comparison of the climate footprint of beer vs. wine &amp; spirits: Fødevareøkonomisk Institut, Københavns Universitet; 2010."/>
    <m/>
    <m/>
    <m/>
    <m/>
    <m/>
    <m/>
    <m/>
    <m/>
    <m/>
    <m/>
    <m/>
    <m/>
    <m/>
    <m/>
    <m/>
    <m/>
    <s v="g per litre beer"/>
    <s v="/1000/1.01 (assumed density of beer in kg/L)"/>
    <s v=""/>
    <s v=""/>
    <n v="0.29273927392739274"/>
    <n v="0.40033003300330033"/>
    <m/>
    <m/>
    <m/>
    <m/>
    <m/>
    <m/>
    <m/>
    <m/>
    <m/>
    <m/>
    <m/>
    <m/>
    <m/>
    <n v="0.29273927392739274"/>
    <m/>
    <n v="0.10759075907590759"/>
    <n v="0.36996699669966993"/>
    <n v="0.14125412541254126"/>
    <n v="0.43333333333333329"/>
    <n v="0.13828382838283829"/>
    <m/>
    <m/>
    <n v="0.29273927392739274"/>
    <n v="1.4831683168316832"/>
  </r>
  <r>
    <x v="7"/>
    <x v="141"/>
    <s v="ave bottles &amp; cans"/>
    <m/>
    <m/>
    <m/>
    <n v="2010"/>
    <s v="Henrik Saxe"/>
    <s v="Institute of Food and Resource Economics, Copenhagen"/>
    <s v="NGO Report"/>
    <s v="Saxe H. LCA-based comparison of the climate footprint of beer vs. wine &amp; spirits: Fødevareøkonomisk Institut, Københavns Universitet; 2010."/>
    <s v="Yes"/>
    <s v="No"/>
    <s v="Yes"/>
    <s v="Yes"/>
    <s v="Yes"/>
    <s v="No"/>
    <s v="Yes"/>
    <s v="No"/>
    <s v="Yes"/>
    <m/>
    <m/>
    <m/>
    <m/>
    <s v="includes refrigeration in use phase"/>
    <m/>
    <m/>
    <s v="g per litre beer"/>
    <s v="/1000/1.01 (assumed density of beer in kg/L)"/>
    <s v=""/>
    <s v=""/>
    <s v=""/>
    <s v=""/>
    <m/>
    <m/>
    <m/>
    <m/>
    <m/>
    <m/>
    <m/>
    <m/>
    <m/>
    <m/>
    <m/>
    <m/>
    <m/>
    <m/>
    <m/>
    <m/>
    <m/>
    <m/>
    <m/>
    <m/>
    <m/>
    <m/>
    <m/>
    <m/>
  </r>
  <r>
    <x v="7"/>
    <x v="141"/>
    <s v="bottles"/>
    <s v="New Belgium Fat Tire in 6 pack bottles"/>
    <m/>
    <m/>
    <n v="2008"/>
    <s v="The Climate Conservancy"/>
    <m/>
    <s v="NGO Report"/>
    <s v="The Climate Conservancy, The Carbon Footprint of Fat Tire® Amber Ale. 2008, ."/>
    <s v="Yes"/>
    <s v="No"/>
    <s v="Yes"/>
    <s v="Yes"/>
    <s v="Yes"/>
    <s v="Yes"/>
    <s v="Yes"/>
    <s v="Yes"/>
    <s v="Yes"/>
    <s v="No"/>
    <s v="No"/>
    <s v="No"/>
    <m/>
    <m/>
    <s v="No"/>
    <m/>
    <s v="g per 6 pack"/>
    <s v="/1000/72 oz.(=2.129 L)/1.05"/>
    <s v=""/>
    <s v=""/>
    <n v="0.28101438189178912"/>
    <n v="0.38514661477554857"/>
    <m/>
    <m/>
    <m/>
    <m/>
    <m/>
    <m/>
    <m/>
    <m/>
    <m/>
    <m/>
    <m/>
    <m/>
    <m/>
    <n v="0.28101438189178912"/>
    <m/>
    <n v="0.10413223288375942"/>
    <n v="0.3566172359032857"/>
    <n v="0.13551454964324858"/>
    <n v="0.41652893153503773"/>
    <n v="0.13266161175602229"/>
    <m/>
    <m/>
    <n v="0.28101438189178912"/>
    <n v="1.4829627631621782"/>
  </r>
  <r>
    <x v="7"/>
    <x v="141"/>
    <s v="bottled"/>
    <s v="European format, 33cL bottle"/>
    <s v="No"/>
    <m/>
    <n v="2012"/>
    <s v="Beverage Industry Environmental Roundtable"/>
    <m/>
    <s v="NGO Report"/>
    <s v="Beverage Industry Environmental Roundtable, Research on the carbon footprint of beer. Beverage Industry Environmental Roundtable 2012, ."/>
    <s v="Yes"/>
    <s v="No"/>
    <s v="Yes"/>
    <s v="Yes"/>
    <s v="Yes"/>
    <s v="Yes"/>
    <s v="Yes"/>
    <s v="Yes"/>
    <s v="Yes"/>
    <s v="No"/>
    <s v="No"/>
    <s v="No"/>
    <m/>
    <m/>
    <s v="No"/>
    <m/>
    <s v="g per L"/>
    <s v="/1000/1.05 (assumed density of beer in kg/L)"/>
    <s v=""/>
    <s v=""/>
    <n v="0.16176237623762377"/>
    <n v="0.26572277227722774"/>
    <m/>
    <m/>
    <m/>
    <m/>
    <m/>
    <m/>
    <m/>
    <m/>
    <m/>
    <m/>
    <m/>
    <m/>
    <m/>
    <n v="0.16176237623762377"/>
    <m/>
    <n v="0.10396039603960396"/>
    <n v="5.4475247524752475E-2"/>
    <n v="5.1980198019801978E-2"/>
    <n v="2.1207920792079206E-2"/>
    <m/>
    <m/>
    <m/>
    <n v="0.16176237623762377"/>
    <n v="0.41584158415841582"/>
  </r>
  <r>
    <x v="7"/>
    <x v="141"/>
    <s v="Canned"/>
    <s v="North American format, 255mL can"/>
    <s v="No"/>
    <m/>
    <n v="2012"/>
    <s v="Beverage Industry Environmental Roundtable"/>
    <m/>
    <s v="NGO Report"/>
    <s v="Beverage Industry Environmental Roundtable, Research on the carbon footprint of beer. Beverage Industry Environmental Roundtable 2012, ."/>
    <s v="Yes"/>
    <s v="No"/>
    <s v="Yes"/>
    <s v="Yes"/>
    <s v="Yes"/>
    <s v="Yes"/>
    <s v="Yes"/>
    <s v="Yes"/>
    <s v="Yes"/>
    <s v="No"/>
    <s v="No"/>
    <s v="No"/>
    <m/>
    <m/>
    <s v="No"/>
    <m/>
    <s v="g per L"/>
    <s v="/1000/1.05 (assumed density of beer in kg/L)"/>
    <s v=""/>
    <s v=""/>
    <n v="0.29584158415841588"/>
    <n v="0.40099009900990101"/>
    <m/>
    <m/>
    <m/>
    <m/>
    <m/>
    <m/>
    <m/>
    <m/>
    <m/>
    <m/>
    <m/>
    <m/>
    <m/>
    <n v="0.29584158415841588"/>
    <m/>
    <n v="0.10514851485148514"/>
    <n v="0.37603960396039604"/>
    <n v="6.8613861386138619E-2"/>
    <n v="2.9405940594059408E-2"/>
    <m/>
    <m/>
    <m/>
    <n v="0.29584158415841588"/>
    <n v="0.8910891089108911"/>
  </r>
  <r>
    <x v="7"/>
    <x v="141"/>
    <s v="bottled"/>
    <s v="0.33 L glass bottle"/>
    <m/>
    <s v="UK"/>
    <n v="2016"/>
    <s v="David Amienyo1 &amp; Adisa Azapagic1"/>
    <s v="School of Chemical Engineering and Analytical Science, The University of Manchester, Room C16, The Mill, Sackville Street, M13 9PL Manchester, UK"/>
    <s v="Peer Reviewed Journal"/>
    <s v="Amienyo, D. and Azapagic, A., Life cycle environmental impacts and costs of beer production and consumption in the UK. The International Journal of Life Cycle Assessment 2016, 21 (4), 492-509."/>
    <s v="Yes"/>
    <s v="No"/>
    <s v="Yes"/>
    <s v="Yes"/>
    <s v="Yes"/>
    <s v="Yes"/>
    <s v="Yes"/>
    <s v="No"/>
    <s v="No"/>
    <s v="No"/>
    <s v="No"/>
    <s v="No"/>
    <m/>
    <m/>
    <s v="No"/>
    <m/>
    <s v="g per L"/>
    <s v="/1000/1.05 (assumed density of beer in kg/L)"/>
    <n v="5.7364150943396197"/>
    <n v="7.0594339622641495"/>
    <n v="0.19801980198019803"/>
    <n v="0.27326732673267329"/>
    <n v="5.7364150943396197"/>
    <m/>
    <n v="1.3230188679245301"/>
    <n v="7.4056603773584904"/>
    <n v="0.29622641509433961"/>
    <m/>
    <m/>
    <n v="0.14811320754716981"/>
    <m/>
    <n v="5.7364150943396197"/>
    <n v="14.811320754716981"/>
    <m/>
    <m/>
    <n v="0.19801980198019803"/>
    <m/>
    <n v="7.5247524752475245E-2"/>
    <n v="0.36732673267326732"/>
    <n v="2.3762376237623763E-2"/>
    <n v="0.15247524752475247"/>
    <m/>
    <n v="5.0495049504950491E-2"/>
    <m/>
    <n v="0.19801980198019803"/>
    <n v="0.86732673267326732"/>
  </r>
  <r>
    <x v="7"/>
    <x v="141"/>
    <s v="Canned"/>
    <s v="0.44 L aluminum can"/>
    <m/>
    <s v="UK"/>
    <n v="2016"/>
    <s v="David Amienyo1 &amp; Adisa Azapagic1"/>
    <s v="School of Chemical Engineering and Analytical Science, The University of Manchester, Room C16, The Mill, Sackville Street, M13 9PL Manchester, UK"/>
    <s v="Peer Reviewed Journal"/>
    <s v="Amienyo, D. and Azapagic, A., Life cycle environmental impacts and costs of beer production and consumption in the UK. The International Journal of Life Cycle Assessment 2016, 21 (4), 492-509."/>
    <s v="Yes"/>
    <s v="No"/>
    <s v="Yes"/>
    <s v="Yes"/>
    <s v="Yes"/>
    <s v="Yes"/>
    <s v="Yes"/>
    <s v="No"/>
    <s v="No"/>
    <s v="No"/>
    <s v="No"/>
    <s v="No"/>
    <m/>
    <m/>
    <s v="No"/>
    <m/>
    <s v="g per L"/>
    <s v="/1000/1.05 (assumed density of beer in kg/L)"/>
    <n v="6.3962264150943389"/>
    <n v="7.9952830188679238"/>
    <n v="0.19702970297029704"/>
    <n v="0.26930693069306932"/>
    <n v="6.3962264150943389"/>
    <m/>
    <n v="1.5990566037735847"/>
    <n v="2.45188679245283"/>
    <n v="0.10660377358490566"/>
    <m/>
    <m/>
    <n v="0.10660377358490566"/>
    <m/>
    <n v="6.3962264150943389"/>
    <n v="10.660377358490566"/>
    <m/>
    <m/>
    <n v="0.19702970297029704"/>
    <m/>
    <n v="7.2277227722772272E-2"/>
    <n v="0.24158415841584158"/>
    <n v="8.9108910891089101E-3"/>
    <n v="0.1"/>
    <m/>
    <n v="4.8514851485148516E-2"/>
    <m/>
    <n v="0.19702970297029704"/>
    <n v="0.66930693069306935"/>
  </r>
  <r>
    <x v="7"/>
    <x v="141"/>
    <s v="Canned"/>
    <s v="0.44 L steel can"/>
    <m/>
    <s v="UK"/>
    <n v="2016"/>
    <s v="David Amienyo1 &amp; Adisa Azapagic1"/>
    <s v="School of Chemical Engineering and Analytical Science, The University of Manchester, Room C16, The Mill, Sackville Street, M13 9PL Manchester, UK"/>
    <s v="Peer Reviewed Journal"/>
    <s v="Amienyo, D. and Azapagic, A., Life cycle environmental impacts and costs of beer production and consumption in the UK. The International Journal of Life Cycle Assessment 2016, 21 (4), 492-509."/>
    <s v="Yes"/>
    <s v="No"/>
    <s v="Yes"/>
    <s v="Yes"/>
    <s v="Yes"/>
    <s v="Yes"/>
    <s v="Yes"/>
    <s v="No"/>
    <s v="No"/>
    <s v="No"/>
    <s v="No"/>
    <s v="No"/>
    <m/>
    <m/>
    <s v="No"/>
    <m/>
    <s v="g per L"/>
    <s v="/1000/1.05 (assumed density of beer in kg/L)"/>
    <n v="6.4132075471698116"/>
    <n v="7.9679245283018867"/>
    <n v="0.19702970297029704"/>
    <n v="0.26930693069306932"/>
    <n v="6.4132075471698116"/>
    <m/>
    <n v="1.5547169811320753"/>
    <n v="1.5547169811320753"/>
    <n v="9.7169811320754709E-2"/>
    <m/>
    <m/>
    <n v="9.7169811320754709E-2"/>
    <m/>
    <n v="6.4132075471698116"/>
    <n v="9.7169811320754711"/>
    <m/>
    <m/>
    <n v="0.19702970297029704"/>
    <m/>
    <n v="7.2277227722772272E-2"/>
    <n v="0.17623762376237623"/>
    <n v="9.9009900990099011E-3"/>
    <n v="0.1"/>
    <m/>
    <n v="4.8514851485148516E-2"/>
    <m/>
    <n v="0.19702970297029704"/>
    <n v="0.60495049504950493"/>
  </r>
  <r>
    <x v="7"/>
    <x v="169"/>
    <s v="bottled"/>
    <s v="column distillation, high proof North American whiskey"/>
    <m/>
    <s v="North America"/>
    <n v="2012"/>
    <s v="Beverage Industry Environmental Roundtable"/>
    <m/>
    <s v="NGO Report"/>
    <s v="Beverage Industry Environmental Roundtable, Research on the Carbon Footprint of Spirits. 2012, ."/>
    <s v="Yes"/>
    <s v="No"/>
    <s v="Yes"/>
    <s v="Yes"/>
    <s v="Yes"/>
    <s v="Yes"/>
    <s v="No"/>
    <s v="No"/>
    <s v="No"/>
    <s v="No"/>
    <s v="No"/>
    <s v="No"/>
    <m/>
    <m/>
    <s v="No"/>
    <m/>
    <s v="g/750mL bottle"/>
    <s v="/1000/.750/0.94 (assumed density, kg/L)"/>
    <s v=""/>
    <s v=""/>
    <n v="0.67304964539007084"/>
    <n v="2.0805673758865249"/>
    <m/>
    <m/>
    <m/>
    <m/>
    <m/>
    <m/>
    <m/>
    <m/>
    <m/>
    <m/>
    <m/>
    <m/>
    <m/>
    <n v="0.67304964539007084"/>
    <m/>
    <n v="1.4075177304964539"/>
    <n v="0.98042553191489357"/>
    <n v="0.66524822695035457"/>
    <n v="8.8085106382978728E-2"/>
    <m/>
    <m/>
    <m/>
    <n v="0.67304964539007084"/>
    <n v="3.9007092198581561"/>
  </r>
  <r>
    <x v="7"/>
    <x v="169"/>
    <s v="bottled"/>
    <s v="pot distillation, high proof North American whiskey"/>
    <m/>
    <s v="North America"/>
    <n v="2012"/>
    <s v="Beverage Industry Environmental Roundtable"/>
    <m/>
    <s v="NGO Report"/>
    <s v="Beverage Industry Environmental Roundtable, Research on the Carbon Footprint of Spirits. 2012, ."/>
    <s v="Yes"/>
    <s v="No"/>
    <s v="Yes"/>
    <s v="Yes"/>
    <s v="Yes"/>
    <s v="Yes"/>
    <s v="No"/>
    <s v="No"/>
    <s v="No"/>
    <s v="No"/>
    <s v="No"/>
    <s v="No"/>
    <m/>
    <m/>
    <s v="No"/>
    <m/>
    <s v="g/750mL bottle"/>
    <s v="/1000/.750/0.94 (assumed density, kg/L)"/>
    <s v=""/>
    <s v=""/>
    <n v="0.70382978723404255"/>
    <n v="2.8019858156028374"/>
    <m/>
    <m/>
    <m/>
    <m/>
    <m/>
    <m/>
    <m/>
    <m/>
    <m/>
    <m/>
    <m/>
    <m/>
    <m/>
    <n v="0.70382978723404255"/>
    <m/>
    <n v="2.0981560283687948"/>
    <n v="0.98042553191489357"/>
    <n v="0.26312056737588652"/>
    <n v="8.8085106382978728E-2"/>
    <m/>
    <m/>
    <m/>
    <n v="0.70382978723404255"/>
    <n v="4.212765957446809"/>
  </r>
  <r>
    <x v="7"/>
    <x v="169"/>
    <s v="bottled"/>
    <s v="Scotch whisky"/>
    <m/>
    <s v="Scotland"/>
    <n v="2010"/>
    <s v="Henrik Saxe"/>
    <s v="Institute of Food and Resource Economics, Copenhagen"/>
    <s v="NGO Report"/>
    <s v="Saxe, H., LCA-based comparison of the climate footprint of beer vs. wine &amp; spirits. 2010, ."/>
    <s v="Yes"/>
    <s v="No"/>
    <s v="Yes"/>
    <s v="Yes"/>
    <s v="Yes"/>
    <s v="Yes"/>
    <s v="No"/>
    <s v="No"/>
    <s v="No"/>
    <s v="No"/>
    <s v="No"/>
    <s v="No"/>
    <m/>
    <m/>
    <s v="No"/>
    <m/>
    <s v="g/L"/>
    <m/>
    <s v=""/>
    <s v=""/>
    <n v="0.65957446808510645"/>
    <n v="1.6308510638297875"/>
    <m/>
    <m/>
    <m/>
    <m/>
    <m/>
    <m/>
    <m/>
    <m/>
    <m/>
    <m/>
    <m/>
    <m/>
    <m/>
    <n v="0.65957446808510645"/>
    <m/>
    <n v="0.97127659574468095"/>
    <n v="0.50425531914893618"/>
    <n v="0.26382978723404255"/>
    <m/>
    <m/>
    <m/>
    <m/>
    <n v="0.65957446808510645"/>
    <n v="2.3989361702127661"/>
  </r>
  <r>
    <x v="8"/>
    <x v="47"/>
    <s v="Fresh or Not Specified"/>
    <s v="Soybean Oil"/>
    <s v="No"/>
    <s v="USA"/>
    <n v="2008"/>
    <s v="Loijos, A."/>
    <m/>
    <s v="Industry Based Report"/>
    <s v="Barilla Center for Food &amp; Nutrition. Database for the double pyramid construction; 2015."/>
    <s v="Yes"/>
    <s v="No"/>
    <s v="No"/>
    <s v="Yes"/>
    <s v="No"/>
    <s v="No"/>
    <s v="No"/>
    <s v="No"/>
    <s v="No"/>
    <s v="No"/>
    <s v="No"/>
    <s v="No"/>
    <m/>
    <s v="Cradle to Refinery"/>
    <s v="No"/>
    <s v="No"/>
    <s v="serving size (14 g oil)"/>
    <s v="reported value / 14"/>
    <s v=""/>
    <s v=""/>
    <s v=""/>
    <s v=""/>
    <m/>
    <m/>
    <m/>
    <m/>
    <m/>
    <m/>
    <m/>
    <m/>
    <m/>
    <m/>
    <m/>
    <m/>
    <m/>
    <m/>
    <m/>
    <m/>
    <m/>
    <m/>
    <m/>
    <m/>
    <m/>
    <m/>
    <m/>
    <n v="1.103"/>
  </r>
  <r>
    <x v="8"/>
    <x v="47"/>
    <s v="Fresh or Not Specified"/>
    <s v="Soybean Oil"/>
    <s v="No"/>
    <s v="World"/>
    <n v="2015"/>
    <s v="Schmidt, J. H."/>
    <m/>
    <s v="Peer Reviewed Journal"/>
    <s v="Barilla Center for Food &amp; Nutrition. Database for the double pyramid construction; 2015."/>
    <s v="Yes"/>
    <s v="No"/>
    <s v="No"/>
    <s v="Yes"/>
    <s v="No"/>
    <s v="No"/>
    <s v="No"/>
    <s v="No"/>
    <s v="No"/>
    <s v="No"/>
    <s v="No"/>
    <s v="No"/>
    <m/>
    <s v="Cradle to Refinery"/>
    <s v="No"/>
    <s v="No"/>
    <s v="1 tonne oil"/>
    <s v="reported value / 1000"/>
    <s v=""/>
    <s v=""/>
    <s v=""/>
    <s v=""/>
    <m/>
    <m/>
    <m/>
    <m/>
    <m/>
    <m/>
    <m/>
    <m/>
    <m/>
    <m/>
    <m/>
    <m/>
    <m/>
    <m/>
    <m/>
    <m/>
    <m/>
    <m/>
    <m/>
    <m/>
    <m/>
    <m/>
    <m/>
    <n v="2.024"/>
  </r>
  <r>
    <x v="8"/>
    <x v="47"/>
    <s v="Fresh or Not Specified"/>
    <s v="Soybean Oil"/>
    <s v="No"/>
    <s v="Argentina"/>
    <n v="2008"/>
    <s v="Dalgaard, R., J. Schmidt, N. Halberg, P.Christensen, M. Thrane, W. A. Pengue."/>
    <m/>
    <s v="Peer Reviewed Journal"/>
    <s v="Barilla Center for Food &amp; Nutrition. Database for the double pyramid construction; 2015."/>
    <s v="Yes"/>
    <s v="No"/>
    <s v="No"/>
    <s v="Yes"/>
    <s v="No"/>
    <s v="Yes"/>
    <s v="No"/>
    <s v="No"/>
    <s v="No"/>
    <s v="No"/>
    <s v="No"/>
    <s v="No"/>
    <m/>
    <s v="Cradle to Refinery"/>
    <s v="No"/>
    <s v="No"/>
    <s v="kg soybean meal"/>
    <s v="paper converts to kg oil, no adjustment necessary"/>
    <s v=""/>
    <s v=""/>
    <s v=""/>
    <s v=""/>
    <m/>
    <m/>
    <m/>
    <m/>
    <m/>
    <m/>
    <m/>
    <m/>
    <m/>
    <m/>
    <m/>
    <m/>
    <m/>
    <m/>
    <m/>
    <m/>
    <m/>
    <m/>
    <m/>
    <m/>
    <m/>
    <m/>
    <m/>
    <n v="1.36"/>
  </r>
  <r>
    <x v="4"/>
    <x v="170"/>
    <m/>
    <m/>
    <m/>
    <s v="UK"/>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4"/>
    <s v=""/>
    <m/>
    <m/>
    <m/>
    <m/>
    <m/>
    <m/>
    <m/>
    <m/>
    <m/>
    <m/>
    <m/>
    <m/>
    <m/>
    <m/>
    <m/>
    <m/>
    <m/>
    <m/>
    <m/>
    <m/>
    <m/>
    <m/>
    <n v="0.84"/>
    <m/>
  </r>
  <r>
    <x v="4"/>
    <x v="171"/>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39"/>
    <s v=""/>
    <m/>
    <m/>
    <m/>
    <m/>
    <m/>
    <m/>
    <m/>
    <m/>
    <m/>
    <m/>
    <m/>
    <m/>
    <m/>
    <m/>
    <m/>
    <m/>
    <m/>
    <m/>
    <m/>
    <m/>
    <m/>
    <m/>
    <n v="1.39"/>
    <m/>
  </r>
  <r>
    <x v="3"/>
    <x v="172"/>
    <m/>
    <m/>
    <m/>
    <s v="UK"/>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35"/>
    <s v=""/>
    <m/>
    <m/>
    <m/>
    <m/>
    <m/>
    <m/>
    <m/>
    <m/>
    <m/>
    <m/>
    <m/>
    <m/>
    <m/>
    <m/>
    <m/>
    <m/>
    <m/>
    <m/>
    <m/>
    <m/>
    <m/>
    <m/>
    <n v="0.35"/>
    <m/>
  </r>
  <r>
    <x v="3"/>
    <x v="172"/>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6"/>
    <s v=""/>
    <m/>
    <m/>
    <m/>
    <m/>
    <m/>
    <m/>
    <m/>
    <m/>
    <m/>
    <m/>
    <m/>
    <m/>
    <m/>
    <m/>
    <m/>
    <m/>
    <m/>
    <m/>
    <m/>
    <m/>
    <m/>
    <m/>
    <n v="0.46"/>
    <m/>
  </r>
  <r>
    <x v="4"/>
    <x v="173"/>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51"/>
    <s v=""/>
    <m/>
    <m/>
    <m/>
    <m/>
    <m/>
    <m/>
    <m/>
    <m/>
    <m/>
    <m/>
    <m/>
    <m/>
    <m/>
    <m/>
    <m/>
    <m/>
    <m/>
    <m/>
    <m/>
    <m/>
    <m/>
    <m/>
    <n v="0.51"/>
    <m/>
  </r>
  <r>
    <x v="4"/>
    <x v="174"/>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51"/>
    <s v=""/>
    <m/>
    <m/>
    <m/>
    <m/>
    <m/>
    <m/>
    <m/>
    <m/>
    <m/>
    <m/>
    <m/>
    <m/>
    <m/>
    <m/>
    <m/>
    <m/>
    <m/>
    <m/>
    <m/>
    <m/>
    <m/>
    <m/>
    <n v="0.51"/>
    <m/>
  </r>
  <r>
    <x v="4"/>
    <x v="175"/>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51"/>
    <s v=""/>
    <m/>
    <m/>
    <m/>
    <m/>
    <m/>
    <m/>
    <m/>
    <m/>
    <m/>
    <m/>
    <m/>
    <m/>
    <m/>
    <m/>
    <m/>
    <m/>
    <m/>
    <m/>
    <m/>
    <m/>
    <m/>
    <m/>
    <n v="0.51"/>
    <m/>
  </r>
  <r>
    <x v="4"/>
    <x v="175"/>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7"/>
    <s v=""/>
    <m/>
    <m/>
    <m/>
    <m/>
    <m/>
    <m/>
    <m/>
    <m/>
    <m/>
    <m/>
    <m/>
    <m/>
    <m/>
    <m/>
    <m/>
    <m/>
    <m/>
    <m/>
    <m/>
    <m/>
    <m/>
    <m/>
    <n v="0.7"/>
    <m/>
  </r>
  <r>
    <x v="5"/>
    <x v="176"/>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7"/>
    <s v=""/>
    <m/>
    <m/>
    <m/>
    <m/>
    <m/>
    <m/>
    <m/>
    <m/>
    <m/>
    <m/>
    <m/>
    <m/>
    <m/>
    <m/>
    <m/>
    <m/>
    <m/>
    <m/>
    <m/>
    <m/>
    <m/>
    <m/>
    <n v="0.47"/>
    <m/>
  </r>
  <r>
    <x v="11"/>
    <x v="177"/>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05"/>
    <s v=""/>
    <m/>
    <m/>
    <m/>
    <m/>
    <m/>
    <m/>
    <m/>
    <m/>
    <m/>
    <m/>
    <m/>
    <m/>
    <m/>
    <m/>
    <m/>
    <m/>
    <m/>
    <m/>
    <m/>
    <m/>
    <m/>
    <m/>
    <n v="1.05"/>
    <m/>
  </r>
  <r>
    <x v="11"/>
    <x v="178"/>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3"/>
    <s v=""/>
    <m/>
    <m/>
    <m/>
    <m/>
    <m/>
    <m/>
    <m/>
    <m/>
    <m/>
    <m/>
    <m/>
    <m/>
    <m/>
    <m/>
    <m/>
    <m/>
    <m/>
    <m/>
    <m/>
    <m/>
    <m/>
    <m/>
    <n v="0.43"/>
    <m/>
  </r>
  <r>
    <x v="10"/>
    <x v="179"/>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8"/>
    <s v=""/>
    <m/>
    <m/>
    <m/>
    <m/>
    <m/>
    <m/>
    <m/>
    <m/>
    <m/>
    <m/>
    <m/>
    <m/>
    <m/>
    <m/>
    <m/>
    <m/>
    <m/>
    <m/>
    <m/>
    <m/>
    <m/>
    <m/>
    <n v="0.88"/>
    <m/>
  </r>
  <r>
    <x v="10"/>
    <x v="180"/>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n v="0"/>
    <s v=""/>
    <n v="0.87"/>
    <s v=""/>
    <m/>
    <m/>
    <m/>
    <m/>
    <m/>
    <m/>
    <m/>
    <m/>
    <m/>
    <m/>
    <m/>
    <m/>
    <m/>
    <m/>
    <m/>
    <m/>
    <m/>
    <m/>
    <m/>
    <m/>
    <m/>
    <m/>
    <n v="0.87"/>
    <m/>
  </r>
  <r>
    <x v="4"/>
    <x v="181"/>
    <m/>
    <m/>
    <m/>
    <s v="UK"/>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32"/>
    <s v=""/>
    <m/>
    <m/>
    <m/>
    <m/>
    <m/>
    <m/>
    <m/>
    <m/>
    <m/>
    <m/>
    <m/>
    <m/>
    <m/>
    <m/>
    <m/>
    <m/>
    <m/>
    <m/>
    <m/>
    <m/>
    <m/>
    <m/>
    <n v="0.32"/>
    <m/>
  </r>
  <r>
    <x v="4"/>
    <x v="181"/>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3"/>
    <s v=""/>
    <m/>
    <m/>
    <m/>
    <m/>
    <m/>
    <m/>
    <m/>
    <m/>
    <m/>
    <m/>
    <m/>
    <m/>
    <m/>
    <m/>
    <m/>
    <m/>
    <m/>
    <m/>
    <m/>
    <m/>
    <m/>
    <m/>
    <n v="0.43"/>
    <m/>
  </r>
  <r>
    <x v="4"/>
    <x v="181"/>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8"/>
    <s v=""/>
    <m/>
    <m/>
    <m/>
    <m/>
    <m/>
    <m/>
    <m/>
    <m/>
    <m/>
    <m/>
    <m/>
    <m/>
    <m/>
    <m/>
    <m/>
    <m/>
    <m/>
    <m/>
    <m/>
    <m/>
    <m/>
    <m/>
    <n v="0.88"/>
    <m/>
  </r>
  <r>
    <x v="4"/>
    <x v="182"/>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78"/>
    <s v=""/>
    <m/>
    <m/>
    <m/>
    <m/>
    <m/>
    <m/>
    <m/>
    <m/>
    <m/>
    <m/>
    <m/>
    <m/>
    <m/>
    <m/>
    <m/>
    <m/>
    <m/>
    <m/>
    <m/>
    <m/>
    <m/>
    <m/>
    <n v="1.78"/>
    <m/>
  </r>
  <r>
    <x v="3"/>
    <x v="183"/>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8"/>
    <s v=""/>
    <m/>
    <m/>
    <m/>
    <m/>
    <m/>
    <m/>
    <m/>
    <m/>
    <m/>
    <m/>
    <m/>
    <m/>
    <m/>
    <m/>
    <m/>
    <m/>
    <m/>
    <m/>
    <m/>
    <m/>
    <m/>
    <m/>
    <n v="0.88"/>
    <m/>
  </r>
  <r>
    <x v="11"/>
    <x v="184"/>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61"/>
    <s v=""/>
    <m/>
    <m/>
    <m/>
    <m/>
    <m/>
    <m/>
    <m/>
    <m/>
    <m/>
    <m/>
    <m/>
    <m/>
    <m/>
    <m/>
    <m/>
    <m/>
    <m/>
    <m/>
    <m/>
    <m/>
    <m/>
    <m/>
    <n v="0.61"/>
    <m/>
  </r>
  <r>
    <x v="4"/>
    <x v="87"/>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2"/>
    <s v=""/>
    <m/>
    <m/>
    <m/>
    <m/>
    <m/>
    <m/>
    <m/>
    <m/>
    <m/>
    <m/>
    <m/>
    <m/>
    <m/>
    <m/>
    <m/>
    <m/>
    <m/>
    <m/>
    <m/>
    <m/>
    <m/>
    <m/>
    <n v="0.42"/>
    <m/>
  </r>
  <r>
    <x v="4"/>
    <x v="87"/>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75"/>
    <s v=""/>
    <m/>
    <m/>
    <m/>
    <m/>
    <m/>
    <m/>
    <m/>
    <m/>
    <m/>
    <m/>
    <m/>
    <m/>
    <m/>
    <m/>
    <m/>
    <m/>
    <m/>
    <m/>
    <m/>
    <m/>
    <m/>
    <m/>
    <n v="0.75"/>
    <m/>
  </r>
  <r>
    <x v="4"/>
    <x v="185"/>
    <m/>
    <m/>
    <m/>
    <s v="UK"/>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32"/>
    <s v=""/>
    <m/>
    <m/>
    <m/>
    <m/>
    <m/>
    <m/>
    <m/>
    <m/>
    <m/>
    <m/>
    <m/>
    <m/>
    <m/>
    <m/>
    <m/>
    <m/>
    <m/>
    <m/>
    <m/>
    <m/>
    <m/>
    <m/>
    <n v="0.32"/>
    <m/>
  </r>
  <r>
    <x v="4"/>
    <x v="185"/>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8"/>
    <s v=""/>
    <m/>
    <m/>
    <m/>
    <m/>
    <m/>
    <m/>
    <m/>
    <m/>
    <m/>
    <m/>
    <m/>
    <m/>
    <m/>
    <m/>
    <m/>
    <m/>
    <m/>
    <m/>
    <m/>
    <m/>
    <m/>
    <m/>
    <n v="0.88"/>
    <m/>
  </r>
  <r>
    <x v="4"/>
    <x v="186"/>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33"/>
    <s v=""/>
    <m/>
    <m/>
    <m/>
    <m/>
    <m/>
    <m/>
    <m/>
    <m/>
    <m/>
    <m/>
    <m/>
    <m/>
    <m/>
    <m/>
    <m/>
    <m/>
    <m/>
    <m/>
    <m/>
    <m/>
    <m/>
    <m/>
    <n v="1.33"/>
    <m/>
  </r>
  <r>
    <x v="3"/>
    <x v="187"/>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8"/>
    <s v=""/>
    <m/>
    <m/>
    <m/>
    <m/>
    <m/>
    <m/>
    <m/>
    <m/>
    <m/>
    <m/>
    <m/>
    <m/>
    <m/>
    <m/>
    <m/>
    <m/>
    <m/>
    <m/>
    <m/>
    <m/>
    <m/>
    <m/>
    <n v="0.48"/>
    <m/>
  </r>
  <r>
    <x v="8"/>
    <x v="188"/>
    <m/>
    <m/>
    <m/>
    <s v="US"/>
    <m/>
    <s v="Ecoinvent 3 process: (Cottonseed oil, refined {US}| cottonseed oil refinery operation | Alloc Def, U)"/>
    <m/>
    <m/>
    <s v="Swiss Center for Life Cycle Inventories, Ecoinvent Database version 3.3. 2016, 2016, ."/>
    <s v="Yes"/>
    <s v="Yes"/>
    <s v="Yes"/>
    <s v="Yes"/>
    <s v="No"/>
    <s v="No"/>
    <s v="No"/>
    <s v="No"/>
    <s v="No"/>
    <s v="No"/>
    <s v="No"/>
    <s v="No"/>
    <m/>
    <s v="at oil refinery gate"/>
    <m/>
    <m/>
    <m/>
    <m/>
    <s v=""/>
    <n v="24.8"/>
    <s v=""/>
    <n v="2.14"/>
    <m/>
    <m/>
    <n v="24.8"/>
    <m/>
    <m/>
    <m/>
    <m/>
    <m/>
    <m/>
    <m/>
    <n v="24.8"/>
    <m/>
    <m/>
    <m/>
    <m/>
    <n v="2.14"/>
    <m/>
    <m/>
    <m/>
    <m/>
    <m/>
    <m/>
    <m/>
    <n v="2.14"/>
  </r>
  <r>
    <x v="11"/>
    <x v="189"/>
    <m/>
    <m/>
    <m/>
    <s v="AU"/>
    <m/>
    <s v="Agrifootprint processes: Pea, at farm/XX Mass"/>
    <m/>
    <m/>
    <s v="Blonk Consultants. Agri-Footprint 2.0. 2015 [cited 2015] Available from: http://www.agrifootprint."/>
    <m/>
    <m/>
    <m/>
    <m/>
    <m/>
    <m/>
    <m/>
    <m/>
    <m/>
    <m/>
    <m/>
    <m/>
    <m/>
    <m/>
    <m/>
    <m/>
    <m/>
    <m/>
    <n v="7.1159132999999999"/>
    <s v=""/>
    <n v="0.74203154000000004"/>
    <s v=""/>
    <m/>
    <m/>
    <m/>
    <m/>
    <m/>
    <m/>
    <m/>
    <m/>
    <m/>
    <n v="7.1159132999999999"/>
    <m/>
    <m/>
    <m/>
    <m/>
    <m/>
    <m/>
    <m/>
    <m/>
    <m/>
    <m/>
    <m/>
    <m/>
    <n v="0.74203154000000004"/>
    <m/>
  </r>
  <r>
    <x v="11"/>
    <x v="189"/>
    <m/>
    <m/>
    <m/>
    <s v="CZ"/>
    <m/>
    <s v="Agrifootprint processes: Pea, at farm/XX Mass"/>
    <m/>
    <m/>
    <s v="Blonk Consultants. Agri-Footprint 2.0. 2015 [cited 2015] Available from: http://www.agrifootprint."/>
    <m/>
    <m/>
    <m/>
    <m/>
    <m/>
    <m/>
    <m/>
    <m/>
    <m/>
    <m/>
    <m/>
    <m/>
    <m/>
    <m/>
    <m/>
    <m/>
    <m/>
    <m/>
    <n v="3.0132927999999999"/>
    <s v=""/>
    <n v="0.40359191"/>
    <s v=""/>
    <m/>
    <m/>
    <m/>
    <m/>
    <m/>
    <m/>
    <m/>
    <m/>
    <m/>
    <n v="3.0132927999999999"/>
    <m/>
    <m/>
    <m/>
    <m/>
    <m/>
    <m/>
    <m/>
    <m/>
    <m/>
    <m/>
    <m/>
    <m/>
    <n v="0.40359191"/>
    <m/>
  </r>
  <r>
    <x v="11"/>
    <x v="189"/>
    <m/>
    <m/>
    <m/>
    <s v="DE"/>
    <m/>
    <s v="Agrifootprint processes: Pea, at farm/XX Mass"/>
    <m/>
    <m/>
    <s v="Blonk Consultants. Agri-Footprint 2.0. 2015 [cited 2015] Available from: http://www.agrifootprint."/>
    <m/>
    <m/>
    <m/>
    <m/>
    <m/>
    <m/>
    <m/>
    <m/>
    <m/>
    <m/>
    <m/>
    <m/>
    <m/>
    <m/>
    <m/>
    <m/>
    <m/>
    <m/>
    <n v="2.9477362"/>
    <s v=""/>
    <n v="0.50794855000000005"/>
    <s v=""/>
    <m/>
    <m/>
    <m/>
    <m/>
    <m/>
    <m/>
    <m/>
    <m/>
    <m/>
    <n v="2.9477362"/>
    <m/>
    <m/>
    <m/>
    <m/>
    <m/>
    <m/>
    <m/>
    <m/>
    <m/>
    <m/>
    <m/>
    <m/>
    <n v="0.50794855000000005"/>
    <m/>
  </r>
  <r>
    <x v="11"/>
    <x v="189"/>
    <m/>
    <m/>
    <m/>
    <s v="ES"/>
    <m/>
    <s v="Agrifootprint processes: Pea, at farm/XX Mass"/>
    <m/>
    <m/>
    <s v="Blonk Consultants. Agri-Footprint 2.0. 2015 [cited 2015] Available from: http://www.agrifootprint."/>
    <m/>
    <m/>
    <m/>
    <m/>
    <m/>
    <m/>
    <m/>
    <m/>
    <m/>
    <m/>
    <m/>
    <m/>
    <m/>
    <m/>
    <m/>
    <m/>
    <m/>
    <m/>
    <n v="6.1614000999999998"/>
    <s v=""/>
    <n v="2.0447562000000001"/>
    <s v=""/>
    <m/>
    <m/>
    <m/>
    <m/>
    <m/>
    <m/>
    <m/>
    <m/>
    <m/>
    <n v="6.1614000999999998"/>
    <m/>
    <m/>
    <m/>
    <m/>
    <m/>
    <m/>
    <m/>
    <m/>
    <m/>
    <m/>
    <m/>
    <m/>
    <n v="2.0447562000000001"/>
    <m/>
  </r>
  <r>
    <x v="11"/>
    <x v="189"/>
    <m/>
    <m/>
    <m/>
    <s v="FR"/>
    <m/>
    <s v="Agrifootprint processes: Pea, at farm/XX Mass"/>
    <m/>
    <m/>
    <s v="Blonk Consultants. Agri-Footprint 2.0. 2015 [cited 2015] Available from: http://www.agrifootprint."/>
    <m/>
    <m/>
    <m/>
    <m/>
    <m/>
    <m/>
    <m/>
    <m/>
    <m/>
    <m/>
    <m/>
    <m/>
    <m/>
    <m/>
    <m/>
    <m/>
    <m/>
    <m/>
    <n v="2.2760601"/>
    <s v=""/>
    <n v="0.26357739000000002"/>
    <s v=""/>
    <m/>
    <m/>
    <m/>
    <m/>
    <m/>
    <m/>
    <m/>
    <m/>
    <m/>
    <n v="2.2760601"/>
    <m/>
    <m/>
    <m/>
    <m/>
    <m/>
    <m/>
    <m/>
    <m/>
    <m/>
    <m/>
    <m/>
    <m/>
    <n v="0.26357739000000002"/>
    <m/>
  </r>
  <r>
    <x v="11"/>
    <x v="189"/>
    <m/>
    <m/>
    <m/>
    <s v="IT"/>
    <m/>
    <s v="Agrifootprint processes: Pea, at farm/XX Mass"/>
    <m/>
    <m/>
    <s v="Blonk Consultants. Agri-Footprint 2.0. 2015 [cited 2015] Available from: http://www.agrifootprint."/>
    <m/>
    <m/>
    <m/>
    <m/>
    <m/>
    <m/>
    <m/>
    <m/>
    <m/>
    <m/>
    <m/>
    <m/>
    <m/>
    <m/>
    <m/>
    <m/>
    <m/>
    <m/>
    <n v="3.0091594000000002"/>
    <s v=""/>
    <n v="0.44686640999999999"/>
    <s v=""/>
    <m/>
    <m/>
    <m/>
    <m/>
    <m/>
    <m/>
    <m/>
    <m/>
    <m/>
    <n v="3.0091594000000002"/>
    <m/>
    <m/>
    <m/>
    <m/>
    <m/>
    <m/>
    <m/>
    <m/>
    <m/>
    <m/>
    <m/>
    <m/>
    <n v="0.44686640999999999"/>
    <m/>
  </r>
  <r>
    <x v="11"/>
    <x v="189"/>
    <m/>
    <m/>
    <m/>
    <s v="RO"/>
    <m/>
    <s v="Agrifootprint processes: Pea, at farm/XX Mass"/>
    <m/>
    <m/>
    <s v="Blonk Consultants. Agri-Footprint 2.0. 2015 [cited 2015] Available from: http://www.agrifootprint."/>
    <m/>
    <m/>
    <m/>
    <m/>
    <m/>
    <m/>
    <m/>
    <m/>
    <m/>
    <m/>
    <m/>
    <m/>
    <m/>
    <m/>
    <m/>
    <m/>
    <m/>
    <m/>
    <n v="3.9729307999999999"/>
    <s v=""/>
    <n v="0.53576064000000001"/>
    <s v=""/>
    <m/>
    <m/>
    <m/>
    <m/>
    <m/>
    <m/>
    <m/>
    <m/>
    <m/>
    <n v="3.9729307999999999"/>
    <m/>
    <m/>
    <m/>
    <m/>
    <m/>
    <m/>
    <m/>
    <m/>
    <m/>
    <m/>
    <m/>
    <m/>
    <n v="0.53576064000000001"/>
    <m/>
  </r>
  <r>
    <x v="11"/>
    <x v="189"/>
    <m/>
    <m/>
    <m/>
    <s v="SE"/>
    <m/>
    <s v="Agrifootprint processes: Pea, at farm/XX Mass"/>
    <m/>
    <m/>
    <s v="Blonk Consultants. Agri-Footprint 2.0. 2015 [cited 2015] Available from: http://www.agrifootprint."/>
    <m/>
    <m/>
    <m/>
    <m/>
    <m/>
    <m/>
    <m/>
    <m/>
    <m/>
    <m/>
    <m/>
    <m/>
    <m/>
    <m/>
    <m/>
    <m/>
    <m/>
    <m/>
    <n v="2.2949158000000001"/>
    <s v=""/>
    <n v="0.32196740000000001"/>
    <s v=""/>
    <m/>
    <m/>
    <m/>
    <m/>
    <m/>
    <m/>
    <m/>
    <m/>
    <m/>
    <n v="2.2949158000000001"/>
    <m/>
    <m/>
    <m/>
    <m/>
    <m/>
    <m/>
    <m/>
    <m/>
    <m/>
    <m/>
    <m/>
    <m/>
    <n v="0.32196740000000001"/>
    <m/>
  </r>
  <r>
    <x v="11"/>
    <x v="189"/>
    <m/>
    <m/>
    <m/>
    <s v="UK"/>
    <m/>
    <s v="Agrifootprint processes: Pea, at farm/XX Mass"/>
    <m/>
    <m/>
    <s v="Blonk Consultants. Agri-Footprint 2.0. 2015 [cited 2015] Available from: http://www.agrifootprint."/>
    <m/>
    <m/>
    <m/>
    <m/>
    <m/>
    <m/>
    <m/>
    <m/>
    <m/>
    <m/>
    <m/>
    <m/>
    <m/>
    <m/>
    <m/>
    <m/>
    <m/>
    <m/>
    <n v="2.0325096999999999"/>
    <s v=""/>
    <n v="0.2892537"/>
    <s v=""/>
    <m/>
    <m/>
    <m/>
    <m/>
    <m/>
    <m/>
    <m/>
    <m/>
    <m/>
    <n v="2.0325096999999999"/>
    <m/>
    <m/>
    <m/>
    <m/>
    <m/>
    <m/>
    <m/>
    <m/>
    <m/>
    <m/>
    <m/>
    <m/>
    <n v="0.2892537"/>
    <m/>
  </r>
  <r>
    <x v="11"/>
    <x v="190"/>
    <m/>
    <m/>
    <m/>
    <s v="AR"/>
    <m/>
    <s v="Agrifootprint processes: Sunflower seed, at farm/XX Mass"/>
    <m/>
    <m/>
    <s v="Blonk Consultants. Agri-Footprint 2.0. 2015 [cited 2015] Available from: http://www.agrifootprint."/>
    <m/>
    <m/>
    <m/>
    <m/>
    <m/>
    <m/>
    <m/>
    <m/>
    <m/>
    <m/>
    <m/>
    <m/>
    <m/>
    <m/>
    <m/>
    <m/>
    <m/>
    <m/>
    <n v="6.0645585000000004"/>
    <s v=""/>
    <n v="0.58053664999999999"/>
    <s v=""/>
    <m/>
    <m/>
    <m/>
    <m/>
    <m/>
    <m/>
    <m/>
    <m/>
    <m/>
    <n v="6.0645585000000004"/>
    <m/>
    <m/>
    <m/>
    <m/>
    <m/>
    <m/>
    <m/>
    <m/>
    <m/>
    <m/>
    <m/>
    <m/>
    <n v="0.58053664999999999"/>
    <m/>
  </r>
  <r>
    <x v="11"/>
    <x v="190"/>
    <m/>
    <m/>
    <m/>
    <s v="BG"/>
    <m/>
    <s v="Agrifootprint processes: Sunflower seed, at farm/XX Mass"/>
    <m/>
    <m/>
    <s v="Blonk Consultants. Agri-Footprint 2.0. 2015 [cited 2015] Available from: http://www.agrifootprint."/>
    <m/>
    <m/>
    <m/>
    <m/>
    <m/>
    <m/>
    <m/>
    <m/>
    <m/>
    <m/>
    <m/>
    <m/>
    <m/>
    <m/>
    <m/>
    <m/>
    <m/>
    <m/>
    <n v="6.3242871000000003"/>
    <s v=""/>
    <n v="0.94865215000000003"/>
    <s v=""/>
    <m/>
    <m/>
    <m/>
    <m/>
    <m/>
    <m/>
    <m/>
    <m/>
    <m/>
    <n v="6.3242871000000003"/>
    <m/>
    <m/>
    <m/>
    <m/>
    <m/>
    <m/>
    <m/>
    <m/>
    <m/>
    <m/>
    <m/>
    <m/>
    <n v="0.94865215000000003"/>
    <m/>
  </r>
  <r>
    <x v="11"/>
    <x v="190"/>
    <m/>
    <m/>
    <m/>
    <s v="CN"/>
    <m/>
    <s v="Agrifootprint processes: Sunflower seed, at farm/XX Mass"/>
    <m/>
    <m/>
    <s v="Blonk Consultants. Agri-Footprint 2.0. 2015 [cited 2015] Available from: http://www.agrifootprint."/>
    <m/>
    <m/>
    <m/>
    <m/>
    <m/>
    <m/>
    <m/>
    <m/>
    <m/>
    <m/>
    <m/>
    <m/>
    <m/>
    <m/>
    <m/>
    <m/>
    <m/>
    <m/>
    <n v="7.8457853999999996"/>
    <s v=""/>
    <n v="0.91692832999999996"/>
    <s v=""/>
    <m/>
    <m/>
    <m/>
    <m/>
    <m/>
    <m/>
    <m/>
    <m/>
    <m/>
    <n v="7.8457853999999996"/>
    <m/>
    <m/>
    <m/>
    <m/>
    <m/>
    <m/>
    <m/>
    <m/>
    <m/>
    <m/>
    <m/>
    <m/>
    <n v="0.91692832999999996"/>
    <m/>
  </r>
  <r>
    <x v="11"/>
    <x v="190"/>
    <m/>
    <m/>
    <m/>
    <s v="CZ"/>
    <m/>
    <s v="Agrifootprint processes: Sunflower seed, at farm/XX Mass"/>
    <m/>
    <m/>
    <s v="Blonk Consultants. Agri-Footprint 2.0. 2015 [cited 2015] Available from: http://www.agrifootprint."/>
    <m/>
    <m/>
    <m/>
    <m/>
    <m/>
    <m/>
    <m/>
    <m/>
    <m/>
    <m/>
    <m/>
    <m/>
    <m/>
    <m/>
    <m/>
    <m/>
    <m/>
    <m/>
    <n v="5.8051529999999998"/>
    <s v=""/>
    <n v="0.74121219000000005"/>
    <s v=""/>
    <m/>
    <m/>
    <m/>
    <m/>
    <m/>
    <m/>
    <m/>
    <m/>
    <m/>
    <n v="5.8051529999999998"/>
    <m/>
    <m/>
    <m/>
    <m/>
    <m/>
    <m/>
    <m/>
    <m/>
    <m/>
    <m/>
    <m/>
    <m/>
    <n v="0.74121219000000005"/>
    <m/>
  </r>
  <r>
    <x v="11"/>
    <x v="190"/>
    <m/>
    <m/>
    <m/>
    <s v="ES"/>
    <m/>
    <s v="Agrifootprint processes: Sunflower seed, at farm/XX Mass"/>
    <m/>
    <m/>
    <s v="Blonk Consultants. Agri-Footprint 2.0. 2015 [cited 2015] Available from: http://www.agrifootprint."/>
    <m/>
    <m/>
    <m/>
    <m/>
    <m/>
    <m/>
    <m/>
    <m/>
    <m/>
    <m/>
    <m/>
    <m/>
    <m/>
    <m/>
    <m/>
    <m/>
    <m/>
    <m/>
    <n v="9.4524524999999997"/>
    <s v=""/>
    <n v="0.97667108000000002"/>
    <s v=""/>
    <m/>
    <m/>
    <m/>
    <m/>
    <m/>
    <m/>
    <m/>
    <m/>
    <m/>
    <n v="9.4524524999999997"/>
    <m/>
    <m/>
    <m/>
    <m/>
    <m/>
    <m/>
    <m/>
    <m/>
    <m/>
    <m/>
    <m/>
    <m/>
    <n v="0.97667108000000002"/>
    <m/>
  </r>
  <r>
    <x v="11"/>
    <x v="190"/>
    <m/>
    <m/>
    <m/>
    <s v="FR"/>
    <m/>
    <s v="Agrifootprint processes: Sunflower seed, at farm/XX Mass"/>
    <m/>
    <m/>
    <s v="Blonk Consultants. Agri-Footprint 2.0. 2015 [cited 2015] Available from: http://www.agrifootprint."/>
    <m/>
    <m/>
    <m/>
    <m/>
    <m/>
    <m/>
    <m/>
    <m/>
    <m/>
    <m/>
    <m/>
    <m/>
    <m/>
    <m/>
    <m/>
    <m/>
    <m/>
    <m/>
    <n v="5.3033666000000004"/>
    <s v=""/>
    <n v="0.47313101000000002"/>
    <s v=""/>
    <m/>
    <m/>
    <m/>
    <m/>
    <m/>
    <m/>
    <m/>
    <m/>
    <m/>
    <n v="5.3033666000000004"/>
    <m/>
    <m/>
    <m/>
    <m/>
    <m/>
    <m/>
    <m/>
    <m/>
    <m/>
    <m/>
    <m/>
    <m/>
    <n v="0.47313101000000002"/>
    <m/>
  </r>
  <r>
    <x v="11"/>
    <x v="190"/>
    <m/>
    <m/>
    <m/>
    <s v="GR"/>
    <m/>
    <s v="Agrifootprint processes: Sunflower seed, at farm/XX Mass"/>
    <m/>
    <m/>
    <s v="Blonk Consultants. Agri-Footprint 2.0. 2015 [cited 2015] Available from: http://www.agrifootprint."/>
    <m/>
    <m/>
    <m/>
    <m/>
    <m/>
    <m/>
    <m/>
    <m/>
    <m/>
    <m/>
    <m/>
    <m/>
    <m/>
    <m/>
    <m/>
    <m/>
    <m/>
    <m/>
    <n v="4.1808379000000002"/>
    <s v=""/>
    <n v="0.81226721999999996"/>
    <s v=""/>
    <m/>
    <m/>
    <m/>
    <m/>
    <m/>
    <m/>
    <m/>
    <m/>
    <m/>
    <n v="4.1808379000000002"/>
    <m/>
    <m/>
    <m/>
    <m/>
    <m/>
    <m/>
    <m/>
    <m/>
    <m/>
    <m/>
    <m/>
    <m/>
    <n v="0.81226721999999996"/>
    <m/>
  </r>
  <r>
    <x v="11"/>
    <x v="190"/>
    <m/>
    <m/>
    <m/>
    <s v="HU"/>
    <m/>
    <s v="Agrifootprint processes: Sunflower seed, at farm/XX Mass"/>
    <m/>
    <m/>
    <s v="Blonk Consultants. Agri-Footprint 2.0. 2015 [cited 2015] Available from: http://www.agrifootprint."/>
    <m/>
    <m/>
    <m/>
    <m/>
    <m/>
    <m/>
    <m/>
    <m/>
    <m/>
    <m/>
    <m/>
    <m/>
    <m/>
    <m/>
    <m/>
    <m/>
    <m/>
    <m/>
    <n v="5.6055684000000001"/>
    <s v=""/>
    <n v="0.79245741999999997"/>
    <s v=""/>
    <m/>
    <m/>
    <m/>
    <m/>
    <m/>
    <m/>
    <m/>
    <m/>
    <m/>
    <n v="5.6055684000000001"/>
    <m/>
    <m/>
    <m/>
    <m/>
    <m/>
    <m/>
    <m/>
    <m/>
    <m/>
    <m/>
    <m/>
    <m/>
    <n v="0.79245741999999997"/>
    <m/>
  </r>
  <r>
    <x v="11"/>
    <x v="190"/>
    <m/>
    <m/>
    <m/>
    <s v="IT"/>
    <m/>
    <s v="Agrifootprint processes: Sunflower seed, at farm/XX Mass"/>
    <m/>
    <m/>
    <s v="Blonk Consultants. Agri-Footprint 2.0. 2015 [cited 2015] Available from: http://www.agrifootprint."/>
    <m/>
    <m/>
    <m/>
    <m/>
    <m/>
    <m/>
    <m/>
    <m/>
    <m/>
    <m/>
    <m/>
    <m/>
    <m/>
    <m/>
    <m/>
    <m/>
    <m/>
    <m/>
    <n v="6.2167235999999999"/>
    <s v=""/>
    <n v="0.78888897999999996"/>
    <s v=""/>
    <m/>
    <m/>
    <m/>
    <m/>
    <m/>
    <m/>
    <m/>
    <m/>
    <m/>
    <n v="6.2167235999999999"/>
    <m/>
    <m/>
    <m/>
    <m/>
    <m/>
    <m/>
    <m/>
    <m/>
    <m/>
    <m/>
    <m/>
    <m/>
    <n v="0.78888897999999996"/>
    <m/>
  </r>
  <r>
    <x v="11"/>
    <x v="190"/>
    <m/>
    <m/>
    <m/>
    <s v="RO"/>
    <m/>
    <s v="Agrifootprint processes: Sunflower seed, at farm/XX Mass"/>
    <m/>
    <m/>
    <s v="Blonk Consultants. Agri-Footprint 2.0. 2015 [cited 2015] Available from: http://www.agrifootprint."/>
    <m/>
    <m/>
    <m/>
    <m/>
    <m/>
    <m/>
    <m/>
    <m/>
    <m/>
    <m/>
    <m/>
    <m/>
    <m/>
    <m/>
    <m/>
    <m/>
    <m/>
    <m/>
    <n v="6.9760612999999996"/>
    <s v=""/>
    <n v="1.2574736"/>
    <s v=""/>
    <m/>
    <m/>
    <m/>
    <m/>
    <m/>
    <m/>
    <m/>
    <m/>
    <m/>
    <n v="6.9760612999999996"/>
    <m/>
    <m/>
    <m/>
    <m/>
    <m/>
    <m/>
    <m/>
    <m/>
    <m/>
    <m/>
    <m/>
    <m/>
    <n v="1.2574736"/>
    <m/>
  </r>
  <r>
    <x v="11"/>
    <x v="190"/>
    <m/>
    <m/>
    <m/>
    <s v="UA"/>
    <m/>
    <s v="Agrifootprint processes: Sunflower seed, at farm/XX Mass"/>
    <m/>
    <m/>
    <s v="Blonk Consultants. Agri-Footprint 2.0. 2015 [cited 2015] Available from: http://www.agrifootprint."/>
    <m/>
    <m/>
    <m/>
    <m/>
    <m/>
    <m/>
    <m/>
    <m/>
    <m/>
    <m/>
    <m/>
    <m/>
    <m/>
    <m/>
    <m/>
    <m/>
    <m/>
    <m/>
    <n v="6.4303505000000003"/>
    <s v=""/>
    <n v="1.0446394000000001"/>
    <s v=""/>
    <m/>
    <m/>
    <m/>
    <m/>
    <m/>
    <m/>
    <m/>
    <m/>
    <m/>
    <n v="6.4303505000000003"/>
    <m/>
    <m/>
    <m/>
    <m/>
    <m/>
    <m/>
    <m/>
    <m/>
    <m/>
    <m/>
    <m/>
    <m/>
    <n v="1.0446394000000001"/>
    <m/>
  </r>
  <r>
    <x v="11"/>
    <x v="191"/>
    <m/>
    <m/>
    <m/>
    <s v="ID"/>
    <m/>
    <s v="Agrifootprint process: Coconut, at farm/XX Mass, assuming meat is 48% of whole coconut weight"/>
    <m/>
    <m/>
    <s v="Blonk Consultants. Agri-Footprint 2.0. 2015 [cited 2015] Available from: http://www.agrifootprint."/>
    <m/>
    <m/>
    <m/>
    <m/>
    <m/>
    <m/>
    <m/>
    <m/>
    <m/>
    <m/>
    <m/>
    <m/>
    <m/>
    <m/>
    <m/>
    <m/>
    <m/>
    <m/>
    <n v="2.5039583333333333"/>
    <s v=""/>
    <n v="1.3134791666666668"/>
    <s v=""/>
    <m/>
    <m/>
    <m/>
    <m/>
    <m/>
    <m/>
    <m/>
    <m/>
    <m/>
    <n v="2.5039583333333333"/>
    <m/>
    <m/>
    <m/>
    <m/>
    <m/>
    <m/>
    <m/>
    <m/>
    <m/>
    <m/>
    <m/>
    <m/>
    <n v="1.3134791666666668"/>
    <m/>
  </r>
  <r>
    <x v="11"/>
    <x v="191"/>
    <m/>
    <m/>
    <m/>
    <s v="PH"/>
    <m/>
    <s v="Agrifootprint process: Coconut, at farm/XX Mass, assuming meat is 48% of whole coconut weight"/>
    <m/>
    <m/>
    <s v="Blonk Consultants. Agri-Footprint 2.0. 2015 [cited 2015] Available from: http://www.agrifootprint."/>
    <m/>
    <m/>
    <m/>
    <m/>
    <m/>
    <m/>
    <m/>
    <m/>
    <m/>
    <m/>
    <m/>
    <m/>
    <m/>
    <m/>
    <m/>
    <m/>
    <m/>
    <m/>
    <n v="2.9379166666666667"/>
    <s v=""/>
    <n v="0.48656250000000001"/>
    <s v=""/>
    <m/>
    <m/>
    <m/>
    <m/>
    <m/>
    <m/>
    <m/>
    <m/>
    <m/>
    <n v="2.9379166666666667"/>
    <m/>
    <m/>
    <m/>
    <m/>
    <m/>
    <m/>
    <m/>
    <m/>
    <m/>
    <m/>
    <m/>
    <m/>
    <n v="0.48656250000000001"/>
    <m/>
  </r>
  <r>
    <x v="11"/>
    <x v="191"/>
    <m/>
    <m/>
    <m/>
    <s v="TH"/>
    <m/>
    <s v="Agrifootprint process: Coconut, at farm/XX Mass, assuming meat is 48% of whole coconut weight"/>
    <m/>
    <m/>
    <s v="Blonk Consultants. Agri-Footprint 2.0. 2015 [cited 2015] Available from: http://www.agrifootprint."/>
    <m/>
    <m/>
    <m/>
    <m/>
    <m/>
    <m/>
    <m/>
    <m/>
    <m/>
    <m/>
    <m/>
    <m/>
    <m/>
    <m/>
    <m/>
    <m/>
    <m/>
    <m/>
    <n v="3.5764583333333331"/>
    <s v=""/>
    <n v="0.57585416666666667"/>
    <s v=""/>
    <m/>
    <m/>
    <m/>
    <m/>
    <m/>
    <m/>
    <m/>
    <m/>
    <m/>
    <n v="3.5764583333333331"/>
    <m/>
    <m/>
    <m/>
    <m/>
    <m/>
    <m/>
    <m/>
    <m/>
    <m/>
    <m/>
    <m/>
    <m/>
    <n v="0.57585416666666667"/>
    <m/>
  </r>
  <r>
    <x v="5"/>
    <x v="129"/>
    <m/>
    <m/>
    <m/>
    <s v="CN"/>
    <m/>
    <s v="Agrifootprint process: White rice, from dry milling, at plant/CN Mass"/>
    <m/>
    <m/>
    <s v="Blonk Consultants. Agri-Footprint 2.0. 2015 [cited 2015] Available from: http://www.agrifootprint."/>
    <m/>
    <m/>
    <m/>
    <m/>
    <m/>
    <m/>
    <m/>
    <m/>
    <m/>
    <m/>
    <m/>
    <m/>
    <m/>
    <s v="at milling plant"/>
    <m/>
    <m/>
    <m/>
    <m/>
    <s v=""/>
    <n v="7.75"/>
    <s v=""/>
    <n v="1.54"/>
    <m/>
    <m/>
    <n v="7.75"/>
    <m/>
    <m/>
    <m/>
    <m/>
    <m/>
    <m/>
    <m/>
    <n v="7.75"/>
    <m/>
    <m/>
    <m/>
    <m/>
    <n v="1.54"/>
    <m/>
    <m/>
    <m/>
    <m/>
    <m/>
    <m/>
    <m/>
    <n v="1.54"/>
  </r>
  <r>
    <x v="5"/>
    <x v="192"/>
    <m/>
    <m/>
    <m/>
    <s v="US"/>
    <m/>
    <s v="Agrifootprint process: Maize flour, from dry milling, at plant/US Mass"/>
    <m/>
    <m/>
    <s v="Blonk Consultants. Agri-Footprint 2.0. 2015 [cited 2015] Available from: http://www.agrifootprint."/>
    <m/>
    <m/>
    <m/>
    <m/>
    <m/>
    <m/>
    <m/>
    <m/>
    <m/>
    <m/>
    <m/>
    <m/>
    <m/>
    <s v="at milling plant"/>
    <m/>
    <m/>
    <m/>
    <m/>
    <s v=""/>
    <n v="5.8"/>
    <s v=""/>
    <n v="0.55000000000000004"/>
    <m/>
    <m/>
    <n v="5.8"/>
    <m/>
    <m/>
    <m/>
    <m/>
    <m/>
    <m/>
    <m/>
    <n v="5.8"/>
    <m/>
    <m/>
    <m/>
    <m/>
    <n v="0.55000000000000004"/>
    <m/>
    <m/>
    <m/>
    <m/>
    <m/>
    <m/>
    <m/>
    <n v="0.55000000000000004"/>
  </r>
  <r>
    <x v="3"/>
    <x v="100"/>
    <m/>
    <m/>
    <m/>
    <s v="BE"/>
    <m/>
    <s v="Agrifootprint process: Spinach, at farm/BE Mass"/>
    <m/>
    <m/>
    <s v="Blonk Consultants. Agri-Footprint 2.0. 2015 [cited 2015] Available from: http://www.agrifootprint."/>
    <m/>
    <m/>
    <m/>
    <m/>
    <m/>
    <m/>
    <m/>
    <m/>
    <m/>
    <m/>
    <m/>
    <m/>
    <m/>
    <m/>
    <m/>
    <m/>
    <m/>
    <m/>
    <n v="0.54075452999999996"/>
    <s v=""/>
    <n v="0.13511646999999999"/>
    <s v=""/>
    <m/>
    <m/>
    <m/>
    <m/>
    <m/>
    <m/>
    <m/>
    <m/>
    <m/>
    <n v="0.54075452999999996"/>
    <m/>
    <m/>
    <m/>
    <m/>
    <m/>
    <m/>
    <m/>
    <m/>
    <m/>
    <m/>
    <m/>
    <m/>
    <n v="0.13511646999999999"/>
    <m/>
  </r>
  <r>
    <x v="3"/>
    <x v="100"/>
    <m/>
    <m/>
    <m/>
    <s v="NL"/>
    <m/>
    <s v="Agrifootprint process: Spinach, at farm/NL Mass"/>
    <m/>
    <m/>
    <s v="Blonk Consultants. Agri-Footprint 2.0. 2015 [cited 2015] Available from: http://www.agrifootprint."/>
    <m/>
    <m/>
    <m/>
    <m/>
    <m/>
    <m/>
    <m/>
    <m/>
    <m/>
    <m/>
    <m/>
    <m/>
    <m/>
    <m/>
    <m/>
    <m/>
    <m/>
    <m/>
    <n v="0.78148099999999998"/>
    <s v=""/>
    <n v="0.22567783999999999"/>
    <s v=""/>
    <m/>
    <m/>
    <m/>
    <m/>
    <m/>
    <m/>
    <m/>
    <m/>
    <m/>
    <n v="0.78148099999999998"/>
    <m/>
    <m/>
    <m/>
    <m/>
    <m/>
    <m/>
    <m/>
    <m/>
    <m/>
    <m/>
    <m/>
    <m/>
    <n v="0.22567783999999999"/>
    <m/>
  </r>
  <r>
    <x v="5"/>
    <x v="193"/>
    <m/>
    <m/>
    <m/>
    <s v="BE"/>
    <m/>
    <s v="Agrifootprint process: Oat grain peeled, from dry milling, at plant/BE Mass + average(difference between 3 fry flour and rye grain processes)"/>
    <m/>
    <m/>
    <s v="Blonk Consultants. Agri-Footprint 2.0. 2015 [cited 2015] Available from: http://www.agrifootprint."/>
    <m/>
    <m/>
    <m/>
    <m/>
    <m/>
    <m/>
    <m/>
    <m/>
    <m/>
    <m/>
    <m/>
    <m/>
    <m/>
    <m/>
    <m/>
    <m/>
    <m/>
    <m/>
    <s v=""/>
    <n v="4.8492999999999995"/>
    <s v=""/>
    <n v="0.47300999999999999"/>
    <m/>
    <m/>
    <n v="4.8492999999999995"/>
    <m/>
    <m/>
    <m/>
    <m/>
    <m/>
    <m/>
    <m/>
    <n v="4.8492999999999995"/>
    <m/>
    <m/>
    <m/>
    <m/>
    <n v="0.47300999999999999"/>
    <m/>
    <m/>
    <m/>
    <m/>
    <m/>
    <m/>
    <m/>
    <n v="0.47300999999999999"/>
  </r>
  <r>
    <x v="5"/>
    <x v="193"/>
    <m/>
    <m/>
    <m/>
    <s v="NL"/>
    <m/>
    <s v="Agrifootprint process: Oat grain peeled, from dry milling, at plant/NL Mass + average(difference between 3 fry flour and rye grain processes)"/>
    <m/>
    <m/>
    <s v="Blonk Consultants. Agri-Footprint 2.0. 2015 [cited 2015] Available from: http://www.agrifootprint."/>
    <m/>
    <m/>
    <m/>
    <m/>
    <m/>
    <m/>
    <m/>
    <m/>
    <m/>
    <m/>
    <m/>
    <m/>
    <m/>
    <m/>
    <m/>
    <m/>
    <m/>
    <m/>
    <s v=""/>
    <n v="4.5222999999999995"/>
    <s v=""/>
    <n v="0.52376"/>
    <m/>
    <m/>
    <n v="4.5222999999999995"/>
    <m/>
    <m/>
    <m/>
    <m/>
    <m/>
    <m/>
    <m/>
    <n v="4.5222999999999995"/>
    <m/>
    <m/>
    <m/>
    <m/>
    <n v="0.52376"/>
    <m/>
    <m/>
    <m/>
    <m/>
    <m/>
    <m/>
    <m/>
    <n v="0.52376"/>
  </r>
  <r>
    <x v="3"/>
    <x v="194"/>
    <m/>
    <m/>
    <m/>
    <s v="DK"/>
    <m/>
    <s v="from LCA FOOD DK dataset (used as proxy for alfalfa seed)"/>
    <m/>
    <m/>
    <s v="Nielsen, P. H., Nielsen, A. M., Weidema, B. P., Dalgaard, R. and Halberg, N., LCA food data base. 2003, 2013 (June), ."/>
    <m/>
    <m/>
    <m/>
    <m/>
    <m/>
    <m/>
    <m/>
    <m/>
    <m/>
    <m/>
    <m/>
    <m/>
    <m/>
    <m/>
    <m/>
    <m/>
    <m/>
    <m/>
    <n v="8.24"/>
    <s v=""/>
    <n v="6.25"/>
    <s v=""/>
    <m/>
    <m/>
    <m/>
    <m/>
    <m/>
    <m/>
    <m/>
    <m/>
    <m/>
    <n v="8.24"/>
    <m/>
    <m/>
    <m/>
    <m/>
    <m/>
    <m/>
    <m/>
    <m/>
    <m/>
    <m/>
    <m/>
    <m/>
    <n v="6.25"/>
    <m/>
  </r>
  <r>
    <x v="4"/>
    <x v="90"/>
    <m/>
    <m/>
    <m/>
    <m/>
    <m/>
    <s v="Ecoinvent 3 process: Melon {GLO}| production | Alloc Def, S"/>
    <m/>
    <m/>
    <s v="Swiss Center for Life Cycle Inventories, Ecoinvent Database version 3.3. 2016, 2016, ."/>
    <m/>
    <m/>
    <m/>
    <m/>
    <m/>
    <m/>
    <m/>
    <m/>
    <m/>
    <m/>
    <m/>
    <m/>
    <m/>
    <m/>
    <m/>
    <m/>
    <m/>
    <m/>
    <n v="1.46"/>
    <s v=""/>
    <n v="0.13100000000000001"/>
    <s v=""/>
    <m/>
    <m/>
    <m/>
    <m/>
    <m/>
    <m/>
    <m/>
    <m/>
    <m/>
    <n v="1.46"/>
    <m/>
    <m/>
    <m/>
    <m/>
    <m/>
    <m/>
    <m/>
    <m/>
    <m/>
    <m/>
    <m/>
    <m/>
    <n v="0.13100000000000001"/>
    <m/>
  </r>
  <r>
    <x v="11"/>
    <x v="195"/>
    <m/>
    <m/>
    <m/>
    <s v="FR"/>
    <m/>
    <s v="Agrifootprint process: Broad bean, at farm/FR Mass"/>
    <m/>
    <m/>
    <s v="Blonk Consultants. Agri-Footprint 2.0. 2015 [cited 2015] Available from: http://www.agrifootprint."/>
    <m/>
    <m/>
    <m/>
    <m/>
    <m/>
    <m/>
    <m/>
    <m/>
    <m/>
    <m/>
    <m/>
    <m/>
    <m/>
    <m/>
    <m/>
    <m/>
    <m/>
    <m/>
    <s v=""/>
    <s v=""/>
    <n v="0.50936000000000003"/>
    <s v=""/>
    <m/>
    <m/>
    <m/>
    <m/>
    <m/>
    <m/>
    <m/>
    <m/>
    <m/>
    <m/>
    <n v="0.83374000000000004"/>
    <m/>
    <m/>
    <m/>
    <m/>
    <m/>
    <m/>
    <m/>
    <m/>
    <m/>
    <m/>
    <m/>
    <n v="0.50936000000000003"/>
    <m/>
  </r>
  <r>
    <x v="11"/>
    <x v="195"/>
    <m/>
    <m/>
    <m/>
    <s v="AU"/>
    <m/>
    <s v="Agrifootprint process: Broad bean, at farm/AU Mass"/>
    <m/>
    <m/>
    <s v="Blonk Consultants. Agri-Footprint 2.0. 2015 [cited 2015] Available from: http://www.agrifootprint."/>
    <m/>
    <m/>
    <m/>
    <m/>
    <m/>
    <m/>
    <m/>
    <m/>
    <m/>
    <m/>
    <m/>
    <m/>
    <m/>
    <m/>
    <m/>
    <m/>
    <m/>
    <m/>
    <s v=""/>
    <s v=""/>
    <n v="1.82582"/>
    <s v=""/>
    <m/>
    <m/>
    <m/>
    <m/>
    <m/>
    <m/>
    <m/>
    <m/>
    <m/>
    <m/>
    <n v="1.4863999999999999"/>
    <m/>
    <m/>
    <m/>
    <m/>
    <m/>
    <m/>
    <m/>
    <m/>
    <m/>
    <m/>
    <m/>
    <n v="1.82582"/>
    <m/>
  </r>
  <r>
    <x v="3"/>
    <x v="196"/>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1000000000000001"/>
    <s v=""/>
    <n v="0.11"/>
    <s v=""/>
    <m/>
    <m/>
    <m/>
    <m/>
    <m/>
    <m/>
    <m/>
    <m/>
    <m/>
    <n v="1.1000000000000001"/>
    <m/>
    <m/>
    <m/>
    <m/>
    <m/>
    <m/>
    <m/>
    <m/>
    <m/>
    <m/>
    <m/>
    <m/>
    <n v="0.11"/>
    <m/>
  </r>
  <r>
    <x v="3"/>
    <x v="197"/>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1000000000000001"/>
    <s v=""/>
    <n v="0.12"/>
    <s v=""/>
    <m/>
    <m/>
    <m/>
    <m/>
    <m/>
    <m/>
    <m/>
    <m/>
    <m/>
    <n v="1.1000000000000001"/>
    <m/>
    <m/>
    <m/>
    <m/>
    <m/>
    <m/>
    <m/>
    <m/>
    <m/>
    <m/>
    <m/>
    <m/>
    <n v="0.12"/>
    <m/>
  </r>
  <r>
    <x v="4"/>
    <x v="91"/>
    <m/>
    <m/>
    <m/>
    <m/>
    <m/>
    <s v="Ecoinvent 3 process: Kiwi {GLO}| production | Alloc Def, S"/>
    <m/>
    <m/>
    <s v="Swiss Center for Life Cycle Inventories, Ecoinvent Database version 3.3. 2016, 2016, ."/>
    <m/>
    <m/>
    <m/>
    <m/>
    <m/>
    <m/>
    <m/>
    <m/>
    <m/>
    <m/>
    <m/>
    <m/>
    <m/>
    <m/>
    <m/>
    <m/>
    <m/>
    <m/>
    <n v="5.4400101999999997"/>
    <s v=""/>
    <n v="0.43526999999999999"/>
    <s v=""/>
    <m/>
    <m/>
    <m/>
    <m/>
    <m/>
    <m/>
    <m/>
    <m/>
    <m/>
    <n v="5.4400101999999997"/>
    <m/>
    <m/>
    <m/>
    <m/>
    <m/>
    <m/>
    <m/>
    <m/>
    <m/>
    <m/>
    <m/>
    <m/>
    <n v="0.43526999999999999"/>
    <m/>
  </r>
  <r>
    <x v="9"/>
    <x v="52"/>
    <m/>
    <m/>
    <m/>
    <s v="SE"/>
    <n v="2003"/>
    <s v="Annika Carlsson-Kanyam, Marianne Pipping Ekstrom, Helena Shanahan"/>
    <m/>
    <s v="Peer Reviewed Journal"/>
    <s v="Carlsson-Kanyama, A., Ekström, M. P. and Shanahan, H., Food and life cycle energy inputs: consequences of diet and ways to increase efficiency. Ecological economics 2003, 44 (2), 293-307."/>
    <m/>
    <m/>
    <m/>
    <m/>
    <m/>
    <m/>
    <m/>
    <m/>
    <m/>
    <m/>
    <m/>
    <m/>
    <m/>
    <m/>
    <m/>
    <m/>
    <m/>
    <m/>
    <s v=""/>
    <n v="1.3"/>
    <s v=""/>
    <s v=""/>
    <m/>
    <m/>
    <n v="1.3"/>
    <m/>
    <m/>
    <m/>
    <m/>
    <m/>
    <m/>
    <m/>
    <n v="1.3"/>
    <m/>
    <m/>
    <m/>
    <m/>
    <m/>
    <m/>
    <m/>
    <m/>
    <m/>
    <m/>
    <m/>
    <m/>
    <m/>
  </r>
  <r>
    <x v="9"/>
    <x v="52"/>
    <m/>
    <m/>
    <m/>
    <s v="&quot;overseas&quot;"/>
    <n v="2003"/>
    <s v="Annika Carlsson-Kanyam, Marianne Pipping Ekstrom, Helena Shanahan"/>
    <m/>
    <s v="Peer Reviewed Journal"/>
    <s v="Carlsson-Kanyama, A., Ekström, M. P. and Shanahan, H., Food and life cycle energy inputs: consequences of diet and ways to increase efficiency. Ecological economics 2003, 44 (2), 293-307."/>
    <m/>
    <m/>
    <m/>
    <m/>
    <m/>
    <m/>
    <m/>
    <m/>
    <m/>
    <m/>
    <m/>
    <m/>
    <m/>
    <m/>
    <m/>
    <m/>
    <m/>
    <m/>
    <s v=""/>
    <n v="5.6"/>
    <s v=""/>
    <s v=""/>
    <m/>
    <m/>
    <n v="5.6"/>
    <m/>
    <m/>
    <m/>
    <m/>
    <m/>
    <m/>
    <m/>
    <n v="5.6"/>
    <m/>
    <m/>
    <m/>
    <m/>
    <m/>
    <m/>
    <m/>
    <m/>
    <m/>
    <m/>
    <m/>
    <m/>
    <m/>
  </r>
  <r>
    <x v="3"/>
    <x v="139"/>
    <m/>
    <m/>
    <m/>
    <s v="Global"/>
    <m/>
    <s v="Ecoinvent 3 process: Green asparagus {GLO}| production | Alloc Def, S"/>
    <m/>
    <m/>
    <s v="Swiss Center for Life Cycle Inventories, Ecoinvent Database version 3.3. 2016, 2016, ."/>
    <m/>
    <m/>
    <m/>
    <m/>
    <m/>
    <m/>
    <m/>
    <m/>
    <m/>
    <m/>
    <m/>
    <m/>
    <m/>
    <m/>
    <m/>
    <m/>
    <m/>
    <m/>
    <n v="7.9758566000000002"/>
    <s v=""/>
    <n v="0.86667000000000005"/>
    <s v=""/>
    <m/>
    <m/>
    <m/>
    <m/>
    <m/>
    <m/>
    <m/>
    <m/>
    <m/>
    <n v="7.9758566000000002"/>
    <m/>
    <m/>
    <m/>
    <m/>
    <m/>
    <m/>
    <m/>
    <m/>
    <m/>
    <m/>
    <m/>
    <m/>
    <n v="0.86667000000000005"/>
    <m/>
  </r>
  <r>
    <x v="3"/>
    <x v="139"/>
    <m/>
    <m/>
    <m/>
    <s v="CN"/>
    <m/>
    <s v="Ecoinvent 3 process: White asparagus {CN}| white asparagus production | Alloc Def, S"/>
    <m/>
    <m/>
    <s v="Swiss Center for Life Cycle Inventories, Ecoinvent Database version 3.3. 2016, 2016, ."/>
    <m/>
    <m/>
    <m/>
    <m/>
    <m/>
    <m/>
    <m/>
    <m/>
    <m/>
    <m/>
    <m/>
    <m/>
    <m/>
    <m/>
    <m/>
    <m/>
    <m/>
    <m/>
    <n v="7.9089621000000001"/>
    <s v=""/>
    <n v="0.72014999999999996"/>
    <s v=""/>
    <m/>
    <m/>
    <m/>
    <m/>
    <m/>
    <m/>
    <m/>
    <m/>
    <m/>
    <n v="7.9089621000000001"/>
    <m/>
    <m/>
    <m/>
    <m/>
    <m/>
    <m/>
    <m/>
    <m/>
    <m/>
    <m/>
    <m/>
    <m/>
    <n v="0.72014999999999996"/>
    <m/>
  </r>
  <r>
    <x v="3"/>
    <x v="139"/>
    <m/>
    <m/>
    <m/>
    <s v="FR"/>
    <m/>
    <s v="Ecoinvent 3 process: White asparagus {FR}| white asparagus production | Alloc Def, S"/>
    <m/>
    <m/>
    <s v="Swiss Center for Life Cycle Inventories, Ecoinvent Database version 3.3. 2016, 2016, ."/>
    <m/>
    <m/>
    <m/>
    <m/>
    <m/>
    <m/>
    <m/>
    <m/>
    <m/>
    <m/>
    <m/>
    <m/>
    <m/>
    <m/>
    <m/>
    <m/>
    <m/>
    <m/>
    <n v="8.896547"/>
    <s v=""/>
    <n v="0.74765000000000004"/>
    <s v=""/>
    <m/>
    <m/>
    <m/>
    <m/>
    <m/>
    <m/>
    <m/>
    <m/>
    <m/>
    <n v="8.896547"/>
    <m/>
    <m/>
    <m/>
    <m/>
    <m/>
    <m/>
    <m/>
    <m/>
    <m/>
    <m/>
    <m/>
    <m/>
    <n v="0.74765000000000004"/>
    <m/>
  </r>
  <r>
    <x v="3"/>
    <x v="139"/>
    <m/>
    <m/>
    <m/>
    <s v="PE"/>
    <m/>
    <s v="Ecoinvent 3 process: White asparagus {PE}| white asparagus production | Alloc Def, S"/>
    <m/>
    <m/>
    <s v="Swiss Center for Life Cycle Inventories, Ecoinvent Database version 3.3. 2016, 2016, ."/>
    <m/>
    <m/>
    <m/>
    <m/>
    <m/>
    <m/>
    <m/>
    <m/>
    <m/>
    <m/>
    <m/>
    <m/>
    <m/>
    <m/>
    <m/>
    <m/>
    <m/>
    <m/>
    <n v="17.929449999999999"/>
    <s v=""/>
    <n v="1.9469000000000001"/>
    <s v=""/>
    <m/>
    <m/>
    <m/>
    <m/>
    <m/>
    <m/>
    <m/>
    <m/>
    <m/>
    <n v="17.929449999999999"/>
    <m/>
    <m/>
    <m/>
    <m/>
    <m/>
    <m/>
    <m/>
    <m/>
    <m/>
    <m/>
    <m/>
    <m/>
    <n v="1.9469000000000001"/>
    <m/>
  </r>
  <r>
    <x v="11"/>
    <x v="115"/>
    <m/>
    <m/>
    <m/>
    <s v="US"/>
    <m/>
    <s v="Agrifootprint process: Groundnuts, with shell, at farm/US Mass"/>
    <m/>
    <m/>
    <s v="Blonk Consultants. Agri-Footprint 2.0. 2015 [cited 2015] Available from: http://www.agrifootprint."/>
    <m/>
    <m/>
    <m/>
    <m/>
    <m/>
    <m/>
    <m/>
    <m/>
    <m/>
    <m/>
    <m/>
    <m/>
    <m/>
    <m/>
    <m/>
    <m/>
    <m/>
    <m/>
    <n v="1.0900000000000001"/>
    <s v=""/>
    <n v="0.32"/>
    <s v=""/>
    <m/>
    <m/>
    <m/>
    <m/>
    <m/>
    <m/>
    <m/>
    <m/>
    <m/>
    <n v="1.0900000000000001"/>
    <m/>
    <m/>
    <m/>
    <m/>
    <m/>
    <m/>
    <m/>
    <m/>
    <m/>
    <m/>
    <m/>
    <m/>
    <n v="0.32"/>
    <m/>
  </r>
  <r>
    <x v="3"/>
    <x v="75"/>
    <m/>
    <m/>
    <m/>
    <s v="FR"/>
    <m/>
    <s v="Agrifootprint process: Broccoli, at farm/FR Mass"/>
    <m/>
    <m/>
    <s v="Blonk Consultants. Agri-Footprint 2.0. 2015 [cited 2015] Available from: http://www.agrifootprint."/>
    <m/>
    <m/>
    <m/>
    <m/>
    <m/>
    <m/>
    <m/>
    <m/>
    <m/>
    <m/>
    <m/>
    <m/>
    <m/>
    <m/>
    <m/>
    <m/>
    <m/>
    <m/>
    <n v="1.6081475999999999"/>
    <s v=""/>
    <n v="0.35991274000000001"/>
    <s v=""/>
    <m/>
    <m/>
    <m/>
    <m/>
    <m/>
    <m/>
    <m/>
    <m/>
    <m/>
    <n v="1.6081475999999999"/>
    <m/>
    <m/>
    <m/>
    <m/>
    <m/>
    <m/>
    <m/>
    <m/>
    <m/>
    <m/>
    <m/>
    <m/>
    <n v="0.35991274000000001"/>
    <m/>
  </r>
  <r>
    <x v="3"/>
    <x v="75"/>
    <m/>
    <m/>
    <m/>
    <s v="NL"/>
    <m/>
    <s v="Agrifootprint process: Broccoli, at farm/NL Mass"/>
    <m/>
    <m/>
    <s v="Blonk Consultants. Agri-Footprint 2.0. 2015 [cited 2015] Available from: http://www.agrifootprint."/>
    <m/>
    <m/>
    <m/>
    <m/>
    <m/>
    <m/>
    <m/>
    <m/>
    <m/>
    <m/>
    <m/>
    <m/>
    <m/>
    <m/>
    <m/>
    <m/>
    <m/>
    <m/>
    <n v="2.9124268"/>
    <s v=""/>
    <n v="0.68451923000000003"/>
    <s v=""/>
    <m/>
    <m/>
    <m/>
    <m/>
    <m/>
    <m/>
    <m/>
    <m/>
    <m/>
    <n v="2.9124268"/>
    <m/>
    <m/>
    <m/>
    <m/>
    <m/>
    <m/>
    <m/>
    <m/>
    <m/>
    <m/>
    <m/>
    <m/>
    <n v="0.68451923000000003"/>
    <m/>
  </r>
  <r>
    <x v="3"/>
    <x v="95"/>
    <m/>
    <m/>
    <m/>
    <s v="ES"/>
    <m/>
    <s v="Agrifootprint process: Cauliflower, at farm/ES Mass"/>
    <m/>
    <m/>
    <s v="Blonk Consultants. Agri-Footprint 2.0. 2015 [cited 2015] Available from: http://www.agrifootprint."/>
    <m/>
    <m/>
    <m/>
    <m/>
    <m/>
    <m/>
    <m/>
    <m/>
    <m/>
    <m/>
    <m/>
    <m/>
    <m/>
    <m/>
    <m/>
    <m/>
    <m/>
    <m/>
    <n v="1.4390966999999999"/>
    <s v=""/>
    <n v="0.27288365999999997"/>
    <s v=""/>
    <m/>
    <m/>
    <m/>
    <m/>
    <m/>
    <m/>
    <m/>
    <m/>
    <m/>
    <n v="1.4390966999999999"/>
    <m/>
    <m/>
    <m/>
    <m/>
    <m/>
    <m/>
    <m/>
    <m/>
    <m/>
    <m/>
    <m/>
    <m/>
    <n v="0.27288365999999997"/>
    <m/>
  </r>
  <r>
    <x v="3"/>
    <x v="95"/>
    <m/>
    <m/>
    <m/>
    <s v="NL"/>
    <m/>
    <s v="Agrifootprint process: Cauliflower, at farm/NL Mass"/>
    <m/>
    <m/>
    <s v="Blonk Consultants. Agri-Footprint 2.0. 2015 [cited 2015] Available from: http://www.agrifootprint."/>
    <m/>
    <m/>
    <m/>
    <m/>
    <m/>
    <m/>
    <m/>
    <m/>
    <m/>
    <m/>
    <m/>
    <m/>
    <m/>
    <m/>
    <m/>
    <m/>
    <m/>
    <m/>
    <n v="2.0014116"/>
    <s v=""/>
    <n v="0.44161191999999999"/>
    <s v=""/>
    <m/>
    <m/>
    <m/>
    <m/>
    <m/>
    <m/>
    <m/>
    <m/>
    <m/>
    <n v="2.0014116"/>
    <m/>
    <m/>
    <m/>
    <m/>
    <m/>
    <m/>
    <m/>
    <m/>
    <m/>
    <m/>
    <m/>
    <m/>
    <n v="0.44161191999999999"/>
    <m/>
  </r>
  <r>
    <x v="3"/>
    <x v="198"/>
    <m/>
    <m/>
    <m/>
    <s v="ES"/>
    <m/>
    <s v="Agrifootprint process: Curly kale, at farm/ES Mass"/>
    <m/>
    <m/>
    <s v="Blonk Consultants. Agri-Footprint 2.0. 2015 [cited 2015] Available from: http://www.agrifootprint."/>
    <m/>
    <m/>
    <m/>
    <m/>
    <m/>
    <m/>
    <m/>
    <m/>
    <m/>
    <m/>
    <m/>
    <m/>
    <m/>
    <m/>
    <m/>
    <m/>
    <m/>
    <m/>
    <n v="0.56645767999999996"/>
    <s v=""/>
    <n v="0.11944332000000001"/>
    <s v=""/>
    <m/>
    <m/>
    <m/>
    <m/>
    <m/>
    <m/>
    <m/>
    <m/>
    <m/>
    <n v="0.56645767999999996"/>
    <m/>
    <m/>
    <m/>
    <m/>
    <m/>
    <m/>
    <m/>
    <m/>
    <m/>
    <m/>
    <m/>
    <m/>
    <n v="0.11944332000000001"/>
    <m/>
  </r>
  <r>
    <x v="3"/>
    <x v="198"/>
    <m/>
    <m/>
    <m/>
    <s v="NL"/>
    <m/>
    <s v="Agrifootprint process: Curly kale, at farm/NL Mass"/>
    <m/>
    <m/>
    <s v="Blonk Consultants. Agri-Footprint 2.0. 2015 [cited 2015] Available from: http://www.agrifootprint."/>
    <m/>
    <m/>
    <m/>
    <m/>
    <m/>
    <m/>
    <m/>
    <m/>
    <m/>
    <m/>
    <m/>
    <m/>
    <m/>
    <m/>
    <m/>
    <m/>
    <m/>
    <m/>
    <n v="0.35823792999999998"/>
    <s v=""/>
    <n v="0.11627535"/>
    <s v=""/>
    <m/>
    <m/>
    <m/>
    <m/>
    <m/>
    <m/>
    <m/>
    <m/>
    <m/>
    <n v="0.35823792999999998"/>
    <m/>
    <m/>
    <m/>
    <m/>
    <m/>
    <m/>
    <m/>
    <m/>
    <m/>
    <m/>
    <m/>
    <m/>
    <n v="0.11627535"/>
    <m/>
  </r>
  <r>
    <x v="8"/>
    <x v="147"/>
    <m/>
    <m/>
    <m/>
    <m/>
    <m/>
    <s v="Agrifootprint process: Refined rapeseed oil, from crushing (solvent), at plant/US Mass"/>
    <m/>
    <m/>
    <s v="Blonk Consultants. Agri-Footprint 2.0. 2015 [cited 2015] Available from: http://www.agrifootprint."/>
    <m/>
    <m/>
    <m/>
    <m/>
    <m/>
    <m/>
    <m/>
    <m/>
    <m/>
    <m/>
    <m/>
    <m/>
    <m/>
    <m/>
    <m/>
    <m/>
    <m/>
    <m/>
    <s v=""/>
    <n v="13.327939000000001"/>
    <s v=""/>
    <n v="1.92"/>
    <m/>
    <m/>
    <n v="13.327939000000001"/>
    <m/>
    <m/>
    <m/>
    <m/>
    <m/>
    <m/>
    <m/>
    <n v="13.327939000000001"/>
    <m/>
    <m/>
    <m/>
    <m/>
    <n v="1.92"/>
    <m/>
    <m/>
    <m/>
    <m/>
    <m/>
    <m/>
    <m/>
    <n v="1.92"/>
  </r>
  <r>
    <x v="4"/>
    <x v="199"/>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33"/>
    <s v=""/>
    <m/>
    <m/>
    <m/>
    <m/>
    <m/>
    <m/>
    <m/>
    <m/>
    <m/>
    <m/>
    <m/>
    <m/>
    <m/>
    <m/>
    <m/>
    <m/>
    <m/>
    <m/>
    <m/>
    <m/>
    <m/>
    <m/>
    <n v="1.33"/>
    <m/>
  </r>
  <r>
    <x v="4"/>
    <x v="199"/>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1.33"/>
    <s v=""/>
    <m/>
    <m/>
    <m/>
    <m/>
    <m/>
    <m/>
    <m/>
    <m/>
    <m/>
    <m/>
    <m/>
    <m/>
    <m/>
    <m/>
    <m/>
    <m/>
    <m/>
    <m/>
    <m/>
    <m/>
    <m/>
    <m/>
    <n v="1.33"/>
    <m/>
  </r>
  <r>
    <x v="4"/>
    <x v="164"/>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
    <s v=""/>
    <n v="0.26"/>
    <s v=""/>
    <m/>
    <m/>
    <m/>
    <m/>
    <m/>
    <m/>
    <m/>
    <m/>
    <m/>
    <n v="3"/>
    <m/>
    <m/>
    <m/>
    <m/>
    <m/>
    <m/>
    <m/>
    <m/>
    <m/>
    <m/>
    <m/>
    <m/>
    <n v="0.26"/>
    <m/>
  </r>
  <r>
    <x v="4"/>
    <x v="164"/>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5"/>
    <s v=""/>
    <n v="0.45"/>
    <s v=""/>
    <m/>
    <m/>
    <m/>
    <m/>
    <m/>
    <m/>
    <m/>
    <m/>
    <m/>
    <n v="5"/>
    <m/>
    <m/>
    <m/>
    <m/>
    <m/>
    <m/>
    <m/>
    <m/>
    <m/>
    <m/>
    <m/>
    <m/>
    <n v="0.45"/>
    <m/>
  </r>
  <r>
    <x v="3"/>
    <x v="86"/>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84"/>
    <s v=""/>
    <n v="0.08"/>
    <s v=""/>
    <m/>
    <m/>
    <m/>
    <m/>
    <m/>
    <m/>
    <m/>
    <m/>
    <m/>
    <n v="0.84"/>
    <m/>
    <m/>
    <m/>
    <m/>
    <m/>
    <m/>
    <m/>
    <m/>
    <m/>
    <m/>
    <m/>
    <m/>
    <n v="0.08"/>
    <m/>
  </r>
  <r>
    <x v="3"/>
    <x v="200"/>
    <m/>
    <m/>
    <m/>
    <m/>
    <m/>
    <s v="Ecoinvent 3 process: Zucchini {GLO}| production | Alloc Def, S"/>
    <m/>
    <m/>
    <s v="Swiss Center for Life Cycle Inventories, Ecoinvent Database version 3.3. 2016, 2016, ."/>
    <m/>
    <m/>
    <m/>
    <m/>
    <m/>
    <m/>
    <m/>
    <m/>
    <m/>
    <m/>
    <m/>
    <m/>
    <m/>
    <m/>
    <m/>
    <m/>
    <m/>
    <m/>
    <n v="0.18415999999999999"/>
    <s v=""/>
    <n v="2.2156125099999997"/>
    <s v=""/>
    <m/>
    <m/>
    <m/>
    <m/>
    <m/>
    <m/>
    <m/>
    <m/>
    <m/>
    <n v="0.18415999999999999"/>
    <m/>
    <m/>
    <m/>
    <m/>
    <m/>
    <m/>
    <m/>
    <m/>
    <m/>
    <m/>
    <m/>
    <m/>
    <n v="2.2156125099999997"/>
    <m/>
  </r>
  <r>
    <x v="5"/>
    <x v="140"/>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2.9"/>
    <s v=""/>
    <n v="0.47"/>
    <s v=""/>
    <m/>
    <m/>
    <m/>
    <m/>
    <m/>
    <m/>
    <m/>
    <m/>
    <m/>
    <n v="2.9"/>
    <m/>
    <m/>
    <m/>
    <m/>
    <m/>
    <m/>
    <m/>
    <m/>
    <m/>
    <m/>
    <m/>
    <m/>
    <n v="0.47"/>
    <m/>
  </r>
  <r>
    <x v="5"/>
    <x v="140"/>
    <m/>
    <m/>
    <m/>
    <s v="BE"/>
    <m/>
    <s v="Agrifootprint process: Oat grain peeled, from dry milling, at plant/BE Mass"/>
    <m/>
    <m/>
    <s v="Blonk Consultants. Agri-Footprint 2.0. 2015 [cited 2015] Available from: http://www.agrifootprint."/>
    <m/>
    <m/>
    <m/>
    <m/>
    <m/>
    <m/>
    <m/>
    <m/>
    <m/>
    <m/>
    <m/>
    <m/>
    <m/>
    <m/>
    <m/>
    <m/>
    <m/>
    <m/>
    <n v="2.8693"/>
    <s v=""/>
    <n v="0.36201"/>
    <s v=""/>
    <m/>
    <m/>
    <m/>
    <m/>
    <m/>
    <m/>
    <m/>
    <m/>
    <m/>
    <n v="2.8693"/>
    <m/>
    <m/>
    <m/>
    <m/>
    <m/>
    <m/>
    <m/>
    <m/>
    <m/>
    <m/>
    <m/>
    <m/>
    <n v="0.36201"/>
    <m/>
  </r>
  <r>
    <x v="5"/>
    <x v="140"/>
    <m/>
    <m/>
    <m/>
    <s v="NL"/>
    <m/>
    <s v="Agrifootprint process: Oat grain peeled, from dry milling, at plant/NL Mass"/>
    <m/>
    <m/>
    <s v="Blonk Consultants. Agri-Footprint 2.0. 2015 [cited 2015] Available from: http://www.agrifootprint."/>
    <m/>
    <m/>
    <m/>
    <m/>
    <m/>
    <m/>
    <m/>
    <m/>
    <m/>
    <m/>
    <m/>
    <m/>
    <m/>
    <m/>
    <m/>
    <m/>
    <m/>
    <m/>
    <n v="2.5423"/>
    <s v=""/>
    <n v="0.41276000000000002"/>
    <s v=""/>
    <m/>
    <m/>
    <m/>
    <m/>
    <m/>
    <m/>
    <m/>
    <m/>
    <m/>
    <n v="2.5423"/>
    <m/>
    <m/>
    <m/>
    <m/>
    <m/>
    <m/>
    <m/>
    <m/>
    <m/>
    <m/>
    <m/>
    <m/>
    <n v="0.41276000000000002"/>
    <m/>
  </r>
  <r>
    <x v="3"/>
    <x v="93"/>
    <m/>
    <m/>
    <m/>
    <s v="S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
    <s v=""/>
    <n v="0.1"/>
    <s v=""/>
    <m/>
    <m/>
    <m/>
    <m/>
    <m/>
    <m/>
    <m/>
    <m/>
    <m/>
    <n v="1"/>
    <m/>
    <m/>
    <m/>
    <m/>
    <m/>
    <m/>
    <m/>
    <m/>
    <m/>
    <m/>
    <m/>
    <m/>
    <n v="0.1"/>
    <m/>
  </r>
  <r>
    <x v="1"/>
    <x v="3"/>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82"/>
    <s v=""/>
    <n v="20"/>
    <s v=""/>
    <m/>
    <m/>
    <m/>
    <m/>
    <m/>
    <m/>
    <m/>
    <m/>
    <m/>
    <n v="82"/>
    <m/>
    <m/>
    <m/>
    <m/>
    <m/>
    <m/>
    <m/>
    <m/>
    <m/>
    <m/>
    <m/>
    <m/>
    <n v="20"/>
    <m/>
  </r>
  <r>
    <x v="1"/>
    <x v="3"/>
    <m/>
    <m/>
    <m/>
    <s v="Argentina"/>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52"/>
    <s v=""/>
    <n v="22"/>
    <s v=""/>
    <m/>
    <m/>
    <m/>
    <m/>
    <m/>
    <m/>
    <m/>
    <m/>
    <m/>
    <n v="52"/>
    <m/>
    <m/>
    <m/>
    <m/>
    <m/>
    <m/>
    <m/>
    <m/>
    <m/>
    <m/>
    <m/>
    <m/>
    <n v="22"/>
    <m/>
  </r>
  <r>
    <x v="1"/>
    <x v="3"/>
    <m/>
    <m/>
    <m/>
    <s v="Uruguay"/>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8"/>
    <s v=""/>
    <n v="29"/>
    <s v=""/>
    <m/>
    <m/>
    <m/>
    <m/>
    <m/>
    <m/>
    <m/>
    <m/>
    <m/>
    <n v="38"/>
    <m/>
    <m/>
    <m/>
    <m/>
    <m/>
    <m/>
    <m/>
    <m/>
    <m/>
    <m/>
    <m/>
    <m/>
    <n v="29"/>
    <m/>
  </r>
  <r>
    <x v="1"/>
    <x v="1"/>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65"/>
    <s v=""/>
    <n v="17"/>
    <s v=""/>
    <m/>
    <m/>
    <m/>
    <m/>
    <m/>
    <m/>
    <m/>
    <m/>
    <m/>
    <n v="65"/>
    <m/>
    <m/>
    <m/>
    <m/>
    <m/>
    <m/>
    <m/>
    <m/>
    <m/>
    <m/>
    <m/>
    <m/>
    <n v="17"/>
    <m/>
  </r>
  <r>
    <x v="1"/>
    <x v="1"/>
    <m/>
    <m/>
    <m/>
    <s v="Uruguay"/>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40"/>
    <s v=""/>
    <n v="36"/>
    <s v=""/>
    <m/>
    <m/>
    <m/>
    <m/>
    <m/>
    <m/>
    <m/>
    <m/>
    <m/>
    <n v="40"/>
    <m/>
    <m/>
    <m/>
    <m/>
    <m/>
    <m/>
    <m/>
    <m/>
    <m/>
    <m/>
    <m/>
    <m/>
    <n v="36"/>
    <m/>
  </r>
  <r>
    <x v="1"/>
    <x v="23"/>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1"/>
    <s v=""/>
    <n v="7.2"/>
    <s v=""/>
    <m/>
    <m/>
    <m/>
    <m/>
    <m/>
    <m/>
    <m/>
    <m/>
    <m/>
    <n v="31"/>
    <m/>
    <m/>
    <m/>
    <m/>
    <m/>
    <m/>
    <m/>
    <m/>
    <m/>
    <m/>
    <m/>
    <m/>
    <n v="7.2"/>
    <m/>
  </r>
  <r>
    <x v="1"/>
    <x v="24"/>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29"/>
    <s v=""/>
    <n v="2.9"/>
    <s v=""/>
    <m/>
    <m/>
    <m/>
    <m/>
    <m/>
    <m/>
    <m/>
    <m/>
    <m/>
    <n v="29"/>
    <m/>
    <m/>
    <m/>
    <m/>
    <m/>
    <m/>
    <m/>
    <m/>
    <m/>
    <m/>
    <m/>
    <m/>
    <n v="2.9"/>
    <m/>
  </r>
  <r>
    <x v="2"/>
    <x v="2"/>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2"/>
    <s v=""/>
    <n v="1.6"/>
    <s v=""/>
    <m/>
    <m/>
    <m/>
    <m/>
    <m/>
    <m/>
    <m/>
    <m/>
    <m/>
    <n v="12"/>
    <m/>
    <m/>
    <m/>
    <m/>
    <m/>
    <m/>
    <m/>
    <m/>
    <m/>
    <m/>
    <m/>
    <m/>
    <n v="1.6"/>
    <m/>
  </r>
  <r>
    <x v="2"/>
    <x v="2"/>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7"/>
    <s v=""/>
    <n v="1.9"/>
    <s v=""/>
    <m/>
    <m/>
    <m/>
    <m/>
    <m/>
    <m/>
    <m/>
    <m/>
    <m/>
    <n v="17"/>
    <m/>
    <m/>
    <m/>
    <m/>
    <m/>
    <m/>
    <m/>
    <m/>
    <m/>
    <m/>
    <m/>
    <m/>
    <n v="1.9"/>
    <m/>
  </r>
  <r>
    <x v="11"/>
    <x v="127"/>
    <m/>
    <m/>
    <m/>
    <s v="Brazil"/>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beans"/>
    <m/>
    <n v="4"/>
    <s v=""/>
    <n v="3.8"/>
    <s v=""/>
    <m/>
    <m/>
    <m/>
    <m/>
    <m/>
    <m/>
    <m/>
    <m/>
    <m/>
    <n v="4"/>
    <m/>
    <m/>
    <m/>
    <m/>
    <m/>
    <m/>
    <m/>
    <m/>
    <m/>
    <m/>
    <m/>
    <m/>
    <n v="3.8"/>
    <m/>
  </r>
  <r>
    <x v="11"/>
    <x v="201"/>
    <m/>
    <s v="brown bean"/>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beans"/>
    <m/>
    <n v="7.4"/>
    <s v=""/>
    <n v="0.68"/>
    <s v=""/>
    <m/>
    <m/>
    <m/>
    <m/>
    <m/>
    <m/>
    <m/>
    <m/>
    <m/>
    <n v="7.4"/>
    <m/>
    <m/>
    <m/>
    <m/>
    <m/>
    <m/>
    <m/>
    <m/>
    <m/>
    <m/>
    <m/>
    <m/>
    <n v="0.68"/>
    <m/>
  </r>
  <r>
    <x v="3"/>
    <x v="166"/>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beans"/>
    <m/>
    <n v="3.5"/>
    <s v=""/>
    <n v="0.49"/>
    <s v=""/>
    <m/>
    <m/>
    <m/>
    <m/>
    <m/>
    <m/>
    <m/>
    <m/>
    <m/>
    <n v="3.5"/>
    <m/>
    <m/>
    <m/>
    <m/>
    <m/>
    <m/>
    <m/>
    <m/>
    <m/>
    <m/>
    <m/>
    <m/>
    <n v="0.49"/>
    <m/>
  </r>
  <r>
    <x v="5"/>
    <x v="129"/>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grain"/>
    <m/>
    <n v="6.6"/>
    <s v=""/>
    <n v="1.1000000000000001"/>
    <s v=""/>
    <m/>
    <m/>
    <m/>
    <m/>
    <m/>
    <m/>
    <m/>
    <m/>
    <m/>
    <n v="6.6"/>
    <m/>
    <m/>
    <m/>
    <m/>
    <m/>
    <m/>
    <m/>
    <m/>
    <m/>
    <m/>
    <m/>
    <m/>
    <n v="1.1000000000000001"/>
    <m/>
  </r>
  <r>
    <x v="5"/>
    <x v="129"/>
    <m/>
    <m/>
    <m/>
    <s v="Japa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s v="1 kg dry grain"/>
    <m/>
    <n v="7.4"/>
    <s v=""/>
    <n v="1.2"/>
    <s v=""/>
    <m/>
    <m/>
    <m/>
    <m/>
    <m/>
    <m/>
    <m/>
    <m/>
    <m/>
    <n v="7.4"/>
    <m/>
    <m/>
    <m/>
    <m/>
    <m/>
    <m/>
    <m/>
    <m/>
    <m/>
    <m/>
    <m/>
    <m/>
    <n v="1.2"/>
    <m/>
  </r>
  <r>
    <x v="3"/>
    <x v="44"/>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5"/>
    <s v=""/>
    <n v="0.16"/>
    <s v=""/>
    <m/>
    <m/>
    <m/>
    <m/>
    <m/>
    <m/>
    <m/>
    <m/>
    <m/>
    <n v="1.5"/>
    <m/>
    <m/>
    <m/>
    <m/>
    <m/>
    <m/>
    <m/>
    <m/>
    <m/>
    <m/>
    <m/>
    <m/>
    <n v="0.16"/>
    <m/>
  </r>
  <r>
    <x v="3"/>
    <x v="44"/>
    <m/>
    <m/>
    <m/>
    <s v="Switzerland"/>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5"/>
    <s v=""/>
    <n v="0.14000000000000001"/>
    <s v=""/>
    <m/>
    <m/>
    <m/>
    <m/>
    <m/>
    <m/>
    <m/>
    <m/>
    <m/>
    <n v="1.5"/>
    <m/>
    <m/>
    <m/>
    <m/>
    <m/>
    <m/>
    <m/>
    <m/>
    <m/>
    <m/>
    <m/>
    <m/>
    <n v="0.14000000000000001"/>
    <m/>
  </r>
  <r>
    <x v="3"/>
    <x v="44"/>
    <m/>
    <m/>
    <m/>
    <s v="Denmark"/>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8"/>
    <s v=""/>
    <n v="0.09"/>
    <s v=""/>
    <m/>
    <m/>
    <m/>
    <m/>
    <m/>
    <m/>
    <m/>
    <m/>
    <m/>
    <n v="0.8"/>
    <m/>
    <m/>
    <m/>
    <m/>
    <m/>
    <m/>
    <m/>
    <m/>
    <m/>
    <m/>
    <m/>
    <m/>
    <n v="0.09"/>
    <m/>
  </r>
  <r>
    <x v="3"/>
    <x v="202"/>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96"/>
    <s v=""/>
    <n v="0.09"/>
    <s v=""/>
    <m/>
    <m/>
    <m/>
    <m/>
    <m/>
    <m/>
    <m/>
    <m/>
    <m/>
    <n v="0.96"/>
    <m/>
    <m/>
    <m/>
    <m/>
    <m/>
    <m/>
    <m/>
    <m/>
    <m/>
    <m/>
    <m/>
    <m/>
    <n v="0.09"/>
    <m/>
  </r>
  <r>
    <x v="3"/>
    <x v="19"/>
    <m/>
    <m/>
    <m/>
    <s v="Spai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
    <s v=""/>
    <n v="0.37"/>
    <s v=""/>
    <m/>
    <m/>
    <m/>
    <m/>
    <m/>
    <m/>
    <m/>
    <m/>
    <m/>
    <n v="3"/>
    <m/>
    <m/>
    <m/>
    <m/>
    <m/>
    <m/>
    <m/>
    <m/>
    <m/>
    <m/>
    <m/>
    <m/>
    <n v="0.37"/>
    <m/>
  </r>
  <r>
    <x v="3"/>
    <x v="75"/>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6"/>
    <s v=""/>
    <n v="0.37"/>
    <s v=""/>
    <m/>
    <m/>
    <m/>
    <m/>
    <m/>
    <m/>
    <m/>
    <m/>
    <m/>
    <n v="3.6"/>
    <m/>
    <m/>
    <m/>
    <m/>
    <m/>
    <m/>
    <m/>
    <m/>
    <m/>
    <m/>
    <m/>
    <m/>
    <n v="0.37"/>
    <m/>
  </r>
  <r>
    <x v="3"/>
    <x v="94"/>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97"/>
    <s v=""/>
    <n v="0.09"/>
    <s v=""/>
    <m/>
    <m/>
    <m/>
    <m/>
    <m/>
    <m/>
    <m/>
    <m/>
    <m/>
    <n v="0.97"/>
    <m/>
    <m/>
    <m/>
    <m/>
    <m/>
    <m/>
    <m/>
    <m/>
    <m/>
    <m/>
    <m/>
    <m/>
    <n v="0.09"/>
    <m/>
  </r>
  <r>
    <x v="3"/>
    <x v="94"/>
    <m/>
    <m/>
    <m/>
    <s v="Switzerland"/>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7"/>
    <s v=""/>
    <n v="0.14000000000000001"/>
    <s v=""/>
    <m/>
    <m/>
    <m/>
    <m/>
    <m/>
    <m/>
    <m/>
    <m/>
    <m/>
    <n v="1.7"/>
    <m/>
    <m/>
    <m/>
    <m/>
    <m/>
    <m/>
    <m/>
    <m/>
    <m/>
    <m/>
    <m/>
    <m/>
    <n v="0.14000000000000001"/>
    <m/>
  </r>
  <r>
    <x v="3"/>
    <x v="57"/>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4"/>
    <s v=""/>
    <n v="0.13"/>
    <s v=""/>
    <m/>
    <m/>
    <m/>
    <m/>
    <m/>
    <m/>
    <m/>
    <m/>
    <m/>
    <n v="1.4"/>
    <m/>
    <m/>
    <m/>
    <m/>
    <m/>
    <m/>
    <m/>
    <m/>
    <m/>
    <m/>
    <m/>
    <m/>
    <n v="0.13"/>
    <m/>
  </r>
  <r>
    <x v="3"/>
    <x v="57"/>
    <m/>
    <m/>
    <m/>
    <s v="Holland"/>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3"/>
    <s v=""/>
    <n v="0.14000000000000001"/>
    <s v=""/>
    <m/>
    <m/>
    <m/>
    <m/>
    <m/>
    <m/>
    <m/>
    <m/>
    <m/>
    <n v="1.3"/>
    <m/>
    <m/>
    <m/>
    <m/>
    <m/>
    <m/>
    <m/>
    <m/>
    <m/>
    <m/>
    <m/>
    <m/>
    <n v="0.14000000000000001"/>
    <m/>
  </r>
  <r>
    <x v="3"/>
    <x v="57"/>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9"/>
    <s v=""/>
    <n v="0.32"/>
    <s v=""/>
    <m/>
    <m/>
    <m/>
    <m/>
    <m/>
    <m/>
    <m/>
    <m/>
    <m/>
    <n v="3.9"/>
    <m/>
    <m/>
    <m/>
    <m/>
    <m/>
    <m/>
    <m/>
    <m/>
    <m/>
    <m/>
    <m/>
    <m/>
    <n v="0.32"/>
    <m/>
  </r>
  <r>
    <x v="4"/>
    <x v="66"/>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0.63"/>
    <s v=""/>
    <n v="0.06"/>
    <s v=""/>
    <m/>
    <m/>
    <m/>
    <m/>
    <m/>
    <m/>
    <m/>
    <m/>
    <m/>
    <n v="0.63"/>
    <m/>
    <m/>
    <m/>
    <m/>
    <m/>
    <m/>
    <m/>
    <m/>
    <m/>
    <m/>
    <m/>
    <m/>
    <n v="0.06"/>
    <m/>
  </r>
  <r>
    <x v="4"/>
    <x v="66"/>
    <m/>
    <m/>
    <m/>
    <s v="New Zealand"/>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6.1"/>
    <s v=""/>
    <n v="0.48"/>
    <s v=""/>
    <m/>
    <m/>
    <m/>
    <m/>
    <m/>
    <m/>
    <m/>
    <m/>
    <m/>
    <n v="6.1"/>
    <m/>
    <m/>
    <m/>
    <m/>
    <m/>
    <m/>
    <m/>
    <m/>
    <m/>
    <m/>
    <m/>
    <m/>
    <n v="0.48"/>
    <m/>
  </r>
  <r>
    <x v="4"/>
    <x v="66"/>
    <m/>
    <m/>
    <m/>
    <s v="France"/>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1.6"/>
    <s v=""/>
    <n v="0.12"/>
    <s v=""/>
    <m/>
    <m/>
    <m/>
    <m/>
    <m/>
    <m/>
    <m/>
    <m/>
    <m/>
    <n v="1.6"/>
    <m/>
    <m/>
    <m/>
    <m/>
    <m/>
    <m/>
    <m/>
    <m/>
    <m/>
    <m/>
    <m/>
    <m/>
    <n v="0.12"/>
    <m/>
  </r>
  <r>
    <x v="4"/>
    <x v="136"/>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3.7"/>
    <s v=""/>
    <n v="0.33"/>
    <s v=""/>
    <m/>
    <m/>
    <m/>
    <m/>
    <m/>
    <m/>
    <m/>
    <m/>
    <m/>
    <n v="3.7"/>
    <m/>
    <m/>
    <m/>
    <m/>
    <m/>
    <m/>
    <m/>
    <m/>
    <m/>
    <m/>
    <m/>
    <m/>
    <n v="0.33"/>
    <m/>
  </r>
  <r>
    <x v="4"/>
    <x v="81"/>
    <m/>
    <m/>
    <m/>
    <s v="Sweden"/>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2.8"/>
    <s v=""/>
    <n v="0.21"/>
    <s v=""/>
    <m/>
    <m/>
    <m/>
    <m/>
    <m/>
    <m/>
    <m/>
    <m/>
    <m/>
    <n v="2.8"/>
    <m/>
    <m/>
    <m/>
    <m/>
    <m/>
    <m/>
    <m/>
    <m/>
    <m/>
    <m/>
    <m/>
    <m/>
    <n v="0.21"/>
    <m/>
  </r>
  <r>
    <x v="4"/>
    <x v="81"/>
    <m/>
    <m/>
    <m/>
    <s v="US"/>
    <n v="2011"/>
    <s v="Alejandro D. González, Björn Frostell, Annika Carlsson-Kanyama"/>
    <m/>
    <s v="Peer Reviewed Journal"/>
    <s v="Gonzalez, A. D., Frostell, B. and Carlsson-Kanyama, A., Protein efficiency per unit energy and per unit greenhouse gas emissions: Potential contribution of diet choices to climate change mitigation. Food Policy 2011, 36 (5), 562-570."/>
    <m/>
    <m/>
    <m/>
    <m/>
    <m/>
    <m/>
    <m/>
    <m/>
    <m/>
    <m/>
    <m/>
    <m/>
    <m/>
    <m/>
    <m/>
    <m/>
    <m/>
    <m/>
    <n v="5.4"/>
    <s v=""/>
    <n v="0.55000000000000004"/>
    <s v=""/>
    <m/>
    <m/>
    <m/>
    <m/>
    <m/>
    <m/>
    <m/>
    <m/>
    <m/>
    <n v="5.4"/>
    <m/>
    <m/>
    <m/>
    <m/>
    <m/>
    <m/>
    <m/>
    <m/>
    <m/>
    <m/>
    <m/>
    <m/>
    <n v="0.55000000000000004"/>
    <m/>
  </r>
  <r>
    <x v="4"/>
    <x v="20"/>
    <m/>
    <m/>
    <m/>
    <s v="CR"/>
    <m/>
    <s v="Eocinvent 2 process: Banana {CR}| banana production | Alloc Def, S"/>
    <m/>
    <m/>
    <s v="Swiss Center for Life Cycle Inventories, Ecoinvent Database version 3.3. 2016, 2016, ."/>
    <m/>
    <m/>
    <m/>
    <m/>
    <m/>
    <m/>
    <m/>
    <m/>
    <m/>
    <m/>
    <m/>
    <m/>
    <m/>
    <m/>
    <m/>
    <m/>
    <m/>
    <m/>
    <n v="0.97439113229999996"/>
    <s v=""/>
    <n v="8.1206746999999996E-2"/>
    <s v=""/>
    <m/>
    <m/>
    <m/>
    <m/>
    <m/>
    <m/>
    <m/>
    <m/>
    <m/>
    <n v="0.97439113229999996"/>
    <m/>
    <m/>
    <m/>
    <m/>
    <m/>
    <m/>
    <m/>
    <m/>
    <m/>
    <m/>
    <m/>
    <m/>
    <n v="8.1206746999999996E-2"/>
    <m/>
  </r>
  <r>
    <x v="4"/>
    <x v="20"/>
    <m/>
    <m/>
    <m/>
    <s v="EC"/>
    <m/>
    <s v="Eocinvent 2 process: Banana {EC}| banana production | Alloc Def, S"/>
    <m/>
    <m/>
    <s v="Swiss Center for Life Cycle Inventories, Ecoinvent Database version 3.3. 2016, 2016, ."/>
    <m/>
    <m/>
    <m/>
    <m/>
    <m/>
    <m/>
    <m/>
    <m/>
    <m/>
    <m/>
    <m/>
    <m/>
    <m/>
    <m/>
    <m/>
    <m/>
    <m/>
    <m/>
    <n v="3.3026936950999999"/>
    <s v=""/>
    <n v="0.26266316000000001"/>
    <s v=""/>
    <m/>
    <m/>
    <m/>
    <m/>
    <m/>
    <m/>
    <m/>
    <m/>
    <m/>
    <n v="3.3026936950999999"/>
    <m/>
    <m/>
    <m/>
    <m/>
    <m/>
    <m/>
    <m/>
    <m/>
    <m/>
    <m/>
    <m/>
    <m/>
    <n v="0.26266316000000001"/>
    <m/>
  </r>
  <r>
    <x v="4"/>
    <x v="20"/>
    <m/>
    <m/>
    <m/>
    <s v="IN"/>
    <m/>
    <s v="Eocinvent 2 process: Banana {IN}| banana production | Alloc Def, S"/>
    <m/>
    <m/>
    <s v="Swiss Center for Life Cycle Inventories, Ecoinvent Database version 3.3. 2016, 2016, ."/>
    <m/>
    <m/>
    <m/>
    <m/>
    <m/>
    <m/>
    <m/>
    <m/>
    <m/>
    <m/>
    <m/>
    <m/>
    <m/>
    <m/>
    <m/>
    <m/>
    <m/>
    <m/>
    <n v="3.1540473375000002"/>
    <s v=""/>
    <n v="0.26752540000000002"/>
    <s v=""/>
    <m/>
    <m/>
    <m/>
    <m/>
    <m/>
    <m/>
    <m/>
    <m/>
    <m/>
    <n v="3.1540473375000002"/>
    <m/>
    <m/>
    <m/>
    <m/>
    <m/>
    <m/>
    <m/>
    <m/>
    <m/>
    <m/>
    <m/>
    <m/>
    <n v="0.26752540000000002"/>
    <m/>
  </r>
  <r>
    <x v="4"/>
    <x v="20"/>
    <m/>
    <m/>
    <m/>
    <s v="RoW"/>
    <m/>
    <s v="Eocinvent 2 process: Banana {RoW}| banana production | Alloc Def, S"/>
    <m/>
    <m/>
    <s v="Swiss Center for Life Cycle Inventories, Ecoinvent Database version 3.3. 2016, 2016, ."/>
    <m/>
    <m/>
    <m/>
    <m/>
    <m/>
    <m/>
    <m/>
    <m/>
    <m/>
    <m/>
    <m/>
    <m/>
    <m/>
    <m/>
    <m/>
    <m/>
    <m/>
    <m/>
    <n v="2.6421060044000004"/>
    <s v=""/>
    <n v="0.26593591"/>
    <s v=""/>
    <m/>
    <m/>
    <m/>
    <m/>
    <m/>
    <m/>
    <m/>
    <m/>
    <m/>
    <n v="2.6421060044000004"/>
    <m/>
    <m/>
    <m/>
    <m/>
    <m/>
    <m/>
    <m/>
    <m/>
    <m/>
    <m/>
    <m/>
    <m/>
    <n v="0.26593591"/>
    <m/>
  </r>
  <r>
    <x v="3"/>
    <x v="142"/>
    <m/>
    <m/>
    <m/>
    <s v="DE"/>
    <m/>
    <s v="Agrifootprint process: Potato starch dried, from wet milling, at plant/DE Mass"/>
    <m/>
    <m/>
    <s v="Blonk Consultants. Agri-Footprint 2.0. 2015 [cited 2015] Available from: http://www.agrifootprint."/>
    <m/>
    <m/>
    <m/>
    <m/>
    <m/>
    <m/>
    <m/>
    <m/>
    <m/>
    <m/>
    <m/>
    <m/>
    <m/>
    <m/>
    <m/>
    <m/>
    <m/>
    <m/>
    <s v=""/>
    <n v="6.7838162000000004"/>
    <s v=""/>
    <n v="0.93291893999999997"/>
    <m/>
    <m/>
    <n v="6.7838162000000004"/>
    <m/>
    <m/>
    <m/>
    <m/>
    <m/>
    <m/>
    <m/>
    <n v="6.7838162000000004"/>
    <m/>
    <m/>
    <m/>
    <m/>
    <n v="0.93291893999999997"/>
    <m/>
    <m/>
    <m/>
    <m/>
    <m/>
    <m/>
    <m/>
    <n v="0.93291893999999997"/>
  </r>
  <r>
    <x v="3"/>
    <x v="142"/>
    <m/>
    <m/>
    <m/>
    <s v="NL"/>
    <m/>
    <s v="Agrifootprint process: Potato starch dried, from wet milling, at plant/NL Mass"/>
    <m/>
    <m/>
    <s v="Blonk Consultants. Agri-Footprint 2.0. 2015 [cited 2015] Available from: http://www.agrifootprint."/>
    <m/>
    <m/>
    <m/>
    <m/>
    <m/>
    <m/>
    <m/>
    <m/>
    <m/>
    <m/>
    <m/>
    <m/>
    <m/>
    <m/>
    <m/>
    <m/>
    <m/>
    <m/>
    <s v=""/>
    <n v="6.4781129000000002"/>
    <s v=""/>
    <n v="0.97211035000000001"/>
    <m/>
    <m/>
    <n v="6.4781129000000002"/>
    <m/>
    <m/>
    <m/>
    <m/>
    <m/>
    <m/>
    <m/>
    <n v="6.4781129000000002"/>
    <m/>
    <m/>
    <m/>
    <m/>
    <n v="0.97211035000000001"/>
    <m/>
    <m/>
    <m/>
    <m/>
    <m/>
    <m/>
    <m/>
    <n v="0.97211035000000001"/>
  </r>
  <r>
    <x v="3"/>
    <x v="203"/>
    <m/>
    <m/>
    <m/>
    <m/>
    <m/>
    <s v="Ecoinvent 3 process: Celery {GLO}| 675 production | Alloc Def, S"/>
    <m/>
    <m/>
    <s v="Swiss Center for Life Cycle Inventories, Ecoinvent Database version 3.3. 2016, 2016, ."/>
    <m/>
    <m/>
    <m/>
    <m/>
    <m/>
    <m/>
    <m/>
    <m/>
    <m/>
    <m/>
    <m/>
    <m/>
    <m/>
    <m/>
    <m/>
    <m/>
    <m/>
    <m/>
    <n v="5.2511022999999994"/>
    <s v=""/>
    <n v="0.41115000000000002"/>
    <s v=""/>
    <m/>
    <m/>
    <m/>
    <m/>
    <m/>
    <m/>
    <m/>
    <m/>
    <m/>
    <n v="5.2511022999999994"/>
    <m/>
    <m/>
    <m/>
    <m/>
    <m/>
    <m/>
    <m/>
    <m/>
    <m/>
    <m/>
    <m/>
    <m/>
    <n v="0.41115000000000002"/>
    <m/>
  </r>
  <r>
    <x v="3"/>
    <x v="204"/>
    <m/>
    <m/>
    <m/>
    <m/>
    <m/>
    <s v="Ecoinvent 3 process: Iceberg lettuce {GLO}| production | Alloc Def, S"/>
    <m/>
    <m/>
    <s v="Swiss Center for Life Cycle Inventories, Ecoinvent Database version 3.3. 2016, 2016, ."/>
    <m/>
    <m/>
    <m/>
    <m/>
    <m/>
    <m/>
    <m/>
    <m/>
    <m/>
    <m/>
    <m/>
    <m/>
    <m/>
    <m/>
    <m/>
    <m/>
    <m/>
    <m/>
    <n v="1.9850391699999999"/>
    <s v=""/>
    <n v="0.15075"/>
    <s v=""/>
    <m/>
    <m/>
    <m/>
    <m/>
    <m/>
    <m/>
    <m/>
    <m/>
    <m/>
    <n v="1.9850391699999999"/>
    <m/>
    <m/>
    <m/>
    <m/>
    <m/>
    <m/>
    <m/>
    <m/>
    <m/>
    <m/>
    <m/>
    <m/>
    <n v="0.15075"/>
    <m/>
  </r>
  <r>
    <x v="7"/>
    <x v="40"/>
    <m/>
    <m/>
    <m/>
    <s v="CA-QC"/>
    <m/>
    <s v="Ecoinvent 3: Soybean beverage {CA-QC}| production | Alloc Def, S"/>
    <m/>
    <m/>
    <s v="Swiss Center for Life Cycle Inventories, Ecoinvent Database version 3.3. 2016, 2016, ."/>
    <m/>
    <m/>
    <m/>
    <m/>
    <m/>
    <m/>
    <m/>
    <m/>
    <m/>
    <m/>
    <m/>
    <m/>
    <m/>
    <m/>
    <m/>
    <m/>
    <m/>
    <m/>
    <s v=""/>
    <n v="1.6030119999999999"/>
    <s v=""/>
    <n v="0.15309"/>
    <m/>
    <m/>
    <n v="1.6030119999999999"/>
    <m/>
    <m/>
    <m/>
    <m/>
    <m/>
    <m/>
    <m/>
    <n v="1.6030119999999999"/>
    <m/>
    <m/>
    <m/>
    <m/>
    <n v="0.15309"/>
    <m/>
    <m/>
    <m/>
    <m/>
    <m/>
    <m/>
    <m/>
    <n v="0.15309"/>
  </r>
  <r>
    <x v="7"/>
    <x v="40"/>
    <m/>
    <m/>
    <m/>
    <s v="RoW"/>
    <m/>
    <s v="Ecoinvent 3: Soybean beverage {RoW}| production | Alloc Def, S"/>
    <m/>
    <m/>
    <s v="Swiss Center for Life Cycle Inventories, Ecoinvent Database version 3.3. 2016, 2016, ."/>
    <m/>
    <m/>
    <m/>
    <m/>
    <m/>
    <m/>
    <m/>
    <m/>
    <m/>
    <m/>
    <m/>
    <m/>
    <m/>
    <m/>
    <m/>
    <m/>
    <m/>
    <m/>
    <s v=""/>
    <n v="1.76278241"/>
    <s v=""/>
    <n v="0.16888"/>
    <m/>
    <m/>
    <n v="1.76278241"/>
    <m/>
    <m/>
    <m/>
    <m/>
    <m/>
    <m/>
    <m/>
    <n v="1.76278241"/>
    <m/>
    <m/>
    <m/>
    <m/>
    <n v="0.16888"/>
    <m/>
    <m/>
    <m/>
    <m/>
    <m/>
    <m/>
    <m/>
    <n v="0.16888"/>
  </r>
  <r>
    <x v="10"/>
    <x v="205"/>
    <m/>
    <m/>
    <m/>
    <m/>
    <n v="2008"/>
    <s v="The Climate Conservancy. 2008. The Carbon Footprint of Fat Tire® Amber Ale. http://www.newbelgium.com/files/shared/tinkerer/the-carbon-footprint-of-fat-tire-amber-ale-2008-public-dist-rfs.pdf."/>
    <m/>
    <m/>
    <s v="The Climate Conservancy, The Carbon Footprint of Fat Tire® Amber Ale. 2008, ."/>
    <m/>
    <m/>
    <m/>
    <m/>
    <m/>
    <m/>
    <m/>
    <m/>
    <m/>
    <m/>
    <m/>
    <m/>
    <m/>
    <m/>
    <m/>
    <m/>
    <m/>
    <m/>
    <s v=""/>
    <s v=""/>
    <n v="2.35"/>
    <s v=""/>
    <m/>
    <m/>
    <m/>
    <m/>
    <m/>
    <m/>
    <m/>
    <m/>
    <m/>
    <m/>
    <m/>
    <m/>
    <m/>
    <m/>
    <m/>
    <m/>
    <m/>
    <m/>
    <m/>
    <m/>
    <m/>
    <m/>
    <n v="2.35"/>
    <m/>
  </r>
  <r>
    <x v="3"/>
    <x v="100"/>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3.33"/>
    <s v=""/>
    <n v="0.30199999999999999"/>
    <s v=""/>
    <m/>
    <m/>
    <m/>
    <m/>
    <m/>
    <m/>
    <m/>
    <m/>
    <m/>
    <n v="3.33"/>
    <m/>
    <m/>
    <m/>
    <m/>
    <m/>
    <m/>
    <m/>
    <m/>
    <m/>
    <m/>
    <m/>
    <m/>
    <n v="0.30199999999999999"/>
    <m/>
  </r>
  <r>
    <x v="3"/>
    <x v="206"/>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1.92"/>
    <s v=""/>
    <n v="0.152"/>
    <s v=""/>
    <m/>
    <m/>
    <m/>
    <m/>
    <m/>
    <m/>
    <m/>
    <m/>
    <m/>
    <n v="1.92"/>
    <m/>
    <m/>
    <m/>
    <m/>
    <m/>
    <m/>
    <m/>
    <m/>
    <m/>
    <m/>
    <m/>
    <m/>
    <n v="0.152"/>
    <m/>
  </r>
  <r>
    <x v="3"/>
    <x v="94"/>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1.81"/>
    <s v=""/>
    <n v="0.121"/>
    <s v=""/>
    <m/>
    <m/>
    <m/>
    <m/>
    <m/>
    <m/>
    <m/>
    <m/>
    <m/>
    <n v="1.81"/>
    <m/>
    <m/>
    <m/>
    <m/>
    <m/>
    <m/>
    <m/>
    <m/>
    <m/>
    <m/>
    <m/>
    <m/>
    <n v="0.121"/>
    <m/>
  </r>
  <r>
    <x v="3"/>
    <x v="93"/>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0.96699999999999997"/>
    <s v=""/>
    <n v="9.8400000000000001E-2"/>
    <s v=""/>
    <m/>
    <m/>
    <m/>
    <m/>
    <m/>
    <m/>
    <m/>
    <m/>
    <m/>
    <n v="0.96699999999999997"/>
    <m/>
    <m/>
    <m/>
    <m/>
    <m/>
    <m/>
    <m/>
    <m/>
    <m/>
    <m/>
    <m/>
    <m/>
    <n v="9.8400000000000001E-2"/>
    <m/>
  </r>
  <r>
    <x v="3"/>
    <x v="88"/>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5.64"/>
    <s v=""/>
    <n v="0.27"/>
    <s v=""/>
    <m/>
    <m/>
    <m/>
    <m/>
    <m/>
    <m/>
    <m/>
    <m/>
    <m/>
    <n v="5.64"/>
    <m/>
    <m/>
    <m/>
    <m/>
    <m/>
    <m/>
    <m/>
    <m/>
    <m/>
    <m/>
    <m/>
    <m/>
    <n v="0.27"/>
    <m/>
  </r>
  <r>
    <x v="11"/>
    <x v="148"/>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28.4"/>
    <s v=""/>
    <n v="1.46"/>
    <s v=""/>
    <m/>
    <m/>
    <m/>
    <m/>
    <m/>
    <m/>
    <m/>
    <m/>
    <m/>
    <n v="28.4"/>
    <m/>
    <m/>
    <m/>
    <m/>
    <m/>
    <m/>
    <m/>
    <m/>
    <m/>
    <m/>
    <m/>
    <m/>
    <n v="1.46"/>
    <m/>
  </r>
  <r>
    <x v="11"/>
    <x v="82"/>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22.4"/>
    <s v=""/>
    <n v="1.1599999999999999"/>
    <s v=""/>
    <m/>
    <m/>
    <m/>
    <m/>
    <m/>
    <m/>
    <m/>
    <m/>
    <m/>
    <n v="22.4"/>
    <m/>
    <m/>
    <m/>
    <m/>
    <m/>
    <m/>
    <m/>
    <m/>
    <m/>
    <m/>
    <m/>
    <m/>
    <n v="1.1599999999999999"/>
    <m/>
  </r>
  <r>
    <x v="4"/>
    <x v="137"/>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7.08"/>
    <s v=""/>
    <n v="0.28499999999999998"/>
    <s v=""/>
    <m/>
    <m/>
    <m/>
    <m/>
    <m/>
    <m/>
    <m/>
    <m/>
    <m/>
    <n v="7.08"/>
    <m/>
    <m/>
    <m/>
    <m/>
    <m/>
    <m/>
    <m/>
    <m/>
    <m/>
    <m/>
    <m/>
    <m/>
    <n v="0.28499999999999998"/>
    <m/>
  </r>
  <r>
    <x v="4"/>
    <x v="136"/>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1.93"/>
    <s v=""/>
    <n v="0.107"/>
    <s v=""/>
    <m/>
    <m/>
    <m/>
    <m/>
    <m/>
    <m/>
    <m/>
    <m/>
    <m/>
    <n v="1.93"/>
    <m/>
    <m/>
    <m/>
    <m/>
    <m/>
    <m/>
    <m/>
    <m/>
    <m/>
    <m/>
    <m/>
    <m/>
    <n v="0.107"/>
    <m/>
  </r>
  <r>
    <x v="4"/>
    <x v="20"/>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2.68"/>
    <s v=""/>
    <n v="0.23"/>
    <s v=""/>
    <m/>
    <m/>
    <m/>
    <m/>
    <m/>
    <m/>
    <m/>
    <m/>
    <m/>
    <n v="2.68"/>
    <m/>
    <m/>
    <m/>
    <m/>
    <m/>
    <m/>
    <m/>
    <m/>
    <m/>
    <m/>
    <m/>
    <m/>
    <n v="0.23"/>
    <m/>
  </r>
  <r>
    <x v="4"/>
    <x v="66"/>
    <m/>
    <m/>
    <m/>
    <m/>
    <n v="2011"/>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3.13"/>
    <s v=""/>
    <n v="0.14799999999999999"/>
    <s v=""/>
    <m/>
    <m/>
    <m/>
    <m/>
    <m/>
    <m/>
    <m/>
    <m/>
    <m/>
    <n v="3.13"/>
    <m/>
    <m/>
    <m/>
    <m/>
    <m/>
    <m/>
    <m/>
    <m/>
    <m/>
    <m/>
    <m/>
    <m/>
    <n v="0.14799999999999999"/>
    <m/>
  </r>
  <r>
    <x v="3"/>
    <x v="44"/>
    <m/>
    <m/>
    <m/>
    <m/>
    <n v="2018"/>
    <s v="Thomas Nemecek, Karin Weiler, Katharina Plassmann, Julian Schnetzer"/>
    <m/>
    <s v="NGO Report"/>
    <s v="Nemecek, T., Weiler, K., Plassmann, K. and Schnetzer, J., Geographical extrapolation of environmental impact of crops by the MEXALCA method. Unilever-ART project no. 2011, ."/>
    <m/>
    <m/>
    <m/>
    <m/>
    <m/>
    <m/>
    <m/>
    <m/>
    <m/>
    <m/>
    <m/>
    <m/>
    <m/>
    <m/>
    <m/>
    <m/>
    <s v="reporting weighted mean values"/>
    <m/>
    <n v="2.69"/>
    <s v=""/>
    <n v="0.157"/>
    <s v=""/>
    <m/>
    <m/>
    <m/>
    <m/>
    <m/>
    <m/>
    <m/>
    <m/>
    <m/>
    <n v="2.69"/>
    <m/>
    <m/>
    <m/>
    <m/>
    <m/>
    <m/>
    <m/>
    <m/>
    <m/>
    <m/>
    <m/>
    <m/>
    <n v="0.157"/>
    <m/>
  </r>
  <r>
    <x v="11"/>
    <x v="207"/>
    <m/>
    <m/>
    <m/>
    <s v="CA"/>
    <m/>
    <s v="Argifootprint process: Lentil, at farm/CA Mass"/>
    <m/>
    <m/>
    <s v="Blonk Consultants. Agri-Footprint 2.0. 2015 [cited 2015] Available from: http://www.agrifootprint."/>
    <m/>
    <m/>
    <m/>
    <m/>
    <m/>
    <m/>
    <m/>
    <m/>
    <m/>
    <m/>
    <m/>
    <m/>
    <m/>
    <m/>
    <m/>
    <m/>
    <m/>
    <m/>
    <n v="1.4028"/>
    <s v=""/>
    <n v="0.42380000000000001"/>
    <s v=""/>
    <m/>
    <m/>
    <m/>
    <m/>
    <m/>
    <m/>
    <m/>
    <m/>
    <m/>
    <n v="1.4028"/>
    <m/>
    <m/>
    <m/>
    <m/>
    <m/>
    <m/>
    <m/>
    <m/>
    <m/>
    <m/>
    <m/>
    <m/>
    <n v="0.42380000000000001"/>
    <m/>
  </r>
  <r>
    <x v="11"/>
    <x v="207"/>
    <m/>
    <m/>
    <m/>
    <s v="AU"/>
    <m/>
    <s v="Argifootprint process: Lentil, at farm/AU Mass"/>
    <m/>
    <m/>
    <s v="Blonk Consultants. Agri-Footprint 2.0. 2015 [cited 2015] Available from: http://www.agrifootprint."/>
    <m/>
    <m/>
    <m/>
    <m/>
    <m/>
    <m/>
    <m/>
    <m/>
    <m/>
    <m/>
    <m/>
    <m/>
    <m/>
    <m/>
    <m/>
    <m/>
    <m/>
    <m/>
    <n v="1.2381"/>
    <s v=""/>
    <n v="3.3369"/>
    <s v=""/>
    <m/>
    <m/>
    <m/>
    <m/>
    <m/>
    <m/>
    <m/>
    <m/>
    <m/>
    <n v="1.2381"/>
    <m/>
    <m/>
    <m/>
    <m/>
    <m/>
    <m/>
    <m/>
    <m/>
    <m/>
    <m/>
    <m/>
    <m/>
    <n v="3.3369"/>
    <m/>
  </r>
  <r>
    <x v="11"/>
    <x v="201"/>
    <m/>
    <m/>
    <m/>
    <s v="US"/>
    <m/>
    <s v="Agrifootprint process: Beans, dry, at farm/US Mass"/>
    <m/>
    <m/>
    <s v="Blonk Consultants. Agri-Footprint 2.0. 2015 [cited 2015] Available from: http://www.agrifootprint."/>
    <m/>
    <m/>
    <m/>
    <m/>
    <m/>
    <m/>
    <m/>
    <m/>
    <m/>
    <m/>
    <m/>
    <m/>
    <m/>
    <m/>
    <m/>
    <m/>
    <m/>
    <m/>
    <n v="2.1116000000000001"/>
    <s v=""/>
    <n v="0.46848000000000001"/>
    <s v=""/>
    <m/>
    <m/>
    <m/>
    <m/>
    <m/>
    <m/>
    <m/>
    <m/>
    <m/>
    <n v="2.1116000000000001"/>
    <m/>
    <m/>
    <m/>
    <m/>
    <m/>
    <m/>
    <m/>
    <m/>
    <m/>
    <m/>
    <m/>
    <m/>
    <n v="0.46848000000000001"/>
    <m/>
  </r>
  <r>
    <x v="11"/>
    <x v="208"/>
    <m/>
    <m/>
    <m/>
    <s v="US"/>
    <m/>
    <s v="Agrifootprint process: Chickpea, at farm/US Mass"/>
    <m/>
    <m/>
    <s v="Blonk Consultants. Agri-Footprint 2.0. 2015 [cited 2015] Available from: http://www.agrifootprint."/>
    <m/>
    <m/>
    <m/>
    <m/>
    <m/>
    <m/>
    <m/>
    <m/>
    <m/>
    <m/>
    <m/>
    <m/>
    <m/>
    <m/>
    <m/>
    <m/>
    <m/>
    <m/>
    <n v="1.5431999999999999"/>
    <s v=""/>
    <n v="0.4914"/>
    <s v=""/>
    <m/>
    <m/>
    <m/>
    <m/>
    <m/>
    <m/>
    <m/>
    <m/>
    <m/>
    <n v="1.5431999999999999"/>
    <m/>
    <m/>
    <m/>
    <m/>
    <m/>
    <m/>
    <m/>
    <m/>
    <m/>
    <m/>
    <m/>
    <m/>
    <n v="0.4914"/>
    <m/>
  </r>
  <r>
    <x v="11"/>
    <x v="127"/>
    <m/>
    <m/>
    <m/>
    <s v="US"/>
    <m/>
    <s v="Agrifootprint process: Soybean, at farm/US Mass"/>
    <m/>
    <m/>
    <s v="Blonk Consultants. Agri-Footprint 2.0. 2015 [cited 2015] Available from: http://www.agrifootprint."/>
    <m/>
    <m/>
    <m/>
    <m/>
    <m/>
    <m/>
    <m/>
    <m/>
    <m/>
    <m/>
    <m/>
    <m/>
    <m/>
    <m/>
    <m/>
    <m/>
    <m/>
    <m/>
    <n v="3.0627"/>
    <s v=""/>
    <n v="0.37952000000000002"/>
    <s v=""/>
    <m/>
    <m/>
    <m/>
    <m/>
    <m/>
    <m/>
    <m/>
    <m/>
    <m/>
    <n v="3.0627"/>
    <m/>
    <m/>
    <m/>
    <m/>
    <m/>
    <m/>
    <m/>
    <m/>
    <m/>
    <m/>
    <m/>
    <m/>
    <n v="0.37952000000000002"/>
    <m/>
  </r>
  <r>
    <x v="9"/>
    <x v="209"/>
    <m/>
    <m/>
    <m/>
    <s v="US"/>
    <m/>
    <s v="Agrifootprint process:Sugar cane molasses, from sugar production, at plant/US Mass"/>
    <m/>
    <m/>
    <s v="Blonk Consultants. Agri-Footprint 2.0. 2015 [cited 2015] Available from: http://www.agrifootprint."/>
    <m/>
    <m/>
    <m/>
    <m/>
    <m/>
    <m/>
    <m/>
    <m/>
    <m/>
    <m/>
    <m/>
    <m/>
    <m/>
    <m/>
    <m/>
    <m/>
    <m/>
    <m/>
    <s v=""/>
    <n v="5.0787000000000004"/>
    <s v=""/>
    <n v="0.48759999999999998"/>
    <m/>
    <m/>
    <n v="5.0787000000000004"/>
    <m/>
    <m/>
    <m/>
    <m/>
    <m/>
    <m/>
    <m/>
    <n v="5.0787000000000004"/>
    <m/>
    <m/>
    <m/>
    <m/>
    <n v="0.48759999999999998"/>
    <m/>
    <m/>
    <m/>
    <m/>
    <m/>
    <m/>
    <m/>
    <n v="0.48759999999999998"/>
  </r>
  <r>
    <x v="9"/>
    <x v="131"/>
    <m/>
    <m/>
    <m/>
    <s v="US"/>
    <m/>
    <s v="Agrifootprint process: Sugar, from sugar cane, from sugar production, at plant/US Mass"/>
    <m/>
    <m/>
    <s v="Blonk Consultants. Agri-Footprint 2.0. 2015 [cited 2015] Available from: http://www.agrifootprint."/>
    <m/>
    <m/>
    <m/>
    <m/>
    <m/>
    <m/>
    <m/>
    <m/>
    <m/>
    <m/>
    <m/>
    <m/>
    <m/>
    <m/>
    <m/>
    <m/>
    <m/>
    <m/>
    <s v=""/>
    <n v="6.7751476000000004"/>
    <s v=""/>
    <n v="0.66705736999999998"/>
    <m/>
    <m/>
    <n v="6.7751476000000004"/>
    <m/>
    <m/>
    <m/>
    <m/>
    <m/>
    <m/>
    <m/>
    <n v="6.7751476000000004"/>
    <m/>
    <m/>
    <m/>
    <m/>
    <n v="0.66705736999999998"/>
    <m/>
    <m/>
    <m/>
    <m/>
    <m/>
    <m/>
    <m/>
    <n v="0.66705736999999998"/>
  </r>
  <r>
    <x v="8"/>
    <x v="47"/>
    <m/>
    <m/>
    <m/>
    <s v="US"/>
    <m/>
    <s v="Agrifootprint process: Refined soybean oil, from crushing (solvent), at plant/US Mass"/>
    <m/>
    <m/>
    <s v="Blonk Consultants. Agri-Footprint 2.0. 2015 [cited 2015] Available from: http://www.agrifootprint."/>
    <m/>
    <m/>
    <m/>
    <m/>
    <m/>
    <m/>
    <m/>
    <m/>
    <m/>
    <m/>
    <m/>
    <m/>
    <m/>
    <m/>
    <m/>
    <m/>
    <m/>
    <m/>
    <s v=""/>
    <n v="8.75"/>
    <s v=""/>
    <n v="0.80688000000000004"/>
    <m/>
    <m/>
    <n v="8.75"/>
    <m/>
    <m/>
    <m/>
    <m/>
    <m/>
    <m/>
    <m/>
    <n v="8.75"/>
    <m/>
    <m/>
    <m/>
    <m/>
    <n v="0.80688000000000004"/>
    <m/>
    <m/>
    <m/>
    <m/>
    <m/>
    <m/>
    <m/>
    <n v="0.80688000000000004"/>
  </r>
  <r>
    <x v="11"/>
    <x v="210"/>
    <m/>
    <m/>
    <m/>
    <s v="US"/>
    <m/>
    <s v="Ecoinvent 3 process: Soybean meal {US}| soybean meal and crude oil production | Alloc Def, S"/>
    <m/>
    <m/>
    <s v="Swiss Center for Life Cycle Inventories, Ecoinvent Database version 3.3. 2016, 2016, ."/>
    <m/>
    <m/>
    <m/>
    <m/>
    <m/>
    <m/>
    <m/>
    <m/>
    <m/>
    <m/>
    <m/>
    <m/>
    <m/>
    <m/>
    <m/>
    <m/>
    <m/>
    <m/>
    <s v=""/>
    <n v="2.9633449999999999"/>
    <s v=""/>
    <n v="0.40566000000000002"/>
    <m/>
    <m/>
    <n v="2.9633449999999999"/>
    <m/>
    <m/>
    <m/>
    <m/>
    <m/>
    <m/>
    <m/>
    <n v="2.9633449999999999"/>
    <m/>
    <m/>
    <m/>
    <m/>
    <n v="0.40566000000000002"/>
    <m/>
    <m/>
    <m/>
    <m/>
    <m/>
    <m/>
    <m/>
    <n v="0.40566000000000002"/>
  </r>
  <r>
    <x v="3"/>
    <x v="211"/>
    <m/>
    <m/>
    <m/>
    <s v="US"/>
    <m/>
    <s v="Ecoinvent 3 process: Sweet corn {US}| sweet corn production | Alloc Def, S"/>
    <m/>
    <m/>
    <s v="Swiss Center for Life Cycle Inventories, Ecoinvent Database version 3.3. 2016, 2016, ."/>
    <m/>
    <m/>
    <m/>
    <m/>
    <m/>
    <m/>
    <m/>
    <m/>
    <m/>
    <m/>
    <m/>
    <m/>
    <m/>
    <m/>
    <m/>
    <m/>
    <m/>
    <m/>
    <n v="2.4748158250000003"/>
    <s v=""/>
    <n v="0.24421635"/>
    <s v=""/>
    <m/>
    <m/>
    <m/>
    <m/>
    <m/>
    <m/>
    <m/>
    <m/>
    <m/>
    <n v="2.4748158250000003"/>
    <m/>
    <m/>
    <m/>
    <m/>
    <m/>
    <m/>
    <m/>
    <m/>
    <m/>
    <m/>
    <m/>
    <m/>
    <n v="0.24421635"/>
    <m/>
  </r>
  <r>
    <x v="3"/>
    <x v="211"/>
    <m/>
    <m/>
    <m/>
    <s v="HU"/>
    <m/>
    <s v="Ecoinvent 3 process: Sweet corn {HU}| sweet corn production | Alloc Def, S"/>
    <m/>
    <m/>
    <s v="Swiss Center for Life Cycle Inventories, Ecoinvent Database version 3.3. 2016, 2016, ."/>
    <m/>
    <m/>
    <m/>
    <m/>
    <m/>
    <m/>
    <m/>
    <m/>
    <m/>
    <m/>
    <m/>
    <m/>
    <m/>
    <m/>
    <m/>
    <m/>
    <m/>
    <m/>
    <n v="2.6657383942699999"/>
    <s v=""/>
    <n v="0.28881754999999998"/>
    <s v=""/>
    <m/>
    <m/>
    <m/>
    <m/>
    <m/>
    <m/>
    <m/>
    <m/>
    <m/>
    <n v="2.6657383942699999"/>
    <m/>
    <m/>
    <m/>
    <m/>
    <m/>
    <m/>
    <m/>
    <m/>
    <m/>
    <m/>
    <m/>
    <m/>
    <n v="0.28881754999999998"/>
    <m/>
  </r>
  <r>
    <x v="3"/>
    <x v="211"/>
    <m/>
    <m/>
    <m/>
    <s v="RoW"/>
    <m/>
    <s v="Ecoinvent 3 process: Sweet corn {RoW}| sweet corn production | Alloc Def, S"/>
    <m/>
    <m/>
    <s v="Swiss Center for Life Cycle Inventories, Ecoinvent Database version 3.3. 2016, 2016, ."/>
    <m/>
    <m/>
    <m/>
    <m/>
    <m/>
    <m/>
    <m/>
    <m/>
    <m/>
    <m/>
    <m/>
    <m/>
    <m/>
    <m/>
    <m/>
    <m/>
    <m/>
    <m/>
    <n v="2.527893089"/>
    <s v=""/>
    <n v="0.37178664"/>
    <s v=""/>
    <m/>
    <m/>
    <m/>
    <m/>
    <m/>
    <m/>
    <m/>
    <m/>
    <m/>
    <n v="2.527893089"/>
    <m/>
    <m/>
    <m/>
    <m/>
    <m/>
    <m/>
    <m/>
    <m/>
    <m/>
    <m/>
    <m/>
    <m/>
    <n v="0.37178664"/>
    <m/>
  </r>
  <r>
    <x v="3"/>
    <x v="211"/>
    <m/>
    <m/>
    <m/>
    <s v="TH"/>
    <m/>
    <s v="Ecoinvent 3 process: Sweet corn {TH}| sweet corn production | Alloc Def, S"/>
    <m/>
    <m/>
    <s v="Swiss Center for Life Cycle Inventories, Ecoinvent Database version 3.3. 2016, 2016, ."/>
    <m/>
    <m/>
    <m/>
    <m/>
    <m/>
    <m/>
    <m/>
    <m/>
    <m/>
    <m/>
    <m/>
    <m/>
    <m/>
    <m/>
    <m/>
    <m/>
    <m/>
    <m/>
    <n v="1.8887313091"/>
    <s v=""/>
    <n v="0.18450696"/>
    <s v=""/>
    <m/>
    <m/>
    <m/>
    <m/>
    <m/>
    <m/>
    <m/>
    <m/>
    <m/>
    <n v="1.8887313091"/>
    <m/>
    <m/>
    <m/>
    <m/>
    <m/>
    <m/>
    <m/>
    <m/>
    <m/>
    <m/>
    <m/>
    <m/>
    <n v="0.18450696"/>
    <m/>
  </r>
  <r>
    <x v="8"/>
    <x v="50"/>
    <m/>
    <m/>
    <m/>
    <s v="Global"/>
    <m/>
    <s v="World Food LCA Database: Peanut oil, at oil mill (WFLDB 3.1)/GLO U"/>
    <m/>
    <m/>
    <s v="Quantis, World Food LCA Database. 2016, ."/>
    <m/>
    <m/>
    <m/>
    <m/>
    <m/>
    <m/>
    <m/>
    <m/>
    <m/>
    <m/>
    <m/>
    <m/>
    <m/>
    <m/>
    <m/>
    <m/>
    <m/>
    <m/>
    <s v=""/>
    <n v="3.1583665999999999"/>
    <s v=""/>
    <n v="4.3630063999999997"/>
    <m/>
    <m/>
    <n v="3.1583665999999999"/>
    <m/>
    <m/>
    <m/>
    <m/>
    <m/>
    <m/>
    <m/>
    <n v="3.1583665999999999"/>
    <m/>
    <m/>
    <m/>
    <m/>
    <n v="4.3630063999999997"/>
    <m/>
    <m/>
    <m/>
    <m/>
    <m/>
    <m/>
    <m/>
    <n v="4.3630063999999997"/>
  </r>
  <r>
    <x v="3"/>
    <x v="93"/>
    <m/>
    <m/>
    <m/>
    <s v="CN"/>
    <m/>
    <s v="Ecoinvent 3 (WFLDB) process: Onion {CN}| onion production | Alloc Def, S"/>
    <m/>
    <m/>
    <s v="Swiss Center for Life Cycle Inventories, Ecoinvent Database version 3.3. 2016, 2016, ."/>
    <m/>
    <m/>
    <m/>
    <m/>
    <m/>
    <m/>
    <m/>
    <m/>
    <m/>
    <m/>
    <m/>
    <m/>
    <m/>
    <m/>
    <m/>
    <m/>
    <m/>
    <m/>
    <n v="2.1517225358000003"/>
    <s v=""/>
    <n v="0.18947802999999999"/>
    <s v=""/>
    <m/>
    <m/>
    <m/>
    <m/>
    <m/>
    <m/>
    <m/>
    <m/>
    <m/>
    <n v="2.1517225358000003"/>
    <m/>
    <m/>
    <m/>
    <m/>
    <m/>
    <m/>
    <m/>
    <m/>
    <m/>
    <m/>
    <m/>
    <m/>
    <n v="0.18947802999999999"/>
    <m/>
  </r>
  <r>
    <x v="3"/>
    <x v="93"/>
    <m/>
    <m/>
    <m/>
    <s v="IN"/>
    <m/>
    <s v="Ecoinvent 3 (WFLDB) process: Onion {IN}| onion production | Alloc Def, S"/>
    <m/>
    <m/>
    <s v="Swiss Center for Life Cycle Inventories, Ecoinvent Database version 3.3. 2016, 2016, ."/>
    <m/>
    <m/>
    <m/>
    <m/>
    <m/>
    <m/>
    <m/>
    <m/>
    <m/>
    <m/>
    <m/>
    <m/>
    <m/>
    <m/>
    <m/>
    <m/>
    <m/>
    <m/>
    <n v="5.6378573961000003"/>
    <s v=""/>
    <n v="0.54483833000000004"/>
    <s v=""/>
    <m/>
    <m/>
    <m/>
    <m/>
    <m/>
    <m/>
    <m/>
    <m/>
    <m/>
    <n v="5.6378573961000003"/>
    <m/>
    <m/>
    <m/>
    <m/>
    <m/>
    <m/>
    <m/>
    <m/>
    <m/>
    <m/>
    <m/>
    <m/>
    <n v="0.54483833000000004"/>
    <m/>
  </r>
  <r>
    <x v="3"/>
    <x v="93"/>
    <m/>
    <m/>
    <m/>
    <s v="NL"/>
    <m/>
    <s v="Ecoinvent 3 (WFLDB) process: Onion {NL}| onion production | Alloc Def, S"/>
    <m/>
    <m/>
    <s v="Swiss Center for Life Cycle Inventories, Ecoinvent Database version 3.3. 2016, 2016, ."/>
    <m/>
    <m/>
    <m/>
    <m/>
    <m/>
    <m/>
    <m/>
    <m/>
    <m/>
    <m/>
    <m/>
    <m/>
    <m/>
    <m/>
    <m/>
    <m/>
    <m/>
    <m/>
    <n v="2.1631013978000002"/>
    <s v=""/>
    <n v="0.19278450999999999"/>
    <s v=""/>
    <m/>
    <m/>
    <m/>
    <m/>
    <m/>
    <m/>
    <m/>
    <m/>
    <m/>
    <n v="2.1631013978000002"/>
    <m/>
    <m/>
    <m/>
    <m/>
    <m/>
    <m/>
    <m/>
    <m/>
    <m/>
    <m/>
    <m/>
    <m/>
    <n v="0.19278450999999999"/>
    <m/>
  </r>
  <r>
    <x v="3"/>
    <x v="93"/>
    <m/>
    <m/>
    <m/>
    <s v="NZ"/>
    <m/>
    <s v="Ecoinvent 3 (WFLDB) process: Onion {NZ}| onion production | Alloc Def, S"/>
    <m/>
    <m/>
    <s v="Swiss Center for Life Cycle Inventories, Ecoinvent Database version 3.3. 2016, 2016, ."/>
    <m/>
    <m/>
    <m/>
    <m/>
    <m/>
    <m/>
    <m/>
    <m/>
    <m/>
    <m/>
    <m/>
    <m/>
    <m/>
    <m/>
    <m/>
    <m/>
    <m/>
    <m/>
    <n v="2.5110390611"/>
    <s v=""/>
    <n v="0.24044423000000001"/>
    <s v=""/>
    <m/>
    <m/>
    <m/>
    <m/>
    <m/>
    <m/>
    <m/>
    <m/>
    <m/>
    <n v="2.5110390611"/>
    <m/>
    <m/>
    <m/>
    <m/>
    <m/>
    <m/>
    <m/>
    <m/>
    <m/>
    <m/>
    <m/>
    <m/>
    <n v="0.24044423000000001"/>
    <m/>
  </r>
  <r>
    <x v="3"/>
    <x v="93"/>
    <m/>
    <m/>
    <m/>
    <s v="RoW"/>
    <m/>
    <s v="Ecoinvent 3 (WFLDB) process: Onion {RoW}| onion production | Alloc Def, S"/>
    <m/>
    <m/>
    <s v="Swiss Center for Life Cycle Inventories, Ecoinvent Database version 3.3. 2016, 2016, ."/>
    <m/>
    <m/>
    <m/>
    <m/>
    <m/>
    <m/>
    <m/>
    <m/>
    <m/>
    <m/>
    <m/>
    <m/>
    <m/>
    <m/>
    <m/>
    <m/>
    <m/>
    <m/>
    <n v="3.4170270486000001"/>
    <s v=""/>
    <n v="0.32761311999999998"/>
    <s v=""/>
    <m/>
    <m/>
    <m/>
    <m/>
    <m/>
    <m/>
    <m/>
    <m/>
    <m/>
    <n v="3.4170270486000001"/>
    <m/>
    <m/>
    <m/>
    <m/>
    <m/>
    <m/>
    <m/>
    <m/>
    <m/>
    <m/>
    <m/>
    <m/>
    <n v="0.32761311999999998"/>
    <m/>
  </r>
  <r>
    <x v="9"/>
    <x v="212"/>
    <m/>
    <m/>
    <m/>
    <s v="NL"/>
    <m/>
    <s v="Agrifootprint process: Sugar, from sugar beet, from sugar production, at Suiker Unie plants/NL Mass"/>
    <m/>
    <m/>
    <s v="Blonk Consultants. Agri-Footprint 2.0. 2015 [cited 2015] Available from: http://www.agrifootprint."/>
    <m/>
    <m/>
    <m/>
    <m/>
    <m/>
    <m/>
    <m/>
    <m/>
    <m/>
    <m/>
    <m/>
    <m/>
    <m/>
    <m/>
    <m/>
    <m/>
    <m/>
    <m/>
    <s v=""/>
    <n v="3.7005972000000003"/>
    <s v=""/>
    <n v="0.29486158999999995"/>
    <m/>
    <m/>
    <n v="3.7005972000000003"/>
    <m/>
    <m/>
    <m/>
    <m/>
    <m/>
    <m/>
    <m/>
    <n v="3.7005972000000003"/>
    <m/>
    <m/>
    <m/>
    <m/>
    <n v="0.29486158999999995"/>
    <m/>
    <m/>
    <m/>
    <m/>
    <m/>
    <m/>
    <m/>
    <n v="0.29486158999999995"/>
  </r>
  <r>
    <x v="9"/>
    <x v="212"/>
    <m/>
    <m/>
    <m/>
    <s v="PL"/>
    <m/>
    <s v="Agrifootprint process: Sugar, from sugar beet, from sugar production, at plant/PL Mass"/>
    <m/>
    <m/>
    <s v="Blonk Consultants. Agri-Footprint 2.0. 2015 [cited 2015] Available from: http://www.agrifootprint."/>
    <m/>
    <m/>
    <m/>
    <m/>
    <m/>
    <m/>
    <m/>
    <m/>
    <m/>
    <m/>
    <m/>
    <m/>
    <m/>
    <m/>
    <m/>
    <m/>
    <m/>
    <m/>
    <s v=""/>
    <n v="5.132009"/>
    <s v=""/>
    <n v="0.47034267000000002"/>
    <m/>
    <m/>
    <n v="5.132009"/>
    <m/>
    <m/>
    <m/>
    <m/>
    <m/>
    <m/>
    <m/>
    <n v="5.132009"/>
    <m/>
    <m/>
    <m/>
    <m/>
    <n v="0.47034267000000002"/>
    <m/>
    <m/>
    <m/>
    <m/>
    <m/>
    <m/>
    <m/>
    <n v="0.47034267000000002"/>
  </r>
  <r>
    <x v="9"/>
    <x v="212"/>
    <m/>
    <m/>
    <m/>
    <s v="FR"/>
    <m/>
    <s v="Agrifootprint process: Sugar, from sugar beet, from sugar production, at plant/FR Mass"/>
    <m/>
    <m/>
    <s v="Blonk Consultants. Agri-Footprint 2.0. 2015 [cited 2015] Available from: http://www.agrifootprint."/>
    <m/>
    <m/>
    <m/>
    <m/>
    <m/>
    <m/>
    <m/>
    <m/>
    <m/>
    <m/>
    <m/>
    <m/>
    <m/>
    <m/>
    <m/>
    <m/>
    <m/>
    <m/>
    <s v=""/>
    <n v="4.5169813999999997"/>
    <s v=""/>
    <n v="0.36901864000000001"/>
    <m/>
    <m/>
    <n v="4.5169813999999997"/>
    <m/>
    <m/>
    <m/>
    <m/>
    <m/>
    <m/>
    <m/>
    <n v="4.5169813999999997"/>
    <m/>
    <m/>
    <m/>
    <m/>
    <n v="0.36901864000000001"/>
    <m/>
    <m/>
    <m/>
    <m/>
    <m/>
    <m/>
    <m/>
    <n v="0.36901864000000001"/>
  </r>
  <r>
    <x v="9"/>
    <x v="212"/>
    <m/>
    <m/>
    <m/>
    <s v="DE"/>
    <m/>
    <s v="Agrifootprint process: Sugar, from sugar beet, from sugar production, at plant/DE Mass"/>
    <m/>
    <m/>
    <s v="Blonk Consultants. Agri-Footprint 2.0. 2015 [cited 2015] Available from: http://www.agrifootprint."/>
    <m/>
    <m/>
    <m/>
    <m/>
    <m/>
    <m/>
    <m/>
    <m/>
    <m/>
    <m/>
    <m/>
    <m/>
    <m/>
    <m/>
    <m/>
    <m/>
    <m/>
    <m/>
    <s v=""/>
    <n v="4.9473551999999996"/>
    <s v=""/>
    <n v="0.42890933999999997"/>
    <m/>
    <m/>
    <n v="4.9473551999999996"/>
    <m/>
    <m/>
    <m/>
    <m/>
    <m/>
    <m/>
    <m/>
    <n v="4.9473551999999996"/>
    <m/>
    <m/>
    <m/>
    <m/>
    <n v="0.42890933999999997"/>
    <m/>
    <m/>
    <m/>
    <m/>
    <m/>
    <m/>
    <m/>
    <n v="0.42890933999999997"/>
  </r>
  <r>
    <x v="9"/>
    <x v="213"/>
    <m/>
    <m/>
    <m/>
    <s v="NL"/>
    <m/>
    <s v="Agrifootprint process: Sugar beet molasses, from sugar production, at Suiker Unie plants/NL Mass"/>
    <m/>
    <m/>
    <s v="Blonk Consultants. Agri-Footprint 2.0. 2015 [cited 2015] Available from: http://www.agrifootprint."/>
    <m/>
    <m/>
    <m/>
    <m/>
    <m/>
    <m/>
    <m/>
    <m/>
    <m/>
    <m/>
    <m/>
    <m/>
    <m/>
    <m/>
    <m/>
    <m/>
    <m/>
    <m/>
    <s v=""/>
    <n v="2.9346000000000001"/>
    <s v=""/>
    <n v="0.23335"/>
    <m/>
    <m/>
    <n v="2.9346000000000001"/>
    <m/>
    <m/>
    <m/>
    <m/>
    <m/>
    <m/>
    <m/>
    <n v="2.9346000000000001"/>
    <m/>
    <m/>
    <m/>
    <m/>
    <n v="0.23335"/>
    <m/>
    <m/>
    <m/>
    <m/>
    <m/>
    <m/>
    <m/>
    <n v="0.23335"/>
  </r>
  <r>
    <x v="9"/>
    <x v="213"/>
    <m/>
    <m/>
    <m/>
    <s v="PL"/>
    <m/>
    <s v="Agrifootprint process: Sugar beet molasses, from sugar production, at plant/PL Mass"/>
    <m/>
    <m/>
    <s v="Blonk Consultants. Agri-Footprint 2.0. 2015 [cited 2015] Available from: http://www.agrifootprint."/>
    <m/>
    <m/>
    <m/>
    <m/>
    <m/>
    <m/>
    <m/>
    <m/>
    <m/>
    <m/>
    <m/>
    <m/>
    <m/>
    <m/>
    <m/>
    <m/>
    <m/>
    <m/>
    <s v=""/>
    <n v="3.7627999999999999"/>
    <s v=""/>
    <n v="0.34007999999999999"/>
    <m/>
    <m/>
    <n v="3.7627999999999999"/>
    <m/>
    <m/>
    <m/>
    <m/>
    <m/>
    <m/>
    <m/>
    <n v="3.7627999999999999"/>
    <m/>
    <m/>
    <m/>
    <m/>
    <n v="0.34007999999999999"/>
    <m/>
    <m/>
    <m/>
    <m/>
    <m/>
    <m/>
    <m/>
    <n v="0.34007999999999999"/>
  </r>
  <r>
    <x v="9"/>
    <x v="213"/>
    <m/>
    <m/>
    <m/>
    <s v="FR"/>
    <m/>
    <s v="Agrifootprint process: Sugar beet molasses, from sugar production, at plant/FR Mass"/>
    <m/>
    <m/>
    <s v="Blonk Consultants. Agri-Footprint 2.0. 2015 [cited 2015] Available from: http://www.agrifootprint."/>
    <m/>
    <m/>
    <m/>
    <m/>
    <m/>
    <m/>
    <m/>
    <m/>
    <m/>
    <m/>
    <m/>
    <m/>
    <m/>
    <m/>
    <m/>
    <m/>
    <m/>
    <m/>
    <s v=""/>
    <n v="3.5030000000000001"/>
    <s v=""/>
    <n v="0.26682"/>
    <m/>
    <m/>
    <n v="3.5030000000000001"/>
    <m/>
    <m/>
    <m/>
    <m/>
    <m/>
    <m/>
    <m/>
    <n v="3.5030000000000001"/>
    <m/>
    <m/>
    <m/>
    <m/>
    <n v="0.26682"/>
    <m/>
    <m/>
    <m/>
    <m/>
    <m/>
    <m/>
    <m/>
    <n v="0.26682"/>
  </r>
  <r>
    <x v="9"/>
    <x v="213"/>
    <m/>
    <m/>
    <m/>
    <s v="DE"/>
    <m/>
    <s v="Agrifootprint process: Sugar beet molasses, from sugar production, at plant/DE Mass"/>
    <m/>
    <m/>
    <s v="Blonk Consultants. Agri-Footprint 2.0. 2015 [cited 2015] Available from: http://www.agrifootprint."/>
    <m/>
    <m/>
    <m/>
    <m/>
    <m/>
    <m/>
    <m/>
    <m/>
    <m/>
    <m/>
    <m/>
    <m/>
    <m/>
    <m/>
    <m/>
    <m/>
    <m/>
    <m/>
    <s v=""/>
    <n v="3.7029999999999998"/>
    <s v=""/>
    <n v="0.31012000000000001"/>
    <m/>
    <m/>
    <n v="3.7029999999999998"/>
    <m/>
    <m/>
    <m/>
    <m/>
    <m/>
    <m/>
    <m/>
    <n v="3.7029999999999998"/>
    <m/>
    <m/>
    <m/>
    <m/>
    <n v="0.31012000000000001"/>
    <m/>
    <m/>
    <m/>
    <m/>
    <m/>
    <m/>
    <m/>
    <n v="0.31012000000000001"/>
  </r>
  <r>
    <x v="3"/>
    <x v="214"/>
    <m/>
    <m/>
    <m/>
    <s v="TH"/>
    <m/>
    <s v="Agrifootprint process: Cassava, at farm/TH Mass"/>
    <m/>
    <m/>
    <s v="Blonk Consultants. Agri-Footprint 2.0. 2015 [cited 2015] Available from: http://www.agrifootprint."/>
    <m/>
    <m/>
    <m/>
    <m/>
    <m/>
    <m/>
    <m/>
    <m/>
    <m/>
    <m/>
    <m/>
    <m/>
    <m/>
    <m/>
    <m/>
    <m/>
    <m/>
    <m/>
    <n v="0.625"/>
    <s v=""/>
    <n v="7.8799999999999995E-2"/>
    <s v=""/>
    <m/>
    <m/>
    <m/>
    <m/>
    <m/>
    <m/>
    <m/>
    <m/>
    <m/>
    <n v="0.625"/>
    <m/>
    <m/>
    <m/>
    <m/>
    <m/>
    <m/>
    <m/>
    <m/>
    <m/>
    <m/>
    <m/>
    <m/>
    <n v="7.8799999999999995E-2"/>
    <m/>
  </r>
  <r>
    <x v="3"/>
    <x v="215"/>
    <m/>
    <m/>
    <m/>
    <s v="BE"/>
    <m/>
    <s v="Agrifootprint process: Chicory root, at farm/BE Mass"/>
    <m/>
    <m/>
    <s v="Blonk Consultants. Agri-Footprint 2.0. 2015 [cited 2015] Available from: http://www.agrifootprint."/>
    <m/>
    <m/>
    <m/>
    <m/>
    <m/>
    <m/>
    <m/>
    <m/>
    <m/>
    <m/>
    <m/>
    <m/>
    <m/>
    <m/>
    <m/>
    <m/>
    <m/>
    <m/>
    <n v="0.14480000000000001"/>
    <s v=""/>
    <n v="4.4065E-2"/>
    <s v=""/>
    <m/>
    <m/>
    <m/>
    <m/>
    <m/>
    <m/>
    <m/>
    <m/>
    <m/>
    <n v="0.14480000000000001"/>
    <m/>
    <m/>
    <m/>
    <m/>
    <m/>
    <m/>
    <m/>
    <m/>
    <m/>
    <m/>
    <m/>
    <m/>
    <n v="4.4065E-2"/>
    <m/>
  </r>
  <r>
    <x v="3"/>
    <x v="215"/>
    <m/>
    <m/>
    <m/>
    <s v="NL"/>
    <m/>
    <s v="Agrifootprint process: Chicory root, at farm/NL Mass"/>
    <m/>
    <m/>
    <s v="Blonk Consultants. Agri-Footprint 2.0. 2015 [cited 2015] Available from: http://www.agrifootprint."/>
    <m/>
    <m/>
    <m/>
    <m/>
    <m/>
    <m/>
    <m/>
    <m/>
    <m/>
    <m/>
    <m/>
    <m/>
    <m/>
    <m/>
    <m/>
    <m/>
    <m/>
    <m/>
    <n v="0.16400000000000001"/>
    <s v=""/>
    <n v="5.6827000000000003E-2"/>
    <s v=""/>
    <m/>
    <m/>
    <m/>
    <m/>
    <m/>
    <m/>
    <m/>
    <m/>
    <m/>
    <n v="0.16400000000000001"/>
    <m/>
    <m/>
    <m/>
    <m/>
    <m/>
    <m/>
    <m/>
    <m/>
    <m/>
    <m/>
    <m/>
    <m/>
    <n v="5.6827000000000003E-2"/>
    <m/>
  </r>
  <r>
    <x v="8"/>
    <x v="216"/>
    <m/>
    <m/>
    <m/>
    <s v="ID"/>
    <m/>
    <s v="Agrifootprint process: Refined coconut oil, at plant/ID Mass"/>
    <m/>
    <m/>
    <s v="Blonk Consultants. Agri-Footprint 2.0. 2015 [cited 2015] Available from: http://www.agrifootprint."/>
    <m/>
    <m/>
    <m/>
    <m/>
    <m/>
    <m/>
    <m/>
    <m/>
    <m/>
    <m/>
    <m/>
    <m/>
    <m/>
    <m/>
    <m/>
    <m/>
    <m/>
    <m/>
    <s v=""/>
    <n v="10.811221"/>
    <s v=""/>
    <n v="3.8596341000000001"/>
    <m/>
    <m/>
    <n v="10.811221"/>
    <m/>
    <m/>
    <m/>
    <m/>
    <m/>
    <m/>
    <m/>
    <n v="10.811221"/>
    <m/>
    <m/>
    <m/>
    <m/>
    <n v="3.8596341000000001"/>
    <m/>
    <m/>
    <m/>
    <m/>
    <m/>
    <m/>
    <m/>
    <n v="3.8596341000000001"/>
  </r>
  <r>
    <x v="8"/>
    <x v="216"/>
    <m/>
    <m/>
    <m/>
    <s v="IN"/>
    <m/>
    <s v="Agrifootprint process: Refined coconut oil, at plant/IN Mass"/>
    <m/>
    <m/>
    <s v="Blonk Consultants. Agri-Footprint 2.0. 2015 [cited 2015] Available from: http://www.agrifootprint."/>
    <m/>
    <m/>
    <m/>
    <m/>
    <m/>
    <m/>
    <m/>
    <m/>
    <m/>
    <m/>
    <m/>
    <m/>
    <m/>
    <m/>
    <m/>
    <m/>
    <m/>
    <m/>
    <s v=""/>
    <n v="12.123262"/>
    <s v=""/>
    <n v="2.0942848999999999"/>
    <m/>
    <m/>
    <n v="12.123262"/>
    <m/>
    <m/>
    <m/>
    <m/>
    <m/>
    <m/>
    <m/>
    <n v="12.123262"/>
    <m/>
    <m/>
    <m/>
    <m/>
    <n v="2.0942848999999999"/>
    <m/>
    <m/>
    <m/>
    <m/>
    <m/>
    <m/>
    <m/>
    <n v="2.0942848999999999"/>
  </r>
  <r>
    <x v="8"/>
    <x v="216"/>
    <m/>
    <m/>
    <m/>
    <s v="PH"/>
    <m/>
    <s v="Agrifootprint process: Refined coconut oil, at plant/PH Mass"/>
    <m/>
    <m/>
    <s v="Blonk Consultants. Agri-Footprint 2.0. 2015 [cited 2015] Available from: http://www.agrifootprint."/>
    <m/>
    <m/>
    <m/>
    <m/>
    <m/>
    <m/>
    <m/>
    <m/>
    <m/>
    <m/>
    <m/>
    <m/>
    <m/>
    <m/>
    <m/>
    <m/>
    <m/>
    <m/>
    <s v=""/>
    <n v="12.765396000000001"/>
    <s v=""/>
    <n v="2.2343989"/>
    <m/>
    <m/>
    <n v="12.765396000000001"/>
    <m/>
    <m/>
    <m/>
    <m/>
    <m/>
    <m/>
    <m/>
    <n v="12.765396000000001"/>
    <m/>
    <m/>
    <m/>
    <m/>
    <n v="2.2343989"/>
    <m/>
    <m/>
    <m/>
    <m/>
    <m/>
    <m/>
    <m/>
    <n v="2.2343989"/>
  </r>
  <r>
    <x v="8"/>
    <x v="123"/>
    <m/>
    <m/>
    <m/>
    <s v="US"/>
    <m/>
    <s v="Agrifootprint process: Refined maize germ oil, (pressing), at plant/US Mass"/>
    <m/>
    <m/>
    <s v="Blonk Consultants. Agri-Footprint 2.0. 2015 [cited 2015] Available from: http://www.agrifootprint."/>
    <m/>
    <m/>
    <m/>
    <m/>
    <m/>
    <m/>
    <m/>
    <m/>
    <m/>
    <m/>
    <m/>
    <m/>
    <m/>
    <m/>
    <m/>
    <m/>
    <m/>
    <m/>
    <s v=""/>
    <n v="14.681468000000001"/>
    <s v=""/>
    <n v="1.1531735000000001"/>
    <m/>
    <m/>
    <n v="14.681468000000001"/>
    <m/>
    <m/>
    <m/>
    <m/>
    <m/>
    <m/>
    <m/>
    <n v="14.681468000000001"/>
    <m/>
    <m/>
    <m/>
    <m/>
    <n v="1.1531735000000001"/>
    <m/>
    <m/>
    <m/>
    <m/>
    <m/>
    <m/>
    <m/>
    <n v="1.1531735000000001"/>
  </r>
  <r>
    <x v="8"/>
    <x v="123"/>
    <m/>
    <m/>
    <m/>
    <s v="US"/>
    <m/>
    <s v="Agrifootprint process: Refined maize germ oil, (solvent), at plant/US Mass"/>
    <m/>
    <m/>
    <s v="Blonk Consultants. Agri-Footprint 2.0. 2015 [cited 2015] Available from: http://www.agrifootprint."/>
    <m/>
    <m/>
    <m/>
    <m/>
    <m/>
    <m/>
    <m/>
    <m/>
    <m/>
    <m/>
    <m/>
    <m/>
    <m/>
    <m/>
    <m/>
    <m/>
    <m/>
    <m/>
    <s v=""/>
    <n v="15.649869000000001"/>
    <s v=""/>
    <n v="1.2454783"/>
    <m/>
    <m/>
    <n v="15.649869000000001"/>
    <m/>
    <m/>
    <m/>
    <m/>
    <m/>
    <m/>
    <m/>
    <n v="15.649869000000001"/>
    <m/>
    <m/>
    <m/>
    <m/>
    <n v="1.2454783"/>
    <m/>
    <m/>
    <m/>
    <m/>
    <m/>
    <m/>
    <m/>
    <n v="1.2454783"/>
  </r>
  <r>
    <x v="8"/>
    <x v="46"/>
    <m/>
    <m/>
    <m/>
    <s v="ID"/>
    <m/>
    <s v="Agrifootprint process: Refined palm kernel oil, at plant/ID Mass"/>
    <m/>
    <m/>
    <s v="Blonk Consultants. Agri-Footprint 2.0. 2015 [cited 2015] Available from: http://www.agrifootprint."/>
    <m/>
    <m/>
    <m/>
    <m/>
    <m/>
    <m/>
    <m/>
    <m/>
    <m/>
    <m/>
    <m/>
    <m/>
    <m/>
    <m/>
    <m/>
    <m/>
    <m/>
    <m/>
    <s v=""/>
    <n v="9.5381681"/>
    <s v=""/>
    <n v="11.189705"/>
    <m/>
    <m/>
    <n v="9.5381681"/>
    <m/>
    <m/>
    <m/>
    <m/>
    <m/>
    <m/>
    <m/>
    <n v="9.5381681"/>
    <m/>
    <m/>
    <m/>
    <m/>
    <n v="11.189705"/>
    <m/>
    <m/>
    <m/>
    <m/>
    <m/>
    <m/>
    <m/>
    <n v="11.189705"/>
  </r>
  <r>
    <x v="8"/>
    <x v="46"/>
    <m/>
    <m/>
    <m/>
    <s v="MY"/>
    <m/>
    <s v="Agrifootprint process: Refined palm kernel oil, at plant/MY Mass"/>
    <m/>
    <m/>
    <s v="Blonk Consultants. Agri-Footprint 2.0. 2015 [cited 2015] Available from: http://www.agrifootprint."/>
    <m/>
    <m/>
    <m/>
    <m/>
    <m/>
    <m/>
    <m/>
    <m/>
    <m/>
    <m/>
    <m/>
    <m/>
    <m/>
    <m/>
    <m/>
    <m/>
    <m/>
    <m/>
    <s v=""/>
    <n v="9.6309094999999996"/>
    <s v=""/>
    <n v="5.4762399999999998"/>
    <m/>
    <m/>
    <n v="9.6309094999999996"/>
    <m/>
    <m/>
    <m/>
    <m/>
    <m/>
    <m/>
    <m/>
    <n v="9.6309094999999996"/>
    <m/>
    <m/>
    <m/>
    <m/>
    <n v="5.4762399999999998"/>
    <m/>
    <m/>
    <m/>
    <m/>
    <m/>
    <m/>
    <m/>
    <n v="5.4762399999999998"/>
  </r>
  <r>
    <x v="8"/>
    <x v="46"/>
    <m/>
    <m/>
    <m/>
    <s v="NL"/>
    <m/>
    <s v="Agrifootprint process: Refined palm oil, at plant/NL Mass"/>
    <m/>
    <m/>
    <s v="Blonk Consultants. Agri-Footprint 2.0. 2015 [cited 2015] Available from: http://www.agrifootprint."/>
    <m/>
    <m/>
    <m/>
    <m/>
    <m/>
    <m/>
    <m/>
    <m/>
    <m/>
    <m/>
    <m/>
    <m/>
    <m/>
    <m/>
    <m/>
    <m/>
    <m/>
    <m/>
    <s v=""/>
    <n v="11.043447"/>
    <s v=""/>
    <n v="7.9745176999999998"/>
    <m/>
    <m/>
    <n v="11.043447"/>
    <m/>
    <m/>
    <m/>
    <m/>
    <m/>
    <m/>
    <m/>
    <n v="11.043447"/>
    <m/>
    <m/>
    <m/>
    <m/>
    <n v="7.9745176999999998"/>
    <m/>
    <m/>
    <m/>
    <m/>
    <m/>
    <m/>
    <m/>
    <n v="7.9745176999999998"/>
  </r>
  <r>
    <x v="11"/>
    <x v="217"/>
    <m/>
    <m/>
    <m/>
    <s v="IN"/>
    <m/>
    <s v="Agrifootprint process: Pigeon pea, at farm/IN Mass"/>
    <m/>
    <m/>
    <s v="Blonk Consultants. Agri-Footprint 2.0. 2015 [cited 2015] Available from: http://www.agrifootprint."/>
    <m/>
    <m/>
    <m/>
    <m/>
    <m/>
    <m/>
    <m/>
    <m/>
    <m/>
    <m/>
    <m/>
    <m/>
    <m/>
    <m/>
    <m/>
    <m/>
    <m/>
    <m/>
    <n v="3.2267999999999999"/>
    <s v=""/>
    <n v="1.0539000000000001"/>
    <s v=""/>
    <m/>
    <m/>
    <m/>
    <m/>
    <m/>
    <m/>
    <m/>
    <m/>
    <m/>
    <n v="3.2267999999999999"/>
    <m/>
    <m/>
    <m/>
    <m/>
    <m/>
    <m/>
    <m/>
    <m/>
    <m/>
    <m/>
    <m/>
    <m/>
    <n v="1.0539000000000001"/>
    <m/>
  </r>
  <r>
    <x v="5"/>
    <x v="218"/>
    <m/>
    <m/>
    <m/>
    <s v="CN"/>
    <m/>
    <s v="Agrifootprint process: Rice bran, from dry milling, raw, at plant/CN Mass"/>
    <m/>
    <m/>
    <s v="Blonk Consultants. Agri-Footprint 2.0. 2015 [cited 2015] Available from: http://www.agrifootprint."/>
    <m/>
    <m/>
    <m/>
    <m/>
    <m/>
    <m/>
    <m/>
    <m/>
    <m/>
    <m/>
    <m/>
    <m/>
    <m/>
    <m/>
    <m/>
    <m/>
    <m/>
    <m/>
    <s v=""/>
    <n v="5.3975"/>
    <s v=""/>
    <n v="1.3567"/>
    <m/>
    <m/>
    <n v="5.3975"/>
    <m/>
    <m/>
    <m/>
    <m/>
    <m/>
    <m/>
    <m/>
    <n v="5.3975"/>
    <m/>
    <m/>
    <m/>
    <m/>
    <n v="1.3567"/>
    <m/>
    <m/>
    <m/>
    <m/>
    <m/>
    <m/>
    <m/>
    <n v="1.3567"/>
  </r>
  <r>
    <x v="5"/>
    <x v="219"/>
    <m/>
    <m/>
    <m/>
    <s v="BE"/>
    <m/>
    <s v="Agrifootprint process: Rye flour, from dry milling, at plant/BE Mass"/>
    <m/>
    <m/>
    <s v="Blonk Consultants. Agri-Footprint 2.0. 2015 [cited 2015] Available from: http://www.agrifootprint."/>
    <m/>
    <m/>
    <m/>
    <m/>
    <m/>
    <m/>
    <m/>
    <m/>
    <m/>
    <m/>
    <m/>
    <m/>
    <m/>
    <m/>
    <m/>
    <m/>
    <m/>
    <m/>
    <s v=""/>
    <n v="4.3230949000000001"/>
    <s v=""/>
    <n v="0.42067012999999998"/>
    <m/>
    <m/>
    <n v="4.3230949000000001"/>
    <m/>
    <m/>
    <m/>
    <m/>
    <m/>
    <m/>
    <m/>
    <n v="4.3230949000000001"/>
    <m/>
    <m/>
    <m/>
    <m/>
    <n v="0.42067012999999998"/>
    <m/>
    <m/>
    <m/>
    <m/>
    <m/>
    <m/>
    <m/>
    <n v="0.42067012999999998"/>
  </r>
  <r>
    <x v="5"/>
    <x v="219"/>
    <m/>
    <m/>
    <m/>
    <s v="DE"/>
    <m/>
    <s v="Agrifootprint process: Rye flour, from dry milling, at plant/DE Mass"/>
    <m/>
    <m/>
    <s v="Blonk Consultants. Agri-Footprint 2.0. 2015 [cited 2015] Available from: http://www.agrifootprint."/>
    <m/>
    <m/>
    <m/>
    <m/>
    <m/>
    <m/>
    <m/>
    <m/>
    <m/>
    <m/>
    <m/>
    <m/>
    <m/>
    <m/>
    <m/>
    <m/>
    <m/>
    <m/>
    <s v=""/>
    <n v="3.5523142999999999"/>
    <s v=""/>
    <n v="0.39468321000000001"/>
    <m/>
    <m/>
    <n v="3.5523142999999999"/>
    <m/>
    <m/>
    <m/>
    <m/>
    <m/>
    <m/>
    <m/>
    <n v="3.5523142999999999"/>
    <m/>
    <m/>
    <m/>
    <m/>
    <n v="0.39468321000000001"/>
    <m/>
    <m/>
    <m/>
    <m/>
    <m/>
    <m/>
    <m/>
    <n v="0.39468321000000001"/>
  </r>
  <r>
    <x v="5"/>
    <x v="219"/>
    <m/>
    <m/>
    <m/>
    <s v="NL"/>
    <m/>
    <s v="Agrifootprint process: Rye flour, from dry milling, at plant/NL Mass"/>
    <m/>
    <m/>
    <s v="Blonk Consultants. Agri-Footprint 2.0. 2015 [cited 2015] Available from: http://www.agrifootprint."/>
    <m/>
    <m/>
    <m/>
    <m/>
    <m/>
    <m/>
    <m/>
    <m/>
    <m/>
    <m/>
    <m/>
    <m/>
    <m/>
    <m/>
    <m/>
    <m/>
    <m/>
    <m/>
    <s v=""/>
    <n v="3.9704747999999999"/>
    <s v=""/>
    <n v="0.43798810999999999"/>
    <m/>
    <m/>
    <n v="3.9704747999999999"/>
    <m/>
    <m/>
    <m/>
    <m/>
    <m/>
    <m/>
    <m/>
    <n v="3.9704747999999999"/>
    <m/>
    <m/>
    <m/>
    <m/>
    <n v="0.43798810999999999"/>
    <m/>
    <m/>
    <m/>
    <m/>
    <m/>
    <m/>
    <m/>
    <n v="0.43798810999999999"/>
  </r>
  <r>
    <x v="5"/>
    <x v="220"/>
    <m/>
    <m/>
    <m/>
    <s v="AT"/>
    <m/>
    <s v="Agrifootprint process: Rye grain, dried, at farm/AT Mass"/>
    <m/>
    <m/>
    <s v="Blonk Consultants. Agri-Footprint 2.0. 2015 [cited 2015] Available from: http://www.agrifootprint."/>
    <m/>
    <m/>
    <m/>
    <m/>
    <m/>
    <m/>
    <m/>
    <m/>
    <m/>
    <m/>
    <m/>
    <m/>
    <m/>
    <m/>
    <m/>
    <m/>
    <m/>
    <m/>
    <n v="1.7805606"/>
    <s v=""/>
    <n v="0.27597774000000003"/>
    <s v=""/>
    <m/>
    <m/>
    <m/>
    <m/>
    <m/>
    <m/>
    <m/>
    <m/>
    <m/>
    <n v="1.7805606"/>
    <m/>
    <m/>
    <m/>
    <m/>
    <m/>
    <m/>
    <m/>
    <m/>
    <m/>
    <m/>
    <m/>
    <m/>
    <n v="0.27597774000000003"/>
    <m/>
  </r>
  <r>
    <x v="5"/>
    <x v="220"/>
    <m/>
    <m/>
    <m/>
    <s v="BE"/>
    <m/>
    <s v="Agrifootprint process: Rye grain, dried, at farm/BE Mass"/>
    <m/>
    <m/>
    <s v="Blonk Consultants. Agri-Footprint 2.0. 2015 [cited 2015] Available from: http://www.agrifootprint."/>
    <m/>
    <m/>
    <m/>
    <m/>
    <m/>
    <m/>
    <m/>
    <m/>
    <m/>
    <m/>
    <m/>
    <m/>
    <m/>
    <m/>
    <m/>
    <m/>
    <m/>
    <m/>
    <n v="1.850662"/>
    <s v=""/>
    <n v="0.33297652999999999"/>
    <s v=""/>
    <m/>
    <m/>
    <m/>
    <m/>
    <m/>
    <m/>
    <m/>
    <m/>
    <m/>
    <n v="1.850662"/>
    <m/>
    <m/>
    <m/>
    <m/>
    <m/>
    <m/>
    <m/>
    <m/>
    <m/>
    <m/>
    <m/>
    <m/>
    <n v="0.33297652999999999"/>
    <m/>
  </r>
  <r>
    <x v="5"/>
    <x v="220"/>
    <m/>
    <m/>
    <m/>
    <s v="BG"/>
    <m/>
    <s v="Agrifootprint process: Rye grain, dried, at farm/BG Mass"/>
    <m/>
    <m/>
    <s v="Blonk Consultants. Agri-Footprint 2.0. 2015 [cited 2015] Available from: http://www.agrifootprint."/>
    <m/>
    <m/>
    <m/>
    <m/>
    <m/>
    <m/>
    <m/>
    <m/>
    <m/>
    <m/>
    <m/>
    <m/>
    <m/>
    <m/>
    <m/>
    <m/>
    <m/>
    <m/>
    <n v="2.9174134"/>
    <s v=""/>
    <n v="0.36690483000000002"/>
    <s v=""/>
    <m/>
    <m/>
    <m/>
    <m/>
    <m/>
    <m/>
    <m/>
    <m/>
    <m/>
    <n v="2.9174134"/>
    <m/>
    <m/>
    <m/>
    <m/>
    <m/>
    <m/>
    <m/>
    <m/>
    <m/>
    <m/>
    <m/>
    <m/>
    <n v="0.36690483000000002"/>
    <m/>
  </r>
  <r>
    <x v="5"/>
    <x v="220"/>
    <m/>
    <m/>
    <m/>
    <s v="CZ"/>
    <m/>
    <s v="Agrifootprint process: Rye grain, dried, at farm/CZ Mass"/>
    <m/>
    <m/>
    <s v="Blonk Consultants. Agri-Footprint 2.0. 2015 [cited 2015] Available from: http://www.agrifootprint."/>
    <m/>
    <m/>
    <m/>
    <m/>
    <m/>
    <m/>
    <m/>
    <m/>
    <m/>
    <m/>
    <m/>
    <m/>
    <m/>
    <m/>
    <m/>
    <m/>
    <m/>
    <m/>
    <n v="1.9777943"/>
    <s v=""/>
    <n v="0.28285407000000001"/>
    <s v=""/>
    <m/>
    <m/>
    <m/>
    <m/>
    <m/>
    <m/>
    <m/>
    <m/>
    <m/>
    <n v="1.9777943"/>
    <m/>
    <m/>
    <m/>
    <m/>
    <m/>
    <m/>
    <m/>
    <m/>
    <m/>
    <m/>
    <m/>
    <m/>
    <n v="0.28285407000000001"/>
    <m/>
  </r>
  <r>
    <x v="5"/>
    <x v="220"/>
    <m/>
    <m/>
    <m/>
    <s v="DE"/>
    <m/>
    <s v="Agrifootprint process: Rye grain, dried, at farm/DE Mass"/>
    <m/>
    <m/>
    <s v="Blonk Consultants. Agri-Footprint 2.0. 2015 [cited 2015] Available from: http://www.agrifootprint."/>
    <m/>
    <m/>
    <m/>
    <m/>
    <m/>
    <m/>
    <m/>
    <m/>
    <m/>
    <m/>
    <m/>
    <m/>
    <m/>
    <m/>
    <m/>
    <m/>
    <m/>
    <m/>
    <n v="2.0300755000000001"/>
    <s v=""/>
    <n v="0.29365765999999999"/>
    <s v=""/>
    <m/>
    <m/>
    <m/>
    <m/>
    <m/>
    <m/>
    <m/>
    <m/>
    <m/>
    <n v="2.0300755000000001"/>
    <m/>
    <m/>
    <m/>
    <m/>
    <m/>
    <m/>
    <m/>
    <m/>
    <m/>
    <m/>
    <m/>
    <m/>
    <n v="0.29365765999999999"/>
    <m/>
  </r>
  <r>
    <x v="5"/>
    <x v="220"/>
    <m/>
    <m/>
    <m/>
    <s v="DK"/>
    <m/>
    <s v="Agrifootprint process: Rye grain, dried, at farm/DK Mass"/>
    <m/>
    <m/>
    <s v="Blonk Consultants. Agri-Footprint 2.0. 2015 [cited 2015] Available from: http://www.agrifootprint."/>
    <m/>
    <m/>
    <m/>
    <m/>
    <m/>
    <m/>
    <m/>
    <m/>
    <m/>
    <m/>
    <m/>
    <m/>
    <m/>
    <m/>
    <m/>
    <m/>
    <m/>
    <m/>
    <n v="1.3678718000000001"/>
    <s v=""/>
    <n v="0.2390169"/>
    <s v=""/>
    <m/>
    <m/>
    <m/>
    <m/>
    <m/>
    <m/>
    <m/>
    <m/>
    <m/>
    <n v="1.3678718000000001"/>
    <m/>
    <m/>
    <m/>
    <m/>
    <m/>
    <m/>
    <m/>
    <m/>
    <m/>
    <m/>
    <m/>
    <m/>
    <n v="0.2390169"/>
    <m/>
  </r>
  <r>
    <x v="5"/>
    <x v="220"/>
    <m/>
    <m/>
    <m/>
    <s v="EE"/>
    <m/>
    <s v="Agrifootprint process: Rye grain, dried, at farm/EE Mass"/>
    <m/>
    <m/>
    <s v="Blonk Consultants. Agri-Footprint 2.0. 2015 [cited 2015] Available from: http://www.agrifootprint."/>
    <m/>
    <m/>
    <m/>
    <m/>
    <m/>
    <m/>
    <m/>
    <m/>
    <m/>
    <m/>
    <m/>
    <m/>
    <m/>
    <m/>
    <m/>
    <m/>
    <m/>
    <m/>
    <n v="2.8377842000000002"/>
    <s v=""/>
    <n v="0.37842503"/>
    <s v=""/>
    <m/>
    <m/>
    <m/>
    <m/>
    <m/>
    <m/>
    <m/>
    <m/>
    <m/>
    <n v="2.8377842000000002"/>
    <m/>
    <m/>
    <m/>
    <m/>
    <m/>
    <m/>
    <m/>
    <m/>
    <m/>
    <m/>
    <m/>
    <m/>
    <n v="0.37842503"/>
    <m/>
  </r>
  <r>
    <x v="5"/>
    <x v="220"/>
    <m/>
    <m/>
    <m/>
    <s v="ES"/>
    <m/>
    <s v="Agrifootprint process: Rye grain, dried, at farm/ES Mass"/>
    <m/>
    <m/>
    <s v="Blonk Consultants. Agri-Footprint 2.0. 2015 [cited 2015] Available from: http://www.agrifootprint."/>
    <m/>
    <m/>
    <m/>
    <m/>
    <m/>
    <m/>
    <m/>
    <m/>
    <m/>
    <m/>
    <m/>
    <m/>
    <m/>
    <m/>
    <m/>
    <m/>
    <m/>
    <m/>
    <n v="3.7718463"/>
    <s v=""/>
    <n v="0.49762219000000002"/>
    <s v=""/>
    <m/>
    <m/>
    <m/>
    <m/>
    <m/>
    <m/>
    <m/>
    <m/>
    <m/>
    <n v="3.7718463"/>
    <m/>
    <m/>
    <m/>
    <m/>
    <m/>
    <m/>
    <m/>
    <m/>
    <m/>
    <m/>
    <m/>
    <m/>
    <n v="0.49762219000000002"/>
    <m/>
  </r>
  <r>
    <x v="5"/>
    <x v="220"/>
    <m/>
    <m/>
    <m/>
    <s v="FI"/>
    <m/>
    <s v="Agrifootprint process: Rye grain, dried, at farm/FI Mass"/>
    <m/>
    <m/>
    <s v="Blonk Consultants. Agri-Footprint 2.0. 2015 [cited 2015] Available from: http://www.agrifootprint."/>
    <m/>
    <m/>
    <m/>
    <m/>
    <m/>
    <m/>
    <m/>
    <m/>
    <m/>
    <m/>
    <m/>
    <m/>
    <m/>
    <m/>
    <m/>
    <m/>
    <m/>
    <m/>
    <n v="2.7070300999999999"/>
    <s v=""/>
    <n v="0.3903586"/>
    <s v=""/>
    <m/>
    <m/>
    <m/>
    <m/>
    <m/>
    <m/>
    <m/>
    <m/>
    <m/>
    <n v="2.7070300999999999"/>
    <m/>
    <m/>
    <m/>
    <m/>
    <m/>
    <m/>
    <m/>
    <m/>
    <m/>
    <m/>
    <m/>
    <m/>
    <n v="0.3903586"/>
    <m/>
  </r>
  <r>
    <x v="5"/>
    <x v="220"/>
    <m/>
    <m/>
    <m/>
    <s v="FR"/>
    <m/>
    <s v="Agrifootprint process: Rye grain, dried, at farm/FR Mass"/>
    <m/>
    <m/>
    <s v="Blonk Consultants. Agri-Footprint 2.0. 2015 [cited 2015] Available from: http://www.agrifootprint."/>
    <m/>
    <m/>
    <m/>
    <m/>
    <m/>
    <m/>
    <m/>
    <m/>
    <m/>
    <m/>
    <m/>
    <m/>
    <m/>
    <m/>
    <m/>
    <m/>
    <m/>
    <m/>
    <n v="1.7102907000000001"/>
    <s v=""/>
    <n v="0.24326358000000001"/>
    <s v=""/>
    <m/>
    <m/>
    <m/>
    <m/>
    <m/>
    <m/>
    <m/>
    <m/>
    <m/>
    <n v="1.7102907000000001"/>
    <m/>
    <m/>
    <m/>
    <m/>
    <m/>
    <m/>
    <m/>
    <m/>
    <m/>
    <m/>
    <m/>
    <m/>
    <n v="0.24326358000000001"/>
    <m/>
  </r>
  <r>
    <x v="5"/>
    <x v="220"/>
    <m/>
    <m/>
    <m/>
    <s v="GR"/>
    <m/>
    <s v="Agrifootprint process: Rye grain, dried, at farm/GR Mass"/>
    <m/>
    <m/>
    <s v="Blonk Consultants. Agri-Footprint 2.0. 2015 [cited 2015] Available from: http://www.agrifootprint."/>
    <m/>
    <m/>
    <m/>
    <m/>
    <m/>
    <m/>
    <m/>
    <m/>
    <m/>
    <m/>
    <m/>
    <m/>
    <m/>
    <m/>
    <m/>
    <m/>
    <m/>
    <m/>
    <n v="3.2257494000000002"/>
    <s v=""/>
    <n v="0.46447648000000002"/>
    <s v=""/>
    <m/>
    <m/>
    <m/>
    <m/>
    <m/>
    <m/>
    <m/>
    <m/>
    <m/>
    <n v="3.2257494000000002"/>
    <m/>
    <m/>
    <m/>
    <m/>
    <m/>
    <m/>
    <m/>
    <m/>
    <m/>
    <m/>
    <m/>
    <m/>
    <n v="0.46447648000000002"/>
    <m/>
  </r>
  <r>
    <x v="5"/>
    <x v="220"/>
    <m/>
    <m/>
    <m/>
    <s v="HU"/>
    <m/>
    <s v="Agrifootprint process: Rye grain, dried, at farm/HU Mass"/>
    <m/>
    <m/>
    <s v="Blonk Consultants. Agri-Footprint 2.0. 2015 [cited 2015] Available from: http://www.agrifootprint."/>
    <m/>
    <m/>
    <m/>
    <m/>
    <m/>
    <m/>
    <m/>
    <m/>
    <m/>
    <m/>
    <m/>
    <m/>
    <m/>
    <m/>
    <m/>
    <m/>
    <m/>
    <m/>
    <n v="2.7191961999999998"/>
    <s v=""/>
    <n v="0.35876218999999998"/>
    <s v=""/>
    <m/>
    <m/>
    <m/>
    <m/>
    <m/>
    <m/>
    <m/>
    <m/>
    <m/>
    <n v="2.7191961999999998"/>
    <m/>
    <m/>
    <m/>
    <m/>
    <m/>
    <m/>
    <m/>
    <m/>
    <m/>
    <m/>
    <m/>
    <m/>
    <n v="0.35876218999999998"/>
    <m/>
  </r>
  <r>
    <x v="5"/>
    <x v="220"/>
    <m/>
    <m/>
    <m/>
    <s v="IT"/>
    <m/>
    <s v="Agrifootprint process: Rye grain, dried, at farm/IT Mass"/>
    <m/>
    <m/>
    <s v="Blonk Consultants. Agri-Footprint 2.0. 2015 [cited 2015] Available from: http://www.agrifootprint."/>
    <m/>
    <m/>
    <m/>
    <m/>
    <m/>
    <m/>
    <m/>
    <m/>
    <m/>
    <m/>
    <m/>
    <m/>
    <m/>
    <m/>
    <m/>
    <m/>
    <m/>
    <m/>
    <n v="3.1086014"/>
    <s v=""/>
    <n v="0.44209584000000002"/>
    <s v=""/>
    <m/>
    <m/>
    <m/>
    <m/>
    <m/>
    <m/>
    <m/>
    <m/>
    <m/>
    <n v="3.1086014"/>
    <m/>
    <m/>
    <m/>
    <m/>
    <m/>
    <m/>
    <m/>
    <m/>
    <m/>
    <m/>
    <m/>
    <m/>
    <n v="0.44209584000000002"/>
    <m/>
  </r>
  <r>
    <x v="5"/>
    <x v="220"/>
    <m/>
    <m/>
    <m/>
    <s v="LT"/>
    <m/>
    <s v="Agrifootprint process: Rye grain, dried, at farm/LT Mass"/>
    <m/>
    <m/>
    <s v="Blonk Consultants. Agri-Footprint 2.0. 2015 [cited 2015] Available from: http://www.agrifootprint."/>
    <m/>
    <m/>
    <m/>
    <m/>
    <m/>
    <m/>
    <m/>
    <m/>
    <m/>
    <m/>
    <m/>
    <m/>
    <m/>
    <m/>
    <m/>
    <m/>
    <m/>
    <m/>
    <n v="3.1931208"/>
    <s v=""/>
    <n v="0.40830355000000002"/>
    <s v=""/>
    <m/>
    <m/>
    <m/>
    <m/>
    <m/>
    <m/>
    <m/>
    <m/>
    <m/>
    <n v="3.1931208"/>
    <m/>
    <m/>
    <m/>
    <m/>
    <m/>
    <m/>
    <m/>
    <m/>
    <m/>
    <m/>
    <m/>
    <m/>
    <n v="0.40830355000000002"/>
    <m/>
  </r>
  <r>
    <x v="5"/>
    <x v="220"/>
    <m/>
    <m/>
    <m/>
    <s v="LV"/>
    <m/>
    <s v="Agrifootprint process: Rye grain, dried, at farm/LV Mass"/>
    <m/>
    <m/>
    <s v="Blonk Consultants. Agri-Footprint 2.0. 2015 [cited 2015] Available from: http://www.agrifootprint."/>
    <m/>
    <m/>
    <m/>
    <m/>
    <m/>
    <m/>
    <m/>
    <m/>
    <m/>
    <m/>
    <m/>
    <m/>
    <m/>
    <m/>
    <m/>
    <m/>
    <m/>
    <m/>
    <n v="2.3240387"/>
    <s v=""/>
    <n v="0.31438938"/>
    <s v=""/>
    <m/>
    <m/>
    <m/>
    <m/>
    <m/>
    <m/>
    <m/>
    <m/>
    <m/>
    <n v="2.3240387"/>
    <m/>
    <m/>
    <m/>
    <m/>
    <m/>
    <m/>
    <m/>
    <m/>
    <m/>
    <m/>
    <m/>
    <m/>
    <n v="0.31438938"/>
    <m/>
  </r>
  <r>
    <x v="5"/>
    <x v="220"/>
    <m/>
    <m/>
    <m/>
    <s v="NO"/>
    <m/>
    <s v="Agrifootprint process: Rye grain, dried, at farm/NO Mass"/>
    <m/>
    <m/>
    <s v="Blonk Consultants. Agri-Footprint 2.0. 2015 [cited 2015] Available from: http://www.agrifootprint."/>
    <m/>
    <m/>
    <m/>
    <m/>
    <m/>
    <m/>
    <m/>
    <m/>
    <m/>
    <m/>
    <m/>
    <m/>
    <m/>
    <m/>
    <m/>
    <m/>
    <m/>
    <m/>
    <n v="2.1946276"/>
    <s v=""/>
    <n v="0.42598944999999999"/>
    <s v=""/>
    <m/>
    <m/>
    <m/>
    <m/>
    <m/>
    <m/>
    <m/>
    <m/>
    <m/>
    <n v="2.1946276"/>
    <m/>
    <m/>
    <m/>
    <m/>
    <m/>
    <m/>
    <m/>
    <m/>
    <m/>
    <m/>
    <m/>
    <m/>
    <n v="0.42598944999999999"/>
    <m/>
  </r>
  <r>
    <x v="5"/>
    <x v="220"/>
    <m/>
    <m/>
    <m/>
    <s v="PL"/>
    <m/>
    <s v="Agrifootprint process: Rye grain, dried, at farm/PL Mass"/>
    <m/>
    <m/>
    <s v="Blonk Consultants. Agri-Footprint 2.0. 2015 [cited 2015] Available from: http://www.agrifootprint."/>
    <m/>
    <m/>
    <m/>
    <m/>
    <m/>
    <m/>
    <m/>
    <m/>
    <m/>
    <m/>
    <m/>
    <m/>
    <m/>
    <m/>
    <m/>
    <m/>
    <m/>
    <m/>
    <n v="2.7572553000000002"/>
    <s v=""/>
    <n v="0.36951792"/>
    <s v=""/>
    <m/>
    <m/>
    <m/>
    <m/>
    <m/>
    <m/>
    <m/>
    <m/>
    <m/>
    <n v="2.7572553000000002"/>
    <m/>
    <m/>
    <m/>
    <m/>
    <m/>
    <m/>
    <m/>
    <m/>
    <m/>
    <m/>
    <m/>
    <m/>
    <n v="0.36951792"/>
    <m/>
  </r>
  <r>
    <x v="5"/>
    <x v="220"/>
    <m/>
    <m/>
    <m/>
    <s v="PT"/>
    <m/>
    <s v="Agrifootprint process: Rye grain, dried, at farm/PT Mass"/>
    <m/>
    <m/>
    <s v="Blonk Consultants. Agri-Footprint 2.0. 2015 [cited 2015] Available from: http://www.agrifootprint."/>
    <m/>
    <m/>
    <m/>
    <m/>
    <m/>
    <m/>
    <m/>
    <m/>
    <m/>
    <m/>
    <m/>
    <m/>
    <m/>
    <m/>
    <m/>
    <m/>
    <m/>
    <m/>
    <n v="7.5897613000000002"/>
    <s v=""/>
    <n v="1.0864594999999999"/>
    <s v=""/>
    <m/>
    <m/>
    <m/>
    <m/>
    <m/>
    <m/>
    <m/>
    <m/>
    <m/>
    <n v="7.5897613000000002"/>
    <m/>
    <m/>
    <m/>
    <m/>
    <m/>
    <m/>
    <m/>
    <m/>
    <m/>
    <m/>
    <m/>
    <m/>
    <n v="1.0864594999999999"/>
    <m/>
  </r>
  <r>
    <x v="5"/>
    <x v="220"/>
    <m/>
    <m/>
    <m/>
    <s v="SE"/>
    <m/>
    <s v="Agrifootprint process: Rye grain, dried, at farm/SE Mass"/>
    <m/>
    <m/>
    <s v="Blonk Consultants. Agri-Footprint 2.0. 2015 [cited 2015] Available from: http://www.agrifootprint."/>
    <m/>
    <m/>
    <m/>
    <m/>
    <m/>
    <m/>
    <m/>
    <m/>
    <m/>
    <m/>
    <m/>
    <m/>
    <m/>
    <m/>
    <m/>
    <m/>
    <m/>
    <m/>
    <n v="1.3583780000000001"/>
    <s v=""/>
    <n v="0.20081935000000001"/>
    <s v=""/>
    <m/>
    <m/>
    <m/>
    <m/>
    <m/>
    <m/>
    <m/>
    <m/>
    <m/>
    <n v="1.3583780000000001"/>
    <m/>
    <m/>
    <m/>
    <m/>
    <m/>
    <m/>
    <m/>
    <m/>
    <m/>
    <m/>
    <m/>
    <m/>
    <n v="0.20081935000000001"/>
    <m/>
  </r>
  <r>
    <x v="5"/>
    <x v="220"/>
    <m/>
    <m/>
    <m/>
    <s v="SK"/>
    <m/>
    <s v="Agrifootprint process: Rye grain, dried, at farm/SK Mass"/>
    <m/>
    <m/>
    <s v="Blonk Consultants. Agri-Footprint 2.0. 2015 [cited 2015] Available from: http://www.agrifootprint."/>
    <m/>
    <m/>
    <m/>
    <m/>
    <m/>
    <m/>
    <m/>
    <m/>
    <m/>
    <m/>
    <m/>
    <m/>
    <m/>
    <m/>
    <m/>
    <m/>
    <m/>
    <m/>
    <n v="2.4911029999999998"/>
    <s v=""/>
    <n v="0.33164479000000002"/>
    <s v=""/>
    <m/>
    <m/>
    <m/>
    <m/>
    <m/>
    <m/>
    <m/>
    <m/>
    <m/>
    <n v="2.4911029999999998"/>
    <m/>
    <m/>
    <m/>
    <m/>
    <m/>
    <m/>
    <m/>
    <m/>
    <m/>
    <m/>
    <m/>
    <m/>
    <n v="0.33164479000000002"/>
    <m/>
  </r>
  <r>
    <x v="5"/>
    <x v="128"/>
    <m/>
    <m/>
    <m/>
    <s v="BE"/>
    <m/>
    <s v="Agrifootprint process: Wheat flour, from dry milling, at plant/BE Mass"/>
    <m/>
    <m/>
    <s v="Blonk Consultants. Agri-Footprint 2.0. 2015 [cited 2015] Available from: http://www.agrifootprint."/>
    <m/>
    <m/>
    <m/>
    <m/>
    <m/>
    <m/>
    <m/>
    <m/>
    <m/>
    <m/>
    <m/>
    <m/>
    <m/>
    <m/>
    <m/>
    <m/>
    <m/>
    <m/>
    <s v=""/>
    <n v="2.3104819999999999"/>
    <s v=""/>
    <n v="0.35133746999999999"/>
    <m/>
    <m/>
    <n v="2.3104819999999999"/>
    <m/>
    <m/>
    <m/>
    <m/>
    <m/>
    <m/>
    <m/>
    <n v="2.3104819999999999"/>
    <m/>
    <m/>
    <m/>
    <m/>
    <n v="0.35133746999999999"/>
    <m/>
    <m/>
    <m/>
    <m/>
    <m/>
    <m/>
    <m/>
    <n v="0.35133746999999999"/>
  </r>
  <r>
    <x v="5"/>
    <x v="128"/>
    <m/>
    <m/>
    <m/>
    <s v="DE"/>
    <m/>
    <s v="Agrifootprint process: Wheat flour, from dry milling, at plant/DE Mass"/>
    <m/>
    <m/>
    <s v="Blonk Consultants. Agri-Footprint 2.0. 2015 [cited 2015] Available from: http://www.agrifootprint."/>
    <m/>
    <m/>
    <m/>
    <m/>
    <m/>
    <m/>
    <m/>
    <m/>
    <m/>
    <m/>
    <m/>
    <m/>
    <m/>
    <m/>
    <m/>
    <m/>
    <m/>
    <m/>
    <s v=""/>
    <n v="2.2685884999999999"/>
    <s v=""/>
    <n v="0.35211460999999999"/>
    <m/>
    <m/>
    <n v="2.2685884999999999"/>
    <m/>
    <m/>
    <m/>
    <m/>
    <m/>
    <m/>
    <m/>
    <n v="2.2685884999999999"/>
    <m/>
    <m/>
    <m/>
    <m/>
    <n v="0.35211460999999999"/>
    <m/>
    <m/>
    <m/>
    <m/>
    <m/>
    <m/>
    <m/>
    <n v="0.35211460999999999"/>
  </r>
  <r>
    <x v="5"/>
    <x v="128"/>
    <m/>
    <m/>
    <m/>
    <s v="NL"/>
    <m/>
    <s v="Agrifootprint process: Wheat flour, from dry milling, at plant/NL Mass"/>
    <m/>
    <m/>
    <s v="Blonk Consultants. Agri-Footprint 2.0. 2015 [cited 2015] Available from: http://www.agrifootprint."/>
    <m/>
    <m/>
    <m/>
    <m/>
    <m/>
    <m/>
    <m/>
    <m/>
    <m/>
    <m/>
    <m/>
    <m/>
    <m/>
    <m/>
    <m/>
    <m/>
    <m/>
    <m/>
    <s v=""/>
    <n v="2.5439123000000001"/>
    <s v=""/>
    <n v="0.37024625999999999"/>
    <m/>
    <m/>
    <n v="2.5439123000000001"/>
    <m/>
    <m/>
    <m/>
    <m/>
    <m/>
    <m/>
    <m/>
    <n v="2.5439123000000001"/>
    <m/>
    <m/>
    <m/>
    <m/>
    <n v="0.37024625999999999"/>
    <m/>
    <m/>
    <m/>
    <m/>
    <m/>
    <m/>
    <m/>
    <n v="0.37024625999999999"/>
  </r>
  <r>
    <x v="10"/>
    <x v="221"/>
    <m/>
    <m/>
    <m/>
    <s v="RoW"/>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87"/>
    <s v=""/>
    <m/>
    <m/>
    <m/>
    <m/>
    <m/>
    <m/>
    <m/>
    <m/>
    <m/>
    <m/>
    <m/>
    <m/>
    <m/>
    <m/>
    <m/>
    <m/>
    <m/>
    <m/>
    <m/>
    <m/>
    <m/>
    <m/>
    <n v="0.87"/>
    <m/>
  </r>
  <r>
    <x v="4"/>
    <x v="222"/>
    <m/>
    <m/>
    <m/>
    <s v="RoE"/>
    <s v="2010"/>
    <s v="Audsley, E.; Brander, M.; Chatterton, J.; Murphy-Bokern, D.; Webster, C.; Williams, A."/>
    <s v="Cranfield University, UK"/>
    <s v="NGO Report"/>
    <s v="Williams, A. G., Audsley, E. and Sandars, D. L., Environmental burdens of producing bread wheat, oilseed rape and potatoes in England and Wales using simulation and system modelling. The International Journal of Life Cycle Assessment 2010, 15 (8), 855-868."/>
    <m/>
    <m/>
    <m/>
    <m/>
    <m/>
    <m/>
    <m/>
    <m/>
    <m/>
    <m/>
    <m/>
    <m/>
    <m/>
    <m/>
    <m/>
    <m/>
    <m/>
    <m/>
    <s v=""/>
    <s v=""/>
    <n v="0.43"/>
    <s v=""/>
    <m/>
    <m/>
    <m/>
    <m/>
    <m/>
    <m/>
    <m/>
    <m/>
    <m/>
    <m/>
    <m/>
    <m/>
    <m/>
    <m/>
    <m/>
    <m/>
    <m/>
    <m/>
    <m/>
    <m/>
    <m/>
    <m/>
    <n v="0.43"/>
    <m/>
  </r>
  <r>
    <x v="4"/>
    <x v="223"/>
    <m/>
    <m/>
    <m/>
    <s v="Global"/>
    <m/>
    <s v="Ecoinvent process: Papaya {GLO}| production | Alloc Def, S"/>
    <m/>
    <m/>
    <s v="Swiss Center for Life Cycle Inventories, Ecoinvent Database version 3.3. 2016, 2016, ."/>
    <m/>
    <m/>
    <m/>
    <m/>
    <m/>
    <m/>
    <m/>
    <m/>
    <m/>
    <m/>
    <m/>
    <m/>
    <m/>
    <m/>
    <m/>
    <m/>
    <m/>
    <m/>
    <n v="1.3288105999999997"/>
    <s v=""/>
    <n v="0.14498"/>
    <s v=""/>
    <m/>
    <m/>
    <m/>
    <m/>
    <m/>
    <m/>
    <m/>
    <m/>
    <m/>
    <n v="1.3288105999999997"/>
    <m/>
    <m/>
    <m/>
    <m/>
    <m/>
    <m/>
    <m/>
    <m/>
    <m/>
    <m/>
    <m/>
    <m/>
    <n v="0.14498"/>
    <m/>
  </r>
  <r>
    <x v="10"/>
    <x v="114"/>
    <m/>
    <m/>
    <m/>
    <s v="CI"/>
    <m/>
    <s v="Ecoinvent process: Cocoa bean {CI}| cocoa bean production, sun-dried | Alloc Def, S"/>
    <m/>
    <m/>
    <s v="Swiss Center for Life Cycle Inventories, Ecoinvent Database version 3.3. 2016, 2016, ."/>
    <m/>
    <m/>
    <m/>
    <m/>
    <m/>
    <m/>
    <m/>
    <m/>
    <m/>
    <m/>
    <m/>
    <m/>
    <m/>
    <m/>
    <m/>
    <m/>
    <m/>
    <m/>
    <n v="27.198861299999997"/>
    <s v=""/>
    <n v="11.272119"/>
    <s v=""/>
    <m/>
    <m/>
    <m/>
    <m/>
    <m/>
    <m/>
    <m/>
    <m/>
    <m/>
    <n v="27.198861299999997"/>
    <m/>
    <m/>
    <m/>
    <m/>
    <m/>
    <m/>
    <m/>
    <m/>
    <m/>
    <m/>
    <m/>
    <m/>
    <n v="11.272119"/>
    <m/>
  </r>
  <r>
    <x v="10"/>
    <x v="114"/>
    <m/>
    <m/>
    <m/>
    <s v="GH"/>
    <m/>
    <s v="Ecoinvent process: Cocoa bean {GH}| cocoa bean production, sun-dried | Alloc Def, S"/>
    <m/>
    <m/>
    <s v="Swiss Center for Life Cycle Inventories, Ecoinvent Database version 3.3. 2016, 2016, ."/>
    <m/>
    <m/>
    <m/>
    <m/>
    <m/>
    <m/>
    <m/>
    <m/>
    <m/>
    <m/>
    <m/>
    <m/>
    <m/>
    <m/>
    <m/>
    <m/>
    <m/>
    <m/>
    <n v="47.445412300000001"/>
    <s v=""/>
    <n v="16.469787"/>
    <s v=""/>
    <m/>
    <m/>
    <m/>
    <m/>
    <m/>
    <m/>
    <m/>
    <m/>
    <m/>
    <n v="47.445412300000001"/>
    <m/>
    <m/>
    <m/>
    <m/>
    <m/>
    <m/>
    <m/>
    <m/>
    <m/>
    <m/>
    <m/>
    <m/>
    <n v="16.469787"/>
    <m/>
  </r>
  <r>
    <x v="10"/>
    <x v="114"/>
    <m/>
    <m/>
    <m/>
    <s v="ID"/>
    <m/>
    <s v="Ecoinvent process: Cocoa bean {ID}| cocoa bean production, sun-dried | Alloc Def, S"/>
    <m/>
    <m/>
    <s v="Swiss Center for Life Cycle Inventories, Ecoinvent Database version 3.3. 2016, 2016, ."/>
    <m/>
    <m/>
    <m/>
    <m/>
    <m/>
    <m/>
    <m/>
    <m/>
    <m/>
    <m/>
    <m/>
    <m/>
    <m/>
    <m/>
    <m/>
    <m/>
    <m/>
    <m/>
    <n v="246.3932897"/>
    <s v=""/>
    <n v="39.491154999999999"/>
    <s v=""/>
    <m/>
    <m/>
    <m/>
    <m/>
    <m/>
    <m/>
    <m/>
    <m/>
    <m/>
    <n v="246.3932897"/>
    <m/>
    <m/>
    <m/>
    <m/>
    <m/>
    <m/>
    <m/>
    <m/>
    <m/>
    <m/>
    <m/>
    <m/>
    <n v="39.491154999999999"/>
    <m/>
  </r>
  <r>
    <x v="10"/>
    <x v="114"/>
    <m/>
    <m/>
    <m/>
    <s v="RoW"/>
    <m/>
    <s v="Ecoinvent process: Cocoa bean {RoW}| cocoa bean production, sun-dried | Alloc Def, S"/>
    <m/>
    <m/>
    <s v="Swiss Center for Life Cycle Inventories, Ecoinvent Database version 3.3. 2016, 2016, ."/>
    <m/>
    <m/>
    <m/>
    <m/>
    <m/>
    <m/>
    <m/>
    <m/>
    <m/>
    <m/>
    <m/>
    <m/>
    <m/>
    <m/>
    <m/>
    <m/>
    <m/>
    <m/>
    <n v="23.449981136000002"/>
    <s v=""/>
    <n v="11.33441"/>
    <s v=""/>
    <m/>
    <m/>
    <m/>
    <m/>
    <m/>
    <m/>
    <m/>
    <m/>
    <m/>
    <n v="23.449981136000002"/>
    <m/>
    <m/>
    <m/>
    <m/>
    <m/>
    <m/>
    <m/>
    <m/>
    <m/>
    <m/>
    <m/>
    <m/>
    <n v="11.33441"/>
    <m/>
  </r>
  <r>
    <x v="10"/>
    <x v="135"/>
    <m/>
    <m/>
    <m/>
    <s v="RAS"/>
    <m/>
    <s v="WFLDB: Cocoa powder, at plant (WFLDB 3.1)/RAS U"/>
    <m/>
    <m/>
    <s v="Quantis, World Food LCA Database. 2016, ."/>
    <m/>
    <m/>
    <m/>
    <m/>
    <m/>
    <m/>
    <m/>
    <m/>
    <m/>
    <m/>
    <m/>
    <m/>
    <m/>
    <m/>
    <m/>
    <m/>
    <m/>
    <m/>
    <s v=""/>
    <n v="3.9887606999999998"/>
    <s v=""/>
    <n v="50.440724000000003"/>
    <m/>
    <m/>
    <n v="3.9887606999999998"/>
    <m/>
    <m/>
    <m/>
    <m/>
    <m/>
    <m/>
    <m/>
    <n v="3.9887606999999998"/>
    <m/>
    <m/>
    <m/>
    <m/>
    <n v="50.440724000000003"/>
    <m/>
    <m/>
    <m/>
    <m/>
    <m/>
    <m/>
    <m/>
    <n v="50.440724000000003"/>
  </r>
  <r>
    <x v="10"/>
    <x v="135"/>
    <m/>
    <m/>
    <m/>
    <s v="RER"/>
    <m/>
    <s v="WFLDB: Cocoa powder, at plant (WFLDB 3.1)/RER U"/>
    <m/>
    <m/>
    <s v="Quantis, World Food LCA Database. 2016, ."/>
    <m/>
    <m/>
    <m/>
    <m/>
    <m/>
    <m/>
    <m/>
    <m/>
    <m/>
    <m/>
    <m/>
    <m/>
    <m/>
    <m/>
    <m/>
    <m/>
    <m/>
    <m/>
    <s v=""/>
    <n v="3.6062574000000001"/>
    <s v=""/>
    <n v="25.23237"/>
    <m/>
    <m/>
    <n v="3.6062574000000001"/>
    <m/>
    <m/>
    <m/>
    <m/>
    <m/>
    <m/>
    <m/>
    <n v="3.6062574000000001"/>
    <m/>
    <m/>
    <m/>
    <m/>
    <n v="25.23237"/>
    <m/>
    <m/>
    <m/>
    <m/>
    <m/>
    <m/>
    <m/>
    <n v="25.23237"/>
  </r>
  <r>
    <x v="10"/>
    <x v="135"/>
    <m/>
    <m/>
    <m/>
    <s v="RNA"/>
    <m/>
    <s v="WFLDB: Cocoa powder, at plant (WFLDB 3.1)/RNA U"/>
    <m/>
    <m/>
    <s v="Quantis, World Food LCA Database. 2016, ."/>
    <m/>
    <m/>
    <m/>
    <m/>
    <m/>
    <m/>
    <m/>
    <m/>
    <m/>
    <m/>
    <m/>
    <m/>
    <m/>
    <m/>
    <m/>
    <m/>
    <m/>
    <m/>
    <s v=""/>
    <n v="3.6410518000000001"/>
    <s v=""/>
    <n v="25.268179"/>
    <m/>
    <m/>
    <n v="3.6410518000000001"/>
    <m/>
    <m/>
    <m/>
    <m/>
    <m/>
    <m/>
    <m/>
    <n v="3.6410518000000001"/>
    <m/>
    <m/>
    <m/>
    <m/>
    <n v="25.268179"/>
    <m/>
    <m/>
    <m/>
    <m/>
    <m/>
    <m/>
    <m/>
    <n v="25.268179"/>
  </r>
  <r>
    <x v="5"/>
    <x v="224"/>
    <m/>
    <m/>
    <m/>
    <s v="US"/>
    <m/>
    <s v="Agrifootprint process: Maize starch, from wet milling (starch drying), at plant/US Mass"/>
    <m/>
    <m/>
    <s v="Blonk Consultants. Agri-Footprint 2.0. 2015 [cited 2015] Available from: http://www.agrifootprint."/>
    <m/>
    <m/>
    <m/>
    <m/>
    <m/>
    <m/>
    <m/>
    <m/>
    <m/>
    <m/>
    <m/>
    <m/>
    <m/>
    <m/>
    <m/>
    <m/>
    <m/>
    <m/>
    <s v=""/>
    <n v="8.8000000000000007"/>
    <s v=""/>
    <n v="0.76"/>
    <m/>
    <m/>
    <n v="8.8000000000000007"/>
    <m/>
    <m/>
    <m/>
    <m/>
    <m/>
    <m/>
    <m/>
    <n v="8.8000000000000007"/>
    <m/>
    <m/>
    <m/>
    <m/>
    <n v="0.76"/>
    <m/>
    <m/>
    <m/>
    <m/>
    <m/>
    <m/>
    <m/>
    <n v="0.76"/>
  </r>
  <r>
    <x v="7"/>
    <x v="107"/>
    <s v="Fresh or Not Specified"/>
    <s v="Drip Filter Coffee (no wast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reported value / density (1g/ml) --&gt; (RV x 1000g)/(100ml x 1 g/ml)"/>
    <s v=""/>
    <s v=""/>
    <s v=""/>
    <s v=""/>
    <m/>
    <m/>
    <m/>
    <m/>
    <m/>
    <m/>
    <m/>
    <m/>
    <m/>
    <m/>
    <n v="21.400000000000002"/>
    <m/>
    <m/>
    <m/>
    <m/>
    <m/>
    <m/>
    <m/>
    <m/>
    <m/>
    <m/>
    <m/>
    <m/>
    <n v="1.21"/>
  </r>
  <r>
    <x v="7"/>
    <x v="107"/>
    <s v="Fresh or Not Specified"/>
    <s v="Capsule Espresso Coffee"/>
    <s v="No"/>
    <s v="Switzerland"/>
    <n v="2009"/>
    <s v="Sebastien Humbert; Yves Loerincik; Vincent Rossi; Manuele Margni; Olivier Jolliet"/>
    <m/>
    <s v="Peer Reviewed Journal"/>
    <s v="Humbert, S., Loerincik, Y., Rossi, V., Margni, M. and Jolliet, O., Life cycle assessment of spray dried soluble coffee and comparison with alternatives (drip filter and capsule espresso). Journal of Cleaner Production 2009, 17 (15), 1351-1358."/>
    <s v="Yes"/>
    <s v="No"/>
    <s v="Yes"/>
    <s v="Yes"/>
    <s v="Yes"/>
    <s v="Yes"/>
    <s v="No"/>
    <s v="No"/>
    <s v="No"/>
    <s v="Yes"/>
    <s v="No"/>
    <s v="No"/>
    <m/>
    <s v="All except retail"/>
    <s v="No"/>
    <s v="No"/>
    <s v="1 dl cup of coffee ready to be drunk, at the consumer’s home"/>
    <s v="reported value / density (1g/ml) --&gt; (RV x 1000g)/(100ml x 1 g/ml)"/>
    <s v=""/>
    <s v=""/>
    <s v=""/>
    <s v=""/>
    <m/>
    <m/>
    <m/>
    <m/>
    <m/>
    <m/>
    <m/>
    <m/>
    <m/>
    <m/>
    <n v="19.099999999999998"/>
    <m/>
    <m/>
    <m/>
    <m/>
    <m/>
    <m/>
    <m/>
    <m/>
    <m/>
    <m/>
    <m/>
    <m/>
    <n v="1.1000000000000001"/>
  </r>
  <r>
    <x v="7"/>
    <x v="107"/>
    <s v="Fresh or Not Specified"/>
    <s v="Espresso"/>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Yes"/>
    <s v="No"/>
    <s v="Yes"/>
    <s v="Yes"/>
    <s v="Yes"/>
    <s v="Yes"/>
    <s v="No"/>
    <s v="Yes"/>
    <s v="No"/>
    <s v="Yes"/>
    <s v="No"/>
    <s v="No"/>
    <m/>
    <s v="Production, packaging, transport (roastery to house), cooking/brewing"/>
    <s v="No"/>
    <s v="No"/>
    <s v="1 cup of coffee"/>
    <s v="reported value / density (1g/ml) --&gt; (RV x 1000g)/(236.588ml/cup x 1 g/ml)"/>
    <s v=""/>
    <s v=""/>
    <s v=""/>
    <s v=""/>
    <m/>
    <m/>
    <m/>
    <m/>
    <m/>
    <m/>
    <m/>
    <m/>
    <m/>
    <m/>
    <n v="2.831927232150405"/>
    <m/>
    <m/>
    <m/>
    <m/>
    <m/>
    <m/>
    <m/>
    <m/>
    <m/>
    <m/>
    <m/>
    <m/>
    <n v="0.38040813566199472"/>
  </r>
  <r>
    <x v="7"/>
    <x v="107"/>
    <s v="Fresh or Not Specified"/>
    <s v="Espresso"/>
    <s v="No"/>
    <s v="Switzerland"/>
    <n v="2009"/>
    <s v="Sybille Büsser; Niels Jungbluth"/>
    <s v="ESU-services Ltd. – fair consulting in sustainability, Margrit-Rainer-Str. 11c, 8050 Zürich,"/>
    <s v="Consulting Group"/>
    <s v="Büsser, S. and Jungbluth, N., The role of flexible packaging in the life cycle of coffee and butter. The International Journal of Life Cycle Assessment 2009, 14 (1), 80-91."/>
    <s v="No"/>
    <s v="Yes"/>
    <s v="Yes"/>
    <s v="Yes"/>
    <s v="Yes"/>
    <s v="No"/>
    <s v="Yes"/>
    <s v="No"/>
    <s v="Yes"/>
    <s v="No"/>
    <s v="No"/>
    <m/>
    <s v="Production, packaging, transport (roastery to house), cooking/brewing"/>
    <s v="no"/>
    <s v="No"/>
    <s v="1 cup of coffee"/>
    <s v="reported value / density (1g/ml) --&gt; (RV x 1000g)/(236.588ml/cup x 1 g/ml)"/>
    <m/>
    <n v="2.8319000000000001"/>
    <s v=""/>
    <n v="0.38"/>
    <s v=""/>
    <m/>
    <m/>
    <m/>
    <m/>
    <m/>
    <m/>
    <m/>
    <m/>
    <m/>
    <n v="2.8319000000000001"/>
    <m/>
    <m/>
    <m/>
    <m/>
    <m/>
    <m/>
    <m/>
    <m/>
    <m/>
    <m/>
    <m/>
    <m/>
    <n v="0.38"/>
    <m/>
  </r>
  <r>
    <x v="7"/>
    <x v="109"/>
    <s v="Fresh or Not Specified"/>
    <s v="Darjeeling Tea, conventional loose"/>
    <s v="Yes"/>
    <s v="India"/>
    <n v="2010"/>
    <s v="Geneviève Doublet; Niels Jungbluth"/>
    <s v="ESU-services Ltd. – fair consulting in sustainability, Kanzleistr. 4, CH-8610 Uster"/>
    <s v="Consulting Group"/>
    <s v="Doublet G, Jungbluth N. Life cycle assessment of drinking Darjeeling tea: ESU-Services Ltd; 2010."/>
    <s v="Yes"/>
    <s v="No"/>
    <s v="Yes"/>
    <s v="Yes"/>
    <s v="Yes"/>
    <s v="Yes"/>
    <s v="Yes"/>
    <s v="Yes"/>
    <s v="No"/>
    <s v="Yes"/>
    <s v="No"/>
    <s v="No"/>
    <m/>
    <s v="Cradle to Grave"/>
    <s v="No"/>
    <s v="No"/>
    <s v="250ml of tea ready for consumption (reference flow = 1.75g dry tea leaves)"/>
    <s v="reported value / density (250.44g/250ml) --&gt; (RV x 1000g/kg)/(250.44g/250ml)"/>
    <s v=""/>
    <s v=""/>
    <s v=""/>
    <s v=""/>
    <m/>
    <m/>
    <m/>
    <m/>
    <m/>
    <m/>
    <m/>
    <m/>
    <m/>
    <m/>
    <n v="3.1544481712186552"/>
    <m/>
    <m/>
    <m/>
    <m/>
    <m/>
    <m/>
    <m/>
    <m/>
    <m/>
    <m/>
    <m/>
    <m/>
    <n v="0.17888516211467817"/>
  </r>
  <r>
    <x v="12"/>
    <x v="102"/>
    <s v="Fresh or Not Specified"/>
    <s v="rainbow trout, standard feed diet"/>
    <s v="Yes"/>
    <s v="France"/>
    <n v="2011"/>
    <s v="Joachim Boissy, Joël Aubin ⁎, Abdeljalil Drissi, Hayo M.G. van der Werf, Gordon J. Bell, Sadasivam J. Kaushik"/>
    <s v="INRA UMR SAS"/>
    <s v="Peer Reviewed Journal"/>
    <s v="Boissy, J., Aubin, J., Drissi, A., Van Der Werf, H. M., Bell, G. J. and Kaushik, S. J., Environmental impacts of plant-based salmonid diets at feed and farm scales. Aquaculture 2011, 321 (1), 61-70."/>
    <s v="Yes"/>
    <s v="No"/>
    <s v="No"/>
    <s v="No"/>
    <s v="No"/>
    <s v="No"/>
    <s v="No"/>
    <s v="No"/>
    <s v="No"/>
    <s v="No"/>
    <s v="No"/>
    <s v="No"/>
    <m/>
    <s v="farm gate"/>
    <s v="No"/>
    <s v="No"/>
    <s v="1 kg live weight"/>
    <s v="/0.65"/>
    <n v="85.738461538461536"/>
    <s v=""/>
    <n v="3.4153846153846157"/>
    <s v=""/>
    <m/>
    <m/>
    <m/>
    <m/>
    <m/>
    <m/>
    <m/>
    <m/>
    <m/>
    <n v="85.738461538461536"/>
    <m/>
    <m/>
    <m/>
    <m/>
    <m/>
    <m/>
    <m/>
    <m/>
    <m/>
    <m/>
    <m/>
    <m/>
    <n v="3.4153846153846157"/>
    <m/>
  </r>
  <r>
    <x v="12"/>
    <x v="102"/>
    <s v="Fresh or Not Specified"/>
    <s v="rainbow trout,flow through system, low fishery diet"/>
    <s v="Yes"/>
    <s v="France"/>
    <n v="2011"/>
    <s v="Joachim Boissy, Joël Aubin ⁎, Abdeljalil Drissi, Hayo M.G. van der Werf, Gordon J. Bell, Sadasivam J. Kaushik"/>
    <s v="INRA UMR SAS"/>
    <s v="Peer Reviewed Journal"/>
    <s v="Boissy, J., Aubin, J., Drissi, A., Van Der Werf, H. M., Bell, G. J. and Kaushik, S. J., Environmental impacts of plant-based salmonid diets at feed and farm scales. Aquaculture 2011, 321 (1), 61-70."/>
    <s v="Yes"/>
    <s v="No"/>
    <s v="No"/>
    <s v="No"/>
    <s v="No"/>
    <s v="No"/>
    <s v="No"/>
    <s v="No"/>
    <s v="No"/>
    <s v="No"/>
    <s v="No"/>
    <s v="No"/>
    <m/>
    <s v="farm gate"/>
    <s v="No"/>
    <s v="No"/>
    <s v="1 kg live weight"/>
    <s v="/0.65"/>
    <n v="84.703076923076921"/>
    <s v=""/>
    <n v="3.4153846153846157"/>
    <s v=""/>
    <m/>
    <m/>
    <m/>
    <m/>
    <m/>
    <m/>
    <m/>
    <m/>
    <m/>
    <n v="84.703076923076921"/>
    <m/>
    <m/>
    <m/>
    <m/>
    <m/>
    <m/>
    <m/>
    <m/>
    <m/>
    <m/>
    <m/>
    <m/>
    <n v="3.4153846153846157"/>
    <m/>
  </r>
  <r>
    <x v="12"/>
    <x v="102"/>
    <s v="Fresh or Not Specified"/>
    <s v="rainbow trout, extensive flow through system"/>
    <s v="Yes"/>
    <s v="Germany"/>
    <n v="2013"/>
    <s v="B. Samuel-Fitwi, F. Nagela, S. Meyera, J.P. Schroedera, C. Schulz"/>
    <s v="Gesellschaft für Marine Aquakultur (GMA) mbH, 25761 Büsum, Germany; Christian Albrecht Universitaet zu Kiel, 24098 Kiel, Germany"/>
    <s v="Peer Reviewed Journal"/>
    <s v="Samuel-Fitwi, B., Nagel, F., Meyer, S., Schroeder, J. and Schulz, C., Comparative life cycle assessment (LCA) of raising rainbow trout (Oncorhynchus mykiss) in different production systems. Aquacultural engineering 2013, 54, 85-92."/>
    <s v="Yes"/>
    <s v="No"/>
    <s v="No"/>
    <s v="No"/>
    <s v="No"/>
    <s v="No"/>
    <s v="No"/>
    <s v="No"/>
    <s v="No"/>
    <s v="No"/>
    <s v="No"/>
    <s v="No"/>
    <m/>
    <s v="farm gate"/>
    <s v="No"/>
    <s v="No"/>
    <s v="1 kg live weight"/>
    <s v="/0.65"/>
    <s v=""/>
    <s v=""/>
    <n v="3.4452923076923079"/>
    <s v=""/>
    <m/>
    <m/>
    <m/>
    <m/>
    <m/>
    <m/>
    <m/>
    <m/>
    <m/>
    <m/>
    <m/>
    <m/>
    <m/>
    <m/>
    <m/>
    <m/>
    <m/>
    <m/>
    <m/>
    <m/>
    <m/>
    <m/>
    <n v="3.4452923076923079"/>
    <m/>
  </r>
  <r>
    <x v="12"/>
    <x v="102"/>
    <s v="Fresh or Not Specified"/>
    <s v="rainbow trout, intensive flow through system"/>
    <s v="Yes"/>
    <s v="Germany"/>
    <n v="2013"/>
    <s v="B. Samuel-Fitwi, F. Nagela, S. Meyera, J.P. Schroedera, C. Schulz"/>
    <s v="Gesellschaft für Marine Aquakultur (GMA) mbH, 25761 Büsum, Germany; Christian Albrecht Universitaet zu Kiel, 24098 Kiel, Germany"/>
    <s v="Peer Reviewed Journal"/>
    <s v="Samuel-Fitwi, B., Nagel, F., Meyer, S., Schroeder, J. and Schulz, C., Comparative life cycle assessment (LCA) of raising rainbow trout (Oncorhynchus mykiss) in different production systems. Aquacultural engineering 2013, 54, 85-92."/>
    <s v="Yes"/>
    <s v="No"/>
    <s v="No"/>
    <s v="No"/>
    <s v="No"/>
    <s v="No"/>
    <s v="No"/>
    <s v="No"/>
    <s v="No"/>
    <s v="No"/>
    <s v="No"/>
    <s v="No"/>
    <m/>
    <s v="farm gate"/>
    <s v="No"/>
    <s v="No"/>
    <s v="1 kg live weight"/>
    <s v="/0.65"/>
    <s v=""/>
    <s v=""/>
    <n v="5.4798615384615381"/>
    <s v=""/>
    <m/>
    <m/>
    <m/>
    <m/>
    <m/>
    <m/>
    <m/>
    <m/>
    <m/>
    <m/>
    <m/>
    <m/>
    <m/>
    <m/>
    <m/>
    <m/>
    <m/>
    <m/>
    <m/>
    <m/>
    <m/>
    <m/>
    <n v="5.4798615384615381"/>
    <m/>
  </r>
  <r>
    <x v="12"/>
    <x v="102"/>
    <s v="Fresh or Not Specified"/>
    <s v="rainbow trout,recirculating system"/>
    <s v="Yes"/>
    <s v="Germany"/>
    <n v="2013"/>
    <s v="B. Samuel-Fitwi, F. Nagela, S. Meyera, J.P. Schroedera, C. Schulz"/>
    <s v="Gesellschaft für Marine Aquakultur (GMA) mbH, 25761 Büsum, Germany; Christian Albrecht Universitaet zu Kiel, 24098 Kiel, Germany"/>
    <s v="Peer Reviewed Journal"/>
    <s v="Samuel-Fitwi, B., Nagel, F., Meyer, S., Schroeder, J. and Schulz, C., Comparative life cycle assessment (LCA) of raising rainbow trout (Oncorhynchus mykiss) in different production systems. Aquacultural engineering 2013, 54, 85-92."/>
    <s v="Yes"/>
    <s v="No"/>
    <s v="No"/>
    <s v="No"/>
    <s v="No"/>
    <s v="No"/>
    <s v="No"/>
    <s v="No"/>
    <s v="No"/>
    <s v="No"/>
    <s v="No"/>
    <s v="No"/>
    <m/>
    <s v="farm gate"/>
    <s v="No"/>
    <s v="No"/>
    <s v="1 kg live weight"/>
    <s v="/0.65"/>
    <s v=""/>
    <s v=""/>
    <n v="20.95750769230769"/>
    <s v=""/>
    <m/>
    <m/>
    <m/>
    <m/>
    <m/>
    <m/>
    <m/>
    <m/>
    <m/>
    <m/>
    <m/>
    <m/>
    <m/>
    <m/>
    <m/>
    <m/>
    <m/>
    <m/>
    <m/>
    <m/>
    <m/>
    <m/>
    <n v="20.95750769230769"/>
    <m/>
  </r>
  <r>
    <x v="12"/>
    <x v="102"/>
    <s v="Fresh or Not Specified"/>
    <s v="common carp, tench, roach, perch, sander &amp; pike; semi-extensive pond"/>
    <s v="Yes"/>
    <s v="France"/>
    <n v="2013"/>
    <s v="Aurélie Wilfart, Jehane Prudhomme, Jean-Paul Blancheton, Joël Aubin"/>
    <s v="INRA, UMR1069, Sol Agro et hydrosystème Spatialisation, 65 rue de Saint Brieuc, CS 84215, F-35042 Rennes, France"/>
    <s v="Peer Reviewed Journal"/>
    <s v="Wilfart, A., Prudhomme, J., Blancheton, J.-P. and Aubin, J., LCA and emergy accounting of aquaculture systems: Towards ecological intensification. Journal of environmental management 2013, 121, 96-109."/>
    <s v="Yes"/>
    <s v="No"/>
    <s v="No"/>
    <s v="No"/>
    <s v="No"/>
    <s v="No"/>
    <s v="No"/>
    <s v="No"/>
    <s v="No"/>
    <s v="No"/>
    <s v="No"/>
    <s v="No"/>
    <m/>
    <s v="farm gate"/>
    <s v="No"/>
    <s v="No"/>
    <s v="1 kg live weight"/>
    <s v="/.54"/>
    <n v="218.5185185185185"/>
    <s v=""/>
    <n v="2.6425925925925924"/>
    <s v=""/>
    <m/>
    <m/>
    <m/>
    <m/>
    <m/>
    <m/>
    <m/>
    <m/>
    <m/>
    <n v="218.5185185185185"/>
    <m/>
    <m/>
    <m/>
    <m/>
    <m/>
    <m/>
    <m/>
    <m/>
    <m/>
    <m/>
    <m/>
    <m/>
    <n v="2.6425925925925924"/>
    <m/>
  </r>
  <r>
    <x v="12"/>
    <x v="102"/>
    <s v="Fresh or Not Specified"/>
    <s v="common carp, tench, roach, perch, sander &amp; pike; extensive pond"/>
    <s v="Yes"/>
    <s v="France"/>
    <n v="2013"/>
    <s v="Aurélie Wilfart, Jehane Prudhomme, Jean-Paul Blancheton, Joël Aubin"/>
    <s v="INRA, UMR1069, Sol Agro et hydrosystème Spatialisation, 65 rue de Saint Brieuc, CS 84215, F-35042 Rennes, France"/>
    <s v="Peer Reviewed Journal"/>
    <s v="Wilfart, A., Prudhomme, J., Blancheton, J.-P. and Aubin, J., LCA and emergy accounting of aquaculture systems: Towards ecological intensification. Journal of environmental management 2013, 121, 96-109."/>
    <s v="Yes"/>
    <s v="No"/>
    <s v="No"/>
    <s v="No"/>
    <s v="No"/>
    <s v="No"/>
    <s v="No"/>
    <s v="No"/>
    <s v="No"/>
    <s v="No"/>
    <s v="No"/>
    <s v="No"/>
    <m/>
    <s v="farm gate"/>
    <s v="No"/>
    <s v="No"/>
    <s v="1 kg live weight"/>
    <s v="/.54"/>
    <n v="320.37037037037032"/>
    <s v=""/>
    <n v="15.898148148148149"/>
    <s v=""/>
    <m/>
    <m/>
    <m/>
    <m/>
    <m/>
    <m/>
    <m/>
    <m/>
    <m/>
    <n v="320.37037037037032"/>
    <m/>
    <m/>
    <m/>
    <m/>
    <m/>
    <m/>
    <m/>
    <m/>
    <m/>
    <m/>
    <m/>
    <m/>
    <n v="15.898148148148149"/>
    <m/>
  </r>
  <r>
    <x v="12"/>
    <x v="102"/>
    <s v="Fresh or Not Specified"/>
    <s v="atlantic salmon, recirculating system"/>
    <s v="Yes"/>
    <s v="France"/>
    <n v="2013"/>
    <s v="Aurélie Wilfart, Jehane Prudhomme, Jean-Paul Blancheton, Joël Aubin"/>
    <s v="INRA, UMR1069, Sol Agro et hydrosystème Spatialisation, 65 rue de Saint Brieuc, CS 84215, F-35042 Rennes, France"/>
    <s v="Peer Reviewed Journal"/>
    <s v="Wilfart, A., Prudhomme, J., Blancheton, J.-P. and Aubin, J., LCA and emergy accounting of aquaculture systems: Towards ecological intensification. Journal of environmental management 2013, 121, 96-109."/>
    <s v="Yes"/>
    <s v="No"/>
    <s v="No"/>
    <s v="No"/>
    <s v="No"/>
    <s v="No"/>
    <s v="No"/>
    <s v="No"/>
    <s v="No"/>
    <s v="No"/>
    <s v="No"/>
    <s v="No"/>
    <m/>
    <s v="farm gate"/>
    <s v="No"/>
    <s v="No"/>
    <s v="1 kg live weight"/>
    <s v="/.72"/>
    <n v="152.77777777777777"/>
    <s v=""/>
    <n v="4.3583333333333334"/>
    <s v=""/>
    <m/>
    <m/>
    <m/>
    <m/>
    <m/>
    <m/>
    <m/>
    <m/>
    <m/>
    <n v="152.77777777777777"/>
    <m/>
    <m/>
    <m/>
    <m/>
    <m/>
    <m/>
    <m/>
    <m/>
    <m/>
    <m/>
    <m/>
    <m/>
    <n v="4.3583333333333334"/>
    <m/>
  </r>
  <r>
    <x v="12"/>
    <x v="102"/>
    <s v="Fresh or Not Specified"/>
    <s v="tilapia, intensive pond system"/>
    <s v="Yes"/>
    <s v="Egypt"/>
    <n v="2016"/>
    <s v="Dalia M. M. Yacout, Naglaa F. Soliman, M. M. Yacout"/>
    <s v="Alexandria University, Alexandria, Egypt"/>
    <s v="Peer Reviewed Journal"/>
    <s v="Yacout, D. M., Soliman, N. F. and Yacout, M., Comparative life cycle assessment (LCA) of Tilapia in two production systems: semi-intensive and intensive. The International Journal of Life Cycle Assessment 2016, 21 (6), 806-819."/>
    <s v="Yes"/>
    <s v="No"/>
    <s v="No"/>
    <s v="No"/>
    <s v="No"/>
    <s v="No"/>
    <s v="No"/>
    <s v="No"/>
    <s v="No"/>
    <s v="No"/>
    <s v="No"/>
    <s v="No"/>
    <m/>
    <s v="farm gate"/>
    <s v="No"/>
    <s v="No"/>
    <s v="1 kg live weight"/>
    <s v="/.37"/>
    <n v="142.70270270270271"/>
    <s v=""/>
    <n v="2.5964864864864867"/>
    <s v=""/>
    <m/>
    <m/>
    <m/>
    <m/>
    <m/>
    <m/>
    <m/>
    <m/>
    <m/>
    <n v="142.70270270270271"/>
    <m/>
    <m/>
    <m/>
    <m/>
    <m/>
    <m/>
    <m/>
    <m/>
    <m/>
    <m/>
    <m/>
    <m/>
    <n v="2.5964864864864867"/>
    <m/>
  </r>
  <r>
    <x v="12"/>
    <x v="102"/>
    <s v="Fresh or Not Specified"/>
    <s v="tilapia, semi-intensive pond system"/>
    <s v="Yes"/>
    <s v="Egypt"/>
    <n v="2016"/>
    <s v="Dalia M. M. Yacout, Naglaa F. Soliman, M. M. Yacout"/>
    <s v="Alexandria University, Alexandria, Egypt"/>
    <s v="Peer Reviewed Journal"/>
    <s v="Yacout, D. M., Soliman, N. F. and Yacout, M., Comparative life cycle assessment (LCA) of Tilapia in two production systems: semi-intensive and intensive. The International Journal of Life Cycle Assessment 2016, 21 (6), 806-819."/>
    <s v="Yes"/>
    <s v="No"/>
    <s v="No"/>
    <s v="No"/>
    <s v="No"/>
    <s v="No"/>
    <s v="No"/>
    <s v="No"/>
    <s v="No"/>
    <s v="No"/>
    <s v="No"/>
    <s v="No"/>
    <m/>
    <s v="farm gate"/>
    <s v="No"/>
    <s v="No"/>
    <s v="1 kg live weight"/>
    <s v="/.37"/>
    <n v="644.05405405405406"/>
    <s v=""/>
    <n v="16.557027027027029"/>
    <s v=""/>
    <m/>
    <m/>
    <m/>
    <m/>
    <m/>
    <m/>
    <m/>
    <m/>
    <m/>
    <n v="644.05405405405406"/>
    <m/>
    <m/>
    <m/>
    <m/>
    <m/>
    <m/>
    <m/>
    <m/>
    <m/>
    <m/>
    <m/>
    <m/>
    <n v="16.557027027027029"/>
    <m/>
  </r>
  <r>
    <x v="12"/>
    <x v="102"/>
    <s v="Fresh or Not Specified"/>
    <s v="turbot, recirculating system"/>
    <s v="Yes"/>
    <s v="France"/>
    <n v="2006"/>
    <s v="J. Aubin, E. Papatryphon, H.M.G. Van der Werf, J. Petit, Y.M. Morvan"/>
    <s v="UMR INRA"/>
    <s v="Peer Reviewed Journal"/>
    <s v="Aubin, J., Papatryphon, E., Van Der Werf, H., Petit, J. and Morvan, Y., Characterisation of the environmental impact of a turbot (Scophthalmus maximus) re-circulating production system using Life Cycle Assessment. Aquaculture 2006, 261 (4), 1259-1268."/>
    <s v="Yes"/>
    <s v="No"/>
    <s v="No"/>
    <s v="No"/>
    <s v="No"/>
    <s v="No"/>
    <s v="No"/>
    <s v="No"/>
    <s v="No"/>
    <s v="No"/>
    <s v="No"/>
    <s v="No"/>
    <m/>
    <s v="farm gate"/>
    <s v="No"/>
    <s v="No"/>
    <s v="1 kg live weight"/>
    <s v="/.48"/>
    <n v="606.2208333333333"/>
    <s v=""/>
    <n v="12.536250000000001"/>
    <s v=""/>
    <m/>
    <m/>
    <m/>
    <m/>
    <m/>
    <m/>
    <m/>
    <m/>
    <m/>
    <n v="606.2208333333333"/>
    <m/>
    <m/>
    <m/>
    <m/>
    <m/>
    <m/>
    <m/>
    <m/>
    <m/>
    <m/>
    <m/>
    <m/>
    <n v="12.536250000000001"/>
    <m/>
  </r>
  <r>
    <x v="12"/>
    <x v="102"/>
    <s v="Fresh or Not Specified"/>
    <s v="turbot, recirculating system"/>
    <s v="Yes"/>
    <s v="France"/>
    <n v="2006"/>
    <s v="J. Aubin, E. Papatryphon, H.M.G. Van der Werf, J. Petit, Y.M. Morvan"/>
    <s v="UMR INRA"/>
    <s v="Peer Reviewed Journal"/>
    <s v="Aubin, J., Papatryphon, E., Van Der Werf, H., Petit, J. and Morvan, Y., Characterisation of the environmental impact of a turbot (Scophthalmus maximus) re-circulating production system using Life Cycle Assessment. Aquaculture 2006, 261 (4), 1259-1268."/>
    <s v="Yes"/>
    <s v="No"/>
    <s v="No"/>
    <s v="No"/>
    <s v="No"/>
    <s v="No"/>
    <s v="No"/>
    <s v="No"/>
    <s v="No"/>
    <s v="No"/>
    <s v="No"/>
    <s v="No"/>
    <m/>
    <s v="farm gate"/>
    <s v="No"/>
    <s v="No"/>
    <s v="1 kg live weight"/>
    <s v="/.48"/>
    <n v="606.2208333333333"/>
    <s v=""/>
    <n v="22.182083333333331"/>
    <s v=""/>
    <m/>
    <m/>
    <m/>
    <m/>
    <m/>
    <m/>
    <m/>
    <m/>
    <m/>
    <n v="606.2208333333333"/>
    <m/>
    <m/>
    <m/>
    <m/>
    <m/>
    <m/>
    <m/>
    <m/>
    <m/>
    <m/>
    <m/>
    <m/>
    <n v="22.182083333333331"/>
    <m/>
  </r>
  <r>
    <x v="12"/>
    <x v="102"/>
    <s v="Fresh or Not Specified"/>
    <s v="African catfish, recirculating system"/>
    <s v="Yes"/>
    <s v="Netherlands"/>
    <n v="2016"/>
    <s v="M. Besson, J. Aubin, H. Komen, M. Poelman, E. Quillet, M. Vandeputte, J.A.M. van Arendonk, I.J.M. de Boer"/>
    <s v="Animal Breeding and Genomics Centre, Wageningen University, P.O. Box 338, 6700 AH Wageningen, The Netherlands"/>
    <s v="Peer Reviewed Journal"/>
    <s v="Besson, M., Aubin, J., Komen, H., Poelman, M., Quillet, E., Vandeputte, M., Van Arendonk, J. and De Boer, I., Environmental impacts of genetic improvement of growth rate and feed conversion ratio in fish farming under rearing density and nitrogen output limitations. Journal of Cleaner Production 2016, 116, 100-109."/>
    <s v="Yes"/>
    <s v="No"/>
    <s v="No"/>
    <s v="No"/>
    <s v="No"/>
    <s v="No"/>
    <s v="No"/>
    <s v="No"/>
    <s v="No"/>
    <s v="No"/>
    <s v="No"/>
    <s v="No"/>
    <m/>
    <s v="farm gate"/>
    <s v="No"/>
    <s v="No"/>
    <s v="1 kg live weight"/>
    <s v="/.65"/>
    <n v="32.484923076923081"/>
    <s v=""/>
    <n v="2.247846153846154"/>
    <s v=""/>
    <m/>
    <m/>
    <m/>
    <m/>
    <m/>
    <m/>
    <m/>
    <m/>
    <m/>
    <n v="32.484923076923081"/>
    <m/>
    <m/>
    <m/>
    <m/>
    <m/>
    <m/>
    <m/>
    <m/>
    <m/>
    <m/>
    <m/>
    <m/>
    <n v="2.247846153846154"/>
    <m/>
  </r>
  <r>
    <x v="7"/>
    <x v="141"/>
    <m/>
    <s v="lager, re-used glass"/>
    <m/>
    <s v="Greece"/>
    <n v="2005"/>
    <s v="C. Koroneos, G. Roumbas, Z. Gabari, E. Papagiannidou, N. Moussiopoulos"/>
    <s v="Laboratory of Heat Transfer and Environmental Engineering, P.O. Box 483, Aristotle University Thessaloniki, 54124 Thessaloniki, Greece"/>
    <s v="Peer Reviewed Journal"/>
    <s v="Koroneos, C., Roumbas, G., Gabari, Z., Papagiannidou, E. and Moussiopoulos, N., Life cycle assessment of beer production in Greece. Journal of Cleaner Production 2005, 13 (4), 433-439."/>
    <s v="Yes"/>
    <m/>
    <m/>
    <s v="Yes"/>
    <s v="Yes"/>
    <m/>
    <m/>
    <m/>
    <m/>
    <m/>
    <m/>
    <m/>
    <m/>
    <m/>
    <m/>
    <s v="Yes"/>
    <m/>
    <s v="/1.01 (kg/L)"/>
    <s v=""/>
    <s v=""/>
    <n v="4.4835491241431782E-2"/>
    <n v="0.14945163747143969"/>
    <m/>
    <m/>
    <m/>
    <m/>
    <m/>
    <m/>
    <m/>
    <m/>
    <m/>
    <m/>
    <m/>
    <m/>
    <m/>
    <n v="4.4835491241431782E-2"/>
    <m/>
    <n v="0.10461614623000792"/>
    <n v="0.59780654988575743"/>
    <n v="0"/>
    <m/>
    <m/>
    <m/>
    <m/>
    <n v="4.4835491241431782E-2"/>
    <n v="0.74725818735719707"/>
  </r>
  <r>
    <x v="7"/>
    <x v="141"/>
    <m/>
    <m/>
    <m/>
    <s v="UK"/>
    <n v="2014"/>
    <s v="Adrian G. Williams, Seyoum Mekonen"/>
    <s v="School of Applied Sciences, Cranfield University, Bedford, MK43 0AL, UK"/>
    <s v="Conference Proceedings"/>
    <s v="Williams, A. G. and Mekonen, S., Environmental performance of traditional beer production in a micro-brewery. Proceedings of the 9th International Conference on Life Cycle Assessment in the Agri-Food Sector (LCA Food 2014) 2014, ."/>
    <s v="Yes"/>
    <m/>
    <m/>
    <s v="Yes"/>
    <s v="Yes"/>
    <s v="Yes"/>
    <m/>
    <m/>
    <m/>
    <m/>
    <m/>
    <m/>
    <m/>
    <m/>
    <m/>
    <s v="Yes"/>
    <m/>
    <s v="/1.01 (kg/L)"/>
    <s v=""/>
    <s v=""/>
    <n v="0.11287128712871287"/>
    <n v="0.21927128712871288"/>
    <m/>
    <m/>
    <m/>
    <m/>
    <m/>
    <m/>
    <m/>
    <m/>
    <m/>
    <m/>
    <m/>
    <m/>
    <m/>
    <n v="0.11287128712871287"/>
    <m/>
    <n v="0.10640000000000001"/>
    <n v="7.5247524752475245E-3"/>
    <n v="7.5247524752475245E-2"/>
    <m/>
    <m/>
    <n v="7.5247524752475245E-2"/>
    <m/>
    <n v="0.11287128712871287"/>
    <n v="0.3772910891089109"/>
  </r>
  <r>
    <x v="7"/>
    <x v="141"/>
    <m/>
    <s v="al. can"/>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0.49128712871287128"/>
    <n v="8.0099009900990101E-2"/>
    <m/>
    <m/>
    <n v="5.6435643564356434E-3"/>
    <n v="-0.12039603960396039"/>
    <n v="0.16712871287128714"/>
    <n v="0.68574257425742569"/>
  </r>
  <r>
    <x v="7"/>
    <x v="141"/>
    <m/>
    <s v="keg"/>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3.9702970297029697E-2"/>
    <n v="9.1683168316831681E-2"/>
    <m/>
    <m/>
    <n v="6.0396039603960398E-3"/>
    <n v="-0.12039603960396039"/>
    <n v="0.16712871287128714"/>
    <n v="0.24613861386138614"/>
  </r>
  <r>
    <x v="7"/>
    <x v="141"/>
    <m/>
    <s v="single use glass"/>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0.35128712871287127"/>
    <n v="9.6138613861386141E-2"/>
    <m/>
    <m/>
    <n v="5.7425742574257425E-3"/>
    <n v="-0.12039603960396039"/>
    <n v="0.16712871287128714"/>
    <n v="0.56188118811881183"/>
  </r>
  <r>
    <x v="7"/>
    <x v="141"/>
    <m/>
    <s v="single use glass"/>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0.43891089108910891"/>
    <n v="0.10564356435643564"/>
    <m/>
    <m/>
    <n v="5.7425742574257425E-3"/>
    <n v="-0.12039603960396039"/>
    <n v="0.16712871287128714"/>
    <n v="0.65900990099009904"/>
  </r>
  <r>
    <x v="7"/>
    <x v="141"/>
    <m/>
    <s v="single use glass"/>
    <m/>
    <s v="Italy"/>
    <n v="2016"/>
    <s v="Alessio Cimini, Mauro Moresi"/>
    <s v="Department for Innovation in Biological, Agro-Food, and Forest Systems, University of Tuscia, Via S. C. de Lellis, 01100 Viterbo, Italy"/>
    <s v="Peer Reviewed Journal"/>
    <s v="Cimini, A. and Moresi, M., Carbon footprint of a pale lager packed in different formats: assessment and sensitivity analysis based on transparent data. Journal of Cleaner Production 2016, 112, 4196-4213."/>
    <s v="Yes"/>
    <m/>
    <m/>
    <s v="Yes"/>
    <s v="Yes"/>
    <s v="Yes"/>
    <m/>
    <m/>
    <m/>
    <m/>
    <m/>
    <m/>
    <m/>
    <m/>
    <m/>
    <s v="Yes"/>
    <m/>
    <s v="/1.01 (kg/L)"/>
    <s v=""/>
    <s v=""/>
    <n v="0.16712871287128714"/>
    <n v="0.22910891089108912"/>
    <m/>
    <m/>
    <m/>
    <m/>
    <m/>
    <m/>
    <m/>
    <m/>
    <m/>
    <m/>
    <m/>
    <m/>
    <m/>
    <n v="0.16712871287128714"/>
    <m/>
    <n v="6.198019801980198E-2"/>
    <n v="0.4998019801980198"/>
    <n v="0.12247524752475247"/>
    <m/>
    <m/>
    <n v="5.7425742574257425E-3"/>
    <n v="-0.12039603960396039"/>
    <n v="0.16712871287128714"/>
    <n v="0.73673267326732672"/>
  </r>
  <r>
    <x v="7"/>
    <x v="141"/>
    <m/>
    <s v="Barley lager, al. can"/>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5.6336633663366338E-2"/>
    <n v="6.5386138613861389E-2"/>
    <m/>
    <m/>
    <m/>
    <m/>
    <m/>
    <m/>
    <m/>
    <m/>
    <m/>
    <m/>
    <m/>
    <m/>
    <m/>
    <n v="5.6336633663366338E-2"/>
    <m/>
    <n v="9.0495049504950506E-3"/>
    <n v="0.36673267326732673"/>
    <n v="5.0495049504950497E-3"/>
    <m/>
    <m/>
    <m/>
    <m/>
    <n v="5.6336633663366338E-2"/>
    <n v="0.43716831683168317"/>
  </r>
  <r>
    <x v="7"/>
    <x v="141"/>
    <m/>
    <s v="Barley lager, keg"/>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5.6336633663366338E-2"/>
    <n v="6.5386138613861389E-2"/>
    <m/>
    <m/>
    <m/>
    <m/>
    <m/>
    <m/>
    <m/>
    <m/>
    <m/>
    <m/>
    <m/>
    <m/>
    <m/>
    <n v="5.6336633663366338E-2"/>
    <m/>
    <n v="9.0495049504950506E-3"/>
    <n v="2.0792079207920793E-2"/>
    <n v="5.0495049504950497E-3"/>
    <m/>
    <m/>
    <m/>
    <m/>
    <n v="5.6336633663366338E-2"/>
    <n v="9.1227722772277239E-2"/>
  </r>
  <r>
    <x v="7"/>
    <x v="141"/>
    <m/>
    <s v="Barley lager, re-used glass"/>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5.6336633663366338E-2"/>
    <n v="6.5386138613861389E-2"/>
    <m/>
    <m/>
    <m/>
    <m/>
    <m/>
    <m/>
    <m/>
    <m/>
    <m/>
    <m/>
    <m/>
    <m/>
    <m/>
    <n v="5.6336633663366338E-2"/>
    <m/>
    <n v="9.0495049504950506E-3"/>
    <n v="0.08"/>
    <n v="5.0495049504950497E-3"/>
    <m/>
    <m/>
    <m/>
    <m/>
    <n v="5.6336633663366338E-2"/>
    <n v="0.15043564356435646"/>
  </r>
  <r>
    <x v="7"/>
    <x v="141"/>
    <m/>
    <s v="Barley&amp;rice lager, al, can"/>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7.0594059405940601E-2"/>
    <n v="7.9643564356435659E-2"/>
    <m/>
    <m/>
    <m/>
    <m/>
    <m/>
    <m/>
    <m/>
    <m/>
    <m/>
    <m/>
    <m/>
    <m/>
    <m/>
    <n v="7.0594059405940601E-2"/>
    <m/>
    <n v="9.0495049504950506E-3"/>
    <n v="0.36673267326732673"/>
    <n v="5.0495049504950497E-3"/>
    <m/>
    <m/>
    <m/>
    <m/>
    <n v="7.0594059405940601E-2"/>
    <n v="0.45142574257425744"/>
  </r>
  <r>
    <x v="7"/>
    <x v="141"/>
    <m/>
    <s v="Barley&amp;rice lager,keg"/>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7.0594059405940601E-2"/>
    <n v="7.9643564356435659E-2"/>
    <m/>
    <m/>
    <m/>
    <m/>
    <m/>
    <m/>
    <m/>
    <m/>
    <m/>
    <m/>
    <m/>
    <m/>
    <m/>
    <n v="7.0594059405940601E-2"/>
    <m/>
    <n v="9.0495049504950506E-3"/>
    <n v="2.0792079207920793E-2"/>
    <n v="5.0495049504950497E-3"/>
    <m/>
    <m/>
    <m/>
    <m/>
    <n v="7.0594059405940601E-2"/>
    <n v="0.10548514851485151"/>
  </r>
  <r>
    <x v="7"/>
    <x v="141"/>
    <m/>
    <s v="Barley&amp;rice lager,re-used glass"/>
    <m/>
    <s v="Thailand"/>
    <n v="2014"/>
    <s v="Eden Sipperly, Karlton Edinger, Nathan Ziegler, Emily Roberts  "/>
    <s v="King Mongkut’s University of Technology Thonburi 126 Pracha Uthit Rd, Bangkok, Thung"/>
    <s v="NGO Report"/>
    <s v="Sipperly E, Edinger K, Ziegler N, Roberts E. Comparative Cradle to Gate Life Cycle Assessment of 100% Barley-based Singha Lager Beer in Thailand: University of North Carolina Institute for the Environment; 2014."/>
    <s v="Yes"/>
    <m/>
    <m/>
    <s v="Yes"/>
    <s v="Yes"/>
    <s v="Yes"/>
    <m/>
    <m/>
    <m/>
    <m/>
    <m/>
    <m/>
    <m/>
    <m/>
    <m/>
    <s v="No"/>
    <m/>
    <s v="/1.01 (kg/L)"/>
    <s v=""/>
    <s v=""/>
    <n v="7.0594059405940601E-2"/>
    <n v="7.9643564356435659E-2"/>
    <m/>
    <m/>
    <m/>
    <m/>
    <m/>
    <m/>
    <m/>
    <m/>
    <m/>
    <m/>
    <m/>
    <m/>
    <m/>
    <n v="7.0594059405940601E-2"/>
    <m/>
    <n v="9.0495049504950506E-3"/>
    <n v="0.08"/>
    <n v="5.0495049504950497E-3"/>
    <m/>
    <m/>
    <m/>
    <m/>
    <n v="7.0594059405940601E-2"/>
    <n v="0.16469306930693073"/>
  </r>
  <r>
    <x v="1"/>
    <x v="23"/>
    <m/>
    <m/>
    <m/>
    <s v="UK"/>
    <n v="2009"/>
    <s v="Celia Kingston, Jonna Meyhoff Fry and Simon Aumonier"/>
    <s v="Environmental Resources Management Limited (ERM)"/>
    <s v="NGO Report"/>
    <s v="Kingston, C., Meyhoff Fry, J. and Aumonier, S., Scoping life cycle assessment of pork production. 2009, ."/>
    <s v="Yes"/>
    <s v="No"/>
    <s v="No"/>
    <s v="Yes"/>
    <s v="Yes"/>
    <s v="Yes"/>
    <s v="Yes"/>
    <s v="No"/>
    <s v="Yes"/>
    <s v="No"/>
    <s v="No"/>
    <s v="No"/>
    <m/>
    <s v="slaughter gate"/>
    <m/>
    <m/>
    <s v="kg carcass weight"/>
    <s v="/0.75"/>
    <s v=""/>
    <s v=""/>
    <n v="6.22"/>
    <n v="6.5811999999999999"/>
    <m/>
    <m/>
    <m/>
    <m/>
    <m/>
    <m/>
    <m/>
    <m/>
    <m/>
    <m/>
    <m/>
    <m/>
    <m/>
    <n v="6.22"/>
    <m/>
    <n v="0.36120000000000002"/>
    <n v="0.17199999999999999"/>
    <n v="8.5999999999999993E-2"/>
    <n v="1.72E-2"/>
    <n v="1.8059999999999998"/>
    <n v="2.58E-2"/>
    <m/>
    <n v="6.22"/>
    <n v="8.6882000000000001"/>
  </r>
  <r>
    <x v="1"/>
    <x v="23"/>
    <m/>
    <m/>
    <m/>
    <s v="Flemish"/>
    <n v="2012"/>
    <s v="L. Devers, T.E. Kleynhans and E. Mathijs"/>
    <s v="Tropical Natural Resources Management of the Katholieke Universiteit, Leuven, Belgium"/>
    <s v="Peer Reviewed Journal"/>
    <s v="Devers, L., Kleynhans, T. and Mathijs, E., Comparative life cycle assessment of Flemish and Western Cape pork production. Agrekon 2012, 51 (4), 105-128."/>
    <s v="Yes"/>
    <m/>
    <s v="No"/>
    <s v="Yes"/>
    <m/>
    <m/>
    <m/>
    <m/>
    <m/>
    <m/>
    <m/>
    <m/>
    <m/>
    <m/>
    <m/>
    <m/>
    <m/>
    <m/>
    <s v=""/>
    <s v=""/>
    <n v="3.3489333333333331"/>
    <n v="3.3956"/>
    <m/>
    <m/>
    <m/>
    <m/>
    <m/>
    <m/>
    <m/>
    <m/>
    <m/>
    <m/>
    <m/>
    <m/>
    <m/>
    <n v="3.3489333333333331"/>
    <m/>
    <n v="4.6666666666666669E-2"/>
    <m/>
    <m/>
    <m/>
    <m/>
    <m/>
    <m/>
    <n v="3.3489333333333331"/>
    <n v="3.3956"/>
  </r>
  <r>
    <x v="1"/>
    <x v="23"/>
    <m/>
    <m/>
    <m/>
    <s v="Western cape"/>
    <n v="2012"/>
    <s v="L. Devers, T.E. Kleynhans and E. Mathijs"/>
    <s v="Tropical Natural Resources Management of the Katholieke Universiteit, Leuven, Belgium"/>
    <s v="Peer Reviewed Journal"/>
    <s v="Devers, L., Kleynhans, T. and Mathijs, E., Comparative life cycle assessment of Flemish and Western Cape pork production. Agrekon 2012, 51 (4), 105-128."/>
    <s v="Yes"/>
    <m/>
    <s v="No"/>
    <s v="Yes"/>
    <m/>
    <s v="Yes"/>
    <m/>
    <m/>
    <m/>
    <m/>
    <m/>
    <m/>
    <m/>
    <m/>
    <m/>
    <m/>
    <m/>
    <m/>
    <s v=""/>
    <s v=""/>
    <n v="5.0305333333333335"/>
    <n v="5.7812000000000001"/>
    <m/>
    <m/>
    <m/>
    <m/>
    <m/>
    <m/>
    <m/>
    <m/>
    <m/>
    <m/>
    <m/>
    <m/>
    <m/>
    <n v="5.0305333333333335"/>
    <m/>
    <n v="0.75066666666666659"/>
    <m/>
    <n v="0.22439999999999999"/>
    <m/>
    <m/>
    <m/>
    <m/>
    <n v="5.0305333333333335"/>
    <n v="6.0056000000000003"/>
  </r>
  <r>
    <x v="1"/>
    <x v="23"/>
    <m/>
    <m/>
    <m/>
    <s v="Austria"/>
    <n v="2016"/>
    <s v="Thomas Winkler, Kerstin Schopf, Ralf Aschemann, Wilfried Winiwarter"/>
    <s v="University of Graz, Institute of Systems Sciences, Innovation and Sustainability Research, Merangasse 18, 8010 Graz, Austria"/>
    <s v="Peer Reviewed Journal"/>
    <s v="Winkler, T., Schopf, K., Aschemann, R. and Winiwarter, W., From farm to fork – A life cycle assessment of fresh Austrian pork. Journal of Cleaner Production 2016, ."/>
    <s v="Yes"/>
    <m/>
    <m/>
    <s v="Yes"/>
    <m/>
    <s v="Yes"/>
    <s v="Yes"/>
    <m/>
    <s v="Yes"/>
    <m/>
    <m/>
    <m/>
    <m/>
    <m/>
    <m/>
    <m/>
    <m/>
    <m/>
    <s v=""/>
    <s v=""/>
    <n v="5.8533333333333335"/>
    <n v="6.0426666666666664"/>
    <m/>
    <m/>
    <m/>
    <m/>
    <m/>
    <m/>
    <m/>
    <m/>
    <m/>
    <m/>
    <m/>
    <m/>
    <m/>
    <n v="5.8533333333333335"/>
    <m/>
    <n v="0.1893333333333333"/>
    <m/>
    <n v="0.224"/>
    <n v="1.0666666666666666E-2"/>
    <n v="6.6666666666666666E-2"/>
    <m/>
    <m/>
    <n v="5.8533333333333335"/>
    <n v="6.3439999999999994"/>
  </r>
  <r>
    <x v="1"/>
    <x v="23"/>
    <m/>
    <s v="Netherlands, conv"/>
    <m/>
    <s v="NL"/>
    <n v="2010"/>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3.4978318104382846"/>
    <n v="3.5322131020597807"/>
    <m/>
    <m/>
    <m/>
    <m/>
    <m/>
    <m/>
    <m/>
    <m/>
    <m/>
    <m/>
    <m/>
    <m/>
    <m/>
    <n v="3.4978318104382846"/>
    <m/>
    <n v="3.4381291621496057E-2"/>
    <m/>
    <m/>
    <m/>
    <m/>
    <m/>
    <m/>
    <n v="3.4978318104382846"/>
    <n v="3.5322131020597807"/>
  </r>
  <r>
    <x v="1"/>
    <x v="23"/>
    <m/>
    <s v="Netherlands, org"/>
    <m/>
    <s v="NL"/>
    <n v="2011"/>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4.2667647514325546"/>
    <n v="4.3011460430540502"/>
    <m/>
    <m/>
    <m/>
    <m/>
    <m/>
    <m/>
    <m/>
    <m/>
    <m/>
    <m/>
    <m/>
    <m/>
    <m/>
    <n v="4.2667647514325546"/>
    <m/>
    <n v="3.4381291621496057E-2"/>
    <m/>
    <m/>
    <m/>
    <m/>
    <m/>
    <m/>
    <n v="4.2667647514325546"/>
    <n v="4.3011460430540502"/>
  </r>
  <r>
    <x v="1"/>
    <x v="23"/>
    <m/>
    <s v="England, conv"/>
    <m/>
    <s v="UK"/>
    <n v="2012"/>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3.4708843115998147"/>
    <n v="3.5052656032213108"/>
    <m/>
    <m/>
    <m/>
    <m/>
    <m/>
    <m/>
    <m/>
    <m/>
    <m/>
    <m/>
    <m/>
    <m/>
    <m/>
    <n v="3.4708843115998147"/>
    <m/>
    <n v="3.4381291621496057E-2"/>
    <m/>
    <m/>
    <m/>
    <m/>
    <m/>
    <m/>
    <n v="3.4708843115998147"/>
    <n v="3.5052656032213108"/>
  </r>
  <r>
    <x v="1"/>
    <x v="23"/>
    <m/>
    <s v="England, org"/>
    <m/>
    <s v="UK"/>
    <n v="2013"/>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4.3380827009447112"/>
    <n v="4.3724639925662068"/>
    <m/>
    <m/>
    <m/>
    <m/>
    <m/>
    <m/>
    <m/>
    <m/>
    <m/>
    <m/>
    <m/>
    <m/>
    <m/>
    <n v="4.3380827009447112"/>
    <m/>
    <n v="3.4381291621496057E-2"/>
    <m/>
    <m/>
    <m/>
    <m/>
    <m/>
    <m/>
    <n v="4.3380827009447112"/>
    <n v="4.3724639925662068"/>
  </r>
  <r>
    <x v="1"/>
    <x v="23"/>
    <m/>
    <s v="Germany, conv"/>
    <m/>
    <s v="DE"/>
    <n v="2014"/>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3.6697382685457649"/>
    <n v="3.704119560167261"/>
    <m/>
    <m/>
    <m/>
    <m/>
    <m/>
    <m/>
    <m/>
    <m/>
    <m/>
    <m/>
    <m/>
    <m/>
    <m/>
    <n v="3.6697382685457649"/>
    <m/>
    <n v="3.4381291621496057E-2"/>
    <m/>
    <m/>
    <m/>
    <m/>
    <m/>
    <m/>
    <n v="3.6697382685457649"/>
    <n v="3.704119560167261"/>
  </r>
  <r>
    <x v="1"/>
    <x v="23"/>
    <m/>
    <s v="Germany, org"/>
    <m/>
    <s v="DE"/>
    <n v="2015"/>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5.019436270713955"/>
    <n v="5.0538175623354515"/>
    <m/>
    <m/>
    <m/>
    <m/>
    <m/>
    <m/>
    <m/>
    <m/>
    <m/>
    <m/>
    <m/>
    <m/>
    <m/>
    <n v="5.019436270713955"/>
    <m/>
    <n v="3.4381291621496057E-2"/>
    <m/>
    <m/>
    <m/>
    <m/>
    <m/>
    <m/>
    <n v="5.019436270713955"/>
    <n v="5.0538175623354515"/>
  </r>
  <r>
    <x v="1"/>
    <x v="23"/>
    <m/>
    <s v="Denmark, conv"/>
    <m/>
    <s v="DK"/>
    <n v="2016"/>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3.4574105621805797"/>
    <n v="3.4917918538020758"/>
    <m/>
    <m/>
    <m/>
    <m/>
    <m/>
    <m/>
    <m/>
    <m/>
    <m/>
    <m/>
    <m/>
    <m/>
    <m/>
    <n v="3.4574105621805797"/>
    <m/>
    <n v="3.4381291621496057E-2"/>
    <m/>
    <m/>
    <m/>
    <m/>
    <m/>
    <m/>
    <n v="3.4574105621805797"/>
    <n v="3.4917918538020758"/>
  </r>
  <r>
    <x v="1"/>
    <x v="23"/>
    <m/>
    <s v="Denmark, org"/>
    <m/>
    <s v="DK"/>
    <n v="2017"/>
    <s v="Kool, A.; Blonk, H.; Ponsioen, T.; Sukkel, W.; Vermeer, H.; de Vries, J.; Hoste, R"/>
    <s v="Blonk Milieu Advies "/>
    <s v="Industry Based Report"/>
    <s v="Kool A, Blonk H, Ponsioen T, Sukkel W, Vermeer H, de Vries J, et al. Carbon footprints of conventional and organic pork: assessments of typical production systems in the Netherlands, Denmark, England and Germany: Blonk Milieu Advies 2009."/>
    <s v="Yes"/>
    <m/>
    <m/>
    <s v="Yes"/>
    <m/>
    <m/>
    <m/>
    <m/>
    <m/>
    <m/>
    <m/>
    <m/>
    <m/>
    <m/>
    <m/>
    <m/>
    <m/>
    <m/>
    <s v=""/>
    <s v=""/>
    <n v="4.0116927365649691"/>
    <n v="4.0460740281864656"/>
    <m/>
    <m/>
    <m/>
    <m/>
    <m/>
    <m/>
    <m/>
    <m/>
    <m/>
    <m/>
    <m/>
    <m/>
    <m/>
    <n v="4.0116927365649691"/>
    <m/>
    <n v="3.4381291621496057E-2"/>
    <m/>
    <m/>
    <m/>
    <m/>
    <m/>
    <m/>
    <n v="4.0116927365649691"/>
    <n v="4.0460740281864656"/>
  </r>
  <r>
    <x v="1"/>
    <x v="23"/>
    <m/>
    <m/>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m/>
    <m/>
    <m/>
    <m/>
    <m/>
    <m/>
    <m/>
    <m/>
    <m/>
    <m/>
    <m/>
    <m/>
    <m/>
    <m/>
    <m/>
    <m/>
    <m/>
    <s v=""/>
    <s v=""/>
    <n v="4.6899999999999995"/>
    <s v=""/>
    <m/>
    <m/>
    <m/>
    <m/>
    <m/>
    <m/>
    <m/>
    <m/>
    <m/>
    <m/>
    <m/>
    <m/>
    <m/>
    <n v="4.6899999999999995"/>
    <m/>
    <m/>
    <m/>
    <m/>
    <m/>
    <m/>
    <m/>
    <m/>
    <n v="4.6899999999999995"/>
    <m/>
  </r>
  <r>
    <x v="3"/>
    <x v="19"/>
    <m/>
    <s v="open field"/>
    <m/>
    <s v="US"/>
    <n v="2012"/>
    <s v="Curtis D. Jones, Clyde W. Fraisse, Monica Ozores-Hampton"/>
    <s v="Department of Agricultural and Biological Engineering, University of Florida, P.O. Box 110570, Gainesville, FL 32611, USA"/>
    <s v="Peer Reviewed Journal"/>
    <s v="Jones, C. D., Fraisse, C. W. and Ozores-Hampton, M., Quantification of greenhouse gas emissions from open field-grown Florida tomato production. Agricultural Systems 2012, 113, 64-72."/>
    <s v="Yes"/>
    <m/>
    <m/>
    <m/>
    <m/>
    <m/>
    <m/>
    <m/>
    <m/>
    <m/>
    <m/>
    <m/>
    <m/>
    <m/>
    <m/>
    <m/>
    <m/>
    <m/>
    <s v=""/>
    <s v=""/>
    <n v="0.2076904761904762"/>
    <s v=""/>
    <m/>
    <m/>
    <m/>
    <m/>
    <m/>
    <m/>
    <m/>
    <m/>
    <m/>
    <m/>
    <m/>
    <m/>
    <m/>
    <n v="0.2076904761904762"/>
    <m/>
    <m/>
    <m/>
    <m/>
    <m/>
    <m/>
    <m/>
    <m/>
    <n v="0.2076904761904762"/>
    <m/>
  </r>
  <r>
    <x v="3"/>
    <x v="19"/>
    <m/>
    <s v="open field"/>
    <m/>
    <s v="US"/>
    <n v="2012"/>
    <s v="Curtis D. Jones, Clyde W. Fraisse, Monica Ozores-Hampton"/>
    <s v="Department of Agricultural and Biological Engineering, University of Florida, P.O. Box 110570, Gainesville, FL 32611, USA"/>
    <s v="Peer Reviewed Journal"/>
    <s v="Jones, C. D., Fraisse, C. W. and Ozores-Hampton, M., Quantification of greenhouse gas emissions from open field-grown Florida tomato production. Agricultural Systems 2012, 113, 64-72."/>
    <s v="Yes"/>
    <m/>
    <m/>
    <m/>
    <m/>
    <m/>
    <m/>
    <m/>
    <m/>
    <m/>
    <m/>
    <m/>
    <m/>
    <m/>
    <m/>
    <m/>
    <m/>
    <m/>
    <s v=""/>
    <s v=""/>
    <n v="0.26697619047619048"/>
    <s v=""/>
    <m/>
    <m/>
    <m/>
    <m/>
    <m/>
    <m/>
    <m/>
    <m/>
    <m/>
    <m/>
    <m/>
    <m/>
    <m/>
    <n v="0.26697619047619048"/>
    <m/>
    <m/>
    <m/>
    <m/>
    <m/>
    <m/>
    <m/>
    <m/>
    <n v="0.26697619047619048"/>
    <m/>
  </r>
  <r>
    <x v="3"/>
    <x v="19"/>
    <m/>
    <s v="open field"/>
    <m/>
    <s v="US"/>
    <n v="2012"/>
    <s v="Curtis D. Jones, Clyde W. Fraisse, Monica Ozores-Hampton"/>
    <s v="Department of Agricultural and Biological Engineering, University of Florida, P.O. Box 110570, Gainesville, FL 32611, USA"/>
    <s v="Peer Reviewed Journal"/>
    <s v="Jones, C. D., Fraisse, C. W. and Ozores-Hampton, M., Quantification of greenhouse gas emissions from open field-grown Florida tomato production. Agricultural Systems 2012, 113, 64-72."/>
    <s v="Yes"/>
    <m/>
    <m/>
    <m/>
    <m/>
    <m/>
    <m/>
    <m/>
    <m/>
    <m/>
    <m/>
    <m/>
    <m/>
    <m/>
    <m/>
    <m/>
    <m/>
    <m/>
    <s v=""/>
    <s v=""/>
    <n v="0.19265476190476191"/>
    <s v=""/>
    <m/>
    <m/>
    <m/>
    <m/>
    <m/>
    <m/>
    <m/>
    <m/>
    <m/>
    <m/>
    <m/>
    <m/>
    <m/>
    <n v="0.19265476190476191"/>
    <m/>
    <m/>
    <m/>
    <m/>
    <m/>
    <m/>
    <m/>
    <m/>
    <n v="0.19265476190476191"/>
    <m/>
  </r>
  <r>
    <x v="3"/>
    <x v="19"/>
    <m/>
    <s v="open field"/>
    <m/>
    <s v="US"/>
    <n v="2012"/>
    <s v="Curtis D. Jones, Clyde W. Fraisse, Monica Ozores-Hampton"/>
    <s v="Department of Agricultural and Biological Engineering, University of Florida, P.O. Box 110570, Gainesville, FL 32611, USA"/>
    <s v="Peer Reviewed Journal"/>
    <s v="Jones, C. D., Fraisse, C. W. and Ozores-Hampton, M., Quantification of greenhouse gas emissions from open field-grown Florida tomato production. Agricultural Systems 2012, 113, 64-72."/>
    <s v="Yes"/>
    <m/>
    <m/>
    <m/>
    <m/>
    <m/>
    <m/>
    <m/>
    <m/>
    <m/>
    <m/>
    <m/>
    <m/>
    <m/>
    <m/>
    <m/>
    <m/>
    <m/>
    <s v=""/>
    <s v=""/>
    <n v="0.21939285714285714"/>
    <s v=""/>
    <m/>
    <m/>
    <m/>
    <m/>
    <m/>
    <m/>
    <m/>
    <m/>
    <m/>
    <m/>
    <m/>
    <m/>
    <m/>
    <n v="0.21939285714285714"/>
    <m/>
    <m/>
    <m/>
    <m/>
    <m/>
    <m/>
    <m/>
    <m/>
    <n v="0.21939285714285714"/>
    <m/>
  </r>
  <r>
    <x v="3"/>
    <x v="18"/>
    <m/>
    <m/>
    <m/>
    <s v="Australia"/>
    <n v="2012"/>
    <s v="Page, G.; Ridoutt, B.; Bellotti, B.,"/>
    <s v="University of Western Sydney, School of Science and Health, Locked Bag 1797, Penrith, NSW 2751, Australia"/>
    <s v="Peer Reviewed Journal"/>
    <s v="Page, G., Ridoutt, B. and Bellotti, B., Carbon and water footprint tradeoffs in fresh tomato production. Journal of Cleaner Production 2012, 32, 219-226."/>
    <m/>
    <m/>
    <m/>
    <m/>
    <m/>
    <m/>
    <m/>
    <m/>
    <m/>
    <m/>
    <m/>
    <m/>
    <m/>
    <m/>
    <m/>
    <m/>
    <m/>
    <m/>
    <s v=""/>
    <s v=""/>
    <n v="0.43"/>
    <s v=""/>
    <m/>
    <m/>
    <m/>
    <m/>
    <m/>
    <m/>
    <m/>
    <m/>
    <m/>
    <m/>
    <m/>
    <m/>
    <m/>
    <n v="0.43"/>
    <m/>
    <m/>
    <m/>
    <n v="0.44"/>
    <m/>
    <n v="0.3"/>
    <m/>
    <m/>
    <n v="0.43"/>
    <n v="1.17"/>
  </r>
  <r>
    <x v="3"/>
    <x v="18"/>
    <m/>
    <m/>
    <m/>
    <s v="Australia"/>
    <n v="2012"/>
    <s v="Page, G.; Ridoutt, B.; Bellotti, B.,"/>
    <s v="University of Western Sydney, School of Science and Health, Locked Bag 1797, Penrith, NSW 2751, Australia"/>
    <s v="Peer Reviewed Journal"/>
    <s v="Page, G., Ridoutt, B. and Bellotti, B., Carbon and water footprint tradeoffs in fresh tomato production. Journal of Cleaner Production 2012, 32, 219-226."/>
    <m/>
    <m/>
    <m/>
    <m/>
    <m/>
    <m/>
    <m/>
    <m/>
    <m/>
    <m/>
    <m/>
    <m/>
    <m/>
    <m/>
    <m/>
    <m/>
    <m/>
    <m/>
    <s v=""/>
    <s v=""/>
    <n v="1.71"/>
    <s v=""/>
    <m/>
    <m/>
    <m/>
    <m/>
    <m/>
    <m/>
    <m/>
    <m/>
    <m/>
    <m/>
    <m/>
    <m/>
    <m/>
    <n v="1.71"/>
    <m/>
    <m/>
    <m/>
    <n v="0.01"/>
    <m/>
    <n v="0.30999999999999983"/>
    <m/>
    <m/>
    <n v="1.71"/>
    <n v="2.0299999999999998"/>
  </r>
  <r>
    <x v="3"/>
    <x v="18"/>
    <m/>
    <m/>
    <m/>
    <s v="Australia"/>
    <n v="2012"/>
    <s v="Page, G.; Ridoutt, B.; Bellotti, B.,"/>
    <s v="University of Western Sydney, School of Science and Health, Locked Bag 1797, Penrith, NSW 2751, Australia"/>
    <s v="Peer Reviewed Journal"/>
    <s v="Page, G., Ridoutt, B. and Bellotti, B., Carbon and water footprint tradeoffs in fresh tomato production. Journal of Cleaner Production 2012, 32, 219-226."/>
    <m/>
    <m/>
    <m/>
    <m/>
    <m/>
    <m/>
    <m/>
    <m/>
    <m/>
    <m/>
    <m/>
    <m/>
    <m/>
    <m/>
    <m/>
    <m/>
    <m/>
    <m/>
    <s v=""/>
    <s v=""/>
    <n v="1.86"/>
    <s v=""/>
    <m/>
    <m/>
    <m/>
    <m/>
    <m/>
    <m/>
    <m/>
    <m/>
    <m/>
    <m/>
    <m/>
    <m/>
    <m/>
    <n v="1.86"/>
    <m/>
    <m/>
    <m/>
    <n v="1.97"/>
    <m/>
    <n v="0.30999999999999983"/>
    <m/>
    <m/>
    <n v="1.86"/>
    <n v="4.1399999999999997"/>
  </r>
  <r>
    <x v="3"/>
    <x v="19"/>
    <m/>
    <s v="open field"/>
    <m/>
    <s v="Australia"/>
    <n v="2012"/>
    <s v="Page, G.; Ridoutt, B.; Bellotti, B.,"/>
    <s v="University of Western Sydney, School of Science and Health, Locked Bag 1797, Penrith, NSW 2751, Australia"/>
    <s v="Peer Reviewed Journal"/>
    <s v="Page, G., Ridoutt, B. and Bellotti, B., Carbon and water footprint tradeoffs in fresh tomato production. Journal of Cleaner Production 2012, 32, 219-226."/>
    <m/>
    <m/>
    <m/>
    <m/>
    <m/>
    <m/>
    <m/>
    <m/>
    <m/>
    <m/>
    <m/>
    <m/>
    <m/>
    <m/>
    <m/>
    <m/>
    <m/>
    <m/>
    <s v=""/>
    <s v=""/>
    <n v="0.3"/>
    <s v=""/>
    <m/>
    <m/>
    <m/>
    <m/>
    <m/>
    <m/>
    <m/>
    <m/>
    <m/>
    <m/>
    <m/>
    <m/>
    <m/>
    <n v="0.3"/>
    <m/>
    <m/>
    <m/>
    <n v="0.36000000000000004"/>
    <m/>
    <n v="0.30999999999999994"/>
    <m/>
    <m/>
    <n v="0.3"/>
    <n v="0.97"/>
  </r>
  <r>
    <x v="3"/>
    <x v="18"/>
    <m/>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m/>
    <m/>
    <m/>
    <m/>
    <m/>
    <m/>
    <m/>
    <m/>
    <m/>
    <m/>
    <m/>
    <m/>
    <m/>
    <m/>
    <m/>
    <m/>
    <m/>
    <m/>
    <s v=""/>
    <s v=""/>
    <n v="2.1"/>
    <s v=""/>
    <m/>
    <m/>
    <m/>
    <m/>
    <m/>
    <m/>
    <m/>
    <m/>
    <m/>
    <m/>
    <m/>
    <m/>
    <m/>
    <n v="2.1"/>
    <m/>
    <m/>
    <m/>
    <n v="0.1"/>
    <m/>
    <m/>
    <m/>
    <m/>
    <n v="2.1"/>
    <m/>
  </r>
  <r>
    <x v="3"/>
    <x v="19"/>
    <m/>
    <s v="protected"/>
    <m/>
    <s v="Spain"/>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m/>
    <m/>
    <m/>
    <m/>
    <m/>
    <m/>
    <m/>
    <m/>
    <m/>
    <m/>
    <m/>
    <m/>
    <m/>
    <m/>
    <m/>
    <m/>
    <m/>
    <m/>
    <s v=""/>
    <s v=""/>
    <n v="0.3"/>
    <s v=""/>
    <m/>
    <m/>
    <m/>
    <m/>
    <m/>
    <m/>
    <m/>
    <m/>
    <m/>
    <m/>
    <m/>
    <m/>
    <m/>
    <n v="0.3"/>
    <m/>
    <m/>
    <m/>
    <n v="0.3"/>
    <m/>
    <m/>
    <m/>
    <m/>
    <n v="0.3"/>
    <n v="0.6"/>
  </r>
  <r>
    <x v="3"/>
    <x v="19"/>
    <m/>
    <s v="protected"/>
    <m/>
    <s v="Spain"/>
    <n v="2012"/>
    <s v="Torrellas, M.; Antón, A.; López, J. C.; Baeza, E. J.; Parra, J. P.; Muñoz, P.; Montero, J. I"/>
    <s v="IRTA (Research and Technology Food and Agriculture), Ctra. de Cabrils, km 2, 08348 Cabrils Barcelona, Spain"/>
    <s v="Peer Reviewed Journal"/>
    <s v="Torrellas, M., Antón, A., López, J. C., Baeza, E. J., Parra, J. P., Muñoz, P. and Montero, J. I., LCA of a tomato crop in a multi-tunnel greenhouse in Almeria. The International Journal of Life Cycle Assessment 2012, 17 (7), 863-875."/>
    <m/>
    <m/>
    <m/>
    <m/>
    <m/>
    <m/>
    <m/>
    <m/>
    <m/>
    <m/>
    <m/>
    <m/>
    <m/>
    <m/>
    <m/>
    <m/>
    <m/>
    <m/>
    <s v=""/>
    <s v=""/>
    <n v="0.25"/>
    <s v=""/>
    <m/>
    <m/>
    <m/>
    <m/>
    <m/>
    <m/>
    <m/>
    <m/>
    <m/>
    <m/>
    <m/>
    <m/>
    <m/>
    <n v="0.25"/>
    <m/>
    <m/>
    <m/>
    <m/>
    <m/>
    <m/>
    <m/>
    <m/>
    <n v="0.25"/>
    <m/>
  </r>
  <r>
    <x v="3"/>
    <x v="19"/>
    <m/>
    <s v="protected"/>
    <m/>
    <s v="Morocco"/>
    <n v="2015"/>
    <s v="Payen, S.; Basset-Mens, C.; Perret, S.,"/>
    <s v="ADEME, (Agence de l'Environnement et de la Maîtrise de l'Energie), 20 avenue du Gr_x0001_esill_x0001_e e BP 90406, 49004 Angers, France"/>
    <s v="Peer Reviewed Journal"/>
    <s v="Payen, S., Basset-Mens, C. and Perret, S., LCA of local and imported tomato: an energy and water trade-off. Journal of Cleaner Production 2015, 87, 139-148."/>
    <m/>
    <m/>
    <m/>
    <m/>
    <m/>
    <m/>
    <m/>
    <m/>
    <m/>
    <m/>
    <m/>
    <m/>
    <m/>
    <m/>
    <m/>
    <m/>
    <m/>
    <m/>
    <s v=""/>
    <s v=""/>
    <n v="0.21500000000000002"/>
    <s v=""/>
    <m/>
    <m/>
    <m/>
    <m/>
    <m/>
    <m/>
    <m/>
    <m/>
    <m/>
    <m/>
    <m/>
    <m/>
    <m/>
    <n v="0.21500000000000002"/>
    <m/>
    <m/>
    <n v="9.0999999999999998E-2"/>
    <n v="0.24"/>
    <m/>
    <m/>
    <m/>
    <m/>
    <n v="0.21500000000000002"/>
    <n v="0.54600000000000004"/>
  </r>
  <r>
    <x v="3"/>
    <x v="18"/>
    <m/>
    <s v="Fresh Vine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0699999999999998"/>
    <s v=""/>
    <m/>
    <m/>
    <m/>
    <m/>
    <m/>
    <m/>
    <m/>
    <m/>
    <m/>
    <m/>
    <m/>
    <m/>
    <m/>
    <n v="2.0699999999999998"/>
    <m/>
    <m/>
    <m/>
    <m/>
    <m/>
    <m/>
    <m/>
    <m/>
    <n v="2.0699999999999998"/>
    <m/>
  </r>
  <r>
    <x v="3"/>
    <x v="18"/>
    <m/>
    <s v="Fresh Bulk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1.81"/>
    <s v=""/>
    <m/>
    <m/>
    <m/>
    <m/>
    <m/>
    <m/>
    <m/>
    <m/>
    <m/>
    <m/>
    <m/>
    <m/>
    <m/>
    <n v="1.81"/>
    <m/>
    <m/>
    <m/>
    <m/>
    <m/>
    <m/>
    <m/>
    <m/>
    <n v="1.81"/>
    <m/>
  </r>
  <r>
    <x v="3"/>
    <x v="18"/>
    <m/>
    <s v="Fresh Vine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1"/>
    <s v=""/>
    <m/>
    <m/>
    <m/>
    <m/>
    <m/>
    <m/>
    <m/>
    <m/>
    <m/>
    <m/>
    <m/>
    <m/>
    <m/>
    <n v="2.1"/>
    <m/>
    <m/>
    <m/>
    <m/>
    <m/>
    <m/>
    <m/>
    <m/>
    <n v="2.1"/>
    <m/>
  </r>
  <r>
    <x v="3"/>
    <x v="18"/>
    <m/>
    <s v="Fresh Bulk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06"/>
    <s v=""/>
    <m/>
    <m/>
    <m/>
    <m/>
    <m/>
    <m/>
    <m/>
    <m/>
    <m/>
    <m/>
    <m/>
    <m/>
    <m/>
    <n v="2.06"/>
    <m/>
    <m/>
    <m/>
    <m/>
    <m/>
    <m/>
    <m/>
    <m/>
    <n v="2.06"/>
    <m/>
  </r>
  <r>
    <x v="3"/>
    <x v="18"/>
    <m/>
    <s v="Fresh Vine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1.86"/>
    <s v=""/>
    <m/>
    <m/>
    <m/>
    <m/>
    <m/>
    <m/>
    <m/>
    <m/>
    <m/>
    <m/>
    <m/>
    <m/>
    <m/>
    <n v="1.86"/>
    <m/>
    <m/>
    <m/>
    <m/>
    <m/>
    <m/>
    <m/>
    <m/>
    <n v="1.86"/>
    <m/>
  </r>
  <r>
    <x v="3"/>
    <x v="18"/>
    <m/>
    <s v="Fresh Bulk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1.62"/>
    <s v=""/>
    <m/>
    <m/>
    <m/>
    <m/>
    <m/>
    <m/>
    <m/>
    <m/>
    <m/>
    <m/>
    <m/>
    <m/>
    <m/>
    <n v="1.62"/>
    <m/>
    <m/>
    <m/>
    <m/>
    <m/>
    <m/>
    <m/>
    <m/>
    <n v="1.62"/>
    <m/>
  </r>
  <r>
    <x v="3"/>
    <x v="18"/>
    <m/>
    <s v="Fresh Vine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36"/>
    <s v=""/>
    <m/>
    <m/>
    <m/>
    <m/>
    <m/>
    <m/>
    <m/>
    <m/>
    <m/>
    <m/>
    <m/>
    <m/>
    <m/>
    <n v="2.36"/>
    <m/>
    <m/>
    <m/>
    <m/>
    <m/>
    <m/>
    <m/>
    <m/>
    <n v="2.36"/>
    <m/>
  </r>
  <r>
    <x v="3"/>
    <x v="18"/>
    <m/>
    <s v="Fresh Bulk tomatoes"/>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2.31"/>
    <s v=""/>
    <m/>
    <m/>
    <m/>
    <m/>
    <m/>
    <m/>
    <m/>
    <m/>
    <m/>
    <m/>
    <m/>
    <m/>
    <m/>
    <n v="2.31"/>
    <m/>
    <m/>
    <m/>
    <m/>
    <m/>
    <m/>
    <m/>
    <m/>
    <n v="2.31"/>
    <m/>
  </r>
  <r>
    <x v="3"/>
    <x v="19"/>
    <m/>
    <s v="Fresh tomatoes, protected"/>
    <m/>
    <s v="France"/>
    <n v="2011"/>
    <s v="Boulard, T.; Raeppel, C.; Brun, R.; Lecompte, F.; Hayer, F.; Carmassi, G.; Gaillard, G"/>
    <s v=", France"/>
    <s v="Peer Reviewed Journal"/>
    <s v="Boulard, T., Raeppel, C., Brun, R., Lecompte, F., Hayer, F., Carmassi, G. and Gaillard, G., Environmental impact of greenhouse tomato production in France. Agronomy for sustainable development 2011, 31 (4), 757-777."/>
    <m/>
    <m/>
    <m/>
    <m/>
    <m/>
    <m/>
    <m/>
    <m/>
    <m/>
    <m/>
    <m/>
    <m/>
    <m/>
    <m/>
    <m/>
    <m/>
    <m/>
    <m/>
    <s v=""/>
    <s v=""/>
    <n v="0.50800000000000001"/>
    <s v=""/>
    <m/>
    <m/>
    <m/>
    <m/>
    <m/>
    <m/>
    <m/>
    <m/>
    <m/>
    <m/>
    <m/>
    <m/>
    <m/>
    <n v="0.50800000000000001"/>
    <m/>
    <m/>
    <m/>
    <m/>
    <m/>
    <m/>
    <m/>
    <m/>
    <n v="0.50800000000000001"/>
    <m/>
  </r>
  <r>
    <x v="7"/>
    <x v="225"/>
    <m/>
    <m/>
    <m/>
    <m/>
    <n v="2005"/>
    <s v="Aranda et al. (2005)"/>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3333333333333331"/>
    <n v="0.71972789115646263"/>
    <m/>
    <m/>
    <m/>
    <m/>
    <m/>
    <m/>
    <m/>
    <m/>
    <m/>
    <m/>
    <m/>
    <m/>
    <m/>
    <n v="0.33333333333333331"/>
    <m/>
    <n v="0.38639455782312926"/>
    <s v=""/>
    <n v="0.35374149659863946"/>
    <s v=""/>
    <m/>
    <s v=""/>
    <m/>
    <n v="0.33333333333333331"/>
    <n v="1.073469387755102"/>
  </r>
  <r>
    <x v="7"/>
    <x v="225"/>
    <m/>
    <m/>
    <m/>
    <m/>
    <n v="2006"/>
    <s v="Ardente et al. (2006)"/>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1088435374149658"/>
    <n v="0.69523809523809521"/>
    <m/>
    <m/>
    <m/>
    <m/>
    <m/>
    <m/>
    <m/>
    <m/>
    <m/>
    <m/>
    <m/>
    <m/>
    <m/>
    <n v="0.21088435374149658"/>
    <m/>
    <n v="0.48435374149659866"/>
    <n v="1.361904761904762"/>
    <n v="0.18367346938775511"/>
    <s v=""/>
    <m/>
    <s v=""/>
    <m/>
    <n v="0.21088435374149658"/>
    <n v="2.2408163265306125"/>
  </r>
  <r>
    <x v="7"/>
    <x v="225"/>
    <m/>
    <m/>
    <m/>
    <m/>
    <n v="2011"/>
    <s v="Barry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9.6598639455782315E-2"/>
    <n v="0.23129251700680273"/>
    <m/>
    <m/>
    <m/>
    <m/>
    <m/>
    <m/>
    <m/>
    <m/>
    <m/>
    <m/>
    <m/>
    <m/>
    <m/>
    <n v="9.6598639455782315E-2"/>
    <m/>
    <n v="0.13469387755102041"/>
    <n v="0.92108843537414975"/>
    <n v="0.67210884353741496"/>
    <s v=""/>
    <m/>
    <n v="9.6598639455782315E-2"/>
    <m/>
    <n v="9.6598639455782315E-2"/>
    <n v="1.9183673469387754"/>
  </r>
  <r>
    <x v="7"/>
    <x v="225"/>
    <m/>
    <m/>
    <m/>
    <m/>
    <n v="2011"/>
    <s v="Barry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11700680272108842"/>
    <n v="0.17551020408163262"/>
    <m/>
    <m/>
    <m/>
    <m/>
    <m/>
    <m/>
    <m/>
    <m/>
    <m/>
    <m/>
    <m/>
    <m/>
    <m/>
    <n v="0.11700680272108842"/>
    <m/>
    <n v="5.8503401360544209E-2"/>
    <n v="1.0122448979591838"/>
    <n v="0.64217687074829921"/>
    <s v=""/>
    <m/>
    <n v="0.11700680272108842"/>
    <m/>
    <n v="0.11700680272108842"/>
    <n v="1.9455782312925169"/>
  </r>
  <r>
    <x v="7"/>
    <x v="225"/>
    <m/>
    <m/>
    <m/>
    <m/>
    <n v="2010"/>
    <s v="Benedetto (2010)"/>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96326530612244898"/>
    <n v="0.96734693877551026"/>
    <m/>
    <m/>
    <m/>
    <m/>
    <m/>
    <m/>
    <m/>
    <m/>
    <m/>
    <m/>
    <m/>
    <m/>
    <m/>
    <n v="0.96326530612244898"/>
    <m/>
    <n v="4.081632653061224E-3"/>
    <n v="1.2666666666666668"/>
    <s v=""/>
    <s v=""/>
    <m/>
    <s v=""/>
    <m/>
    <n v="0.96326530612244898"/>
    <n v="2.2340136054421769"/>
  </r>
  <r>
    <x v="7"/>
    <x v="225"/>
    <m/>
    <m/>
    <m/>
    <m/>
    <n v="2011"/>
    <s v="Bosco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4897959183673469"/>
    <n v="0.7482993197278911"/>
    <m/>
    <m/>
    <m/>
    <m/>
    <m/>
    <m/>
    <m/>
    <m/>
    <m/>
    <m/>
    <m/>
    <m/>
    <m/>
    <n v="0.44897959183673469"/>
    <m/>
    <n v="0.29931972789115646"/>
    <n v="0.62585034013605445"/>
    <n v="5.4421768707482998E-2"/>
    <s v=""/>
    <m/>
    <n v="4.0816326530612242E-2"/>
    <m/>
    <n v="0.44897959183673469"/>
    <n v="1.4693877551020409"/>
  </r>
  <r>
    <x v="7"/>
    <x v="225"/>
    <m/>
    <m/>
    <m/>
    <m/>
    <n v="2011"/>
    <s v="Bosco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9931972789115646"/>
    <n v="0.35374149659863946"/>
    <m/>
    <m/>
    <m/>
    <m/>
    <m/>
    <m/>
    <m/>
    <m/>
    <m/>
    <m/>
    <m/>
    <m/>
    <m/>
    <n v="0.29931972789115646"/>
    <m/>
    <n v="5.4421768707482998E-2"/>
    <n v="0.73469387755102045"/>
    <n v="0.59863945578231292"/>
    <s v=""/>
    <m/>
    <n v="4.0816326530612242E-2"/>
    <m/>
    <n v="0.29931972789115646"/>
    <n v="1.7278911564625852"/>
  </r>
  <r>
    <x v="7"/>
    <x v="225"/>
    <m/>
    <m/>
    <m/>
    <m/>
    <n v="2011"/>
    <s v="Bosco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16326530612244899"/>
    <n v="0.2857142857142857"/>
    <m/>
    <m/>
    <m/>
    <m/>
    <m/>
    <m/>
    <m/>
    <m/>
    <m/>
    <m/>
    <m/>
    <m/>
    <m/>
    <n v="0.16326530612244899"/>
    <m/>
    <n v="0.12244897959183673"/>
    <n v="0.43537414965986398"/>
    <n v="0.12244897959183673"/>
    <s v=""/>
    <m/>
    <n v="2.7210884353741499E-2"/>
    <m/>
    <n v="0.16326530612244899"/>
    <n v="0.87074829931972797"/>
  </r>
  <r>
    <x v="7"/>
    <x v="225"/>
    <m/>
    <m/>
    <m/>
    <m/>
    <n v="2011"/>
    <s v="Bosco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5850340136054417"/>
    <n v="0.32653061224489788"/>
    <m/>
    <m/>
    <m/>
    <m/>
    <m/>
    <m/>
    <m/>
    <m/>
    <m/>
    <m/>
    <m/>
    <m/>
    <m/>
    <n v="0.25850340136054417"/>
    <m/>
    <n v="6.8027210884353734E-2"/>
    <n v="0.82993197278911568"/>
    <n v="2.7210884353741499E-2"/>
    <s v=""/>
    <m/>
    <n v="4.0816326530612242E-2"/>
    <m/>
    <n v="0.25850340136054417"/>
    <n v="1.2244897959183676"/>
  </r>
  <r>
    <x v="7"/>
    <x v="225"/>
    <m/>
    <m/>
    <m/>
    <m/>
    <n v="2009"/>
    <s v="Carta (2009), in: Vázquez-Rowe et al. (2013)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7755102040816327"/>
    <n v="0.66802721088435379"/>
    <m/>
    <m/>
    <m/>
    <m/>
    <m/>
    <m/>
    <m/>
    <m/>
    <m/>
    <m/>
    <m/>
    <m/>
    <m/>
    <n v="0.47755102040816327"/>
    <m/>
    <n v="0.19047619047619052"/>
    <n v="0.38095238095238104"/>
    <s v=""/>
    <s v=""/>
    <m/>
    <s v=""/>
    <m/>
    <n v="0.47755102040816327"/>
    <n v="1.0489795918367348"/>
  </r>
  <r>
    <x v="7"/>
    <x v="225"/>
    <m/>
    <m/>
    <m/>
    <m/>
    <n v="2009"/>
    <s v="Carta (2009), in: Vázquez-Rowe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8979591836734697"/>
    <n v="0.69115646258503394"/>
    <m/>
    <m/>
    <m/>
    <m/>
    <m/>
    <m/>
    <m/>
    <m/>
    <m/>
    <m/>
    <m/>
    <m/>
    <m/>
    <n v="0.28979591836734697"/>
    <m/>
    <n v="0.40136054421768702"/>
    <n v="0.45442176870748302"/>
    <s v=""/>
    <s v=""/>
    <m/>
    <s v=""/>
    <m/>
    <n v="0.28979591836734697"/>
    <n v="1.1455782312925169"/>
  </r>
  <r>
    <x v="7"/>
    <x v="225"/>
    <m/>
    <m/>
    <m/>
    <m/>
    <n v="2008"/>
    <s v="CIV (2008)"/>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17687074829932"/>
    <n v="0.57551020408163267"/>
    <m/>
    <m/>
    <m/>
    <m/>
    <m/>
    <m/>
    <m/>
    <m/>
    <m/>
    <m/>
    <m/>
    <m/>
    <m/>
    <n v="0.417687074829932"/>
    <m/>
    <n v="0.15782312925170067"/>
    <n v="0.8013605442176871"/>
    <n v="0.91292517006802731"/>
    <s v=""/>
    <m/>
    <s v=""/>
    <m/>
    <n v="0.417687074829932"/>
    <n v="2.2884353741496599"/>
  </r>
  <r>
    <x v="7"/>
    <x v="225"/>
    <m/>
    <m/>
    <m/>
    <m/>
    <n v="2009"/>
    <s v="Colman and Päster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s v=""/>
    <m/>
    <m/>
    <m/>
    <m/>
    <m/>
    <m/>
    <m/>
    <m/>
    <m/>
    <m/>
    <m/>
    <m/>
    <m/>
    <s v=""/>
    <m/>
    <s v=""/>
    <s v=""/>
    <s v=""/>
    <s v=""/>
    <m/>
    <s v=""/>
    <m/>
    <s v=""/>
    <n v="3.1292517006802716"/>
  </r>
  <r>
    <x v="7"/>
    <x v="225"/>
    <m/>
    <m/>
    <m/>
    <m/>
    <n v="2009"/>
    <s v="Colman and Päster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s v=""/>
    <m/>
    <m/>
    <m/>
    <m/>
    <m/>
    <m/>
    <m/>
    <m/>
    <m/>
    <m/>
    <m/>
    <m/>
    <m/>
    <s v=""/>
    <m/>
    <s v=""/>
    <s v=""/>
    <s v=""/>
    <s v=""/>
    <m/>
    <s v=""/>
    <m/>
    <s v=""/>
    <n v="3.1292517006802716"/>
  </r>
  <r>
    <x v="7"/>
    <x v="225"/>
    <m/>
    <m/>
    <m/>
    <m/>
    <n v="2009"/>
    <s v="Colman and Päster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s v=""/>
    <m/>
    <m/>
    <m/>
    <m/>
    <m/>
    <m/>
    <m/>
    <m/>
    <m/>
    <m/>
    <m/>
    <m/>
    <m/>
    <s v=""/>
    <m/>
    <s v=""/>
    <s v=""/>
    <s v=""/>
    <s v=""/>
    <m/>
    <s v=""/>
    <m/>
    <s v=""/>
    <n v="2.8843537414965992"/>
  </r>
  <r>
    <x v="7"/>
    <x v="225"/>
    <m/>
    <m/>
    <m/>
    <m/>
    <n v="2009"/>
    <s v="Colman and Päster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s v=""/>
    <m/>
    <m/>
    <m/>
    <m/>
    <m/>
    <m/>
    <m/>
    <m/>
    <m/>
    <m/>
    <m/>
    <m/>
    <m/>
    <s v=""/>
    <m/>
    <s v=""/>
    <s v=""/>
    <s v=""/>
    <s v=""/>
    <m/>
    <s v=""/>
    <m/>
    <s v=""/>
    <n v="3.0340136054421771"/>
  </r>
  <r>
    <x v="7"/>
    <x v="225"/>
    <m/>
    <m/>
    <m/>
    <m/>
    <n v="2010"/>
    <s v="Gazulla et al. (2010)"/>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8435374149659867"/>
    <n v="0.83673469387755106"/>
    <m/>
    <m/>
    <m/>
    <m/>
    <m/>
    <m/>
    <m/>
    <m/>
    <m/>
    <m/>
    <m/>
    <m/>
    <m/>
    <n v="0.68435374149659867"/>
    <m/>
    <n v="0.15238095238095239"/>
    <n v="0.43401360544217688"/>
    <n v="0.10340136054421768"/>
    <s v=""/>
    <m/>
    <s v=""/>
    <m/>
    <n v="0.68435374149659867"/>
    <n v="1.3741496598639455"/>
  </r>
  <r>
    <x v="7"/>
    <x v="225"/>
    <m/>
    <m/>
    <m/>
    <m/>
    <n v="2010"/>
    <s v="Gazulla et al. (2010)"/>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8435374149659867"/>
    <n v="0.83673469387755106"/>
    <m/>
    <m/>
    <m/>
    <m/>
    <m/>
    <m/>
    <m/>
    <m/>
    <m/>
    <m/>
    <m/>
    <m/>
    <m/>
    <n v="0.68435374149659867"/>
    <m/>
    <n v="0.15238095238095239"/>
    <n v="0.43401360544217688"/>
    <n v="0.21904761904761905"/>
    <s v=""/>
    <m/>
    <s v=""/>
    <m/>
    <n v="0.68435374149659867"/>
    <n v="1.489795918367347"/>
  </r>
  <r>
    <x v="7"/>
    <x v="225"/>
    <m/>
    <m/>
    <m/>
    <m/>
    <n v="2006"/>
    <s v="Gonzalez et al. (2006)"/>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9782312925170067"/>
    <n v="4.5605442176870747"/>
    <m/>
    <m/>
    <m/>
    <m/>
    <m/>
    <m/>
    <m/>
    <m/>
    <m/>
    <m/>
    <m/>
    <m/>
    <m/>
    <n v="1.9782312925170067"/>
    <m/>
    <n v="2.5823129251700681"/>
    <n v="0.77551020408163263"/>
    <n v="0.80544217687074826"/>
    <s v=""/>
    <m/>
    <s v=""/>
    <m/>
    <n v="1.9782312925170067"/>
    <n v="6.1414965986394563"/>
  </r>
  <r>
    <x v="7"/>
    <x v="225"/>
    <m/>
    <m/>
    <m/>
    <m/>
    <n v="2011"/>
    <s v="Greenhaigh et al. (2011)"/>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4421768707482991"/>
    <n v="0.66394557823129252"/>
    <m/>
    <m/>
    <m/>
    <m/>
    <m/>
    <m/>
    <m/>
    <m/>
    <m/>
    <m/>
    <m/>
    <m/>
    <m/>
    <n v="0.34421768707482991"/>
    <m/>
    <n v="0.31972789115646261"/>
    <n v="0.62312925170068034"/>
    <n v="0.36734693877551022"/>
    <n v="3.6734693877551024E-2"/>
    <m/>
    <s v=""/>
    <m/>
    <n v="0.34421768707482991"/>
    <n v="1.6911564625850344"/>
  </r>
  <r>
    <x v="7"/>
    <x v="225"/>
    <m/>
    <m/>
    <m/>
    <m/>
    <n v="2009"/>
    <s v="Kavargiris et al.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8163265306122448"/>
    <s v=""/>
    <m/>
    <m/>
    <m/>
    <m/>
    <m/>
    <m/>
    <m/>
    <m/>
    <m/>
    <m/>
    <m/>
    <m/>
    <m/>
    <n v="0.28163265306122448"/>
    <m/>
    <s v=""/>
    <s v=""/>
    <s v=""/>
    <s v=""/>
    <m/>
    <s v=""/>
    <m/>
    <n v="0.28163265306122448"/>
    <s v=""/>
  </r>
  <r>
    <x v="7"/>
    <x v="225"/>
    <m/>
    <m/>
    <m/>
    <m/>
    <n v="2009"/>
    <s v="Kavargiris et al.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
    <s v=""/>
    <m/>
    <m/>
    <m/>
    <m/>
    <m/>
    <m/>
    <m/>
    <m/>
    <m/>
    <m/>
    <m/>
    <m/>
    <m/>
    <n v="0.2"/>
    <m/>
    <s v=""/>
    <s v=""/>
    <s v=""/>
    <s v=""/>
    <m/>
    <s v=""/>
    <m/>
    <n v="0.2"/>
    <s v=""/>
  </r>
  <r>
    <x v="7"/>
    <x v="225"/>
    <m/>
    <m/>
    <m/>
    <m/>
    <n v="2013"/>
    <s v="Neto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2.7210884353741496"/>
    <n v="3.3197278911564627"/>
    <m/>
    <m/>
    <m/>
    <m/>
    <m/>
    <m/>
    <m/>
    <m/>
    <m/>
    <m/>
    <m/>
    <m/>
    <m/>
    <n v="2.7210884353741496"/>
    <m/>
    <n v="0.59863945578231292"/>
    <n v="0.32653061224489793"/>
    <n v="0.31564625850340133"/>
    <s v=""/>
    <m/>
    <s v=""/>
    <m/>
    <n v="2.7210884353741496"/>
    <n v="3.961904761904762"/>
  </r>
  <r>
    <x v="7"/>
    <x v="225"/>
    <m/>
    <m/>
    <m/>
    <m/>
    <n v="2012"/>
    <s v="Pattara et al.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6.1224489795918366E-2"/>
    <n v="8.8435374149659865E-2"/>
    <m/>
    <m/>
    <m/>
    <m/>
    <m/>
    <m/>
    <m/>
    <m/>
    <m/>
    <m/>
    <m/>
    <m/>
    <m/>
    <n v="6.1224489795918366E-2"/>
    <m/>
    <n v="2.7210884353741499E-2"/>
    <n v="1.5482993197278909"/>
    <n v="0.11700680272108842"/>
    <s v=""/>
    <m/>
    <s v=""/>
    <m/>
    <n v="6.1224489795918366E-2"/>
    <n v="1.7537414965986393"/>
  </r>
  <r>
    <x v="7"/>
    <x v="225"/>
    <m/>
    <m/>
    <m/>
    <m/>
    <n v="2006"/>
    <s v="Petti et al. (2006)"/>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8.0272108843537401E-2"/>
    <s v=""/>
    <m/>
    <m/>
    <m/>
    <m/>
    <m/>
    <m/>
    <m/>
    <m/>
    <m/>
    <m/>
    <m/>
    <m/>
    <m/>
    <n v="8.0272108843537401E-2"/>
    <m/>
    <s v=""/>
    <n v="1.0721088435374151"/>
    <n v="0.4285714285714286"/>
    <s v=""/>
    <m/>
    <s v=""/>
    <m/>
    <n v="8.0272108843537401E-2"/>
    <n v="1.5809523809523811"/>
  </r>
  <r>
    <x v="7"/>
    <x v="225"/>
    <m/>
    <m/>
    <m/>
    <m/>
    <n v="2008"/>
    <s v="Pizzigallo et al. (2008)"/>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9.6598639455782315E-2"/>
    <n v="0.13605442176870747"/>
    <m/>
    <m/>
    <m/>
    <m/>
    <m/>
    <m/>
    <m/>
    <m/>
    <m/>
    <m/>
    <m/>
    <m/>
    <m/>
    <n v="9.6598639455782315E-2"/>
    <m/>
    <n v="3.9455782312925167E-2"/>
    <n v="0.33877551020408164"/>
    <s v=""/>
    <s v=""/>
    <m/>
    <n v="1.6326530612244896E-2"/>
    <m/>
    <n v="9.6598639455782315E-2"/>
    <n v="0.48979591836734693"/>
  </r>
  <r>
    <x v="7"/>
    <x v="225"/>
    <m/>
    <m/>
    <m/>
    <m/>
    <n v="2008"/>
    <s v="Pizzigallo et al. (2008)"/>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2176870748299311"/>
    <n v="0.45986394557823118"/>
    <m/>
    <m/>
    <m/>
    <m/>
    <m/>
    <m/>
    <m/>
    <m/>
    <m/>
    <m/>
    <m/>
    <m/>
    <m/>
    <n v="0.42176870748299311"/>
    <m/>
    <n v="3.8095238095238099E-2"/>
    <n v="0.50340136054421769"/>
    <s v=""/>
    <s v=""/>
    <m/>
    <n v="2.4489795918367346E-2"/>
    <m/>
    <n v="0.42176870748299311"/>
    <n v="0.9877551020408164"/>
  </r>
  <r>
    <x v="7"/>
    <x v="225"/>
    <m/>
    <m/>
    <m/>
    <m/>
    <n v="2012"/>
    <s v="Point et al.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1170068027210884"/>
    <n v="1.5755102040816327"/>
    <m/>
    <m/>
    <m/>
    <m/>
    <m/>
    <m/>
    <m/>
    <m/>
    <m/>
    <m/>
    <m/>
    <m/>
    <m/>
    <n v="1.1170068027210884"/>
    <m/>
    <n v="0.45850340136054429"/>
    <n v="0.59047619047619049"/>
    <n v="0.53605442176870755"/>
    <n v="1.6367346938775513"/>
    <m/>
    <n v="5.1700680272108841E-2"/>
    <m/>
    <n v="1.1170068027210884"/>
    <n v="4.389115646258503"/>
  </r>
  <r>
    <x v="7"/>
    <x v="225"/>
    <m/>
    <m/>
    <m/>
    <m/>
    <n v="2009"/>
    <s v="Rugani et al. (2009)"/>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2585034013605434"/>
    <n v="0.68979591836734688"/>
    <m/>
    <m/>
    <m/>
    <m/>
    <m/>
    <m/>
    <m/>
    <m/>
    <m/>
    <m/>
    <m/>
    <m/>
    <m/>
    <n v="0.62585034013605434"/>
    <m/>
    <n v="6.3945578231292516E-2"/>
    <n v="0.36870748299319733"/>
    <s v=""/>
    <s v=""/>
    <m/>
    <s v=""/>
    <m/>
    <n v="0.62585034013605434"/>
    <n v="1.0598639455782313"/>
  </r>
  <r>
    <x v="7"/>
    <x v="225"/>
    <m/>
    <m/>
    <m/>
    <m/>
    <n v="2004"/>
    <s v="SAWIA (2004)"/>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1904761904761905"/>
    <n v="0.472108843537415"/>
    <m/>
    <m/>
    <m/>
    <m/>
    <m/>
    <m/>
    <m/>
    <m/>
    <m/>
    <m/>
    <m/>
    <m/>
    <m/>
    <n v="0.21904761904761905"/>
    <m/>
    <n v="0.25306122448979596"/>
    <n v="7.6190476190476197E-2"/>
    <s v=""/>
    <s v=""/>
    <m/>
    <s v=""/>
    <m/>
    <n v="0.21904761904761905"/>
    <n v="0.5496598639455782"/>
  </r>
  <r>
    <x v="7"/>
    <x v="225"/>
    <m/>
    <m/>
    <m/>
    <m/>
    <n v="2010"/>
    <s v="Soja et al. (2010)"/>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2789115646258506"/>
    <n v="1.1265306122448979"/>
    <m/>
    <m/>
    <m/>
    <m/>
    <m/>
    <m/>
    <m/>
    <m/>
    <m/>
    <m/>
    <m/>
    <m/>
    <m/>
    <n v="0.72789115646258506"/>
    <m/>
    <n v="0.39863945578231291"/>
    <n v="0.91564625850340153"/>
    <n v="0.28163265306122448"/>
    <s v=""/>
    <m/>
    <n v="2.3129251700680271E-2"/>
    <m/>
    <n v="0.72789115646258506"/>
    <n v="2.3469387755102042"/>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1768707482993201"/>
    <s v=""/>
    <m/>
    <m/>
    <m/>
    <m/>
    <m/>
    <m/>
    <m/>
    <m/>
    <m/>
    <m/>
    <m/>
    <m/>
    <m/>
    <n v="0.61768707482993201"/>
    <m/>
    <s v=""/>
    <s v=""/>
    <s v=""/>
    <s v=""/>
    <m/>
    <s v=""/>
    <m/>
    <n v="0.61768707482993201"/>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0666666666666667"/>
    <s v=""/>
    <m/>
    <m/>
    <m/>
    <m/>
    <m/>
    <m/>
    <m/>
    <m/>
    <m/>
    <m/>
    <m/>
    <m/>
    <m/>
    <n v="1.0666666666666667"/>
    <m/>
    <s v=""/>
    <s v=""/>
    <s v=""/>
    <s v=""/>
    <m/>
    <s v=""/>
    <m/>
    <n v="1.0666666666666667"/>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0993197278911564"/>
    <s v=""/>
    <m/>
    <m/>
    <m/>
    <m/>
    <m/>
    <m/>
    <m/>
    <m/>
    <m/>
    <m/>
    <m/>
    <m/>
    <m/>
    <n v="1.0993197278911564"/>
    <m/>
    <s v=""/>
    <s v=""/>
    <s v=""/>
    <s v=""/>
    <m/>
    <s v=""/>
    <m/>
    <n v="1.0993197278911564"/>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3265306122448982"/>
    <s v=""/>
    <m/>
    <m/>
    <m/>
    <m/>
    <m/>
    <m/>
    <m/>
    <m/>
    <m/>
    <m/>
    <m/>
    <m/>
    <m/>
    <n v="0.43265306122448982"/>
    <m/>
    <s v=""/>
    <s v=""/>
    <s v=""/>
    <s v=""/>
    <m/>
    <s v=""/>
    <m/>
    <n v="0.43265306122448982"/>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2108843537414979"/>
    <s v=""/>
    <m/>
    <m/>
    <m/>
    <m/>
    <m/>
    <m/>
    <m/>
    <m/>
    <m/>
    <m/>
    <m/>
    <m/>
    <m/>
    <n v="0.72108843537414979"/>
    <m/>
    <s v=""/>
    <s v=""/>
    <s v=""/>
    <s v=""/>
    <m/>
    <s v=""/>
    <m/>
    <n v="0.72108843537414979"/>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6870748299319724"/>
    <s v=""/>
    <m/>
    <m/>
    <m/>
    <m/>
    <m/>
    <m/>
    <m/>
    <m/>
    <m/>
    <m/>
    <m/>
    <m/>
    <m/>
    <n v="0.76870748299319724"/>
    <m/>
    <s v=""/>
    <s v=""/>
    <s v=""/>
    <s v=""/>
    <m/>
    <s v=""/>
    <m/>
    <n v="0.76870748299319724"/>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6598639455782314"/>
    <s v=""/>
    <m/>
    <m/>
    <m/>
    <m/>
    <m/>
    <m/>
    <m/>
    <m/>
    <m/>
    <m/>
    <m/>
    <m/>
    <m/>
    <n v="0.76598639455782314"/>
    <m/>
    <s v=""/>
    <s v=""/>
    <s v=""/>
    <s v=""/>
    <m/>
    <s v=""/>
    <m/>
    <n v="0.76598639455782314"/>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9251700680272121"/>
    <s v=""/>
    <m/>
    <m/>
    <m/>
    <m/>
    <m/>
    <m/>
    <m/>
    <m/>
    <m/>
    <m/>
    <m/>
    <m/>
    <m/>
    <n v="0.69251700680272121"/>
    <m/>
    <s v=""/>
    <s v=""/>
    <s v=""/>
    <s v=""/>
    <m/>
    <s v=""/>
    <m/>
    <n v="0.69251700680272121"/>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0612244897959187"/>
    <s v=""/>
    <m/>
    <m/>
    <m/>
    <m/>
    <m/>
    <m/>
    <m/>
    <m/>
    <m/>
    <m/>
    <m/>
    <m/>
    <m/>
    <n v="0.70612244897959187"/>
    <m/>
    <s v=""/>
    <s v=""/>
    <s v=""/>
    <s v=""/>
    <m/>
    <s v=""/>
    <m/>
    <n v="0.70612244897959187"/>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2040816326530612"/>
    <s v=""/>
    <m/>
    <m/>
    <m/>
    <m/>
    <m/>
    <m/>
    <m/>
    <m/>
    <m/>
    <m/>
    <m/>
    <m/>
    <m/>
    <n v="0.62040816326530612"/>
    <m/>
    <s v=""/>
    <s v=""/>
    <s v=""/>
    <s v=""/>
    <m/>
    <s v=""/>
    <m/>
    <n v="0.62040816326530612"/>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2176870748299317"/>
    <s v=""/>
    <m/>
    <m/>
    <m/>
    <m/>
    <m/>
    <m/>
    <m/>
    <m/>
    <m/>
    <m/>
    <m/>
    <m/>
    <m/>
    <n v="0.42176870748299317"/>
    <m/>
    <s v=""/>
    <s v=""/>
    <s v=""/>
    <s v=""/>
    <m/>
    <s v=""/>
    <m/>
    <n v="0.42176870748299317"/>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5578231292517013"/>
    <s v=""/>
    <m/>
    <m/>
    <m/>
    <m/>
    <m/>
    <m/>
    <m/>
    <m/>
    <m/>
    <m/>
    <m/>
    <m/>
    <m/>
    <n v="0.45578231292517013"/>
    <m/>
    <s v=""/>
    <s v=""/>
    <s v=""/>
    <s v=""/>
    <m/>
    <s v=""/>
    <m/>
    <n v="0.45578231292517013"/>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63265306122448983"/>
    <s v=""/>
    <m/>
    <m/>
    <m/>
    <m/>
    <m/>
    <m/>
    <m/>
    <m/>
    <m/>
    <m/>
    <m/>
    <m/>
    <m/>
    <n v="0.63265306122448983"/>
    <m/>
    <s v=""/>
    <s v=""/>
    <s v=""/>
    <s v=""/>
    <m/>
    <s v=""/>
    <m/>
    <n v="0.63265306122448983"/>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2040816326530611"/>
    <s v=""/>
    <m/>
    <m/>
    <m/>
    <m/>
    <m/>
    <m/>
    <m/>
    <m/>
    <m/>
    <m/>
    <m/>
    <m/>
    <m/>
    <n v="0.42040816326530611"/>
    <m/>
    <s v=""/>
    <s v=""/>
    <s v=""/>
    <s v=""/>
    <m/>
    <s v=""/>
    <m/>
    <n v="0.42040816326530611"/>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6462585034013606"/>
    <s v=""/>
    <m/>
    <m/>
    <m/>
    <m/>
    <m/>
    <m/>
    <m/>
    <m/>
    <m/>
    <m/>
    <m/>
    <m/>
    <m/>
    <n v="0.36462585034013606"/>
    <m/>
    <s v=""/>
    <s v=""/>
    <s v=""/>
    <s v=""/>
    <m/>
    <s v=""/>
    <m/>
    <n v="0.36462585034013606"/>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8843537414965986"/>
    <s v=""/>
    <m/>
    <m/>
    <m/>
    <m/>
    <m/>
    <m/>
    <m/>
    <m/>
    <m/>
    <m/>
    <m/>
    <m/>
    <m/>
    <n v="0.28843537414965986"/>
    <m/>
    <s v=""/>
    <s v=""/>
    <s v=""/>
    <s v=""/>
    <m/>
    <s v=""/>
    <m/>
    <n v="0.28843537414965986"/>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2380952380952381"/>
    <s v=""/>
    <m/>
    <m/>
    <m/>
    <m/>
    <m/>
    <m/>
    <m/>
    <m/>
    <m/>
    <m/>
    <m/>
    <m/>
    <m/>
    <n v="1.2380952380952381"/>
    <m/>
    <s v=""/>
    <s v=""/>
    <s v=""/>
    <s v=""/>
    <m/>
    <s v=""/>
    <m/>
    <n v="1.2380952380952381"/>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3877551020408172"/>
    <s v=""/>
    <m/>
    <m/>
    <m/>
    <m/>
    <m/>
    <m/>
    <m/>
    <m/>
    <m/>
    <m/>
    <m/>
    <m/>
    <m/>
    <n v="0.73877551020408172"/>
    <m/>
    <s v=""/>
    <s v=""/>
    <s v=""/>
    <s v=""/>
    <m/>
    <s v=""/>
    <m/>
    <n v="0.73877551020408172"/>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0857142857142859"/>
    <s v=""/>
    <m/>
    <m/>
    <m/>
    <m/>
    <m/>
    <m/>
    <m/>
    <m/>
    <m/>
    <m/>
    <m/>
    <m/>
    <m/>
    <n v="1.0857142857142859"/>
    <m/>
    <s v=""/>
    <s v=""/>
    <s v=""/>
    <s v=""/>
    <m/>
    <s v=""/>
    <m/>
    <n v="1.0857142857142859"/>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92925170068027207"/>
    <s v=""/>
    <m/>
    <m/>
    <m/>
    <m/>
    <m/>
    <m/>
    <m/>
    <m/>
    <m/>
    <m/>
    <m/>
    <m/>
    <m/>
    <n v="0.92925170068027207"/>
    <m/>
    <s v=""/>
    <s v=""/>
    <s v=""/>
    <s v=""/>
    <m/>
    <s v=""/>
    <m/>
    <n v="0.92925170068027207"/>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5918367346938773"/>
    <s v=""/>
    <m/>
    <m/>
    <m/>
    <m/>
    <m/>
    <m/>
    <m/>
    <m/>
    <m/>
    <m/>
    <m/>
    <m/>
    <m/>
    <n v="0.35918367346938773"/>
    <m/>
    <s v=""/>
    <s v=""/>
    <s v=""/>
    <s v=""/>
    <m/>
    <s v=""/>
    <m/>
    <n v="0.35918367346938773"/>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50884353741496602"/>
    <s v=""/>
    <m/>
    <m/>
    <m/>
    <m/>
    <m/>
    <m/>
    <m/>
    <m/>
    <m/>
    <m/>
    <m/>
    <m/>
    <m/>
    <n v="0.50884353741496602"/>
    <m/>
    <s v=""/>
    <s v=""/>
    <s v=""/>
    <s v=""/>
    <m/>
    <s v=""/>
    <m/>
    <n v="0.50884353741496602"/>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84761904761904761"/>
    <s v=""/>
    <m/>
    <m/>
    <m/>
    <m/>
    <m/>
    <m/>
    <m/>
    <m/>
    <m/>
    <m/>
    <m/>
    <m/>
    <m/>
    <n v="0.84761904761904761"/>
    <m/>
    <s v=""/>
    <s v=""/>
    <s v=""/>
    <s v=""/>
    <m/>
    <s v=""/>
    <m/>
    <n v="0.84761904761904761"/>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0612244897959187"/>
    <s v=""/>
    <m/>
    <m/>
    <m/>
    <m/>
    <m/>
    <m/>
    <m/>
    <m/>
    <m/>
    <m/>
    <m/>
    <m/>
    <m/>
    <n v="0.70612244897959187"/>
    <m/>
    <s v=""/>
    <s v=""/>
    <s v=""/>
    <s v=""/>
    <m/>
    <s v=""/>
    <m/>
    <n v="0.70612244897959187"/>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1632653061224491"/>
    <s v=""/>
    <m/>
    <m/>
    <m/>
    <m/>
    <m/>
    <m/>
    <m/>
    <m/>
    <m/>
    <m/>
    <m/>
    <m/>
    <m/>
    <n v="0.21632653061224491"/>
    <m/>
    <s v=""/>
    <s v=""/>
    <s v=""/>
    <s v=""/>
    <m/>
    <s v=""/>
    <m/>
    <n v="0.21632653061224491"/>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8666666666666667"/>
    <s v=""/>
    <m/>
    <m/>
    <m/>
    <m/>
    <m/>
    <m/>
    <m/>
    <m/>
    <m/>
    <m/>
    <m/>
    <m/>
    <m/>
    <n v="0.8666666666666667"/>
    <m/>
    <s v=""/>
    <s v=""/>
    <s v=""/>
    <s v=""/>
    <m/>
    <s v=""/>
    <m/>
    <n v="0.8666666666666667"/>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88163265306122462"/>
    <s v=""/>
    <m/>
    <m/>
    <m/>
    <m/>
    <m/>
    <m/>
    <m/>
    <m/>
    <m/>
    <m/>
    <m/>
    <m/>
    <m/>
    <n v="0.88163265306122462"/>
    <m/>
    <s v=""/>
    <s v=""/>
    <s v=""/>
    <s v=""/>
    <m/>
    <s v=""/>
    <m/>
    <n v="0.88163265306122462"/>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1.2435374149659866"/>
    <s v=""/>
    <m/>
    <m/>
    <m/>
    <m/>
    <m/>
    <m/>
    <m/>
    <m/>
    <m/>
    <m/>
    <m/>
    <m/>
    <m/>
    <n v="1.2435374149659866"/>
    <m/>
    <s v=""/>
    <s v=""/>
    <s v=""/>
    <s v=""/>
    <m/>
    <s v=""/>
    <m/>
    <n v="1.2435374149659866"/>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1292517006802725"/>
    <s v=""/>
    <m/>
    <m/>
    <m/>
    <m/>
    <m/>
    <m/>
    <m/>
    <m/>
    <m/>
    <m/>
    <m/>
    <m/>
    <m/>
    <n v="0.71292517006802725"/>
    <m/>
    <s v=""/>
    <s v=""/>
    <s v=""/>
    <s v=""/>
    <m/>
    <s v=""/>
    <m/>
    <n v="0.71292517006802725"/>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1972789115646261"/>
    <s v=""/>
    <m/>
    <m/>
    <m/>
    <m/>
    <m/>
    <m/>
    <m/>
    <m/>
    <m/>
    <m/>
    <m/>
    <m/>
    <m/>
    <n v="0.31972789115646261"/>
    <m/>
    <s v=""/>
    <s v=""/>
    <s v=""/>
    <s v=""/>
    <m/>
    <s v=""/>
    <m/>
    <n v="0.31972789115646261"/>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4829931972789119"/>
    <s v=""/>
    <m/>
    <m/>
    <m/>
    <m/>
    <m/>
    <m/>
    <m/>
    <m/>
    <m/>
    <m/>
    <m/>
    <m/>
    <m/>
    <n v="0.34829931972789119"/>
    <m/>
    <s v=""/>
    <s v=""/>
    <s v=""/>
    <s v=""/>
    <m/>
    <s v=""/>
    <m/>
    <n v="0.34829931972789119"/>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6258503401360546"/>
    <s v=""/>
    <m/>
    <m/>
    <m/>
    <m/>
    <m/>
    <m/>
    <m/>
    <m/>
    <m/>
    <m/>
    <m/>
    <m/>
    <m/>
    <n v="0.46258503401360546"/>
    <m/>
    <s v=""/>
    <s v=""/>
    <s v=""/>
    <s v=""/>
    <m/>
    <s v=""/>
    <m/>
    <n v="0.46258503401360546"/>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70884353741496609"/>
    <s v=""/>
    <m/>
    <m/>
    <m/>
    <m/>
    <m/>
    <m/>
    <m/>
    <m/>
    <m/>
    <m/>
    <m/>
    <m/>
    <m/>
    <n v="0.70884353741496609"/>
    <m/>
    <s v=""/>
    <s v=""/>
    <s v=""/>
    <s v=""/>
    <m/>
    <s v=""/>
    <m/>
    <n v="0.70884353741496609"/>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836734693877551"/>
    <s v=""/>
    <m/>
    <m/>
    <m/>
    <m/>
    <m/>
    <m/>
    <m/>
    <m/>
    <m/>
    <m/>
    <m/>
    <m/>
    <m/>
    <n v="0.3836734693877551"/>
    <m/>
    <s v=""/>
    <s v=""/>
    <s v=""/>
    <s v=""/>
    <m/>
    <s v=""/>
    <m/>
    <n v="0.3836734693877551"/>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8163265306122449"/>
    <s v=""/>
    <m/>
    <m/>
    <m/>
    <m/>
    <m/>
    <m/>
    <m/>
    <m/>
    <m/>
    <m/>
    <m/>
    <m/>
    <m/>
    <n v="0.48163265306122449"/>
    <m/>
    <s v=""/>
    <s v=""/>
    <s v=""/>
    <s v=""/>
    <m/>
    <s v=""/>
    <m/>
    <n v="0.48163265306122449"/>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4761904761904764"/>
    <s v=""/>
    <m/>
    <m/>
    <m/>
    <m/>
    <m/>
    <m/>
    <m/>
    <m/>
    <m/>
    <m/>
    <m/>
    <m/>
    <m/>
    <n v="0.44761904761904764"/>
    <m/>
    <s v=""/>
    <s v=""/>
    <s v=""/>
    <s v=""/>
    <m/>
    <s v=""/>
    <m/>
    <n v="0.44761904761904764"/>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6122448979591834"/>
    <s v=""/>
    <m/>
    <m/>
    <m/>
    <m/>
    <m/>
    <m/>
    <m/>
    <m/>
    <m/>
    <m/>
    <m/>
    <m/>
    <m/>
    <n v="0.26122448979591834"/>
    <m/>
    <s v=""/>
    <s v=""/>
    <s v=""/>
    <s v=""/>
    <m/>
    <s v=""/>
    <m/>
    <n v="0.26122448979591834"/>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17687074829932"/>
    <s v=""/>
    <m/>
    <m/>
    <m/>
    <m/>
    <m/>
    <m/>
    <m/>
    <m/>
    <m/>
    <m/>
    <m/>
    <m/>
    <m/>
    <n v="0.417687074829932"/>
    <m/>
    <s v=""/>
    <s v=""/>
    <s v=""/>
    <s v=""/>
    <m/>
    <s v=""/>
    <m/>
    <n v="0.417687074829932"/>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53469387755102049"/>
    <s v=""/>
    <m/>
    <m/>
    <m/>
    <m/>
    <m/>
    <m/>
    <m/>
    <m/>
    <m/>
    <m/>
    <m/>
    <m/>
    <m/>
    <n v="0.53469387755102049"/>
    <m/>
    <s v=""/>
    <s v=""/>
    <s v=""/>
    <s v=""/>
    <m/>
    <s v=""/>
    <m/>
    <n v="0.53469387755102049"/>
    <s v=""/>
  </r>
  <r>
    <x v="7"/>
    <x v="225"/>
    <m/>
    <m/>
    <m/>
    <m/>
    <n v="2012"/>
    <s v="Vázquez-Rowe et al. (2012b) †"/>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0272108843537413"/>
    <s v=""/>
    <m/>
    <m/>
    <m/>
    <m/>
    <m/>
    <m/>
    <m/>
    <m/>
    <m/>
    <m/>
    <m/>
    <m/>
    <m/>
    <n v="0.40272108843537413"/>
    <m/>
    <s v=""/>
    <s v=""/>
    <s v=""/>
    <s v=""/>
    <m/>
    <s v=""/>
    <m/>
    <n v="0.40272108843537413"/>
    <s v=""/>
  </r>
  <r>
    <x v="7"/>
    <x v="225"/>
    <m/>
    <m/>
    <m/>
    <m/>
    <n v="2013"/>
    <s v="Vázquez-Rowe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n v="0.44217687074829937"/>
    <m/>
    <m/>
    <m/>
    <m/>
    <m/>
    <m/>
    <m/>
    <m/>
    <m/>
    <m/>
    <m/>
    <m/>
    <m/>
    <s v=""/>
    <m/>
    <n v="0.44217687074829937"/>
    <n v="0.23401360544217684"/>
    <s v=""/>
    <s v=""/>
    <m/>
    <s v=""/>
    <m/>
    <s v=""/>
    <n v="0.67619047619047612"/>
  </r>
  <r>
    <x v="7"/>
    <x v="225"/>
    <m/>
    <m/>
    <m/>
    <m/>
    <n v="2013"/>
    <s v="Vázquez-Rowe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n v="1.5782312925170066"/>
    <m/>
    <m/>
    <m/>
    <m/>
    <m/>
    <m/>
    <m/>
    <m/>
    <m/>
    <m/>
    <m/>
    <m/>
    <m/>
    <s v=""/>
    <m/>
    <n v="1.5782312925170066"/>
    <n v="0.23401360544217684"/>
    <s v=""/>
    <s v=""/>
    <m/>
    <s v=""/>
    <m/>
    <s v=""/>
    <n v="1.8122448979591836"/>
  </r>
  <r>
    <x v="7"/>
    <x v="225"/>
    <m/>
    <m/>
    <m/>
    <m/>
    <n v="2013"/>
    <s v="Vázquez-Rowe et al. (201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s v=""/>
    <n v="0.16462585034013605"/>
    <m/>
    <m/>
    <m/>
    <m/>
    <m/>
    <m/>
    <m/>
    <m/>
    <m/>
    <m/>
    <m/>
    <m/>
    <m/>
    <s v=""/>
    <m/>
    <n v="0.16462585034013605"/>
    <n v="0.23401360544217684"/>
    <s v=""/>
    <s v=""/>
    <m/>
    <s v=""/>
    <m/>
    <s v=""/>
    <n v="0.39863945578231291"/>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9863945578231291"/>
    <s v=""/>
    <m/>
    <m/>
    <m/>
    <m/>
    <m/>
    <m/>
    <m/>
    <m/>
    <m/>
    <m/>
    <m/>
    <m/>
    <m/>
    <n v="0.39863945578231291"/>
    <m/>
    <s v=""/>
    <s v=""/>
    <s v=""/>
    <s v=""/>
    <m/>
    <s v=""/>
    <m/>
    <n v="0.39863945578231291"/>
    <s v=""/>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7.4829931972789115E-2"/>
    <s v=""/>
    <m/>
    <m/>
    <m/>
    <m/>
    <m/>
    <m/>
    <m/>
    <m/>
    <m/>
    <m/>
    <m/>
    <m/>
    <m/>
    <n v="7.4829931972789115E-2"/>
    <m/>
    <s v=""/>
    <s v=""/>
    <s v=""/>
    <s v=""/>
    <m/>
    <s v=""/>
    <m/>
    <n v="7.4829931972789115E-2"/>
    <s v=""/>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44489795918367347"/>
    <s v=""/>
    <m/>
    <m/>
    <m/>
    <m/>
    <m/>
    <m/>
    <m/>
    <m/>
    <m/>
    <m/>
    <m/>
    <m/>
    <m/>
    <n v="0.44489795918367347"/>
    <m/>
    <s v=""/>
    <s v=""/>
    <s v=""/>
    <s v=""/>
    <m/>
    <s v=""/>
    <m/>
    <n v="0.44489795918367347"/>
    <s v=""/>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965986394557823"/>
    <s v=""/>
    <m/>
    <m/>
    <m/>
    <m/>
    <m/>
    <m/>
    <m/>
    <m/>
    <m/>
    <m/>
    <m/>
    <m/>
    <m/>
    <n v="0.2965986394557823"/>
    <m/>
    <s v=""/>
    <s v=""/>
    <s v=""/>
    <s v=""/>
    <m/>
    <s v=""/>
    <m/>
    <n v="0.2965986394557823"/>
    <s v=""/>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9251700680272108"/>
    <s v=""/>
    <m/>
    <m/>
    <m/>
    <m/>
    <m/>
    <m/>
    <m/>
    <m/>
    <m/>
    <m/>
    <m/>
    <m/>
    <m/>
    <n v="0.29251700680272108"/>
    <m/>
    <s v=""/>
    <s v=""/>
    <s v=""/>
    <s v=""/>
    <m/>
    <s v=""/>
    <m/>
    <n v="0.29251700680272108"/>
    <s v=""/>
  </r>
  <r>
    <x v="7"/>
    <x v="225"/>
    <m/>
    <m/>
    <m/>
    <m/>
    <n v="2012"/>
    <s v="Venkat (2012)"/>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3401360544217687"/>
    <s v=""/>
    <m/>
    <m/>
    <m/>
    <m/>
    <m/>
    <m/>
    <m/>
    <m/>
    <m/>
    <m/>
    <m/>
    <m/>
    <m/>
    <n v="0.3401360544217687"/>
    <m/>
    <s v=""/>
    <s v=""/>
    <s v=""/>
    <s v=""/>
    <m/>
    <s v=""/>
    <m/>
    <n v="0.3401360544217687"/>
    <s v=""/>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s v=""/>
    <n v="0.36598639455782317"/>
    <n v="0.47210884353741495"/>
    <m/>
    <s v=""/>
    <m/>
    <n v="0.20816326530612245"/>
    <n v="1.2884353741496599"/>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56462585034013602"/>
    <n v="0.58911564625850343"/>
    <n v="0.47210884353741495"/>
    <m/>
    <s v=""/>
    <m/>
    <n v="0.20816326530612245"/>
    <n v="2.0761904761904764"/>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46530612244897962"/>
    <n v="0.55102040816326525"/>
    <n v="0.47210884353741495"/>
    <m/>
    <s v=""/>
    <m/>
    <n v="0.20816326530612245"/>
    <n v="1.9387755102040818"/>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36734693877551022"/>
    <n v="0.46666666666666673"/>
    <n v="0.47210884353741495"/>
    <m/>
    <s v=""/>
    <m/>
    <n v="0.20816326530612245"/>
    <n v="1.7564625850340134"/>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s v=""/>
    <n v="0.12108843537414966"/>
    <n v="0.47210884353741495"/>
    <m/>
    <s v=""/>
    <m/>
    <n v="0.20816326530612245"/>
    <n v="1.0435374149659864"/>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s v=""/>
    <n v="9.9319727891156465E-2"/>
    <n v="0.47210884353741495"/>
    <m/>
    <s v=""/>
    <m/>
    <n v="0.20816326530612245"/>
    <n v="1.0217687074829931"/>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s v=""/>
    <n v="8.8435374149659865E-2"/>
    <n v="0.47210884353741495"/>
    <m/>
    <s v=""/>
    <m/>
    <n v="0.20816326530612245"/>
    <n v="1.0108843537414964"/>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56462585034013602"/>
    <n v="0.16326530612244897"/>
    <n v="0.47210884353741495"/>
    <m/>
    <s v=""/>
    <m/>
    <n v="0.20816326530612245"/>
    <n v="1.6503401360544221"/>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56462585034013602"/>
    <n v="0.13605442176870747"/>
    <n v="0.47210884353741495"/>
    <m/>
    <s v=""/>
    <m/>
    <n v="0.20816326530612245"/>
    <n v="1.6231292517006803"/>
  </r>
  <r>
    <x v="7"/>
    <x v="225"/>
    <m/>
    <m/>
    <m/>
    <m/>
    <n v="2007"/>
    <s v="WRAP (2007)"/>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20816326530612245"/>
    <n v="0.4503401360544218"/>
    <m/>
    <m/>
    <m/>
    <m/>
    <m/>
    <m/>
    <m/>
    <m/>
    <m/>
    <m/>
    <m/>
    <m/>
    <m/>
    <n v="0.20816326530612245"/>
    <m/>
    <n v="0.24217687074829933"/>
    <n v="0.56462585034013602"/>
    <n v="0.1183673469387755"/>
    <n v="0.47210884353741495"/>
    <m/>
    <s v=""/>
    <m/>
    <n v="0.20816326530612245"/>
    <n v="1.6054421768707481"/>
  </r>
  <r>
    <x v="7"/>
    <x v="225"/>
    <m/>
    <m/>
    <m/>
    <m/>
    <n v="2003"/>
    <s v="Zabalza et al. (2003)"/>
    <m/>
    <s v="reported in review by Rugani"/>
    <s v="Rugani, B., Vazquez-Rowe, I., Benedetto, G. and Benetto, E., A comprehensive review of carbon footprint analysis as an extended environmental indicator in the wine sector. Journal of Cleaner Production 2013, 54, 61-77."/>
    <m/>
    <m/>
    <m/>
    <m/>
    <m/>
    <m/>
    <m/>
    <m/>
    <m/>
    <m/>
    <m/>
    <m/>
    <m/>
    <m/>
    <m/>
    <m/>
    <m/>
    <m/>
    <s v=""/>
    <s v=""/>
    <n v="0.57959183673469394"/>
    <n v="1.0068027210884354"/>
    <m/>
    <m/>
    <m/>
    <m/>
    <m/>
    <m/>
    <m/>
    <m/>
    <m/>
    <m/>
    <m/>
    <m/>
    <m/>
    <n v="0.57959183673469394"/>
    <m/>
    <n v="0.42721088435374149"/>
    <n v="0.38231292517006804"/>
    <n v="0.13741496598639455"/>
    <s v=""/>
    <m/>
    <s v=""/>
    <m/>
    <n v="0.57959183673469394"/>
    <n v="1.5265306122448981"/>
  </r>
  <r>
    <x v="7"/>
    <x v="225"/>
    <m/>
    <m/>
    <m/>
    <m/>
    <n v="2013"/>
    <s v="Benedetto, G.,"/>
    <m/>
    <s v="Peer Reviewed Journal"/>
    <s v="Benedetto, G., The environmental impact of a Sardinian wine by partial life cycle assessment. Wine Economics and Policy 2013, 2 (1), 33-41."/>
    <m/>
    <m/>
    <m/>
    <m/>
    <m/>
    <m/>
    <m/>
    <m/>
    <m/>
    <m/>
    <m/>
    <m/>
    <m/>
    <m/>
    <m/>
    <m/>
    <m/>
    <m/>
    <s v=""/>
    <s v=""/>
    <n v="0.96326530612244898"/>
    <n v="0.96715646258503407"/>
    <m/>
    <m/>
    <m/>
    <m/>
    <m/>
    <m/>
    <m/>
    <m/>
    <m/>
    <m/>
    <m/>
    <m/>
    <m/>
    <n v="0.96326530612244898"/>
    <m/>
    <n v="3.8911564625850339E-3"/>
    <n v="1.2666666666666668"/>
    <s v=""/>
    <s v=""/>
    <m/>
    <s v=""/>
    <m/>
    <n v="0.96326530612244898"/>
    <n v="2.2338231292517006"/>
  </r>
  <r>
    <x v="7"/>
    <x v="225"/>
    <m/>
    <m/>
    <m/>
    <m/>
    <n v="2014"/>
    <s v="Amienyo, D.; Camilleri, C.; Azapagic, A"/>
    <m/>
    <s v="Peer Reviewed Journal"/>
    <s v="Amienyo, D., Camilleri, C. and Azapagic, A., Environmental impacts of consumption of Australian red wine in the UK. Journal of Cleaner Production 2014, 72, 110-119."/>
    <m/>
    <m/>
    <m/>
    <m/>
    <m/>
    <m/>
    <m/>
    <m/>
    <m/>
    <m/>
    <m/>
    <m/>
    <m/>
    <m/>
    <m/>
    <m/>
    <m/>
    <m/>
    <s v=""/>
    <s v=""/>
    <n v="0.68027210884353739"/>
    <n v="0.7482993197278911"/>
    <m/>
    <m/>
    <m/>
    <m/>
    <m/>
    <m/>
    <m/>
    <m/>
    <m/>
    <m/>
    <m/>
    <m/>
    <m/>
    <n v="0.68027210884353739"/>
    <m/>
    <n v="6.8027210884353734E-2"/>
    <n v="0.68027210884353739"/>
    <n v="0.27210884353741494"/>
    <s v=""/>
    <m/>
    <s v=""/>
    <m/>
    <n v="0.68027210884353739"/>
    <n v="1.7006802721088436"/>
  </r>
  <r>
    <x v="7"/>
    <x v="225"/>
    <m/>
    <m/>
    <m/>
    <m/>
    <n v="2014"/>
    <s v="usi, A.; Guidetti, R.; Benedetto, G., "/>
    <m/>
    <s v="Peer Reviewed Journal"/>
    <s v="Fusi, A., Guidetti, R. and Benedetto, G., Delving into the environmental aspect of a Sardinian white wine: from partial to total life cycle assessment. Science of the Total Environment 2014, 472, 989-1000."/>
    <m/>
    <m/>
    <m/>
    <m/>
    <m/>
    <m/>
    <m/>
    <m/>
    <m/>
    <m/>
    <m/>
    <m/>
    <m/>
    <m/>
    <m/>
    <m/>
    <m/>
    <m/>
    <s v=""/>
    <s v=""/>
    <n v="0.22993197278911567"/>
    <n v="0.6027210884353742"/>
    <m/>
    <m/>
    <m/>
    <m/>
    <m/>
    <m/>
    <m/>
    <m/>
    <m/>
    <m/>
    <m/>
    <m/>
    <m/>
    <n v="0.22993197278911567"/>
    <m/>
    <n v="0.3727891156462585"/>
    <n v="0.76462585034013608"/>
    <s v=""/>
    <s v=""/>
    <m/>
    <s v=""/>
    <m/>
    <n v="0.22993197278911567"/>
    <n v="1.3673469387755104"/>
  </r>
  <r>
    <x v="7"/>
    <x v="225"/>
    <m/>
    <m/>
    <m/>
    <m/>
    <n v="2016"/>
    <s v="Bonamente, E.; Scrucca, F.; Rinaldi, S.; Merico, M. C.; Asdrubali, F.; Lamastra, L.,"/>
    <m/>
    <s v="Peer Reviewed Journal"/>
    <s v="Bonamente, E., Scrucca, F., Rinaldi, S., Merico, M. C., Asdrubali, F. and Lamastra, L., Environmental impact of an Italian wine bottle: Carbon and water footprint assessment. Science of The Total Environment 2016, 560, 274-283."/>
    <m/>
    <m/>
    <m/>
    <m/>
    <m/>
    <m/>
    <m/>
    <m/>
    <m/>
    <m/>
    <m/>
    <m/>
    <m/>
    <m/>
    <m/>
    <m/>
    <m/>
    <m/>
    <s v=""/>
    <s v=""/>
    <n v="1.398639455782313"/>
    <n v="1.4025182312925171"/>
    <m/>
    <m/>
    <m/>
    <m/>
    <m/>
    <m/>
    <m/>
    <m/>
    <m/>
    <m/>
    <m/>
    <m/>
    <m/>
    <n v="1.398639455782313"/>
    <m/>
    <n v="3.8787755102040818E-3"/>
    <s v=""/>
    <n v="0.64414965986394557"/>
    <s v=""/>
    <m/>
    <n v="-0.59278911564625858"/>
    <m/>
    <n v="1.398639455782313"/>
    <n v="1.4538787755102043"/>
  </r>
  <r>
    <x v="7"/>
    <x v="225"/>
    <m/>
    <m/>
    <m/>
    <m/>
    <n v="2012"/>
    <s v="BIER European format"/>
    <m/>
    <s v="Peer Reviewed Journal"/>
    <s v="Beverage Industry Environmental Roundtable, Research on the Carbon Footprint of Wine. 2012, ."/>
    <m/>
    <m/>
    <m/>
    <m/>
    <m/>
    <m/>
    <m/>
    <m/>
    <m/>
    <m/>
    <m/>
    <m/>
    <m/>
    <m/>
    <m/>
    <m/>
    <m/>
    <m/>
    <s v=""/>
    <s v=""/>
    <n v="0.41115646258503408"/>
    <n v="0.53333333333333344"/>
    <m/>
    <m/>
    <m/>
    <m/>
    <m/>
    <m/>
    <m/>
    <m/>
    <m/>
    <m/>
    <m/>
    <m/>
    <m/>
    <n v="0.41115646258503408"/>
    <m/>
    <n v="0.12217687074829936"/>
    <n v="1.1278911564625851"/>
    <n v="9.3605442176870737E-2"/>
    <s v=""/>
    <m/>
    <s v=""/>
    <m/>
    <n v="0.41115646258503408"/>
    <n v="1.7551020408163265"/>
  </r>
  <r>
    <x v="7"/>
    <x v="225"/>
    <m/>
    <m/>
    <m/>
    <m/>
    <n v="2012"/>
    <s v="BIER N. American format"/>
    <m/>
    <s v="Peer Reviewed Journal"/>
    <s v="Beverage Industry Environmental Roundtable, Research on the Carbon Footprint of Wine. 2012, ."/>
    <m/>
    <m/>
    <m/>
    <m/>
    <m/>
    <m/>
    <m/>
    <m/>
    <m/>
    <m/>
    <m/>
    <m/>
    <m/>
    <m/>
    <m/>
    <m/>
    <m/>
    <m/>
    <s v=""/>
    <s v=""/>
    <n v="0.4118367346938776"/>
    <n v="1.1617687074829932"/>
    <m/>
    <m/>
    <m/>
    <m/>
    <m/>
    <m/>
    <m/>
    <m/>
    <m/>
    <m/>
    <m/>
    <m/>
    <m/>
    <n v="0.4118367346938776"/>
    <m/>
    <n v="0.74993197278911561"/>
    <n v="1.1779591836734695"/>
    <n v="9.5918367346938774E-2"/>
    <s v=""/>
    <m/>
    <s v=""/>
    <m/>
    <n v="0.4118367346938776"/>
    <n v="2.435374149659864"/>
  </r>
  <r>
    <x v="7"/>
    <x v="225"/>
    <m/>
    <m/>
    <m/>
    <m/>
    <n v="2013"/>
    <s v="Villanueva-Rey, P.; Vázquez-Rowe, I.; Moreira, M. T.; Feijoo, G."/>
    <m/>
    <s v="Peer Reviewed Journal"/>
    <s v="Villanueva-Rey, P., Vázquez-Rowe, I., Moreira, M. T. and Feijoo, G., Comparative life cycle assessment in the wine sector: biodynamic vs. conventional viticulture activities in NW Spain. Journal of Cleaner Production 2014, 65, 330-341."/>
    <m/>
    <m/>
    <m/>
    <m/>
    <m/>
    <m/>
    <m/>
    <m/>
    <m/>
    <m/>
    <m/>
    <m/>
    <m/>
    <m/>
    <m/>
    <m/>
    <m/>
    <m/>
    <s v=""/>
    <s v=""/>
    <n v="0.13220408163265304"/>
    <s v=""/>
    <m/>
    <m/>
    <m/>
    <m/>
    <m/>
    <m/>
    <m/>
    <m/>
    <m/>
    <m/>
    <m/>
    <m/>
    <m/>
    <n v="0.13220408163265304"/>
    <m/>
    <s v=""/>
    <s v=""/>
    <s v=""/>
    <s v=""/>
    <m/>
    <s v=""/>
    <m/>
    <n v="0.13220408163265304"/>
    <s v=""/>
  </r>
  <r>
    <x v="4"/>
    <x v="80"/>
    <m/>
    <m/>
    <m/>
    <m/>
    <m/>
    <m/>
    <m/>
    <m/>
    <m/>
    <m/>
    <m/>
    <m/>
    <m/>
    <m/>
    <m/>
    <m/>
    <m/>
    <m/>
    <m/>
    <m/>
    <m/>
    <m/>
    <m/>
    <m/>
    <m/>
    <m/>
    <m/>
    <n v="28.264295951765718"/>
    <s v=""/>
    <s v=""/>
    <s v=""/>
    <m/>
    <m/>
    <m/>
    <m/>
    <m/>
    <m/>
    <m/>
    <m/>
    <m/>
    <n v="28.264295951765718"/>
    <m/>
    <m/>
    <s v="grape proxy * mass conv. Factor from FICRCD"/>
    <m/>
    <m/>
    <m/>
    <m/>
    <m/>
    <m/>
    <m/>
    <m/>
    <m/>
    <m/>
    <m/>
  </r>
  <r>
    <x v="4"/>
    <x v="87"/>
    <m/>
    <m/>
    <m/>
    <m/>
    <m/>
    <s v="Ecoinvent 3 process: Grape {GLO}| production | Alloc Def, S"/>
    <m/>
    <m/>
    <s v="Swiss Center for Life Cycle Inventories, Ecoinvent Database version 3.3. 2016, 2016, ."/>
    <m/>
    <m/>
    <m/>
    <m/>
    <m/>
    <m/>
    <m/>
    <m/>
    <m/>
    <m/>
    <m/>
    <m/>
    <m/>
    <m/>
    <m/>
    <m/>
    <m/>
    <m/>
    <n v="2.7020649299999997"/>
    <s v=""/>
    <n v="0.20832000000000001"/>
    <s v=""/>
    <m/>
    <m/>
    <m/>
    <m/>
    <m/>
    <m/>
    <m/>
    <m/>
    <m/>
    <n v="2.7020649299999997"/>
    <m/>
    <m/>
    <m/>
    <m/>
    <m/>
    <m/>
    <m/>
    <m/>
    <m/>
    <m/>
    <m/>
    <m/>
    <n v="0.20832000000000001"/>
    <m/>
  </r>
  <r>
    <x v="9"/>
    <x v="226"/>
    <m/>
    <m/>
    <m/>
    <m/>
    <m/>
    <s v="estimated from processing calculations (see processed foods methods)"/>
    <m/>
    <m/>
    <m/>
    <m/>
    <m/>
    <m/>
    <m/>
    <m/>
    <m/>
    <m/>
    <m/>
    <m/>
    <m/>
    <m/>
    <m/>
    <m/>
    <m/>
    <m/>
    <m/>
    <m/>
    <m/>
    <s v=""/>
    <n v="69.364547771906771"/>
    <s v=""/>
    <n v="6.7544572691172551"/>
    <m/>
    <m/>
    <n v="69.364547771906771"/>
    <m/>
    <m/>
    <m/>
    <m/>
    <m/>
    <m/>
    <m/>
    <m/>
    <m/>
    <m/>
    <m/>
    <m/>
    <n v="6.7544572691172551"/>
    <m/>
    <m/>
    <m/>
    <m/>
    <m/>
    <m/>
    <m/>
    <m/>
  </r>
  <r>
    <x v="1"/>
    <x v="227"/>
    <m/>
    <m/>
    <m/>
    <m/>
    <m/>
    <s v="assumed as average of ONLY processing stage for beef entries"/>
    <m/>
    <m/>
    <m/>
    <m/>
    <m/>
    <m/>
    <m/>
    <m/>
    <m/>
    <m/>
    <m/>
    <m/>
    <m/>
    <m/>
    <m/>
    <m/>
    <m/>
    <m/>
    <m/>
    <m/>
    <m/>
    <s v=""/>
    <n v="8.5"/>
    <s v=""/>
    <n v="0.84"/>
    <m/>
    <m/>
    <n v="8.5"/>
    <m/>
    <m/>
    <m/>
    <m/>
    <m/>
    <m/>
    <m/>
    <m/>
    <m/>
    <m/>
    <m/>
    <m/>
    <n v="0.84"/>
    <m/>
    <m/>
    <m/>
    <m/>
    <m/>
    <m/>
    <m/>
    <m/>
  </r>
  <r>
    <x v="7"/>
    <x v="228"/>
    <m/>
    <s v="Tap best_x000a_37"/>
    <m/>
    <m/>
    <n v="2009"/>
    <s v="Franklin Associates"/>
    <m/>
    <s v="Government Report"/>
    <s v="Franklin Associates, Life Cycle Assessment of Drinking Water Systems: Bottle Water, Tap Water, and Home/Office Delivery Water. 2009,  (09-LQ-104), ."/>
    <m/>
    <m/>
    <m/>
    <m/>
    <m/>
    <m/>
    <m/>
    <m/>
    <m/>
    <m/>
    <m/>
    <m/>
    <m/>
    <m/>
    <m/>
    <m/>
    <m/>
    <m/>
    <s v=""/>
    <n v="4.1807661240187933E-3"/>
    <s v=""/>
    <n v="2.7919572459079257E-4"/>
    <m/>
    <m/>
    <n v="4.1807661240187933E-3"/>
    <n v="3.2888693508947848E-3"/>
    <n v="0"/>
    <m/>
    <n v="1.2821016113657633E-2"/>
    <n v="3.1550848349261826E-5"/>
    <m/>
    <m/>
    <n v="2.0322202436920473E-2"/>
    <m/>
    <m/>
    <m/>
    <m/>
    <n v="2.7919572459079257E-4"/>
    <n v="1.4618831931363383E-4"/>
    <m/>
    <m/>
    <n v="8.2081146499868188E-4"/>
    <n v="8.2200972991108875E-6"/>
    <m/>
    <n v="0"/>
    <n v="1.2544156062022191E-3"/>
  </r>
  <r>
    <x v="4"/>
    <x v="185"/>
    <m/>
    <m/>
    <m/>
    <s v="Tunisia"/>
    <m/>
    <s v="Ecoinvent process: Palm date, conditioned and dried, organic {GLO}| palm date production, conditioned and dried, organic | Alloc Def, S"/>
    <m/>
    <m/>
    <s v="Swiss Center for Life Cycle Inventories, Ecoinvent Database version 3.3. 2016, 2016, ."/>
    <m/>
    <m/>
    <m/>
    <m/>
    <m/>
    <m/>
    <m/>
    <m/>
    <m/>
    <m/>
    <m/>
    <m/>
    <m/>
    <m/>
    <m/>
    <m/>
    <m/>
    <m/>
    <n v="19.814250000000001"/>
    <s v=""/>
    <n v="3.5733000000000001"/>
    <s v=""/>
    <m/>
    <m/>
    <m/>
    <m/>
    <m/>
    <m/>
    <m/>
    <m/>
    <m/>
    <n v="19.814250000000001"/>
    <m/>
    <m/>
    <m/>
    <m/>
    <m/>
    <m/>
    <m/>
    <m/>
    <m/>
    <m/>
    <m/>
    <m/>
    <n v="3.5733000000000001"/>
    <m/>
  </r>
  <r>
    <x v="4"/>
    <x v="185"/>
    <m/>
    <m/>
    <m/>
    <s v="Tunisia"/>
    <m/>
    <s v="Ecoinvent process: Palm date, conditioned and dried {GLO}| palm date production, conditioned and dried | Alloc Def, S"/>
    <m/>
    <m/>
    <s v="Swiss Center for Life Cycle Inventories, Ecoinvent Database version 3.3. 2016, 2016, ."/>
    <m/>
    <m/>
    <m/>
    <m/>
    <m/>
    <m/>
    <m/>
    <m/>
    <m/>
    <m/>
    <m/>
    <m/>
    <m/>
    <m/>
    <m/>
    <m/>
    <m/>
    <m/>
    <n v="18.157867"/>
    <s v=""/>
    <n v="2.5215999999999998"/>
    <s v=""/>
    <m/>
    <m/>
    <m/>
    <m/>
    <m/>
    <m/>
    <m/>
    <m/>
    <m/>
    <n v="18.157867"/>
    <m/>
    <m/>
    <m/>
    <m/>
    <m/>
    <m/>
    <m/>
    <m/>
    <m/>
    <m/>
    <m/>
    <m/>
    <n v="2.5215999999999998"/>
    <m/>
  </r>
  <r>
    <x v="7"/>
    <x v="229"/>
    <m/>
    <s v="PET ref R1"/>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0.52766842839949202"/>
    <m/>
    <m/>
    <n v="2.758971180562483"/>
    <m/>
    <m/>
    <m/>
    <m/>
    <n v="1.0926977736237927E-2"/>
    <n v="0.11726220432813288"/>
    <n v="7.2135547726891458E-3"/>
    <m/>
    <n v="9.3704316150214507E-3"/>
    <n v="-1.0515972871282383E-2"/>
    <m/>
    <n v="0"/>
    <n v="0.13425719558079902"/>
  </r>
  <r>
    <x v="7"/>
    <x v="229"/>
    <m/>
    <s v="PET ref R2"/>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7.8040967648350802E-4"/>
    <m/>
    <m/>
    <n v="3.2874200186384588"/>
    <m/>
    <m/>
    <m/>
    <m/>
    <n v="1.0926977736237927E-2"/>
    <n v="0.11726220432813288"/>
    <n v="7.2135547726891458E-3"/>
    <m/>
    <n v="9.3704316150214507E-3"/>
    <n v="3.2964267740312032E-3"/>
    <m/>
    <n v="0"/>
    <n v="0.1480695952261126"/>
  </r>
  <r>
    <x v="7"/>
    <x v="229"/>
    <m/>
    <s v="PET ref R3"/>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1.040230355204196"/>
    <m/>
    <m/>
    <n v="2.2464092537577791"/>
    <m/>
    <m/>
    <m/>
    <m/>
    <n v="1.0926977736237927E-2"/>
    <n v="0.11726220432813288"/>
    <n v="7.2135547726891458E-3"/>
    <m/>
    <n v="9.3704316150214507E-3"/>
    <n v="-2.7098760994080571E-2"/>
    <m/>
    <n v="0"/>
    <n v="0.11767440745800084"/>
  </r>
  <r>
    <x v="7"/>
    <x v="229"/>
    <m/>
    <s v="PET 1 liter"/>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3.7125203181286892"/>
    <n v="0.10033838697645106"/>
    <m/>
    <n v="6.6892257984300693E-2"/>
    <n v="-0.73187098178365007"/>
    <m/>
    <m/>
    <n v="3.3156680617497449"/>
    <m/>
    <m/>
    <m/>
    <m/>
    <n v="1.0926977736237927E-2"/>
    <n v="0.15299446401610467"/>
    <n v="7.2734680183094884E-3"/>
    <m/>
    <n v="4.7211637548829292E-3"/>
    <n v="-1.4579289189253962E-2"/>
    <m/>
    <n v="0"/>
    <n v="0.16133678433628107"/>
  </r>
  <r>
    <x v="7"/>
    <x v="229"/>
    <m/>
    <s v="PET 8oz"/>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5.6523957996734087"/>
    <n v="0.10312556439246358"/>
    <m/>
    <n v="0.27593056418524042"/>
    <n v="-1.0393663302052321"/>
    <m/>
    <m/>
    <n v="5.1598736784898351"/>
    <m/>
    <m/>
    <m/>
    <m/>
    <n v="1.0926977736237927E-2"/>
    <n v="0.23006686318211231"/>
    <n v="7.4532077551705128E-3"/>
    <m/>
    <n v="1.9771371054712779E-2"/>
    <n v="-2.0789896230258582E-2"/>
    <m/>
    <n v="0"/>
    <n v="0.24742852349797492"/>
  </r>
  <r>
    <x v="7"/>
    <x v="229"/>
    <m/>
    <s v="PET light"/>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2631880618021736"/>
    <n v="0.10033838697645106"/>
    <m/>
    <n v="0.13099733855258888"/>
    <n v="-0.39941645960167549"/>
    <m/>
    <m/>
    <n v="2.2628954081734927"/>
    <m/>
    <m/>
    <m/>
    <m/>
    <n v="1.0926977736237927E-2"/>
    <n v="9.1379682220145239E-2"/>
    <n v="7.1536415270688049E-3"/>
    <m/>
    <n v="9.3704316150214507E-3"/>
    <n v="-7.968461667505455E-3"/>
    <m/>
    <n v="0"/>
    <n v="0.11086227143096797"/>
  </r>
  <r>
    <x v="7"/>
    <x v="229"/>
    <m/>
    <s v="PET light, low mold"/>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243677819890086"/>
    <n v="0.10033838697645106"/>
    <m/>
    <n v="0.13099733855258888"/>
    <n v="-0.39941645960167549"/>
    <m/>
    <m/>
    <n v="2.2433851662614051"/>
    <m/>
    <m/>
    <m/>
    <m/>
    <n v="1.0926977736237927E-2"/>
    <n v="9.0061590816497714E-2"/>
    <n v="7.1536415270688049E-3"/>
    <m/>
    <n v="9.3704316150214507E-3"/>
    <n v="-7.968461667505455E-3"/>
    <m/>
    <n v="0"/>
    <n v="0.10954418002732044"/>
  </r>
  <r>
    <x v="7"/>
    <x v="229"/>
    <m/>
    <s v="25% rPET R1"/>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6784774967880405"/>
    <n v="0.10033838697645106"/>
    <m/>
    <n v="0.13099733855258888"/>
    <n v="-0.4552018155831663"/>
    <m/>
    <m/>
    <n v="2.6223994871778684"/>
    <m/>
    <m/>
    <m/>
    <m/>
    <n v="1.0926977736237927E-2"/>
    <n v="0.11031226783617321"/>
    <n v="7.2135547726891458E-3"/>
    <m/>
    <n v="9.3704316150214507E-3"/>
    <n v="-8.4309919236944912E-3"/>
    <m/>
    <n v="0"/>
    <n v="0.12939224003642724"/>
  </r>
  <r>
    <x v="7"/>
    <x v="229"/>
    <m/>
    <s v="25% rPET R2"/>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4694391905871003"/>
    <n v="0.10033838697645106"/>
    <m/>
    <n v="0.13099733855258888"/>
    <n v="7.8040967648350802E-4"/>
    <m/>
    <m/>
    <n v="2.8693434062365784"/>
    <m/>
    <m/>
    <m/>
    <m/>
    <n v="1.0926977736237927E-2"/>
    <n v="0.10324250485297289"/>
    <n v="7.2135547726891458E-3"/>
    <m/>
    <n v="9.3704316150214507E-3"/>
    <n v="3.2964267740312032E-3"/>
    <m/>
    <n v="0"/>
    <n v="0.13404989575095261"/>
  </r>
  <r>
    <x v="7"/>
    <x v="229"/>
    <m/>
    <s v="25% rPET R3"/>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1.040230355204196"/>
    <m/>
    <m/>
    <n v="2.2464092537577791"/>
    <m/>
    <m/>
    <m/>
    <m/>
    <n v="1.0926977736237927E-2"/>
    <n v="0.11726220432813288"/>
    <n v="7.2135547726891458E-3"/>
    <m/>
    <n v="9.3704316150214507E-3"/>
    <n v="-2.7098760994080571E-2"/>
    <m/>
    <n v="0"/>
    <n v="0.11767440745800084"/>
  </r>
  <r>
    <x v="7"/>
    <x v="229"/>
    <m/>
    <s v="PLA 0 decomp"/>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1795727393217978"/>
    <n v="0.10033838697645106"/>
    <m/>
    <n v="0.13099733855258888"/>
    <n v="-3.2944437057268093E-2"/>
    <m/>
    <m/>
    <n v="2.5457521082375241"/>
    <m/>
    <m/>
    <m/>
    <m/>
    <n v="1.0926977736237927E-2"/>
    <n v="0.12253456994272294"/>
    <n v="7.2135547726891458E-3"/>
    <m/>
    <n v="9.3704316150214507E-3"/>
    <n v="-4.641598964699116E-2"/>
    <m/>
    <n v="0"/>
    <n v="0.10362954441968032"/>
  </r>
  <r>
    <x v="7"/>
    <x v="229"/>
    <m/>
    <s v="PLA 100 decomp"/>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1795727393217978"/>
    <n v="0.10033838697645106"/>
    <m/>
    <n v="0.13099733855258888"/>
    <n v="-0.15697383206982565"/>
    <m/>
    <m/>
    <n v="2.4217227132249666"/>
    <m/>
    <m/>
    <m/>
    <m/>
    <n v="1.0926977736237927E-2"/>
    <n v="0.12253456994272294"/>
    <n v="7.2135547726891458E-3"/>
    <m/>
    <n v="9.3704316150214507E-3"/>
    <n v="6.6939871066695425E-2"/>
    <m/>
    <n v="0"/>
    <n v="0.21698540513336689"/>
  </r>
  <r>
    <x v="7"/>
    <x v="229"/>
    <m/>
    <s v="PLA compost"/>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1795727393217978"/>
    <n v="0.10033838697645106"/>
    <m/>
    <n v="0.13099733855258888"/>
    <n v="-3.7961356406090642E-2"/>
    <m/>
    <m/>
    <n v="2.5407351888887018"/>
    <m/>
    <m/>
    <m/>
    <m/>
    <n v="1.0926977736237927E-2"/>
    <n v="0.12253456994272294"/>
    <n v="7.2135547726891458E-3"/>
    <m/>
    <n v="9.3704316150214507E-3"/>
    <n v="-8.6472184198043444E-20"/>
    <m/>
    <n v="0"/>
    <n v="0.15004553406667148"/>
  </r>
  <r>
    <x v="7"/>
    <x v="229"/>
    <m/>
    <s v="PET nat"/>
    <m/>
    <m/>
    <n v="2009"/>
    <s v="Franklin Associates"/>
    <m/>
    <s v="Government Report"/>
    <s v="Franklin Associates, Life Cycle Assessment of Drinking Water Systems: Bottle Water, Tap Water, and Home/Office Delivery Water. 2009,  (09-LQ-104), ."/>
    <m/>
    <m/>
    <m/>
    <m/>
    <m/>
    <m/>
    <m/>
    <m/>
    <m/>
    <m/>
    <m/>
    <m/>
    <m/>
    <m/>
    <m/>
    <m/>
    <m/>
    <m/>
    <s v=""/>
    <n v="8.4172757963578398E-2"/>
    <s v=""/>
    <n v="5.438924437414624E-3"/>
    <m/>
    <m/>
    <n v="8.4172757963578398E-2"/>
    <n v="2.8875158029889807"/>
    <n v="0.26199467710517776"/>
    <m/>
    <n v="0.13099733855258888"/>
    <n v="-0.52819799210853446"/>
    <m/>
    <m/>
    <n v="2.8364825845017911"/>
    <m/>
    <m/>
    <m/>
    <m/>
    <n v="5.438924437414624E-3"/>
    <n v="0.11726220432813288"/>
    <n v="1.8692932633546624E-2"/>
    <m/>
    <n v="9.3704316150214507E-3"/>
    <n v="-1.0551920818654588E-2"/>
    <m/>
    <n v="0"/>
    <n v="0.14021257219546102"/>
  </r>
  <r>
    <x v="7"/>
    <x v="229"/>
    <m/>
    <s v="PET Maine nat"/>
    <m/>
    <m/>
    <n v="2009"/>
    <s v="Franklin Associates"/>
    <m/>
    <s v="Government Report"/>
    <s v="Franklin Associates, Life Cycle Assessment of Drinking Water Systems: Bottle Water, Tap Water, and Home/Office Delivery Water. 2009,  (09-LQ-104), ."/>
    <m/>
    <m/>
    <m/>
    <m/>
    <m/>
    <m/>
    <m/>
    <m/>
    <m/>
    <m/>
    <m/>
    <m/>
    <m/>
    <m/>
    <m/>
    <m/>
    <m/>
    <m/>
    <s v=""/>
    <n v="0.10842120148288739"/>
    <s v=""/>
    <n v="7.5107244709660412E-3"/>
    <m/>
    <m/>
    <n v="0.10842120148288739"/>
    <n v="2.9655567706373311"/>
    <n v="6.6334822501098181"/>
    <m/>
    <n v="0.13099733855258888"/>
    <n v="-0.52819799210853446"/>
    <m/>
    <m/>
    <n v="9.3102595686740912"/>
    <m/>
    <m/>
    <m/>
    <m/>
    <n v="7.5107244709660412E-3"/>
    <n v="0.12421214082009251"/>
    <n v="0.47127759004960817"/>
    <m/>
    <n v="9.3704316150214507E-3"/>
    <n v="-1.0551920818654588E-2"/>
    <m/>
    <n v="0"/>
    <n v="0.60181896613703356"/>
  </r>
  <r>
    <x v="7"/>
    <x v="229"/>
    <m/>
    <s v="PET Fiji nat"/>
    <m/>
    <m/>
    <n v="2009"/>
    <s v="Franklin Associates"/>
    <m/>
    <s v="Government Report"/>
    <s v="Franklin Associates, Life Cycle Assessment of Drinking Water Systems: Bottle Water, Tap Water, and Home/Office Delivery Water. 2009,  (09-LQ-104), ."/>
    <m/>
    <m/>
    <m/>
    <m/>
    <m/>
    <m/>
    <m/>
    <m/>
    <m/>
    <m/>
    <m/>
    <m/>
    <m/>
    <m/>
    <m/>
    <m/>
    <m/>
    <m/>
    <s v=""/>
    <n v="8.2305349094849989E-3"/>
    <s v=""/>
    <n v="5.7121288374433821E-4"/>
    <m/>
    <m/>
    <n v="8.2305349094849989E-3"/>
    <n v="5.6022266061851838"/>
    <n v="3.8741766082574158"/>
    <m/>
    <n v="0.13099733855258888"/>
    <n v="-1.044020916489973"/>
    <m/>
    <m/>
    <n v="8.5716101714147008"/>
    <m/>
    <m/>
    <m/>
    <m/>
    <n v="5.7121288374433821E-4"/>
    <n v="0.23797541160399741"/>
    <n v="0.28542670213530807"/>
    <m/>
    <n v="9.3704316150214507E-3"/>
    <n v="-2.0571812016200536E-2"/>
    <m/>
    <n v="0"/>
    <n v="0.51277194622187083"/>
  </r>
  <r>
    <x v="7"/>
    <x v="229"/>
    <m/>
    <s v="PET Fiji free sea"/>
    <m/>
    <m/>
    <n v="2009"/>
    <s v="Franklin Associates"/>
    <m/>
    <s v="Government Report"/>
    <s v="Franklin Associates, Life Cycle Assessment of Drinking Water Systems: Bottle Water, Tap Water, and Home/Office Delivery Water. 2009,  (09-LQ-104), ."/>
    <m/>
    <m/>
    <m/>
    <m/>
    <m/>
    <m/>
    <m/>
    <m/>
    <m/>
    <m/>
    <m/>
    <m/>
    <m/>
    <m/>
    <m/>
    <m/>
    <m/>
    <m/>
    <s v=""/>
    <n v="8.2305349094849989E-3"/>
    <s v=""/>
    <n v="5.7121288374433821E-4"/>
    <m/>
    <m/>
    <n v="8.2305349094849989E-3"/>
    <n v="5.6022266061851838"/>
    <n v="1.9231524170486451"/>
    <m/>
    <n v="0.13099733855258888"/>
    <n v="-1.044020916489973"/>
    <m/>
    <m/>
    <n v="6.620585980205929"/>
    <m/>
    <m/>
    <m/>
    <m/>
    <n v="5.7121288374433821E-4"/>
    <n v="0.23797541160399741"/>
    <n v="0.13684185299686055"/>
    <m/>
    <n v="9.3704316150214507E-3"/>
    <n v="-2.0571812016200536E-2"/>
    <m/>
    <n v="0"/>
    <n v="0.36418709708342323"/>
  </r>
  <r>
    <x v="7"/>
    <x v="229"/>
    <m/>
    <s v="PET 500 mi empty"/>
    <m/>
    <m/>
    <n v="2009"/>
    <s v="Franklin Associates"/>
    <m/>
    <s v="Government Report"/>
    <s v="Franklin Associates, Life Cycle Assessment of Drinking Water Systems: Bottle Water, Tap Water, and Home/Office Delivery Water. 2009,  (09-LQ-104), ."/>
    <m/>
    <m/>
    <m/>
    <m/>
    <m/>
    <m/>
    <m/>
    <m/>
    <m/>
    <m/>
    <m/>
    <m/>
    <m/>
    <m/>
    <m/>
    <m/>
    <m/>
    <m/>
    <s v=""/>
    <n v="0.16778808044395427"/>
    <s v=""/>
    <n v="4.8170249478754765E-3"/>
    <m/>
    <m/>
    <n v="0.16778808044395427"/>
    <n v="3.1160643511020067"/>
    <n v="0.10033838697645106"/>
    <m/>
    <n v="0.13099733855258888"/>
    <n v="-0.52766842839949202"/>
    <m/>
    <m/>
    <n v="2.9875197286755091"/>
    <m/>
    <m/>
    <m/>
    <m/>
    <n v="4.8170249478754765E-3"/>
    <n v="0.64933975603326377"/>
    <n v="0.85148704675629694"/>
    <m/>
    <n v="1.3061087545234501E-2"/>
    <n v="-0.16448582452608623"/>
    <m/>
    <n v="0"/>
    <n v="1.3542190907565845"/>
  </r>
  <r>
    <x v="7"/>
    <x v="229"/>
    <m/>
    <s v="PET 100% store trip"/>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3.2609975767346593"/>
    <n v="-0.52766842839949202"/>
    <m/>
    <m/>
    <n v="5.8889714187445534"/>
    <m/>
    <m/>
    <m/>
    <m/>
    <n v="1.0926977736237927E-2"/>
    <n v="0.13355860713686579"/>
    <n v="7.2135547726891458E-3"/>
    <m/>
    <n v="9.3704316150214507E-3"/>
    <n v="-1.0515972871282383E-2"/>
    <m/>
    <n v="0"/>
    <n v="0.15055359838953195"/>
  </r>
  <r>
    <x v="7"/>
    <x v="229"/>
    <m/>
    <s v="PET refrig"/>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22297419328100232"/>
    <n v="-0.52766842839949202"/>
    <m/>
    <m/>
    <n v="2.8509480352908962"/>
    <m/>
    <m/>
    <m/>
    <m/>
    <n v="1.0926977736237927E-2"/>
    <n v="0.10432094327413906"/>
    <n v="7.2135547726891458E-3"/>
    <m/>
    <n v="0.23270304598940733"/>
    <n v="-1.0515972871282383E-2"/>
    <m/>
    <n v="0"/>
    <n v="0.34464854890119112"/>
  </r>
  <r>
    <x v="7"/>
    <x v="229"/>
    <m/>
    <s v="PET 37%R"/>
    <m/>
    <m/>
    <n v="2009"/>
    <s v="Franklin Associates"/>
    <m/>
    <s v="Government Report"/>
    <s v="Franklin Associates, Life Cycle Assessment of Drinking Water Systems: Bottle Water, Tap Water, and Home/Office Delivery Water. 2009,  (09-LQ-104), ."/>
    <m/>
    <m/>
    <m/>
    <m/>
    <m/>
    <m/>
    <m/>
    <m/>
    <m/>
    <m/>
    <m/>
    <m/>
    <m/>
    <m/>
    <m/>
    <m/>
    <m/>
    <m/>
    <s v=""/>
    <n v="0.16778808044395427"/>
    <s v=""/>
    <n v="1.0926977736237927E-2"/>
    <m/>
    <m/>
    <n v="0.16778808044395427"/>
    <n v="2.8875158029889807"/>
    <n v="0.10033838697645106"/>
    <m/>
    <n v="0.13099733855258888"/>
    <n v="-0.3269916544465899"/>
    <m/>
    <m/>
    <n v="2.9596479545153853"/>
    <m/>
    <m/>
    <m/>
    <m/>
    <n v="1.0926977736237927E-2"/>
    <n v="0.11726220432813288"/>
    <n v="7.2135547726891458E-3"/>
    <m/>
    <n v="1.5241929685814943E-2"/>
    <n v="-1.0515972871282383E-2"/>
    <m/>
    <n v="0"/>
    <n v="0.1401286936515925"/>
  </r>
  <r>
    <x v="7"/>
    <x v="229"/>
    <m/>
    <s v="PET best"/>
    <m/>
    <m/>
    <n v="2009"/>
    <s v="Franklin Associates"/>
    <m/>
    <s v="Government Report"/>
    <s v="Franklin Associates, Life Cycle Assessment of Drinking Water Systems: Bottle Water, Tap Water, and Home/Office Delivery Water. 2009,  (09-LQ-104), ."/>
    <m/>
    <m/>
    <m/>
    <m/>
    <m/>
    <m/>
    <m/>
    <m/>
    <m/>
    <m/>
    <m/>
    <m/>
    <m/>
    <m/>
    <m/>
    <m/>
    <m/>
    <m/>
    <s v=""/>
    <n v="6.2488517667000911E-3"/>
    <s v=""/>
    <n v="1.0926977736237927E-2"/>
    <m/>
    <m/>
    <n v="6.2488517667000911E-3"/>
    <n v="2.1433394329136344"/>
    <n v="3.902048382417541E-2"/>
    <m/>
    <n v="8.9189677312400935E-4"/>
    <n v="-1.144791315965906"/>
    <m/>
    <m/>
    <n v="1.0447093493117277"/>
    <m/>
    <m/>
    <m/>
    <m/>
    <n v="1.0926977736237927E-2"/>
    <n v="0.11726220432813288"/>
    <n v="7.2135547726891458E-3"/>
    <m/>
    <n v="9.3704316150214507E-3"/>
    <n v="-4.5605962566204142E-3"/>
    <m/>
    <n v="0"/>
    <n v="0.14021257219546099"/>
  </r>
  <r>
    <x v="7"/>
    <x v="229"/>
    <m/>
    <s v="PET worst"/>
    <m/>
    <m/>
    <n v="2009"/>
    <s v="Franklin Associates"/>
    <m/>
    <s v="Government Report"/>
    <s v="Franklin Associates, Life Cycle Assessment of Drinking Water Systems: Bottle Water, Tap Water, and Home/Office Delivery Water. 2009,  (09-LQ-104), ."/>
    <m/>
    <m/>
    <m/>
    <m/>
    <m/>
    <m/>
    <m/>
    <m/>
    <m/>
    <m/>
    <m/>
    <m/>
    <m/>
    <m/>
    <m/>
    <m/>
    <m/>
    <m/>
    <s v=""/>
    <n v="0.11956991114693753"/>
    <s v=""/>
    <n v="4.1376087425408015E-4"/>
    <m/>
    <m/>
    <n v="0.11956991114693753"/>
    <n v="6.1122800733154756"/>
    <n v="6.8564564433908215"/>
    <m/>
    <n v="7.2661715235446636"/>
    <n v="-8.6660035089627968E-2"/>
    <m/>
    <m/>
    <n v="20.267817916308267"/>
    <m/>
    <m/>
    <m/>
    <m/>
    <n v="4.1376087425408015E-4"/>
    <n v="8.4238023342200485E-2"/>
    <n v="2.8518704915282676E-3"/>
    <m/>
    <n v="6.230977544515541E-5"/>
    <n v="-2.9761305629448561E-2"/>
    <m/>
    <n v="0"/>
    <n v="5.7804658853979424E-2"/>
  </r>
  <r>
    <x v="7"/>
    <x v="229"/>
    <m/>
    <s v="PLA best"/>
    <m/>
    <m/>
    <n v="2009"/>
    <s v="Franklin Associates"/>
    <m/>
    <s v="Government Report"/>
    <s v="Franklin Associates, Life Cycle Assessment of Drinking Water Systems: Bottle Water, Tap Water, and Home/Office Delivery Water. 2009,  (09-LQ-104), ."/>
    <m/>
    <m/>
    <m/>
    <m/>
    <m/>
    <m/>
    <m/>
    <m/>
    <m/>
    <m/>
    <m/>
    <m/>
    <m/>
    <m/>
    <m/>
    <m/>
    <m/>
    <m/>
    <s v=""/>
    <n v="6.2488517667000911E-3"/>
    <s v=""/>
    <n v="8.2895966640304849E-3"/>
    <m/>
    <m/>
    <n v="6.2488517667000911E-3"/>
    <n v="1.6221372561192919"/>
    <n v="3.902048382417541E-2"/>
    <m/>
    <n v="8.9189677312400935E-4"/>
    <n v="7.1491100720721375E-3"/>
    <m/>
    <m/>
    <n v="1.6754475985553636"/>
    <m/>
    <m/>
    <m/>
    <m/>
    <n v="8.2895966640304849E-3"/>
    <n v="0.26265966879957825"/>
    <n v="0.48817312531454454"/>
    <m/>
    <n v="0.51621252426486453"/>
    <n v="7.9099863397800001E-3"/>
    <m/>
    <n v="0"/>
    <n v="1.2832449013827978"/>
  </r>
  <r>
    <x v="7"/>
    <x v="228"/>
    <m/>
    <s v="Tap Al ref_x000a_26"/>
    <m/>
    <m/>
    <n v="2009"/>
    <s v="Franklin Associates"/>
    <m/>
    <s v="Government Report"/>
    <s v="Franklin Associates, Life Cycle Assessment of Drinking Water Systems: Bottle Water, Tap Water, and Home/Office Delivery Water. 2009,  (09-LQ-104), ."/>
    <m/>
    <m/>
    <m/>
    <m/>
    <m/>
    <m/>
    <m/>
    <m/>
    <m/>
    <m/>
    <m/>
    <m/>
    <m/>
    <m/>
    <m/>
    <m/>
    <m/>
    <m/>
    <s v=""/>
    <n v="7.8040967648350824E-3"/>
    <s v=""/>
    <n v="5.0087473338605696E-4"/>
    <m/>
    <m/>
    <n v="7.8040967648350824E-3"/>
    <n v="0.10033838697645107"/>
    <n v="0"/>
    <m/>
    <n v="0.51562782196231782"/>
    <n v="2.0848087071773718E-3"/>
    <m/>
    <m/>
    <n v="0.62585511441078134"/>
    <m/>
    <m/>
    <m/>
    <m/>
    <n v="5.0087473338605696E-4"/>
    <n v="6.967910465645745E-3"/>
    <m/>
    <m/>
    <n v="3.3072111582428648E-2"/>
    <n v="1.5577443861288854E-4"/>
    <m/>
    <n v="0"/>
    <n v="4.0696671220073338E-2"/>
  </r>
  <r>
    <x v="7"/>
    <x v="228"/>
    <m/>
    <s v="Tap PET_x000a_27"/>
    <m/>
    <m/>
    <n v="2009"/>
    <s v="Franklin Associates"/>
    <m/>
    <s v="Government Report"/>
    <s v="Franklin Associates, Life Cycle Assessment of Drinking Water Systems: Bottle Water, Tap Water, and Home/Office Delivery Water. 2009,  (09-LQ-104), ."/>
    <m/>
    <m/>
    <m/>
    <m/>
    <m/>
    <m/>
    <m/>
    <m/>
    <m/>
    <m/>
    <m/>
    <m/>
    <m/>
    <m/>
    <m/>
    <m/>
    <m/>
    <m/>
    <s v=""/>
    <n v="6.4105080568288165E-3"/>
    <s v=""/>
    <n v="4.1699618951757854E-4"/>
    <m/>
    <m/>
    <n v="6.4105080568288165E-3"/>
    <n v="3.2888693508947846E-2"/>
    <n v="0"/>
    <m/>
    <n v="0.32331258025745341"/>
    <n v="1.1823206598725151E-3"/>
    <m/>
    <m/>
    <n v="0.36379410248310257"/>
    <m/>
    <m/>
    <m/>
    <m/>
    <n v="4.1699618951757854E-4"/>
    <n v="1.4582883983991182E-3"/>
    <m/>
    <m/>
    <n v="2.061015649339756E-2"/>
    <n v="1.4091595369904378E-4"/>
    <m/>
    <n v="0"/>
    <n v="2.2626357035013301E-2"/>
  </r>
  <r>
    <x v="7"/>
    <x v="228"/>
    <m/>
    <s v="Tap steel_x000a_28"/>
    <m/>
    <m/>
    <n v="2009"/>
    <s v="Franklin Associates"/>
    <m/>
    <s v="Government Report"/>
    <s v="Franklin Associates, Life Cycle Assessment of Drinking Water Systems: Bottle Water, Tap Water, and Home/Office Delivery Water. 2009,  (09-LQ-104), ."/>
    <m/>
    <m/>
    <m/>
    <m/>
    <m/>
    <m/>
    <m/>
    <m/>
    <m/>
    <m/>
    <m/>
    <m/>
    <m/>
    <m/>
    <m/>
    <m/>
    <m/>
    <m/>
    <s v=""/>
    <n v="6.9679435400313225E-3"/>
    <s v=""/>
    <n v="4.4215975267812211E-4"/>
    <m/>
    <m/>
    <n v="6.9679435400313225E-3"/>
    <n v="4.8496887038618007E-2"/>
    <n v="0"/>
    <m/>
    <n v="0.38184330599371652"/>
    <n v="1.7439369091990389E-3"/>
    <m/>
    <m/>
    <n v="0.43905207348156489"/>
    <m/>
    <m/>
    <m/>
    <m/>
    <n v="4.4215975267812211E-4"/>
    <n v="4.7714908812040166E-3"/>
    <m/>
    <m/>
    <n v="2.4444604213099432E-2"/>
    <n v="1.4858484913844754E-4"/>
    <m/>
    <n v="0"/>
    <n v="2.9806839696120017E-2"/>
  </r>
  <r>
    <x v="7"/>
    <x v="228"/>
    <m/>
    <s v="Tap glass_x000a_29"/>
    <m/>
    <m/>
    <n v="2009"/>
    <s v="Franklin Associates"/>
    <m/>
    <s v="Government Report"/>
    <s v="Franklin Associates, Life Cycle Assessment of Drinking Water Systems: Bottle Water, Tap Water, and Home/Office Delivery Water. 2009,  (09-LQ-104), ."/>
    <m/>
    <m/>
    <m/>
    <m/>
    <m/>
    <m/>
    <m/>
    <m/>
    <m/>
    <m/>
    <m/>
    <m/>
    <m/>
    <m/>
    <m/>
    <m/>
    <m/>
    <m/>
    <s v=""/>
    <n v="8.6402499896388405E-3"/>
    <s v=""/>
    <n v="5.5719318426917836E-4"/>
    <m/>
    <m/>
    <n v="8.6402499896388405E-3"/>
    <n v="1.4493322563265151E-2"/>
    <n v="0"/>
    <m/>
    <n v="0.64662516051490682"/>
    <n v="2.4805879002511508E-3"/>
    <m/>
    <m/>
    <n v="0.67223932096806194"/>
    <m/>
    <m/>
    <m/>
    <m/>
    <n v="5.5719318426917836E-4"/>
    <n v="1.1203776931003905E-3"/>
    <m/>
    <m/>
    <n v="4.1340139478035796E-2"/>
    <n v="1.6895535264936371E-4"/>
    <m/>
    <n v="0"/>
    <n v="4.3186665708054732E-2"/>
  </r>
  <r>
    <x v="7"/>
    <x v="228"/>
    <m/>
    <s v="Tap Al 5 yr_x000a_30"/>
    <m/>
    <m/>
    <n v="2009"/>
    <s v="Franklin Associates"/>
    <m/>
    <s v="Government Report"/>
    <s v="Franklin Associates, Life Cycle Assessment of Drinking Water Systems: Bottle Water, Tap Water, and Home/Office Delivery Water. 2009,  (09-LQ-104), ."/>
    <m/>
    <m/>
    <m/>
    <m/>
    <m/>
    <m/>
    <m/>
    <m/>
    <m/>
    <m/>
    <m/>
    <m/>
    <m/>
    <m/>
    <m/>
    <m/>
    <m/>
    <m/>
    <s v=""/>
    <n v="7.8040967648350824E-3"/>
    <s v=""/>
    <n v="5.0087473338605696E-4"/>
    <m/>
    <m/>
    <n v="7.8040967648350824E-3"/>
    <n v="2.0067677395290213E-2"/>
    <n v="0"/>
    <m/>
    <n v="0.51562782196231782"/>
    <n v="1.8022167889678612E-3"/>
    <m/>
    <m/>
    <n v="0.545301812911411"/>
    <m/>
    <m/>
    <m/>
    <m/>
    <n v="5.0087473338605696E-4"/>
    <n v="1.3959786229539627E-3"/>
    <m/>
    <m/>
    <n v="3.3072111582428648E-2"/>
    <n v="1.2414024492534811E-4"/>
    <m/>
    <n v="0"/>
    <n v="3.5093105183694011E-2"/>
  </r>
  <r>
    <x v="7"/>
    <x v="228"/>
    <m/>
    <s v="100%R_x000a_31"/>
    <m/>
    <m/>
    <n v="2009"/>
    <s v="Franklin Associates"/>
    <m/>
    <s v="Government Report"/>
    <s v="Franklin Associates, Life Cycle Assessment of Drinking Water Systems: Bottle Water, Tap Water, and Home/Office Delivery Water. 2009,  (09-LQ-104), ."/>
    <m/>
    <m/>
    <m/>
    <m/>
    <m/>
    <m/>
    <m/>
    <m/>
    <m/>
    <m/>
    <m/>
    <m/>
    <m/>
    <m/>
    <m/>
    <m/>
    <m/>
    <m/>
    <s v=""/>
    <n v="7.8040967648350824E-3"/>
    <s v=""/>
    <n v="5.0087473338605696E-4"/>
    <m/>
    <m/>
    <n v="7.8040967648350824E-3"/>
    <n v="0.10033838697645107"/>
    <n v="0"/>
    <m/>
    <n v="0.51562782196231782"/>
    <n v="-3.8134161405883424E-2"/>
    <m/>
    <m/>
    <n v="0.58563614429772048"/>
    <m/>
    <m/>
    <m/>
    <m/>
    <n v="5.0087473338605696E-4"/>
    <n v="6.967910465645745E-3"/>
    <m/>
    <m/>
    <n v="3.3072111582428648E-2"/>
    <n v="-2.8183190739808762E-3"/>
    <m/>
    <n v="0"/>
    <n v="3.7722577707479575E-2"/>
  </r>
  <r>
    <x v="7"/>
    <x v="228"/>
    <m/>
    <s v="fill_x000a_32"/>
    <m/>
    <m/>
    <n v="2009"/>
    <s v="Franklin Associates"/>
    <m/>
    <s v="Government Report"/>
    <s v="Franklin Associates, Life Cycle Assessment of Drinking Water Systems: Bottle Water, Tap Water, and Home/Office Delivery Water. 2009,  (09-LQ-104), ."/>
    <m/>
    <m/>
    <m/>
    <m/>
    <m/>
    <m/>
    <m/>
    <m/>
    <m/>
    <m/>
    <m/>
    <m/>
    <m/>
    <m/>
    <m/>
    <m/>
    <m/>
    <m/>
    <s v=""/>
    <n v="6.1317903152275635E-3"/>
    <s v=""/>
    <n v="3.8823783161981456E-4"/>
    <m/>
    <m/>
    <n v="6.1317903152275635E-3"/>
    <n v="5.0169193488225537E-2"/>
    <n v="0"/>
    <m/>
    <n v="0.25920749968916518"/>
    <n v="1.0480344519690312E-3"/>
    <m/>
    <m/>
    <n v="0.31655651794458733"/>
    <m/>
    <m/>
    <m/>
    <m/>
    <n v="3.8823783161981456E-4"/>
    <n v="3.4833561003666685E-3"/>
    <m/>
    <m/>
    <n v="1.6536055791214324E-2"/>
    <n v="7.8246698780166322E-5"/>
    <m/>
    <n v="0"/>
    <n v="2.0485896421980974E-2"/>
  </r>
  <r>
    <x v="7"/>
    <x v="228"/>
    <m/>
    <s v="wash_x000a_33"/>
    <m/>
    <m/>
    <n v="2009"/>
    <s v="Franklin Associates"/>
    <m/>
    <s v="Government Report"/>
    <s v="Franklin Associates, Life Cycle Assessment of Drinking Water Systems: Bottle Water, Tap Water, and Home/Office Delivery Water. 2009,  (09-LQ-104), ."/>
    <m/>
    <m/>
    <m/>
    <m/>
    <m/>
    <m/>
    <m/>
    <m/>
    <m/>
    <m/>
    <m/>
    <m/>
    <m/>
    <m/>
    <m/>
    <m/>
    <m/>
    <m/>
    <s v=""/>
    <n v="4.7382016072213002E-3"/>
    <s v=""/>
    <n v="3.0795408248855655E-4"/>
    <m/>
    <m/>
    <n v="4.7382016072213002E-3"/>
    <n v="0.10033838697645107"/>
    <n v="0"/>
    <m/>
    <n v="7.2466612816325743E-2"/>
    <n v="6.0481749927471891E-4"/>
    <m/>
    <m/>
    <n v="0.17814801889927284"/>
    <m/>
    <m/>
    <m/>
    <m/>
    <n v="3.0795408248855655E-4"/>
    <n v="6.967910465645745E-3"/>
    <m/>
    <m/>
    <n v="4.7211637548829292E-3"/>
    <n v="5.631845088312125E-5"/>
    <m/>
    <n v="0"/>
    <n v="1.2053346753900351E-2"/>
  </r>
  <r>
    <x v="7"/>
    <x v="228"/>
    <m/>
    <s v="wash_x000a_34"/>
    <m/>
    <m/>
    <n v="2009"/>
    <s v="Franklin Associates"/>
    <m/>
    <s v="Government Report"/>
    <s v="Franklin Associates, Life Cycle Assessment of Drinking Water Systems: Bottle Water, Tap Water, and Home/Office Delivery Water. 2009,  (09-LQ-104), ."/>
    <m/>
    <m/>
    <m/>
    <m/>
    <m/>
    <m/>
    <m/>
    <m/>
    <m/>
    <m/>
    <m/>
    <m/>
    <m/>
    <m/>
    <m/>
    <m/>
    <m/>
    <m/>
    <s v=""/>
    <n v="5.2956370904238053E-3"/>
    <s v=""/>
    <n v="3.4030723512354106E-4"/>
    <m/>
    <m/>
    <n v="5.2956370904238053E-3"/>
    <n v="0.10033838697645107"/>
    <n v="0"/>
    <m/>
    <n v="0.28707927384929049"/>
    <n v="8.5845064413185893E-4"/>
    <m/>
    <m/>
    <n v="0.39357174856029725"/>
    <m/>
    <m/>
    <m/>
    <m/>
    <n v="3.4030723512354106E-4"/>
    <n v="6.967910465645745E-3"/>
    <m/>
    <m/>
    <n v="1.8333453159824573E-2"/>
    <n v="7.3094159656816944E-5"/>
    <m/>
    <n v="0"/>
    <n v="2.5714765020250677E-2"/>
  </r>
  <r>
    <x v="7"/>
    <x v="228"/>
    <m/>
    <s v="wash_x000a_35"/>
    <m/>
    <m/>
    <n v="2009"/>
    <s v="Franklin Associates"/>
    <m/>
    <s v="Government Report"/>
    <s v="Franklin Associates, Life Cycle Assessment of Drinking Water Systems: Bottle Water, Tap Water, and Home/Office Delivery Water. 2009,  (09-LQ-104), ."/>
    <m/>
    <m/>
    <m/>
    <m/>
    <m/>
    <m/>
    <m/>
    <m/>
    <m/>
    <m/>
    <m/>
    <m/>
    <m/>
    <m/>
    <m/>
    <m/>
    <m/>
    <m/>
    <s v=""/>
    <n v="1.1148709664050117E-2"/>
    <s v=""/>
    <n v="7.2495027200613509E-4"/>
    <m/>
    <m/>
    <n v="1.1148709664050117E-2"/>
    <n v="0.10033838697645107"/>
    <n v="0"/>
    <m/>
    <n v="1.0340428213406483"/>
    <n v="3.7013716084646387E-3"/>
    <m/>
    <m/>
    <n v="1.1492312895896142"/>
    <m/>
    <m/>
    <m/>
    <m/>
    <n v="7.2495027200613509E-4"/>
    <n v="6.967910465645745E-3"/>
    <m/>
    <m/>
    <n v="6.6024396673616606E-2"/>
    <n v="2.7200613511635152E-4"/>
    <m/>
    <n v="0"/>
    <n v="7.398926354638484E-2"/>
  </r>
  <r>
    <x v="7"/>
    <x v="228"/>
    <m/>
    <s v="Tap Al ice_x000a_36"/>
    <m/>
    <m/>
    <n v="2009"/>
    <s v="Franklin Associates"/>
    <m/>
    <s v="Government Report"/>
    <s v="Franklin Associates, Life Cycle Assessment of Drinking Water Systems: Bottle Water, Tap Water, and Home/Office Delivery Water. 2009,  (09-LQ-104), ."/>
    <m/>
    <m/>
    <m/>
    <m/>
    <m/>
    <m/>
    <m/>
    <m/>
    <m/>
    <m/>
    <m/>
    <m/>
    <m/>
    <m/>
    <m/>
    <m/>
    <m/>
    <m/>
    <s v=""/>
    <n v="9.7551209560438525E-3"/>
    <s v=""/>
    <n v="6.3867519831284293E-4"/>
    <m/>
    <m/>
    <n v="9.7551209560438525E-3"/>
    <n v="0.10033838697645107"/>
    <n v="0"/>
    <m/>
    <n v="0.51562782196231782"/>
    <n v="2.0848087071773718E-3"/>
    <m/>
    <m/>
    <n v="0.62780613860199019"/>
    <m/>
    <m/>
    <m/>
    <m/>
    <n v="6.3867519831284293E-4"/>
    <n v="6.967910465645745E-3"/>
    <m/>
    <m/>
    <n v="3.3072111582428648E-2"/>
    <n v="1.5577443861288854E-4"/>
    <m/>
    <n v="0"/>
    <n v="4.0834471685000123E-2"/>
  </r>
  <r>
    <x v="1"/>
    <x v="25"/>
    <s v="Fresh or Not Specified"/>
    <s v="Dutch beef from dairy cows"/>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Yes"/>
    <s v="Yes"/>
    <s v="No"/>
    <s v="No"/>
    <s v="No"/>
    <s v="No"/>
    <s v="No"/>
    <s v="no"/>
    <s v="Cradle to Packaging"/>
    <s v="No"/>
    <s v="Yes"/>
    <s v="kg meat at supermarket"/>
    <s v="N/A"/>
    <s v=""/>
    <s v=""/>
    <n v="8.2319999999999993"/>
    <n v="8.5809999999999995"/>
    <m/>
    <m/>
    <m/>
    <m/>
    <m/>
    <m/>
    <m/>
    <m/>
    <m/>
    <m/>
    <m/>
    <m/>
    <m/>
    <n v="8.2319999999999993"/>
    <n v="0.34899999999999998"/>
    <m/>
    <n v="0.186"/>
    <n v="2.3E-2"/>
    <n v="0.11600000000000001"/>
    <m/>
    <m/>
    <m/>
    <n v="8.2319999999999993"/>
    <n v="8.9059999999999988"/>
  </r>
  <r>
    <x v="1"/>
    <x v="3"/>
    <s v="Fresh or Not Specified"/>
    <s v="Dutch Beef"/>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No"/>
    <s v="No"/>
    <s v="No"/>
    <s v="No"/>
    <s v="No"/>
    <s v="No"/>
    <s v="no"/>
    <s v="Cradle to Packaging"/>
    <s v="No"/>
    <s v="Yes"/>
    <s v="kg meat at supermarket"/>
    <s v="N/A"/>
    <s v=""/>
    <s v=""/>
    <n v="15.56"/>
    <n v="16.77"/>
    <m/>
    <m/>
    <m/>
    <m/>
    <m/>
    <m/>
    <m/>
    <m/>
    <m/>
    <m/>
    <m/>
    <m/>
    <m/>
    <n v="15.56"/>
    <n v="1.21"/>
    <m/>
    <n v="0.24"/>
    <m/>
    <m/>
    <m/>
    <m/>
    <m/>
    <n v="15.56"/>
    <n v="17.009999999999998"/>
  </r>
  <r>
    <x v="1"/>
    <x v="3"/>
    <s v="Fresh or Not Specified"/>
    <s v="Irish Beef"/>
    <s v="No"/>
    <s v="Ireland"/>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No"/>
    <s v="No"/>
    <s v="No"/>
    <s v="No"/>
    <s v="No"/>
    <s v="No"/>
    <s v="no"/>
    <s v="Cradle to Packaging"/>
    <s v="No"/>
    <s v="Yes"/>
    <s v="kg meat at supermarket"/>
    <s v="N/A"/>
    <s v=""/>
    <s v=""/>
    <n v="37.74"/>
    <n v="37.79"/>
    <m/>
    <m/>
    <m/>
    <m/>
    <m/>
    <m/>
    <m/>
    <m/>
    <m/>
    <m/>
    <m/>
    <m/>
    <m/>
    <n v="37.74"/>
    <n v="0.05"/>
    <m/>
    <n v="0.08"/>
    <m/>
    <m/>
    <m/>
    <m/>
    <m/>
    <n v="37.74"/>
    <n v="37.869999999999997"/>
  </r>
  <r>
    <x v="1"/>
    <x v="3"/>
    <s v="Fresh or Not Specified"/>
    <s v="Brazilian Beef"/>
    <s v="No"/>
    <s v="Brazil"/>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No"/>
    <s v="No"/>
    <s v="No"/>
    <s v="No"/>
    <s v="No"/>
    <s v="No"/>
    <s v="no"/>
    <s v="Cradle to Packaging"/>
    <s v="No"/>
    <s v="Yes"/>
    <s v="kg food at supermarket"/>
    <s v="N/A"/>
    <s v=""/>
    <s v=""/>
    <n v="58.39"/>
    <n v="58.44"/>
    <m/>
    <m/>
    <m/>
    <m/>
    <m/>
    <m/>
    <m/>
    <m/>
    <m/>
    <m/>
    <m/>
    <m/>
    <m/>
    <n v="58.39"/>
    <n v="0.05"/>
    <m/>
    <n v="0.08"/>
    <m/>
    <m/>
    <m/>
    <m/>
    <m/>
    <n v="58.39"/>
    <n v="58.519999999999996"/>
  </r>
  <r>
    <x v="1"/>
    <x v="24"/>
    <s v="Fresh or Not Specified"/>
    <s v="Brazilian Chicken"/>
    <s v="No"/>
    <s v="Brazil"/>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Yes"/>
    <s v="Yes"/>
    <s v="No"/>
    <s v="No"/>
    <s v="No"/>
    <s v="No"/>
    <s v="No"/>
    <s v="no"/>
    <m/>
    <m/>
    <s v="Yes"/>
    <s v="kg food at supermarket"/>
    <m/>
    <s v=""/>
    <s v=""/>
    <n v="2.44"/>
    <n v="2.4859999999999998"/>
    <m/>
    <m/>
    <m/>
    <m/>
    <m/>
    <m/>
    <m/>
    <m/>
    <m/>
    <m/>
    <m/>
    <m/>
    <m/>
    <n v="2.44"/>
    <n v="4.5999999999999999E-2"/>
    <m/>
    <n v="0.186"/>
    <n v="0.11600000000000001"/>
    <n v="0.11600000000000001"/>
    <m/>
    <m/>
    <m/>
    <n v="2.44"/>
    <n v="2.9039999999999999"/>
  </r>
  <r>
    <x v="1"/>
    <x v="24"/>
    <s v="Fresh or Not Specified"/>
    <s v="Dutch Chicken"/>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Yes"/>
    <s v="Yes"/>
    <s v="No"/>
    <s v="No"/>
    <s v="No"/>
    <s v="No"/>
    <s v="No"/>
    <s v="no"/>
    <m/>
    <m/>
    <s v="Yes"/>
    <s v="kg food at supermarket"/>
    <m/>
    <s v=""/>
    <s v=""/>
    <n v="2.72"/>
    <n v="2.7670000000000003"/>
    <m/>
    <m/>
    <m/>
    <m/>
    <m/>
    <m/>
    <m/>
    <m/>
    <m/>
    <m/>
    <m/>
    <m/>
    <m/>
    <n v="2.72"/>
    <n v="4.7E-2"/>
    <m/>
    <n v="0.186"/>
    <n v="2.3E-2"/>
    <n v="0.11600000000000001"/>
    <m/>
    <m/>
    <m/>
    <n v="2.72"/>
    <n v="3.0920000000000005"/>
  </r>
  <r>
    <x v="1"/>
    <x v="23"/>
    <s v="Fresh or Not Specified"/>
    <s v="Pork "/>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Yes"/>
    <s v="No"/>
    <s v="No"/>
    <s v="No"/>
    <s v="No"/>
    <s v="No"/>
    <s v="no"/>
    <m/>
    <m/>
    <s v="Yes"/>
    <s v="kg food at supermarket"/>
    <m/>
    <s v=""/>
    <s v=""/>
    <n v="3.907"/>
    <n v="4.2089999999999996"/>
    <m/>
    <m/>
    <m/>
    <m/>
    <m/>
    <m/>
    <m/>
    <m/>
    <m/>
    <m/>
    <m/>
    <m/>
    <m/>
    <n v="3.907"/>
    <n v="0.30199999999999999"/>
    <m/>
    <n v="0.20899999999999999"/>
    <m/>
    <n v="0.11600000000000001"/>
    <m/>
    <m/>
    <m/>
    <n v="3.907"/>
    <n v="4.5339999999999989"/>
  </r>
  <r>
    <x v="1"/>
    <x v="32"/>
    <s v="Fresh or Not Specified"/>
    <s v="Veal"/>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Yes"/>
    <s v="No"/>
    <s v="No"/>
    <s v="No"/>
    <s v="No"/>
    <s v="No"/>
    <s v="no"/>
    <m/>
    <m/>
    <s v="Yes"/>
    <s v="kg food at supermarket"/>
    <m/>
    <s v=""/>
    <s v=""/>
    <n v="5.7670000000000003"/>
    <n v="5.9300000000000006"/>
    <m/>
    <m/>
    <m/>
    <m/>
    <m/>
    <m/>
    <m/>
    <m/>
    <m/>
    <m/>
    <m/>
    <m/>
    <m/>
    <n v="5.7670000000000003"/>
    <n v="0.16300000000000001"/>
    <m/>
    <n v="0.20899999999999999"/>
    <m/>
    <n v="0.112"/>
    <m/>
    <m/>
    <m/>
    <n v="5.7670000000000003"/>
    <n v="6.2510000000000003"/>
  </r>
  <r>
    <x v="1"/>
    <x v="1"/>
    <s v="Fresh or Not Specified"/>
    <s v="Lamb"/>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No"/>
    <s v="No"/>
    <s v="Yes"/>
    <s v="No"/>
    <s v="Yes"/>
    <s v="No"/>
    <s v="No"/>
    <s v="No"/>
    <s v="No"/>
    <s v="No"/>
    <s v="no"/>
    <m/>
    <m/>
    <s v="Yes"/>
    <s v="kg food at supermarket"/>
    <m/>
    <s v=""/>
    <s v=""/>
    <n v="15.93"/>
    <n v="16"/>
    <m/>
    <m/>
    <m/>
    <m/>
    <m/>
    <m/>
    <m/>
    <m/>
    <m/>
    <m/>
    <m/>
    <m/>
    <m/>
    <n v="15.93"/>
    <n v="7.0000000000000007E-2"/>
    <m/>
    <n v="0.186"/>
    <m/>
    <n v="0.11600000000000001"/>
    <m/>
    <m/>
    <m/>
    <n v="15.93"/>
    <n v="16.302"/>
  </r>
  <r>
    <x v="6"/>
    <x v="230"/>
    <s v="Fresh or Not Specified"/>
    <s v="Tempeh"/>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0.45300000000000001"/>
    <n v="0.77300000000000002"/>
    <m/>
    <m/>
    <m/>
    <m/>
    <m/>
    <m/>
    <m/>
    <m/>
    <m/>
    <m/>
    <m/>
    <m/>
    <m/>
    <n v="0.45300000000000001"/>
    <n v="0.08"/>
    <n v="0.24"/>
    <n v="0.2"/>
    <n v="2.7E-2"/>
    <n v="9.2999999999999999E-2"/>
    <m/>
    <m/>
    <m/>
    <n v="0.45300000000000001"/>
    <n v="1.093"/>
  </r>
  <r>
    <x v="6"/>
    <x v="38"/>
    <s v="Fresh or Not Specified"/>
    <s v="Tofu"/>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0.61"/>
    <n v="1.6639999999999999"/>
    <m/>
    <m/>
    <m/>
    <m/>
    <m/>
    <m/>
    <m/>
    <m/>
    <m/>
    <m/>
    <m/>
    <m/>
    <m/>
    <n v="0.61"/>
    <n v="0.107"/>
    <n v="0.94699999999999995"/>
    <n v="0.2"/>
    <n v="2.7E-2"/>
    <n v="9.2999999999999999E-2"/>
    <m/>
    <m/>
    <m/>
    <n v="0.61"/>
    <n v="1.9839999999999998"/>
  </r>
  <r>
    <x v="11"/>
    <x v="83"/>
    <s v="Fresh or Not Specified"/>
    <s v="Walnut"/>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No"/>
    <s v="No"/>
    <s v="No"/>
    <s v="No"/>
    <s v="No"/>
    <s v="No"/>
    <s v="no"/>
    <m/>
    <m/>
    <s v="Yes"/>
    <s v="kg food at supermarket"/>
    <m/>
    <s v=""/>
    <s v=""/>
    <n v="1.53"/>
    <n v="1.903"/>
    <m/>
    <m/>
    <m/>
    <m/>
    <m/>
    <m/>
    <m/>
    <m/>
    <m/>
    <m/>
    <m/>
    <m/>
    <m/>
    <n v="1.53"/>
    <n v="9.2999999999999999E-2"/>
    <n v="0.28000000000000003"/>
    <n v="0.21299999999999999"/>
    <n v="1.2999999999999999E-2"/>
    <m/>
    <m/>
    <m/>
    <m/>
    <n v="1.53"/>
    <n v="2.129"/>
  </r>
  <r>
    <x v="2"/>
    <x v="2"/>
    <s v="Fresh or Not Specified"/>
    <s v="Egg"/>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No"/>
    <s v="No"/>
    <s v="No"/>
    <s v="No"/>
    <s v="No"/>
    <s v="No"/>
    <s v="no"/>
    <m/>
    <m/>
    <s v="Yes"/>
    <s v="kg food at supermarket"/>
    <m/>
    <s v=""/>
    <s v=""/>
    <n v="1.7729999999999999"/>
    <n v="2.0529999999999999"/>
    <m/>
    <m/>
    <m/>
    <m/>
    <m/>
    <m/>
    <m/>
    <m/>
    <m/>
    <m/>
    <m/>
    <m/>
    <m/>
    <n v="1.7729999999999999"/>
    <n v="0.14699999999999999"/>
    <n v="0.13300000000000001"/>
    <n v="0.2"/>
    <n v="1.2999999999999999E-2"/>
    <m/>
    <m/>
    <m/>
    <m/>
    <n v="1.7729999999999999"/>
    <n v="2.266"/>
  </r>
  <r>
    <x v="11"/>
    <x v="116"/>
    <s v="Fresh or Not Specified"/>
    <s v="Cashew"/>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No"/>
    <s v="No"/>
    <s v="No"/>
    <s v="No"/>
    <s v="No"/>
    <s v="No"/>
    <s v="no"/>
    <m/>
    <m/>
    <s v="Yes"/>
    <s v="kg food at supermarket"/>
    <m/>
    <s v=""/>
    <s v=""/>
    <n v="1.867"/>
    <n v="2.053666666666667"/>
    <m/>
    <m/>
    <m/>
    <m/>
    <m/>
    <m/>
    <m/>
    <m/>
    <m/>
    <m/>
    <m/>
    <m/>
    <m/>
    <n v="1.867"/>
    <n v="0.12"/>
    <n v="6.6666666666666666E-2"/>
    <n v="0.2"/>
    <n v="2.6666666666666668E-2"/>
    <m/>
    <m/>
    <m/>
    <m/>
    <n v="1.867"/>
    <n v="2.280333333333334"/>
  </r>
  <r>
    <x v="6"/>
    <x v="39"/>
    <s v="Fresh or Not Specified"/>
    <s v="Valess"/>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3.573"/>
    <n v="5.9063333333333325"/>
    <m/>
    <m/>
    <m/>
    <m/>
    <m/>
    <m/>
    <m/>
    <m/>
    <m/>
    <m/>
    <m/>
    <m/>
    <m/>
    <n v="3.573"/>
    <n v="5.3333333333333337E-2"/>
    <n v="2.2799999999999998"/>
    <n v="0.2"/>
    <n v="1.3333333333333334E-2"/>
    <n v="0.10666666666666667"/>
    <m/>
    <m/>
    <m/>
    <n v="3.573"/>
    <n v="6.2263333333333328"/>
  </r>
  <r>
    <x v="0"/>
    <x v="4"/>
    <s v="Fresh or Not Specified"/>
    <s v="Cheese"/>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8.16"/>
    <n v="8.6533333333333342"/>
    <m/>
    <m/>
    <m/>
    <m/>
    <m/>
    <m/>
    <m/>
    <m/>
    <m/>
    <m/>
    <m/>
    <m/>
    <m/>
    <n v="8.16"/>
    <n v="9.3333333333333338E-2"/>
    <n v="0.4"/>
    <n v="0.18666666666666668"/>
    <n v="2.6666666666666668E-2"/>
    <n v="9.3333333333333338E-2"/>
    <m/>
    <m/>
    <m/>
    <n v="8.16"/>
    <n v="8.9600000000000026"/>
  </r>
  <r>
    <x v="7"/>
    <x v="40"/>
    <s v="Fresh or Not Specified"/>
    <s v="Soymilk"/>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9.2999999999999999E-2"/>
    <n v="0.45300000000000001"/>
    <m/>
    <m/>
    <m/>
    <m/>
    <m/>
    <m/>
    <m/>
    <m/>
    <m/>
    <m/>
    <m/>
    <m/>
    <m/>
    <n v="9.2999999999999999E-2"/>
    <n v="0.10666666666666667"/>
    <n v="0.25333333333333335"/>
    <n v="5.3333333333333337E-2"/>
    <n v="2.6666666666666668E-2"/>
    <n v="9.3333333333333338E-2"/>
    <m/>
    <m/>
    <m/>
    <n v="9.2999999999999999E-2"/>
    <n v="0.6263333333333333"/>
  </r>
  <r>
    <x v="0"/>
    <x v="0"/>
    <s v="Fresh or Not Specified"/>
    <s v="Milk"/>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0.21299999999999999"/>
    <n v="1.0263333333333333"/>
    <m/>
    <m/>
    <m/>
    <m/>
    <m/>
    <m/>
    <m/>
    <m/>
    <m/>
    <m/>
    <m/>
    <m/>
    <m/>
    <n v="0.21299999999999999"/>
    <n v="2.6666666666666668E-2"/>
    <n v="0.78666666666666663"/>
    <n v="6.6666666666666666E-2"/>
    <n v="2.6666666666666668E-2"/>
    <n v="9.3333333333333338E-2"/>
    <m/>
    <m/>
    <m/>
    <n v="0.21299999999999999"/>
    <n v="1.2129999999999999"/>
  </r>
  <r>
    <x v="12"/>
    <x v="104"/>
    <s v="Fresh or Not Specified"/>
    <s v="Mackerel"/>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0.62903225806451613"/>
    <m/>
    <m/>
    <m/>
    <m/>
    <m/>
    <m/>
    <m/>
    <m/>
    <m/>
    <m/>
    <m/>
    <m/>
    <m/>
    <m/>
    <n v="3.2258064516129031E-2"/>
    <n v="0.59677419354838712"/>
    <n v="0.17741935483870969"/>
    <n v="1.6129032258064516E-2"/>
    <n v="0.11290322580645161"/>
    <m/>
    <m/>
    <m/>
    <n v="0"/>
    <n v="0.93548387096774188"/>
  </r>
  <r>
    <x v="12"/>
    <x v="104"/>
    <s v="Fresh or Not Specified"/>
    <s v="Herring"/>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0.75806451612903225"/>
    <m/>
    <m/>
    <m/>
    <m/>
    <m/>
    <m/>
    <m/>
    <m/>
    <m/>
    <m/>
    <m/>
    <m/>
    <m/>
    <m/>
    <n v="1.6129032258064516E-2"/>
    <n v="0.74193548387096775"/>
    <n v="0.19354838709677419"/>
    <n v="1.6129032258064516E-2"/>
    <n v="0.11290322580645161"/>
    <m/>
    <m/>
    <m/>
    <n v="0"/>
    <n v="1.0806451612903225"/>
  </r>
  <r>
    <x v="12"/>
    <x v="104"/>
    <s v="Fresh or Not Specified"/>
    <s v="Pollock"/>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1.2741935483870968"/>
    <m/>
    <m/>
    <m/>
    <m/>
    <m/>
    <m/>
    <m/>
    <m/>
    <m/>
    <m/>
    <m/>
    <m/>
    <m/>
    <m/>
    <n v="3.2258064516129031E-2"/>
    <n v="1.2419354838709677"/>
    <n v="0.19354838709677419"/>
    <n v="1.6129032258064516E-2"/>
    <n v="0.12903225806451613"/>
    <m/>
    <m/>
    <m/>
    <n v="0"/>
    <n v="1.6129032258064515"/>
  </r>
  <r>
    <x v="12"/>
    <x v="103"/>
    <s v="Fresh or Not Specified"/>
    <s v="Mussel"/>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1.6129032258064515"/>
    <m/>
    <m/>
    <m/>
    <m/>
    <m/>
    <m/>
    <m/>
    <m/>
    <m/>
    <m/>
    <m/>
    <m/>
    <m/>
    <m/>
    <n v="4.8387096774193547E-2"/>
    <n v="1.564516129032258"/>
    <n v="0.19354838709677419"/>
    <n v="1.6129032258064516E-2"/>
    <n v="0.11290322580645161"/>
    <m/>
    <m/>
    <m/>
    <n v="0"/>
    <n v="1.9354838709677418"/>
  </r>
  <r>
    <x v="12"/>
    <x v="104"/>
    <s v="Fresh or Not Specified"/>
    <s v="Salmon (Aquaculture)"/>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Yes"/>
    <s v="No"/>
    <s v="Yes"/>
    <s v="Yes"/>
    <s v="Yes"/>
    <s v="Yes"/>
    <s v="Yes"/>
    <s v="No"/>
    <s v="No"/>
    <s v="No"/>
    <s v="No"/>
    <s v="No"/>
    <s v="no"/>
    <m/>
    <m/>
    <s v="Yes"/>
    <s v="kg food at supermarket"/>
    <m/>
    <s v=""/>
    <s v=""/>
    <n v="0.37096774193548387"/>
    <n v="1.7580645161290325"/>
    <m/>
    <m/>
    <m/>
    <m/>
    <m/>
    <m/>
    <m/>
    <m/>
    <m/>
    <m/>
    <m/>
    <m/>
    <m/>
    <n v="0.37096774193548387"/>
    <n v="0.22580645161290322"/>
    <n v="1.1612903225806452"/>
    <n v="0.19354838709677419"/>
    <n v="1.6129032258064516E-2"/>
    <n v="9.6774193548387094E-2"/>
    <m/>
    <m/>
    <m/>
    <n v="0.37096774193548387"/>
    <n v="2.0645161290322585"/>
  </r>
  <r>
    <x v="12"/>
    <x v="104"/>
    <s v="Fresh or Not Specified"/>
    <s v="Cod"/>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3.0806451612903225"/>
    <m/>
    <m/>
    <m/>
    <m/>
    <m/>
    <m/>
    <m/>
    <m/>
    <m/>
    <m/>
    <m/>
    <m/>
    <m/>
    <m/>
    <n v="3.2258064516129031E-2"/>
    <n v="3.0483870967741935"/>
    <n v="0.19354838709677419"/>
    <n v="1.6129032258064516E-2"/>
    <n v="9.6774193548387094E-2"/>
    <m/>
    <m/>
    <m/>
    <n v="0"/>
    <n v="3.387096774193548"/>
  </r>
  <r>
    <x v="12"/>
    <x v="111"/>
    <s v="Fresh or Not Specified"/>
    <s v="Prawn"/>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6.096774193548387"/>
    <m/>
    <m/>
    <m/>
    <m/>
    <m/>
    <m/>
    <m/>
    <m/>
    <m/>
    <m/>
    <m/>
    <m/>
    <m/>
    <m/>
    <n v="3.2258064516129031E-2"/>
    <n v="6.064516129032258"/>
    <n v="0.19354838709677419"/>
    <n v="1.6129032258064516E-2"/>
    <n v="9.6774193548387094E-2"/>
    <m/>
    <m/>
    <m/>
    <n v="0"/>
    <n v="6.403225806451613"/>
  </r>
  <r>
    <x v="12"/>
    <x v="111"/>
    <s v="Fresh or Not Specified"/>
    <s v="Shrimp"/>
    <s v="No"/>
    <s v="Netherlands"/>
    <n v="2008"/>
    <s v="Hans Blonk; Anton Kool; Boki Luske; Sytske de Waart"/>
    <s v="Blonk Consultants"/>
    <s v="Industry Based Report"/>
    <s v="Blonk, H., Kool, A., Luske, B. and Waart, S. D., Environmental effects of protein-rich products in the Netherlands: consequences of animal protein substitutes: Blonk Consultants;  2008."/>
    <s v="No"/>
    <s v="No"/>
    <s v="Yes"/>
    <s v="Yes"/>
    <s v="Yes"/>
    <s v="Yes"/>
    <s v="Yes"/>
    <s v="No"/>
    <s v="No"/>
    <s v="No"/>
    <s v="No"/>
    <s v="No"/>
    <s v="no"/>
    <m/>
    <m/>
    <s v="Yes"/>
    <s v="kg food at supermarket"/>
    <m/>
    <s v=""/>
    <s v=""/>
    <s v=""/>
    <n v="9.5161290322580641"/>
    <m/>
    <m/>
    <m/>
    <m/>
    <m/>
    <m/>
    <m/>
    <m/>
    <m/>
    <m/>
    <m/>
    <m/>
    <m/>
    <m/>
    <n v="1.6129032258064516E-2"/>
    <n v="9.5"/>
    <n v="0.20967741935483872"/>
    <n v="1.6129032258064516E-2"/>
    <n v="0.11290322580645161"/>
    <m/>
    <m/>
    <m/>
    <n v="0"/>
    <n v="9.8548387096774182"/>
  </r>
  <r>
    <x v="11"/>
    <x v="201"/>
    <s v="Fresh or Not Specified"/>
    <s v="Gigantes (conventional)"/>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247"/>
    <s v=""/>
    <m/>
    <m/>
    <m/>
    <m/>
    <m/>
    <m/>
    <m/>
    <m/>
    <m/>
    <m/>
    <m/>
    <m/>
    <m/>
    <n v="0.247"/>
    <m/>
    <m/>
    <m/>
    <m/>
    <m/>
    <m/>
    <m/>
    <m/>
    <n v="0.247"/>
    <m/>
  </r>
  <r>
    <x v="11"/>
    <x v="201"/>
    <s v="Fresh or Not Specified"/>
    <s v="Gigantes (integrated)"/>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127"/>
    <s v=""/>
    <m/>
    <m/>
    <m/>
    <m/>
    <m/>
    <m/>
    <m/>
    <m/>
    <m/>
    <m/>
    <m/>
    <m/>
    <m/>
    <n v="0.127"/>
    <m/>
    <m/>
    <m/>
    <m/>
    <m/>
    <m/>
    <m/>
    <m/>
    <n v="0.127"/>
    <m/>
  </r>
  <r>
    <x v="11"/>
    <x v="201"/>
    <s v="Fresh or Not Specified"/>
    <s v="Gigantes (organic)"/>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30299999999999999"/>
    <s v=""/>
    <m/>
    <m/>
    <m/>
    <m/>
    <m/>
    <m/>
    <m/>
    <m/>
    <m/>
    <m/>
    <m/>
    <m/>
    <m/>
    <n v="0.30299999999999999"/>
    <m/>
    <m/>
    <m/>
    <m/>
    <m/>
    <m/>
    <m/>
    <m/>
    <n v="0.30299999999999999"/>
    <m/>
  </r>
  <r>
    <x v="11"/>
    <x v="201"/>
    <s v="Fresh or Not Specified"/>
    <s v="Plake (Conventional) -large, white greek bean"/>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30199999999999999"/>
    <s v=""/>
    <m/>
    <m/>
    <m/>
    <m/>
    <m/>
    <m/>
    <m/>
    <m/>
    <m/>
    <m/>
    <m/>
    <m/>
    <m/>
    <n v="0.30199999999999999"/>
    <m/>
    <m/>
    <m/>
    <m/>
    <m/>
    <m/>
    <m/>
    <m/>
    <n v="0.30199999999999999"/>
    <m/>
  </r>
  <r>
    <x v="11"/>
    <x v="201"/>
    <s v="Fresh or Not Specified"/>
    <s v="Plake (integrated) -large, white greek bean"/>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11799999999999999"/>
    <s v=""/>
    <m/>
    <m/>
    <m/>
    <m/>
    <m/>
    <m/>
    <m/>
    <m/>
    <m/>
    <m/>
    <m/>
    <m/>
    <m/>
    <n v="0.11799999999999999"/>
    <m/>
    <m/>
    <m/>
    <m/>
    <m/>
    <m/>
    <m/>
    <m/>
    <n v="0.11799999999999999"/>
    <m/>
  </r>
  <r>
    <x v="11"/>
    <x v="201"/>
    <s v="Fresh or Not Specified"/>
    <s v="Plake (organic) - -large, white greek bean"/>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0.438"/>
    <s v=""/>
    <m/>
    <m/>
    <m/>
    <m/>
    <m/>
    <m/>
    <m/>
    <m/>
    <m/>
    <m/>
    <m/>
    <m/>
    <m/>
    <n v="0.438"/>
    <m/>
    <m/>
    <m/>
    <m/>
    <m/>
    <m/>
    <m/>
    <m/>
    <n v="0.438"/>
    <m/>
  </r>
  <r>
    <x v="11"/>
    <x v="201"/>
    <s v="Fresh or Not Specified"/>
    <s v="Elefantes (integrated)"/>
    <s v="Yes"/>
    <s v="Greece"/>
    <n v="2013"/>
    <s v="Abeliotis, Konstadinos; Detsis, Vassilis; Pappia, Christina"/>
    <s v="Department of Home Economics and Ecology, Harokopio University, Athens, Greece"/>
    <s v="Peer Reviewed Journal"/>
    <s v="Abeliotis, K., Lasaridi, K., Chroni, C. and Zorpas, A. A., ENVIRONMENTAL ASSESSMENT OF WASTE PREVENTION ACTIVITIES. Proceedings of the 13th International Conference on Environmental Science and Technology 2013, ."/>
    <s v="Yes"/>
    <s v="No"/>
    <s v="No"/>
    <s v="No"/>
    <s v="No"/>
    <s v="No"/>
    <s v="No"/>
    <s v="No"/>
    <s v="No"/>
    <s v="No"/>
    <s v="No"/>
    <s v="No"/>
    <s v="no"/>
    <m/>
    <m/>
    <s v="No"/>
    <s v="kg beans"/>
    <m/>
    <s v=""/>
    <s v=""/>
    <n v="8.6599999999999996E-2"/>
    <s v=""/>
    <m/>
    <m/>
    <m/>
    <m/>
    <m/>
    <m/>
    <m/>
    <m/>
    <m/>
    <m/>
    <m/>
    <m/>
    <m/>
    <n v="8.6599999999999996E-2"/>
    <m/>
    <m/>
    <m/>
    <m/>
    <m/>
    <m/>
    <m/>
    <m/>
    <n v="8.6599999999999996E-2"/>
    <m/>
  </r>
  <r>
    <x v="1"/>
    <x v="24"/>
    <s v="Fresh or Not Specified"/>
    <s v="Roast Chicken (Conventional)"/>
    <s v="Yes"/>
    <s v="Australia"/>
    <n v="2012"/>
    <s v="Bengtsson, Jonas (a); Seddon, Julia (b)"/>
    <s v="(a) aDirector Edge Environment Pty Ltd, 501/39 East Esplanade, Manly, NSW 2095, Australia; (b) Group Environment Manager, Inghams Enterprises Pty Ltd, Australia"/>
    <s v="Peer Reviewed Journal"/>
    <s v="Bengtsson, J. and Seddon, J., Cradle to retailer or quick service restaurant gate life cycle assessment of chicken products in Australia. Journal of Cleaner Production 2013, 41, 291-300."/>
    <s v="Yes"/>
    <s v="No"/>
    <s v="No"/>
    <s v="No"/>
    <s v="No"/>
    <s v="No"/>
    <s v="No"/>
    <s v="No"/>
    <s v="No"/>
    <s v="No"/>
    <s v="No"/>
    <s v="No"/>
    <s v="no"/>
    <m/>
    <m/>
    <s v="Yes"/>
    <s v="kg CO2/tonne"/>
    <s v="/1000"/>
    <s v=""/>
    <s v=""/>
    <n v="3.7069999999999999"/>
    <s v=""/>
    <m/>
    <m/>
    <m/>
    <m/>
    <m/>
    <m/>
    <m/>
    <m/>
    <m/>
    <m/>
    <m/>
    <m/>
    <m/>
    <n v="3.7069999999999999"/>
    <m/>
    <m/>
    <m/>
    <m/>
    <m/>
    <m/>
    <m/>
    <m/>
    <n v="3.7069999999999999"/>
    <m/>
  </r>
  <r>
    <x v="1"/>
    <x v="24"/>
    <s v="Fresh or Not Specified"/>
    <s v="Roast Chicken (Free Range)"/>
    <s v="Yes"/>
    <s v="Australia"/>
    <n v="2012"/>
    <s v="Bengtsson, Jonas (a); Seddon, Julia (b)"/>
    <s v="(a) aDirector Edge Environment Pty Ltd, 501/39 East Esplanade, Manly, NSW 2095, Australia; (b) Group Environment Manager, Inghams Enterprises Pty Ltd, Australia"/>
    <s v="Peer Reviewed Journal"/>
    <s v="Bengtsson, J. and Seddon, J., Cradle to retailer or quick service restaurant gate life cycle assessment of chicken products in Australia. Journal of Cleaner Production 2013, 41, 291-300."/>
    <s v="Yes"/>
    <s v="No"/>
    <s v="No"/>
    <s v="No"/>
    <s v="No"/>
    <s v="No"/>
    <s v="No"/>
    <s v="No"/>
    <s v="No"/>
    <s v="No"/>
    <s v="No"/>
    <s v="No"/>
    <s v="no"/>
    <m/>
    <m/>
    <s v="Yes"/>
    <s v="kg CO2/tonne"/>
    <s v="/1000"/>
    <s v=""/>
    <s v=""/>
    <n v="3.4460000000000002"/>
    <s v=""/>
    <m/>
    <m/>
    <m/>
    <m/>
    <m/>
    <m/>
    <m/>
    <m/>
    <m/>
    <m/>
    <m/>
    <m/>
    <m/>
    <n v="3.4460000000000002"/>
    <m/>
    <m/>
    <m/>
    <m/>
    <m/>
    <m/>
    <m/>
    <m/>
    <n v="3.4460000000000002"/>
    <m/>
  </r>
  <r>
    <x v="1"/>
    <x v="24"/>
    <s v="Fresh or Not Specified"/>
    <s v="Breast Fillet (Conventional)"/>
    <s v="Yes"/>
    <s v="Australia"/>
    <n v="2012"/>
    <s v="Bengtsson, Jonas (a); Seddon, Julia (b)"/>
    <s v="(a) aDirector Edge Environment Pty Ltd, 501/39 East Esplanade, Manly, NSW 2095, Australia; (b) Group Environment Manager, Inghams Enterprises Pty Ltd, Australia"/>
    <s v="Peer Reviewed Journal"/>
    <s v="Bengtsson, J. and Seddon, J., Cradle to retailer or quick service restaurant gate life cycle assessment of chicken products in Australia. Journal of Cleaner Production 2013, 41, 291-300."/>
    <s v="Yes"/>
    <s v="No"/>
    <s v="No"/>
    <s v="No"/>
    <s v="No"/>
    <s v="No"/>
    <s v="No"/>
    <s v="No"/>
    <s v="No"/>
    <s v="No"/>
    <s v="No"/>
    <s v="No"/>
    <s v="no"/>
    <m/>
    <m/>
    <s v="Yes"/>
    <s v="kg CO2/tonne"/>
    <s v="/1000"/>
    <s v=""/>
    <s v=""/>
    <n v="9.9809999999999999"/>
    <s v=""/>
    <m/>
    <m/>
    <m/>
    <m/>
    <m/>
    <m/>
    <m/>
    <m/>
    <m/>
    <m/>
    <m/>
    <m/>
    <m/>
    <n v="9.9809999999999999"/>
    <m/>
    <m/>
    <m/>
    <m/>
    <m/>
    <m/>
    <m/>
    <m/>
    <n v="9.9809999999999999"/>
    <m/>
  </r>
  <r>
    <x v="1"/>
    <x v="24"/>
    <s v="Fresh or Not Specified"/>
    <s v="Breast Fillet (Free Range)"/>
    <s v="Yes"/>
    <s v="Australia"/>
    <n v="2012"/>
    <s v="Bengtsson, Jonas (a); Seddon, Julia (b)"/>
    <s v="(a) aDirector Edge Environment Pty Ltd, 501/39 East Esplanade, Manly, NSW 2095, Australia; (b) Group Environment Manager, Inghams Enterprises Pty Ltd, Australia"/>
    <s v="Peer Reviewed Journal"/>
    <s v="Bengtsson, J. and Seddon, J., Cradle to retailer or quick service restaurant gate life cycle assessment of chicken products in Australia. Journal of Cleaner Production 2013, 41, 291-300."/>
    <s v="Yes"/>
    <s v="No"/>
    <s v="No"/>
    <s v="No"/>
    <s v="No"/>
    <s v="No"/>
    <s v="No"/>
    <s v="No"/>
    <s v="No"/>
    <s v="No"/>
    <s v="No"/>
    <s v="No"/>
    <s v="no"/>
    <m/>
    <m/>
    <s v="Yes"/>
    <s v="kg CO2/tonne"/>
    <s v="/1000"/>
    <s v=""/>
    <s v=""/>
    <n v="10.657"/>
    <s v=""/>
    <m/>
    <m/>
    <m/>
    <m/>
    <m/>
    <m/>
    <m/>
    <m/>
    <m/>
    <m/>
    <m/>
    <m/>
    <m/>
    <n v="10.657"/>
    <m/>
    <m/>
    <m/>
    <m/>
    <m/>
    <m/>
    <m/>
    <m/>
    <n v="10.657"/>
    <m/>
  </r>
  <r>
    <x v="7"/>
    <x v="225"/>
    <s v="Fresh or Not Specified"/>
    <s v="Wine"/>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No"/>
    <s v="Yes"/>
    <s v="No"/>
    <s v="No"/>
    <s v="No"/>
    <s v="No"/>
    <s v="No"/>
    <s v="no"/>
    <m/>
    <m/>
    <s v="Yes"/>
    <s v="kg CO2/kg product"/>
    <s v="none"/>
    <s v=""/>
    <s v=""/>
    <n v="0.5"/>
    <s v=""/>
    <m/>
    <m/>
    <m/>
    <m/>
    <m/>
    <m/>
    <m/>
    <m/>
    <m/>
    <m/>
    <m/>
    <m/>
    <m/>
    <n v="0.5"/>
    <m/>
    <m/>
    <n v="0.55000000000000004"/>
    <m/>
    <n v="0.45"/>
    <m/>
    <m/>
    <m/>
    <n v="0.5"/>
    <n v="1.5"/>
  </r>
  <r>
    <x v="7"/>
    <x v="141"/>
    <s v="Fresh or Not Specified"/>
    <s v="Beer and Cider"/>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No"/>
    <s v="Yes"/>
    <s v="No"/>
    <s v="No"/>
    <s v="No"/>
    <s v="No"/>
    <s v="No"/>
    <s v="no"/>
    <m/>
    <m/>
    <s v="Yes"/>
    <s v="kg CO2/kg product"/>
    <s v="none"/>
    <s v=""/>
    <s v=""/>
    <n v="0.25"/>
    <s v=""/>
    <m/>
    <m/>
    <m/>
    <m/>
    <m/>
    <m/>
    <m/>
    <m/>
    <m/>
    <m/>
    <m/>
    <m/>
    <m/>
    <n v="0.25"/>
    <m/>
    <m/>
    <n v="0.67500000000000004"/>
    <m/>
    <n v="0.25"/>
    <m/>
    <m/>
    <m/>
    <n v="0.25"/>
    <n v="1.175"/>
  </r>
  <r>
    <x v="7"/>
    <x v="169"/>
    <s v="Fresh or Not Specified"/>
    <s v="Spirits and Liqueur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67500000000000004"/>
    <s v=""/>
    <m/>
    <m/>
    <m/>
    <m/>
    <m/>
    <m/>
    <m/>
    <m/>
    <m/>
    <m/>
    <m/>
    <m/>
    <m/>
    <n v="0.67500000000000004"/>
    <m/>
    <m/>
    <n v="0.57999999999999996"/>
    <n v="0.18"/>
    <n v="0.81"/>
    <m/>
    <m/>
    <m/>
    <n v="0.67500000000000004"/>
    <n v="2.2450000000000001"/>
  </r>
  <r>
    <x v="3"/>
    <x v="44"/>
    <s v="Fresh or Not Specified"/>
    <s v="Potatoe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21"/>
    <s v=""/>
    <m/>
    <m/>
    <m/>
    <m/>
    <m/>
    <m/>
    <m/>
    <m/>
    <m/>
    <m/>
    <m/>
    <m/>
    <m/>
    <n v="0.21"/>
    <m/>
    <m/>
    <n v="0.03"/>
    <n v="0.08"/>
    <n v="0.08"/>
    <m/>
    <m/>
    <m/>
    <n v="0.21"/>
    <n v="0.4"/>
  </r>
  <r>
    <x v="3"/>
    <x v="19"/>
    <s v="Fresh or Not Specified"/>
    <s v="Tomatoe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5.59"/>
    <s v=""/>
    <m/>
    <m/>
    <m/>
    <m/>
    <m/>
    <m/>
    <m/>
    <m/>
    <m/>
    <m/>
    <m/>
    <m/>
    <m/>
    <n v="5.59"/>
    <m/>
    <m/>
    <n v="0.22"/>
    <n v="0.125"/>
    <n v="0.22"/>
    <m/>
    <m/>
    <m/>
    <n v="5.59"/>
    <n v="6.1549999999999994"/>
  </r>
  <r>
    <x v="4"/>
    <x v="66"/>
    <s v="Fresh or Not Specified"/>
    <s v="Apple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23"/>
    <s v=""/>
    <m/>
    <m/>
    <m/>
    <m/>
    <m/>
    <m/>
    <m/>
    <m/>
    <m/>
    <m/>
    <m/>
    <m/>
    <m/>
    <n v="0.23"/>
    <m/>
    <m/>
    <n v="0.02"/>
    <n v="0.13500000000000001"/>
    <n v="0.09"/>
    <m/>
    <m/>
    <m/>
    <n v="0.23"/>
    <n v="0.47499999999999998"/>
  </r>
  <r>
    <x v="4"/>
    <x v="20"/>
    <s v="Fresh or Not Specified"/>
    <s v="Banana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31"/>
    <s v=""/>
    <m/>
    <m/>
    <m/>
    <m/>
    <m/>
    <m/>
    <m/>
    <m/>
    <m/>
    <m/>
    <m/>
    <m/>
    <m/>
    <n v="0.31"/>
    <m/>
    <m/>
    <m/>
    <n v="0.09"/>
    <n v="0.09"/>
    <m/>
    <m/>
    <m/>
    <n v="0.31"/>
    <n v="0.49"/>
  </r>
  <r>
    <x v="4"/>
    <x v="69"/>
    <s v="Fresh or Not Specified"/>
    <s v="Citrus Fruit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11"/>
    <s v=""/>
    <m/>
    <m/>
    <m/>
    <m/>
    <m/>
    <m/>
    <m/>
    <m/>
    <m/>
    <m/>
    <m/>
    <m/>
    <m/>
    <n v="0.11"/>
    <m/>
    <m/>
    <n v="0.02"/>
    <n v="0.17"/>
    <n v="0.21"/>
    <m/>
    <m/>
    <m/>
    <n v="0.11"/>
    <n v="0.51"/>
  </r>
  <r>
    <x v="0"/>
    <x v="7"/>
    <s v="Fresh or Not Specified"/>
    <s v="Butter"/>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2.2599999999999998"/>
    <n v="2.3499999999999996"/>
    <m/>
    <m/>
    <m/>
    <m/>
    <m/>
    <m/>
    <m/>
    <m/>
    <m/>
    <m/>
    <m/>
    <m/>
    <m/>
    <n v="2.2599999999999998"/>
    <m/>
    <n v="0.09"/>
    <n v="0.11"/>
    <n v="0.19"/>
    <n v="0.72"/>
    <m/>
    <m/>
    <m/>
    <n v="2.2599999999999998"/>
    <n v="3.3699999999999992"/>
  </r>
  <r>
    <x v="0"/>
    <x v="5"/>
    <s v="Fresh or Not Specified"/>
    <s v="Yogurt"/>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95"/>
    <n v="1.05"/>
    <m/>
    <m/>
    <m/>
    <m/>
    <m/>
    <m/>
    <m/>
    <m/>
    <m/>
    <m/>
    <m/>
    <m/>
    <m/>
    <n v="0.95"/>
    <m/>
    <n v="0.1"/>
    <n v="0.14000000000000001"/>
    <n v="0.125"/>
    <n v="0.67"/>
    <m/>
    <m/>
    <m/>
    <n v="0.95"/>
    <n v="1.9849999999999999"/>
  </r>
  <r>
    <x v="0"/>
    <x v="4"/>
    <s v="Fresh or Not Specified"/>
    <s v="Cheese"/>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12.12"/>
    <n v="12.35"/>
    <m/>
    <m/>
    <m/>
    <m/>
    <m/>
    <m/>
    <m/>
    <m/>
    <m/>
    <m/>
    <m/>
    <m/>
    <m/>
    <n v="12.12"/>
    <m/>
    <n v="0.23"/>
    <n v="0.17"/>
    <n v="0.15"/>
    <n v="1.44"/>
    <m/>
    <m/>
    <m/>
    <n v="12.12"/>
    <n v="14.11"/>
  </r>
  <r>
    <x v="5"/>
    <x v="22"/>
    <s v="Fresh or Not Specified"/>
    <s v="Bread"/>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s v="none"/>
    <s v=""/>
    <s v=""/>
    <n v="0.72"/>
    <n v="0.91999999999999993"/>
    <m/>
    <m/>
    <m/>
    <m/>
    <m/>
    <m/>
    <m/>
    <m/>
    <m/>
    <m/>
    <m/>
    <m/>
    <m/>
    <n v="0.72"/>
    <m/>
    <n v="0.2"/>
    <n v="0.03"/>
    <n v="0.16"/>
    <n v="0.14000000000000001"/>
    <m/>
    <m/>
    <m/>
    <n v="0.72"/>
    <n v="1.25"/>
  </r>
  <r>
    <x v="10"/>
    <x v="231"/>
    <s v="Fresh or Not Specified"/>
    <s v="Herbs and Spice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No"/>
    <s v="Yes"/>
    <s v="No"/>
    <s v="No"/>
    <s v="No"/>
    <s v="No"/>
    <s v="No"/>
    <s v="no"/>
    <m/>
    <m/>
    <s v="Yes"/>
    <s v="kg CO2/kg product"/>
    <s v="none"/>
    <s v=""/>
    <s v=""/>
    <n v="0.375"/>
    <s v=""/>
    <m/>
    <m/>
    <m/>
    <m/>
    <m/>
    <m/>
    <m/>
    <m/>
    <m/>
    <m/>
    <m/>
    <m/>
    <m/>
    <n v="0.375"/>
    <m/>
    <m/>
    <n v="0.09"/>
    <m/>
    <n v="0.2"/>
    <m/>
    <m/>
    <m/>
    <n v="0.375"/>
    <n v="0.66500000000000004"/>
  </r>
  <r>
    <x v="5"/>
    <x v="129"/>
    <s v="Fresh or Not Specified"/>
    <s v="Rice"/>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m/>
    <s v=""/>
    <s v=""/>
    <n v="4.58"/>
    <n v="4.76"/>
    <m/>
    <m/>
    <m/>
    <m/>
    <m/>
    <m/>
    <m/>
    <m/>
    <m/>
    <m/>
    <m/>
    <m/>
    <m/>
    <n v="4.58"/>
    <m/>
    <n v="0.18"/>
    <n v="0.375"/>
    <n v="1.23"/>
    <n v="0.25"/>
    <m/>
    <m/>
    <m/>
    <n v="4.58"/>
    <n v="6.6150000000000002"/>
  </r>
  <r>
    <x v="2"/>
    <x v="2"/>
    <s v="Fresh or Not Specified"/>
    <s v="Eggs"/>
    <s v="No"/>
    <s v="United Kingdom"/>
    <n v="2012"/>
    <s v="M. Berners-Lee (a); C. Hoolohan (a); H. Cammack (a); C.N. Hewitt (b)"/>
    <s v="(a) Small World Consulting, Ltd., Lancaster Environment Centre, Lancaster University, Lancaster LA1 4YQ, UK; (b) Lancaster Environment Centre, Lancaster University, Lancaster LA1 4YQ, UK"/>
    <s v="Peer Reviewed Journal"/>
    <s v="Berners-Lee, M., Hoolohan, C., Cammack, H. and Hewitt, C. N., The relative greenhouse gas impacts of realistic dietary choices. Energy Policy 2012, 43, 184-190."/>
    <s v="Yes"/>
    <s v="No"/>
    <s v="No"/>
    <s v="No"/>
    <s v="Yes"/>
    <s v="Yes"/>
    <s v="Yes"/>
    <s v="No"/>
    <s v="No"/>
    <s v="No"/>
    <s v="No"/>
    <s v="No"/>
    <s v="no"/>
    <m/>
    <m/>
    <s v="Yes"/>
    <s v="kg CO2/kg product"/>
    <m/>
    <s v=""/>
    <s v=""/>
    <n v="4.25"/>
    <s v=""/>
    <m/>
    <m/>
    <m/>
    <m/>
    <m/>
    <m/>
    <m/>
    <m/>
    <m/>
    <m/>
    <m/>
    <m/>
    <m/>
    <n v="4.25"/>
    <m/>
    <m/>
    <n v="0.23"/>
    <n v="0.04"/>
    <n v="0.21"/>
    <m/>
    <m/>
    <m/>
    <n v="4.25"/>
    <n v="4.7300000000000004"/>
  </r>
  <r>
    <x v="0"/>
    <x v="4"/>
    <s v="Fresh or Not Specified"/>
    <s v="Cheddar Cheese - U.S. Total"/>
    <s v="No"/>
    <s v="United States"/>
    <n v="2011"/>
    <s v="Aguirre-Villegas, H., S. Kraatz, F. Milani, A. Newenhouse, T. Passos-Fonseca and D. Reinemann "/>
    <s v="University of Wisconsin"/>
    <s v="Other (specify)"/>
    <s v="Aguirre-Villegas H, Kraatz S, Milani F, Newenhouse A, Passos-Fonseca T, Reinemann D. Understand the Carbon Footprint of Cheese: University of Wisconsin Extension; 2011."/>
    <s v="Yes"/>
    <s v="No"/>
    <s v="Yes"/>
    <s v="Yes"/>
    <s v="No"/>
    <s v="Yes"/>
    <s v="No"/>
    <s v="No"/>
    <s v="No"/>
    <s v="No"/>
    <s v="No"/>
    <s v="No"/>
    <s v="no"/>
    <m/>
    <m/>
    <s v="Yes"/>
    <s v="kg CO2 / kg FPCM"/>
    <m/>
    <s v=""/>
    <s v=""/>
    <n v="1.2"/>
    <n v="8.3000000000000007"/>
    <m/>
    <m/>
    <m/>
    <m/>
    <m/>
    <m/>
    <m/>
    <m/>
    <m/>
    <m/>
    <m/>
    <m/>
    <m/>
    <n v="1.2"/>
    <n v="3.0000000000000001E-3"/>
    <n v="7.0970000000000004"/>
    <m/>
    <n v="7.6999999999999999E-2"/>
    <m/>
    <m/>
    <m/>
    <m/>
    <n v="1.2"/>
    <n v="8.3770000000000007"/>
  </r>
  <r>
    <x v="0"/>
    <x v="0"/>
    <s v="Fresh or Not Specified"/>
    <s v="Milk, Highlands of Peru"/>
    <s v="No"/>
    <s v="Peru"/>
    <n v="2011"/>
    <s v="Bartl, Karin (a); Gomez, Carlos A (b); Nemecek, Thomas (c) "/>
    <s v="(a) ETH Zurich, Institute of Agricultural Sciences - Animal Nutrition, Universitätstrasse 2, CH-8092 Zurich, Switzerland; (b) Universidad Nacional de Agraria La Molina, Av. La Molina s/n, La Molina, Ap.456 Lima, Peru; (c) Agroscope Reckenholz-Tänikon Research Station ART, Reckenholzstrasse 191, 8046 Zurich, Switzerland"/>
    <s v="Peer Reviewed Journal"/>
    <s v="Bartl K, Gómez CA, Nemecek T. Life cycle assessment of milk produced in two smallholder dairy systems in the highlands and the coast of Peru. J Cleaner Prod 2011, 19(13): 1494-1505."/>
    <s v="Yes"/>
    <s v="No"/>
    <s v="No"/>
    <s v="No"/>
    <s v="No"/>
    <s v="No"/>
    <s v="No"/>
    <s v="No"/>
    <s v="No"/>
    <s v="No"/>
    <s v="No"/>
    <s v="No"/>
    <s v="no"/>
    <m/>
    <m/>
    <s v="No"/>
    <s v="kg CO2 / kg ECM"/>
    <m/>
    <s v=""/>
    <s v=""/>
    <n v="13.78"/>
    <s v=""/>
    <m/>
    <m/>
    <m/>
    <m/>
    <m/>
    <m/>
    <m/>
    <m/>
    <m/>
    <m/>
    <m/>
    <m/>
    <m/>
    <n v="13.78"/>
    <m/>
    <m/>
    <m/>
    <m/>
    <m/>
    <m/>
    <m/>
    <m/>
    <n v="13.78"/>
    <m/>
  </r>
  <r>
    <x v="0"/>
    <x v="0"/>
    <s v="Fresh or Not Specified"/>
    <s v="Milk, Coastal Peru"/>
    <s v="No"/>
    <s v="Peru"/>
    <n v="2011"/>
    <s v="Bartl, Karin (a); Gomez, Carlos A (b); Nemecek, Thomas (c) "/>
    <s v="(a) ETH Zurich, Institute of Agricultural Sciences - Animal Nutrition, Universitätstrasse 2, CH-8092 Zurich, Switzerland; (b) Universidad Nacional de Agraria La Molina, Av. La Molina s/n, La Molina, Ap.456 Lima, Peru; (c) Agroscope Reckenholz-Tänikon Research Station ART, Reckenholzstrasse 191, 8046 Zurich, Switzerland"/>
    <s v="Peer Reviewed Journal"/>
    <s v="Bartl K, Gómez CA, Nemecek T. Life cycle assessment of milk produced in two smallholder dairy systems in the highlands and the coast of Peru. J Cleaner Prod 2011, 19(13): 1494-1505."/>
    <s v="Yes"/>
    <s v="No"/>
    <s v="No"/>
    <s v="No"/>
    <s v="No"/>
    <s v="No"/>
    <s v="No"/>
    <s v="No"/>
    <s v="No"/>
    <s v="No"/>
    <s v="No"/>
    <s v="No"/>
    <s v="no"/>
    <m/>
    <m/>
    <s v="No"/>
    <s v="kg CO2 / kg ECM"/>
    <m/>
    <s v=""/>
    <s v=""/>
    <n v="3.18"/>
    <s v=""/>
    <m/>
    <m/>
    <m/>
    <m/>
    <m/>
    <m/>
    <m/>
    <m/>
    <m/>
    <m/>
    <m/>
    <m/>
    <m/>
    <n v="3.18"/>
    <m/>
    <m/>
    <m/>
    <m/>
    <m/>
    <m/>
    <m/>
    <m/>
    <n v="3.18"/>
    <m/>
  </r>
  <r>
    <x v="0"/>
    <x v="0"/>
    <s v="Fresh or Not Specified"/>
    <s v="Milk, New Zealand Average"/>
    <s v="No"/>
    <s v="New Zealand"/>
    <n v="2009"/>
    <s v="Basset-Mens, Claudine; Ledgard, Stewart; Boyes, Mark"/>
    <s v="AgResearch Limited, Ruakura Research Centre, East Street, Private Bag 3123, Hamilton, New Zealand"/>
    <s v="Peer Reviewed Journal"/>
    <s v="Basset-Mens C, Ledgard S, Boyes M. Eco-efficiency of intensification scenarios for milk production in New Zealand. Ecol Econ 2009, 68(6): 1615-1625."/>
    <s v="Yes"/>
    <s v="No"/>
    <s v="No"/>
    <s v="No"/>
    <s v="No"/>
    <s v="No"/>
    <s v="No"/>
    <s v="No"/>
    <s v="No"/>
    <s v="No"/>
    <s v="No"/>
    <s v="No"/>
    <s v="no"/>
    <m/>
    <m/>
    <s v="No"/>
    <s v="kg CO2 / kg Milk"/>
    <m/>
    <n v="1.51"/>
    <s v=""/>
    <n v="0.93300000000000005"/>
    <s v=""/>
    <n v="1.51"/>
    <m/>
    <m/>
    <m/>
    <m/>
    <m/>
    <m/>
    <m/>
    <m/>
    <n v="1.51"/>
    <m/>
    <m/>
    <m/>
    <n v="0.93300000000000005"/>
    <m/>
    <m/>
    <m/>
    <m/>
    <m/>
    <m/>
    <m/>
    <m/>
    <n v="0.93300000000000005"/>
    <m/>
  </r>
  <r>
    <x v="0"/>
    <x v="0"/>
    <s v="Fresh or Not Specified"/>
    <s v="Milk, Low Inputs"/>
    <s v="No"/>
    <s v="New Zealand"/>
    <n v="2009"/>
    <s v="Basset-Mens, Claudine; Ledgard, Stewart; Boyes, Mark"/>
    <s v="AgResearch Limited, Ruakura Research Centre, East Street, Private Bag 3123, Hamilton, New Zealand"/>
    <s v="Peer Reviewed Journal"/>
    <s v="Basset-Mens C, Ledgard S, Boyes M. Eco-efficiency of intensification scenarios for milk production in New Zealand. Ecol Econ 2009, 68(6): 1615-1625."/>
    <s v="Yes"/>
    <s v="No"/>
    <s v="No"/>
    <s v="No"/>
    <s v="No"/>
    <s v="No"/>
    <s v="No"/>
    <s v="No"/>
    <s v="No"/>
    <s v="No"/>
    <s v="No"/>
    <s v="No"/>
    <s v="no"/>
    <m/>
    <m/>
    <s v="No"/>
    <s v="kg CO2 / kg Milk"/>
    <m/>
    <n v="0.55000000000000004"/>
    <s v=""/>
    <n v="0.64600000000000002"/>
    <s v=""/>
    <n v="0.55000000000000004"/>
    <m/>
    <m/>
    <m/>
    <m/>
    <m/>
    <m/>
    <m/>
    <m/>
    <n v="0.55000000000000004"/>
    <m/>
    <m/>
    <m/>
    <n v="0.64600000000000002"/>
    <m/>
    <m/>
    <m/>
    <m/>
    <m/>
    <m/>
    <m/>
    <m/>
    <n v="0.64600000000000002"/>
    <m/>
  </r>
  <r>
    <x v="0"/>
    <x v="0"/>
    <s v="Fresh or Not Specified"/>
    <s v="Milk, Nitrogen fertilizer"/>
    <s v="No"/>
    <s v="New Zealand"/>
    <n v="2009"/>
    <s v="Basset-Mens, Claudine; Ledgard, Stewart; Boyes, Mark"/>
    <s v="AgResearch Limited, Ruakura Research Centre, East Street, Private Bag 3123, Hamilton, New Zealand"/>
    <s v="Peer Reviewed Journal"/>
    <s v="Basset-Mens C, Ledgard S, Boyes M. Eco-efficiency of intensification scenarios for milk production in New Zealand. Ecol Econ 2009, 68(6): 1615-1625."/>
    <s v="Yes"/>
    <s v="No"/>
    <s v="No"/>
    <s v="No"/>
    <s v="No"/>
    <s v="No"/>
    <s v="No"/>
    <s v="No"/>
    <s v="No"/>
    <s v="No"/>
    <s v="No"/>
    <s v="No"/>
    <s v="no"/>
    <m/>
    <m/>
    <s v="No"/>
    <s v="kg CO2 / kg Milk"/>
    <m/>
    <n v="1.1299999999999999"/>
    <s v=""/>
    <n v="0.76200000000000001"/>
    <s v=""/>
    <n v="1.1299999999999999"/>
    <m/>
    <m/>
    <m/>
    <m/>
    <m/>
    <m/>
    <m/>
    <m/>
    <n v="1.1299999999999999"/>
    <m/>
    <m/>
    <m/>
    <n v="0.76200000000000001"/>
    <m/>
    <m/>
    <m/>
    <m/>
    <m/>
    <m/>
    <m/>
    <m/>
    <n v="0.76200000000000001"/>
    <m/>
  </r>
  <r>
    <x v="0"/>
    <x v="0"/>
    <s v="Fresh or Not Specified"/>
    <s v="Milk, N fertilizer plus maize silage"/>
    <s v="No"/>
    <s v="New Zealand"/>
    <n v="2009"/>
    <s v="Basset-Mens, Claudine; Ledgard, Stewart; Boyes, Mark"/>
    <s v="AgResearch Limited, Ruakura Research Centre, East Street, Private Bag 3123, Hamilton, New Zealand"/>
    <s v="Peer Reviewed Journal"/>
    <s v="Basset-Mens C, Ledgard S, Boyes M. Eco-efficiency of intensification scenarios for milk production in New Zealand. Ecol Econ 2009, 68(6): 1615-1625."/>
    <s v="Yes"/>
    <s v="No"/>
    <s v="No"/>
    <s v="No"/>
    <s v="No"/>
    <s v="No"/>
    <s v="No"/>
    <s v="No"/>
    <s v="No"/>
    <s v="No"/>
    <s v="No"/>
    <s v="No"/>
    <s v="no"/>
    <m/>
    <m/>
    <s v="No"/>
    <s v="kg CO2 / kg Milk"/>
    <m/>
    <n v="1.55"/>
    <s v=""/>
    <n v="0.754"/>
    <s v=""/>
    <n v="1.55"/>
    <m/>
    <m/>
    <m/>
    <m/>
    <m/>
    <m/>
    <m/>
    <m/>
    <n v="1.55"/>
    <m/>
    <m/>
    <m/>
    <n v="0.754"/>
    <m/>
    <m/>
    <m/>
    <m/>
    <m/>
    <m/>
    <m/>
    <m/>
    <n v="0.754"/>
    <m/>
  </r>
  <r>
    <x v="3"/>
    <x v="206"/>
    <s v="Fresh or Not Specified"/>
    <s v="integrated production"/>
    <s v="Yes"/>
    <s v="Germany"/>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3.5799999999999998E-2"/>
    <s v=""/>
    <m/>
    <m/>
    <m/>
    <m/>
    <m/>
    <m/>
    <m/>
    <m/>
    <m/>
    <m/>
    <m/>
    <m/>
    <m/>
    <n v="3.5799999999999998E-2"/>
    <m/>
    <m/>
    <m/>
    <m/>
    <m/>
    <m/>
    <m/>
    <m/>
    <n v="3.5799999999999998E-2"/>
    <n v="0.68100000000000005"/>
  </r>
  <r>
    <x v="3"/>
    <x v="206"/>
    <s v="Fresh or Not Specified"/>
    <s v="organi DEMETER"/>
    <s v="Yes"/>
    <s v="Germany"/>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4.1300000000000003E-2"/>
    <s v=""/>
    <m/>
    <m/>
    <m/>
    <m/>
    <m/>
    <m/>
    <m/>
    <m/>
    <m/>
    <m/>
    <m/>
    <m/>
    <m/>
    <n v="4.1300000000000003E-2"/>
    <m/>
    <m/>
    <m/>
    <m/>
    <m/>
    <m/>
    <m/>
    <m/>
    <n v="4.1300000000000003E-2"/>
    <n v="0.68600000000000005"/>
  </r>
  <r>
    <x v="3"/>
    <x v="206"/>
    <s v="Fresh or Not Specified"/>
    <s v="large farm business"/>
    <s v="Yes"/>
    <s v="Germany"/>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1.46E-2"/>
    <s v=""/>
    <m/>
    <m/>
    <m/>
    <m/>
    <m/>
    <m/>
    <m/>
    <m/>
    <m/>
    <m/>
    <m/>
    <m/>
    <m/>
    <n v="1.46E-2"/>
    <m/>
    <m/>
    <m/>
    <m/>
    <m/>
    <m/>
    <m/>
    <m/>
    <n v="1.46E-2"/>
    <n v="0.104"/>
  </r>
  <r>
    <x v="3"/>
    <x v="206"/>
    <s v="Fresh or Not Specified"/>
    <s v="Argentinian organic"/>
    <s v="Yes"/>
    <s v="Argentina"/>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4.1300000000000003E-2"/>
    <s v=""/>
    <m/>
    <m/>
    <m/>
    <m/>
    <m/>
    <m/>
    <m/>
    <m/>
    <m/>
    <m/>
    <m/>
    <m/>
    <m/>
    <n v="4.1300000000000003E-2"/>
    <m/>
    <m/>
    <m/>
    <m/>
    <m/>
    <m/>
    <m/>
    <m/>
    <n v="4.1300000000000003E-2"/>
    <n v="0.20499999999999999"/>
  </r>
  <r>
    <x v="3"/>
    <x v="139"/>
    <s v="Fresh or Not Specified"/>
    <m/>
    <m/>
    <s v="germany"/>
    <n v="2012"/>
    <s v="Blanke, Michael; Schaefer, Florian"/>
    <s v="INRES - University of Bonn, Auf dem Hügel 6, D-53121 Bonn, Germany"/>
    <s v="Conference Proceedings"/>
    <s v="Schäfer, F. and Blanke, M., Farming and marketing system affects carbon and water footprint – a case study using Hokaido pumpkin. Journal of Cleaner Production 2012, 28, 113-119."/>
    <s v="Yes"/>
    <s v="Yes"/>
    <s v="No"/>
    <s v="No"/>
    <s v="No"/>
    <s v="Yes"/>
    <s v="Yes"/>
    <s v="Yes"/>
    <s v="No"/>
    <s v="No"/>
    <s v="No"/>
    <s v="No"/>
    <m/>
    <m/>
    <s v="No"/>
    <s v="No"/>
    <s v="g co2 eq/kg"/>
    <m/>
    <s v=""/>
    <s v=""/>
    <n v="0.315"/>
    <n v="0.40100000000000002"/>
    <m/>
    <m/>
    <m/>
    <m/>
    <m/>
    <m/>
    <m/>
    <m/>
    <m/>
    <m/>
    <m/>
    <m/>
    <m/>
    <n v="0.315"/>
    <m/>
    <n v="8.5999999999999993E-2"/>
    <m/>
    <n v="9.6000000000000002E-2"/>
    <m/>
    <n v="0.30399999999999999"/>
    <m/>
    <m/>
    <n v="0.315"/>
    <n v="0.80099999999999993"/>
  </r>
  <r>
    <x v="4"/>
    <x v="81"/>
    <s v="Fresh or Not Specified"/>
    <s v="Spain produced, imported to UK"/>
    <m/>
    <s v="Spain"/>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8.3000000000000007"/>
    <s v=""/>
    <n v="0.3"/>
    <s v=""/>
    <n v="8.3000000000000007"/>
    <m/>
    <m/>
    <m/>
    <n v="3"/>
    <m/>
    <m/>
    <m/>
    <m/>
    <n v="8.3000000000000007"/>
    <n v="13.3"/>
    <m/>
    <m/>
    <n v="0.3"/>
    <m/>
    <m/>
    <m/>
    <n v="0.3"/>
    <m/>
    <m/>
    <m/>
    <m/>
    <n v="0.3"/>
    <n v="0.9"/>
  </r>
  <r>
    <x v="4"/>
    <x v="81"/>
    <s v="Fresh or Not Specified"/>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m/>
    <m/>
    <m/>
    <m/>
    <m/>
    <m/>
    <m/>
    <m/>
    <m/>
    <m/>
    <m/>
    <m/>
    <m/>
    <m/>
    <m/>
    <m/>
    <s v="per tonne"/>
    <m/>
    <n v="12.9"/>
    <s v=""/>
    <n v="0.8"/>
    <s v=""/>
    <n v="12.9"/>
    <m/>
    <m/>
    <m/>
    <m/>
    <m/>
    <m/>
    <m/>
    <m/>
    <n v="12.9"/>
    <n v="14.6"/>
    <m/>
    <m/>
    <n v="0.8"/>
    <m/>
    <m/>
    <m/>
    <m/>
    <m/>
    <m/>
    <m/>
    <m/>
    <n v="0.8"/>
    <n v="1"/>
  </r>
  <r>
    <x v="3"/>
    <x v="44"/>
    <s v="Fresh or Not Specified"/>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1.5"/>
    <s v=""/>
    <n v="0.2"/>
    <s v=""/>
    <n v="1.5"/>
    <m/>
    <m/>
    <m/>
    <m/>
    <m/>
    <m/>
    <m/>
    <m/>
    <n v="1.5"/>
    <n v="2.8"/>
    <m/>
    <m/>
    <n v="0.2"/>
    <m/>
    <m/>
    <m/>
    <m/>
    <m/>
    <m/>
    <m/>
    <m/>
    <n v="0.2"/>
    <n v="0.3"/>
  </r>
  <r>
    <x v="3"/>
    <x v="44"/>
    <s v="Fresh or Not Specified"/>
    <s v="imported to UK"/>
    <m/>
    <s v="Israel"/>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1.9"/>
    <s v=""/>
    <n v="0.2"/>
    <s v=""/>
    <n v="1.9"/>
    <m/>
    <m/>
    <m/>
    <n v="8.6"/>
    <m/>
    <m/>
    <m/>
    <m/>
    <n v="1.9"/>
    <n v="10.5"/>
    <m/>
    <m/>
    <n v="0.2"/>
    <m/>
    <m/>
    <m/>
    <n v="0.3"/>
    <m/>
    <m/>
    <m/>
    <m/>
    <n v="0.2"/>
    <n v="0.5"/>
  </r>
  <r>
    <x v="4"/>
    <x v="66"/>
    <s v="Fresh or Not Specified"/>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2.1"/>
    <s v=""/>
    <n v="0.2"/>
    <s v=""/>
    <n v="2.1"/>
    <m/>
    <m/>
    <m/>
    <m/>
    <m/>
    <m/>
    <m/>
    <m/>
    <n v="2.1"/>
    <n v="5.0999999999999996"/>
    <m/>
    <m/>
    <n v="0.2"/>
    <m/>
    <m/>
    <m/>
    <m/>
    <m/>
    <m/>
    <m/>
    <m/>
    <n v="0.2"/>
    <n v="0.4"/>
  </r>
  <r>
    <x v="4"/>
    <x v="66"/>
    <s v="Fresh or Not Specified"/>
    <s v="imported to UK"/>
    <m/>
    <s v="New Zealand"/>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m/>
    <n v="1.2"/>
    <s v=""/>
    <n v="0.1"/>
    <s v=""/>
    <n v="1.2"/>
    <m/>
    <m/>
    <m/>
    <n v="7.5"/>
    <m/>
    <m/>
    <m/>
    <m/>
    <n v="1.2"/>
    <n v="11.2"/>
    <m/>
    <m/>
    <n v="0.1"/>
    <m/>
    <m/>
    <m/>
    <n v="0.7"/>
    <m/>
    <m/>
    <m/>
    <m/>
    <n v="0.1"/>
    <n v="0.9"/>
  </r>
  <r>
    <x v="1"/>
    <x v="1"/>
    <s v="Frozen"/>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17.899999999999999"/>
    <s v=""/>
    <n v="13.5"/>
    <s v=""/>
    <n v="17.899999999999999"/>
    <m/>
    <m/>
    <m/>
    <m/>
    <m/>
    <m/>
    <m/>
    <m/>
    <n v="17.899999999999999"/>
    <n v="30.7"/>
    <m/>
    <m/>
    <n v="13.5"/>
    <m/>
    <m/>
    <m/>
    <m/>
    <m/>
    <m/>
    <m/>
    <m/>
    <n v="13.5"/>
    <n v="14.1"/>
  </r>
  <r>
    <x v="1"/>
    <x v="1"/>
    <s v="Frozen"/>
    <s v="imported to UK"/>
    <m/>
    <s v="New Zealand"/>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12.2"/>
    <s v=""/>
    <n v="9.6999999999999993"/>
    <s v=""/>
    <n v="12.2"/>
    <m/>
    <m/>
    <m/>
    <n v="7.5"/>
    <m/>
    <m/>
    <m/>
    <m/>
    <n v="12.2"/>
    <n v="37"/>
    <m/>
    <m/>
    <n v="9.6999999999999993"/>
    <m/>
    <m/>
    <m/>
    <n v="0.6"/>
    <m/>
    <m/>
    <m/>
    <m/>
    <n v="9.6999999999999993"/>
    <n v="11.6"/>
  </r>
  <r>
    <x v="1"/>
    <x v="30"/>
    <s v="Frozen"/>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15.9"/>
    <s v=""/>
    <n v="2.5"/>
    <s v=""/>
    <n v="15.9"/>
    <m/>
    <m/>
    <m/>
    <m/>
    <m/>
    <m/>
    <m/>
    <m/>
    <n v="15.9"/>
    <n v="21.1"/>
    <m/>
    <m/>
    <n v="2.5"/>
    <m/>
    <m/>
    <m/>
    <m/>
    <m/>
    <m/>
    <m/>
    <m/>
    <n v="2.5"/>
    <n v="2.8"/>
  </r>
  <r>
    <x v="1"/>
    <x v="30"/>
    <s v="Frozen"/>
    <s v="imported to UK"/>
    <m/>
    <s v="Brazil"/>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12.2"/>
    <s v=""/>
    <n v="2.1"/>
    <s v=""/>
    <n v="12.2"/>
    <m/>
    <m/>
    <m/>
    <n v="4.0999999999999996"/>
    <m/>
    <m/>
    <m/>
    <m/>
    <n v="12.2"/>
    <n v="24.7"/>
    <m/>
    <m/>
    <n v="2.1"/>
    <m/>
    <m/>
    <m/>
    <n v="0.4"/>
    <m/>
    <m/>
    <m/>
    <m/>
    <n v="2.1"/>
    <n v="2.6"/>
  </r>
  <r>
    <x v="1"/>
    <x v="3"/>
    <s v="Frozen"/>
    <m/>
    <m/>
    <s v="UK"/>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41.3"/>
    <s v=""/>
    <n v="23.8"/>
    <s v=""/>
    <n v="41.3"/>
    <m/>
    <m/>
    <m/>
    <m/>
    <m/>
    <m/>
    <m/>
    <m/>
    <n v="41.3"/>
    <n v="44.4"/>
    <m/>
    <m/>
    <n v="23.8"/>
    <m/>
    <m/>
    <m/>
    <m/>
    <m/>
    <m/>
    <m/>
    <m/>
    <n v="23.8"/>
    <n v="24"/>
  </r>
  <r>
    <x v="1"/>
    <x v="3"/>
    <s v="Frozen"/>
    <s v="imported to UK"/>
    <m/>
    <s v="Brazil"/>
    <n v="2013"/>
    <s v="Webb, J.; Williams, A. G.; Hope, E.; Evans, D.; Moorhouse, E"/>
    <m/>
    <s v="Peer Reviewed Journal"/>
    <s v="Webb, J., Williams, A. G., Hope, E., Evans, D. and Moorhouse, E., Do foods imported into the UK have a greater environmental impact than the same foods produced within the UK? The International Journal of Life Cycle Assessment 2013, 18 (7), 1325-1343."/>
    <s v="Yes"/>
    <m/>
    <m/>
    <s v="Yes"/>
    <s v="Yes"/>
    <s v="Yes"/>
    <m/>
    <m/>
    <m/>
    <m/>
    <m/>
    <m/>
    <m/>
    <m/>
    <m/>
    <m/>
    <s v="per tonne at regional distribution center (assuming boneless weight)"/>
    <m/>
    <n v="7.8"/>
    <s v=""/>
    <n v="31.7"/>
    <s v=""/>
    <n v="7.8"/>
    <m/>
    <m/>
    <m/>
    <n v="4"/>
    <m/>
    <m/>
    <m/>
    <m/>
    <n v="7.8"/>
    <n v="17.100000000000001"/>
    <m/>
    <m/>
    <n v="31.7"/>
    <m/>
    <m/>
    <m/>
    <n v="0.3"/>
    <m/>
    <m/>
    <m/>
    <m/>
    <n v="31.7"/>
    <n v="32.200000000000003"/>
  </r>
  <r>
    <x v="3"/>
    <x v="187"/>
    <s v="Fresh or Not Specified"/>
    <m/>
    <m/>
    <s v="Sicily"/>
    <n v="2014"/>
    <s v="Lo Giudice, A., Mbohwa, C, Clasadonte, M.T and Ingrao, C"/>
    <m/>
    <s v="Peer Reviewed Journal"/>
    <s v="Lo Giudice, A., Mbohwa, C., Clasadonte, M. and Ingrao, C., Life cycle assessment interpretation and improvement of the Sicilian artichokes production. International Journal of Environmental Research 2014, 8 (2), 305-316."/>
    <s v="Yes"/>
    <m/>
    <m/>
    <m/>
    <m/>
    <m/>
    <m/>
    <m/>
    <m/>
    <m/>
    <m/>
    <m/>
    <m/>
    <m/>
    <m/>
    <m/>
    <s v="per ha, @12.5 tonnes/ha"/>
    <m/>
    <n v="6.77"/>
    <s v=""/>
    <n v="0.1968"/>
    <s v=""/>
    <n v="6.77"/>
    <m/>
    <m/>
    <m/>
    <m/>
    <m/>
    <m/>
    <m/>
    <m/>
    <n v="6.77"/>
    <m/>
    <m/>
    <m/>
    <n v="0.1968"/>
    <m/>
    <m/>
    <m/>
    <m/>
    <m/>
    <m/>
    <m/>
    <m/>
    <n v="0.1968"/>
    <m/>
  </r>
  <r>
    <x v="3"/>
    <x v="92"/>
    <s v="Fresh or Not Specified"/>
    <s v="conventional production"/>
    <s v="Yes"/>
    <s v="Belgium"/>
    <n v="2009"/>
    <s v="Eline de Backer, Joris Aertsens, Sofie Vergucht and Walter Steurbaut"/>
    <m/>
    <s v="Peer Reviewed Journal"/>
    <s v="Backer, E. D., Aertsens, J., Vergucht, S. and Steurbaut, W., Assessing the ecological soundness of organic and conventional agriculture by means of life cycle assessment (LCA): A case study of leek production. British Food Journal 2009, 111 (10), 1028-1061."/>
    <s v="Yes"/>
    <m/>
    <m/>
    <m/>
    <m/>
    <m/>
    <m/>
    <m/>
    <m/>
    <m/>
    <m/>
    <m/>
    <m/>
    <m/>
    <m/>
    <m/>
    <s v="/kg leek"/>
    <m/>
    <s v=""/>
    <s v=""/>
    <n v="9.4E-2"/>
    <s v=""/>
    <m/>
    <m/>
    <m/>
    <m/>
    <m/>
    <m/>
    <m/>
    <m/>
    <m/>
    <m/>
    <m/>
    <m/>
    <m/>
    <n v="9.4E-2"/>
    <m/>
    <m/>
    <m/>
    <m/>
    <m/>
    <m/>
    <m/>
    <m/>
    <n v="9.4E-2"/>
    <m/>
  </r>
  <r>
    <x v="3"/>
    <x v="92"/>
    <s v="Fresh or Not Specified"/>
    <s v="organic production"/>
    <s v="Yes"/>
    <s v="Belgium"/>
    <n v="2009"/>
    <s v="Eline de Backer, Joris Aertsens, Sofie Vergucht and Walter Steurbaut"/>
    <m/>
    <s v="Peer Reviewed Journal"/>
    <s v="Backer, E. D., Aertsens, J., Vergucht, S. and Steurbaut, W., Assessing the ecological soundness of organic and conventional agriculture by means of life cycle assessment (LCA): A case study of leek production. British Food Journal 2009, 111 (10), 1028-1061."/>
    <s v="Yes"/>
    <m/>
    <m/>
    <m/>
    <m/>
    <m/>
    <m/>
    <m/>
    <m/>
    <m/>
    <m/>
    <m/>
    <m/>
    <m/>
    <m/>
    <m/>
    <s v="/kg leek"/>
    <m/>
    <s v=""/>
    <s v=""/>
    <n v="4.3999999999999997E-2"/>
    <s v=""/>
    <m/>
    <m/>
    <m/>
    <m/>
    <m/>
    <m/>
    <m/>
    <m/>
    <m/>
    <m/>
    <m/>
    <m/>
    <m/>
    <n v="4.3999999999999997E-2"/>
    <m/>
    <m/>
    <m/>
    <m/>
    <m/>
    <m/>
    <m/>
    <m/>
    <n v="4.3999999999999997E-2"/>
    <m/>
  </r>
  <r>
    <x v="3"/>
    <x v="77"/>
    <s v="Fresh or Not Specified"/>
    <s v="open field 2008"/>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13600000000000001"/>
    <s v=""/>
    <m/>
    <m/>
    <m/>
    <m/>
    <m/>
    <m/>
    <m/>
    <m/>
    <m/>
    <m/>
    <m/>
    <m/>
    <m/>
    <n v="0.13600000000000001"/>
    <m/>
    <m/>
    <m/>
    <m/>
    <m/>
    <m/>
    <m/>
    <m/>
    <n v="0.13600000000000001"/>
    <m/>
  </r>
  <r>
    <x v="3"/>
    <x v="77"/>
    <s v="Fresh or Not Specified"/>
    <s v="open field 2009"/>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35599999999999998"/>
    <s v=""/>
    <m/>
    <m/>
    <m/>
    <m/>
    <m/>
    <m/>
    <m/>
    <m/>
    <m/>
    <m/>
    <m/>
    <m/>
    <m/>
    <n v="0.35599999999999998"/>
    <m/>
    <m/>
    <m/>
    <m/>
    <m/>
    <m/>
    <m/>
    <m/>
    <n v="0.35599999999999998"/>
    <m/>
  </r>
  <r>
    <x v="3"/>
    <x v="77"/>
    <s v="Fresh or Not Specified"/>
    <s v="screenhouse 2008"/>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10199999999999999"/>
    <s v=""/>
    <m/>
    <m/>
    <m/>
    <m/>
    <m/>
    <m/>
    <m/>
    <m/>
    <m/>
    <m/>
    <m/>
    <m/>
    <m/>
    <n v="0.10199999999999999"/>
    <m/>
    <m/>
    <m/>
    <m/>
    <m/>
    <m/>
    <m/>
    <m/>
    <n v="0.10199999999999999"/>
    <m/>
  </r>
  <r>
    <x v="3"/>
    <x v="77"/>
    <s v="Fresh or Not Specified"/>
    <s v="screenhouse 2009"/>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16900000000000001"/>
    <s v=""/>
    <m/>
    <m/>
    <m/>
    <m/>
    <m/>
    <m/>
    <m/>
    <m/>
    <m/>
    <m/>
    <m/>
    <m/>
    <m/>
    <n v="0.16900000000000001"/>
    <m/>
    <m/>
    <m/>
    <m/>
    <m/>
    <m/>
    <m/>
    <m/>
    <n v="0.16900000000000001"/>
    <m/>
  </r>
  <r>
    <x v="3"/>
    <x v="77"/>
    <s v="Fresh or Not Specified"/>
    <s v="screenhouse w mist 2008"/>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0.10100000000000001"/>
    <s v=""/>
    <m/>
    <m/>
    <m/>
    <m/>
    <m/>
    <m/>
    <m/>
    <m/>
    <m/>
    <m/>
    <m/>
    <m/>
    <m/>
    <n v="0.10100000000000001"/>
    <m/>
    <m/>
    <m/>
    <m/>
    <m/>
    <m/>
    <m/>
    <m/>
    <n v="0.10100000000000001"/>
    <m/>
  </r>
  <r>
    <x v="3"/>
    <x v="77"/>
    <s v="Fresh or Not Specified"/>
    <s v="screenhouse w mist 2009"/>
    <m/>
    <s v="Spain"/>
    <n v="2012"/>
    <s v="M. Romero-Gámez, E.M. Suárez-Rey, A. Antón, N. Castilla, T. Soriano"/>
    <m/>
    <s v="Peer Reviewed Journal"/>
    <s v="Romero-Gámez, M., Suárez-Rey, E., Antón, A., Castilla, N. and Soriano, T., Environmental impact of screenhouse and open-field cultivation using a life cycle analysis: the case study of green bean production. Journal of Cleaner Production 2012, 28, 63-69."/>
    <s v="Yes"/>
    <m/>
    <m/>
    <m/>
    <m/>
    <m/>
    <m/>
    <m/>
    <m/>
    <m/>
    <m/>
    <m/>
    <m/>
    <m/>
    <m/>
    <m/>
    <s v="/kg green beans"/>
    <m/>
    <s v=""/>
    <s v=""/>
    <n v="2.89"/>
    <s v=""/>
    <m/>
    <m/>
    <m/>
    <m/>
    <m/>
    <m/>
    <m/>
    <m/>
    <m/>
    <m/>
    <m/>
    <m/>
    <m/>
    <n v="2.89"/>
    <m/>
    <m/>
    <m/>
    <m/>
    <m/>
    <m/>
    <m/>
    <m/>
    <n v="2.89"/>
    <m/>
  </r>
  <r>
    <x v="5"/>
    <x v="67"/>
    <s v="Fresh or Not Specified"/>
    <m/>
    <m/>
    <s v="US"/>
    <n v="2014"/>
    <s v="Kelly Twomey Sanders, Michael E Webber"/>
    <m/>
    <s v="Peer Reviewed Journal"/>
    <s v="Sanders, K. T. and Webber, M. E., A comparative analysis of the greenhouse gas emissions intensity of wheat and beef in the United States. Environmental Research Letters 2014, 9 (4), 044011."/>
    <s v="Yes"/>
    <m/>
    <m/>
    <s v="Yes"/>
    <s v="Yes"/>
    <s v="Yes"/>
    <s v="Yes"/>
    <s v="Yes"/>
    <s v="Yes"/>
    <s v="Yes"/>
    <s v="No"/>
    <s v="No"/>
    <m/>
    <m/>
    <m/>
    <m/>
    <m/>
    <m/>
    <s v=""/>
    <s v=""/>
    <n v="0.3"/>
    <n v="0.52"/>
    <m/>
    <m/>
    <m/>
    <m/>
    <m/>
    <m/>
    <m/>
    <m/>
    <m/>
    <m/>
    <m/>
    <m/>
    <m/>
    <n v="0.3"/>
    <m/>
    <n v="0.22"/>
    <n v="0.17"/>
    <n v="4.2999999999999997E-2"/>
    <n v="4.3999999999999997E-2"/>
    <n v="0.28400000000000003"/>
    <m/>
    <m/>
    <n v="0.3"/>
    <n v="1.0610000000000002"/>
  </r>
  <r>
    <x v="1"/>
    <x v="3"/>
    <s v="Fresh or Not Specified"/>
    <m/>
    <m/>
    <s v="US"/>
    <n v="2014"/>
    <s v="Kelly Twomey Sanders, Michael E Webber"/>
    <m/>
    <s v="Peer Reviewed Journal"/>
    <s v="Sanders, K. T. and Webber, M. E., A comparative analysis of the greenhouse gas emissions intensity of wheat and beef in the United States. Environmental Research Letters 2014, 9 (4), 044011."/>
    <s v="Yes"/>
    <m/>
    <m/>
    <s v="Yes"/>
    <s v="Yes"/>
    <s v="Yes"/>
    <s v="Yes"/>
    <s v="Yes"/>
    <s v="Yes"/>
    <s v="Yes"/>
    <s v="No"/>
    <s v="No"/>
    <m/>
    <m/>
    <m/>
    <m/>
    <s v="carcass weight, includes bones"/>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7.037037037037038"/>
    <n v="37.338820301783265"/>
    <m/>
    <m/>
    <m/>
    <m/>
    <m/>
    <m/>
    <m/>
    <m/>
    <m/>
    <m/>
    <m/>
    <m/>
    <m/>
    <n v="37.037037037037038"/>
    <m/>
    <n v="0.30178326474622774"/>
    <n v="0.23319615912208508"/>
    <n v="1.2757201646090537"/>
    <n v="0.46639231824417016"/>
    <n v="2.9629629629629632"/>
    <m/>
    <m/>
    <n v="37.037037037037038"/>
    <n v="42.277091906721537"/>
  </r>
  <r>
    <x v="11"/>
    <x v="178"/>
    <s v="Fresh or Not Specified"/>
    <s v="fresh"/>
    <m/>
    <s v="Portugal"/>
    <n v="2015"/>
    <s v="Diana Rosa, Filipa Figueiredo, Érica G. Castanheira, Manuel Feliciano, Filipe Maia, José Santos, Ana Paula Silva, Henrique Trindade, and Fausto Freire"/>
    <m/>
    <s v="Conference Proceedings"/>
    <s v="Rosa, D., Figueiredo, F., Castanheira, É., Feliciano, M., Maia, F., Santos, J., Silva, A., Trindade, H. and Freire, F., Life-cycle greenhouse gas assessment of Portuguese chestnut. Energy for Sustainability 2015 Conference: Sustainable Cities–Designing for People and the Planet 2015, ."/>
    <s v="Yes"/>
    <s v="No"/>
    <s v="Yes"/>
    <s v="Yes"/>
    <s v="No"/>
    <s v="No"/>
    <s v="No"/>
    <s v="No"/>
    <s v="No"/>
    <s v="No"/>
    <s v="No"/>
    <s v="No"/>
    <m/>
    <m/>
    <m/>
    <m/>
    <s v="per kg harvested chestnut"/>
    <m/>
    <s v=""/>
    <s v=""/>
    <n v="1.32"/>
    <n v="1.37"/>
    <m/>
    <m/>
    <m/>
    <m/>
    <m/>
    <m/>
    <m/>
    <m/>
    <m/>
    <m/>
    <m/>
    <m/>
    <m/>
    <n v="1.32"/>
    <m/>
    <n v="0.05"/>
    <m/>
    <m/>
    <m/>
    <m/>
    <m/>
    <m/>
    <n v="1.32"/>
    <n v="1.37"/>
  </r>
  <r>
    <x v="11"/>
    <x v="178"/>
    <s v="Frozen"/>
    <s v="frozen"/>
    <m/>
    <s v="Portugal"/>
    <n v="2015"/>
    <s v="Diana Rosa, Filipa Figueiredo, Érica G. Castanheira, Manuel Feliciano, Filipe Maia, José Santos, Ana Paula Silva, Henrique Trindade, and Fausto Freire"/>
    <m/>
    <s v="Conference Proceedings"/>
    <s v="Rosa, D., Figueiredo, F., Castanheira, É., Feliciano, M., Maia, F., Santos, J., Silva, A., Trindade, H. and Freire, F., Life-cycle greenhouse gas assessment of Portuguese chestnut. Energy for Sustainability 2015 Conference: Sustainable Cities–Designing for People and the Planet 2015, ."/>
    <s v="Yes"/>
    <s v="No"/>
    <s v="Yes"/>
    <s v="Yes"/>
    <s v="No"/>
    <s v="No"/>
    <s v="No"/>
    <s v="No"/>
    <s v="No"/>
    <s v="No"/>
    <s v="No"/>
    <s v="No"/>
    <m/>
    <m/>
    <m/>
    <m/>
    <s v="per kg harvested chestnut"/>
    <m/>
    <s v=""/>
    <s v=""/>
    <n v="1.32"/>
    <n v="1.55"/>
    <m/>
    <m/>
    <m/>
    <m/>
    <m/>
    <m/>
    <m/>
    <m/>
    <m/>
    <m/>
    <m/>
    <m/>
    <m/>
    <n v="1.32"/>
    <m/>
    <n v="0.23"/>
    <m/>
    <m/>
    <m/>
    <m/>
    <m/>
    <m/>
    <n v="1.32"/>
    <n v="1.55"/>
  </r>
  <r>
    <x v="4"/>
    <x v="136"/>
    <s v="Fresh or Not Specified"/>
    <s v="groundwater, gravity,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2799310938845826"/>
    <s v=""/>
    <m/>
    <m/>
    <m/>
    <m/>
    <m/>
    <m/>
    <m/>
    <m/>
    <m/>
    <m/>
    <m/>
    <m/>
    <m/>
    <n v="0.22799310938845826"/>
    <m/>
    <m/>
    <m/>
    <m/>
    <m/>
    <m/>
    <m/>
    <m/>
    <n v="0.22799310938845826"/>
    <m/>
  </r>
  <r>
    <x v="4"/>
    <x v="136"/>
    <s v="Fresh or Not Specified"/>
    <s v="groundwater, drip,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7168389319552111"/>
    <s v=""/>
    <m/>
    <m/>
    <m/>
    <m/>
    <m/>
    <m/>
    <m/>
    <m/>
    <m/>
    <m/>
    <m/>
    <m/>
    <m/>
    <n v="0.27168389319552111"/>
    <m/>
    <m/>
    <m/>
    <m/>
    <m/>
    <m/>
    <m/>
    <m/>
    <n v="0.27168389319552111"/>
    <m/>
  </r>
  <r>
    <x v="4"/>
    <x v="136"/>
    <s v="Fresh or Not Specified"/>
    <s v="surface, gravity,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2198535745047376"/>
    <s v=""/>
    <m/>
    <m/>
    <m/>
    <m/>
    <m/>
    <m/>
    <m/>
    <m/>
    <m/>
    <m/>
    <m/>
    <m/>
    <m/>
    <n v="0.22198535745047376"/>
    <m/>
    <m/>
    <m/>
    <m/>
    <m/>
    <m/>
    <m/>
    <m/>
    <n v="0.22198535745047376"/>
    <m/>
  </r>
  <r>
    <x v="4"/>
    <x v="136"/>
    <s v="Fresh or Not Specified"/>
    <s v="surface, drip,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6401808785529723"/>
    <s v=""/>
    <m/>
    <m/>
    <m/>
    <m/>
    <m/>
    <m/>
    <m/>
    <m/>
    <m/>
    <m/>
    <m/>
    <m/>
    <m/>
    <n v="0.26401808785529723"/>
    <m/>
    <m/>
    <m/>
    <m/>
    <m/>
    <m/>
    <m/>
    <m/>
    <n v="0.26401808785529723"/>
    <m/>
  </r>
  <r>
    <x v="4"/>
    <x v="136"/>
    <s v="Fresh or Not Specified"/>
    <s v="groundwater, gravity, no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4414298018949185"/>
    <s v=""/>
    <m/>
    <m/>
    <m/>
    <m/>
    <m/>
    <m/>
    <m/>
    <m/>
    <m/>
    <m/>
    <m/>
    <m/>
    <m/>
    <n v="0.24414298018949185"/>
    <m/>
    <m/>
    <m/>
    <m/>
    <m/>
    <m/>
    <m/>
    <m/>
    <n v="0.24414298018949185"/>
    <m/>
  </r>
  <r>
    <x v="4"/>
    <x v="136"/>
    <s v="Fresh or Not Specified"/>
    <s v="groundwater, drip, no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8847975882859606"/>
    <s v=""/>
    <m/>
    <m/>
    <m/>
    <m/>
    <m/>
    <m/>
    <m/>
    <m/>
    <m/>
    <m/>
    <m/>
    <m/>
    <m/>
    <n v="0.28847975882859606"/>
    <m/>
    <m/>
    <m/>
    <m/>
    <m/>
    <m/>
    <m/>
    <m/>
    <n v="0.28847975882859606"/>
    <m/>
  </r>
  <r>
    <x v="4"/>
    <x v="136"/>
    <s v="Fresh or Not Specified"/>
    <s v="surface, gravity,no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3858742463393631"/>
    <s v=""/>
    <m/>
    <m/>
    <m/>
    <m/>
    <m/>
    <m/>
    <m/>
    <m/>
    <m/>
    <m/>
    <m/>
    <m/>
    <m/>
    <n v="0.23858742463393631"/>
    <m/>
    <m/>
    <m/>
    <m/>
    <m/>
    <m/>
    <m/>
    <m/>
    <n v="0.23858742463393631"/>
    <m/>
  </r>
  <r>
    <x v="4"/>
    <x v="136"/>
    <s v="Fresh or Not Specified"/>
    <s v="surface, drip, no tillage"/>
    <m/>
    <s v="Spain"/>
    <n v="2005"/>
    <s v="Sanjuán, N; Ubeda, L; Clemente, G; Mulet, A; Girona, F"/>
    <m/>
    <s v="Peer Reviewed Journal"/>
    <s v="Sanjuán, N., Ubeda, L., Clemente, G., Mulet, A. and Girona, F., LCA of integrated orange production in the Comunidad Valenciana (Spain). International Journal of Agricultural Resources, Governance and Ecology 2005, 4 (2), 163-177."/>
    <s v="Yes"/>
    <m/>
    <m/>
    <m/>
    <m/>
    <m/>
    <m/>
    <m/>
    <m/>
    <m/>
    <m/>
    <m/>
    <m/>
    <m/>
    <m/>
    <m/>
    <m/>
    <m/>
    <s v=""/>
    <s v=""/>
    <n v="0.28277347114556417"/>
    <s v=""/>
    <m/>
    <m/>
    <m/>
    <m/>
    <m/>
    <m/>
    <m/>
    <m/>
    <m/>
    <m/>
    <m/>
    <m/>
    <m/>
    <n v="0.28277347114556417"/>
    <m/>
    <m/>
    <m/>
    <m/>
    <m/>
    <m/>
    <m/>
    <m/>
    <n v="0.28277347114556417"/>
    <m/>
  </r>
  <r>
    <x v="1"/>
    <x v="3"/>
    <m/>
    <s v="based on conceptual model, MITERRA-Europe"/>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s v="No"/>
    <m/>
    <m/>
    <m/>
    <m/>
    <m/>
    <m/>
    <m/>
    <m/>
    <m/>
    <m/>
    <m/>
    <s v="farm gate"/>
    <m/>
    <m/>
    <s v="per kg edible meat"/>
    <m/>
    <s v=""/>
    <s v=""/>
    <n v="22.6"/>
    <s v=""/>
    <m/>
    <m/>
    <m/>
    <m/>
    <m/>
    <m/>
    <m/>
    <m/>
    <m/>
    <m/>
    <m/>
    <m/>
    <m/>
    <n v="22.6"/>
    <m/>
    <m/>
    <m/>
    <m/>
    <m/>
    <m/>
    <m/>
    <m/>
    <n v="22.6"/>
    <m/>
  </r>
  <r>
    <x v="1"/>
    <x v="30"/>
    <m/>
    <s v="based on conceptual model, MITERRA-Europe"/>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s v="No"/>
    <m/>
    <m/>
    <m/>
    <m/>
    <m/>
    <m/>
    <m/>
    <m/>
    <m/>
    <m/>
    <m/>
    <s v="farm gate"/>
    <m/>
    <m/>
    <s v="per kg edible meat"/>
    <m/>
    <s v=""/>
    <s v=""/>
    <n v="1.6"/>
    <s v=""/>
    <m/>
    <m/>
    <m/>
    <m/>
    <m/>
    <m/>
    <m/>
    <m/>
    <m/>
    <m/>
    <m/>
    <m/>
    <m/>
    <n v="1.6"/>
    <m/>
    <m/>
    <m/>
    <m/>
    <m/>
    <m/>
    <m/>
    <m/>
    <n v="1.6"/>
    <m/>
  </r>
  <r>
    <x v="2"/>
    <x v="2"/>
    <m/>
    <s v="based on conceptual model, MITERRA-Europe"/>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s v="No"/>
    <m/>
    <m/>
    <m/>
    <m/>
    <m/>
    <m/>
    <m/>
    <m/>
    <m/>
    <m/>
    <m/>
    <s v="farm gate"/>
    <m/>
    <m/>
    <s v="per kg eggs in shell"/>
    <m/>
    <s v=""/>
    <s v=""/>
    <n v="1.7"/>
    <s v=""/>
    <m/>
    <m/>
    <m/>
    <m/>
    <m/>
    <m/>
    <m/>
    <m/>
    <m/>
    <m/>
    <m/>
    <m/>
    <m/>
    <n v="1.7"/>
    <m/>
    <m/>
    <m/>
    <m/>
    <m/>
    <m/>
    <m/>
    <m/>
    <n v="1.7"/>
    <m/>
  </r>
  <r>
    <x v="0"/>
    <x v="0"/>
    <m/>
    <s v="based on conceptual model, MITERRA-Europe"/>
    <m/>
    <s v="EU average"/>
    <n v="2011"/>
    <s v="Lesschen, J.; Van den Berg, M.; Westhoek, H.; Witzke, H.; Oenema, O."/>
    <s v="Alterra, Wageningen University and Research Centre, P.O. Box 47, 6700 AA, Wageningen, The Netherlands"/>
    <s v="Peer Reviewed Journal"/>
    <s v="Lesschen, J., Van Den Berg, M., Westhoek, H., Witzke, H. and Oenema, O., Greenhouse gas emission profiles of European livestock sectors. Animal Feed Science and Technology 2011, 166, 16-28."/>
    <s v="Yes"/>
    <s v="No"/>
    <m/>
    <m/>
    <m/>
    <m/>
    <m/>
    <m/>
    <m/>
    <m/>
    <m/>
    <m/>
    <m/>
    <s v="farm gate"/>
    <m/>
    <m/>
    <s v="per kg whole fresh cows milk"/>
    <m/>
    <s v=""/>
    <s v=""/>
    <n v="14.3"/>
    <s v=""/>
    <m/>
    <m/>
    <m/>
    <m/>
    <m/>
    <m/>
    <m/>
    <m/>
    <m/>
    <m/>
    <m/>
    <m/>
    <m/>
    <n v="14.3"/>
    <m/>
    <m/>
    <m/>
    <m/>
    <m/>
    <m/>
    <m/>
    <m/>
    <n v="14.3"/>
    <m/>
  </r>
  <r>
    <x v="0"/>
    <x v="0"/>
    <m/>
    <s v="based on 8 Dutch organic dairy farms, year 2000"/>
    <m/>
    <s v="Netherlands"/>
    <n v="2005"/>
    <s v="Thomassen, M. A._x000a_de Boer, I. J. M."/>
    <s v="Wageningen Inst."/>
    <s v="Peer Reviewed Journal"/>
    <s v="Thomassen, M. A. and De Boer, I. J. M., Evaluation of indicators to assess the environmental impact of dairy production systems. Agriculture, Ecosystems &amp; Environment 2005, 111 (1–4), 185-199."/>
    <s v="Yes"/>
    <s v="No"/>
    <m/>
    <m/>
    <m/>
    <m/>
    <m/>
    <m/>
    <m/>
    <m/>
    <m/>
    <m/>
    <m/>
    <s v="farm gate"/>
    <m/>
    <m/>
    <s v="kg FPCM"/>
    <m/>
    <n v="2.48"/>
    <s v=""/>
    <n v="1.81"/>
    <s v=""/>
    <n v="2.48"/>
    <m/>
    <m/>
    <m/>
    <m/>
    <m/>
    <m/>
    <m/>
    <m/>
    <n v="2.48"/>
    <m/>
    <m/>
    <s v="SD=0.91; CV=37%"/>
    <n v="1.81"/>
    <m/>
    <m/>
    <m/>
    <m/>
    <m/>
    <m/>
    <m/>
    <m/>
    <n v="1.81"/>
    <m/>
  </r>
  <r>
    <x v="1"/>
    <x v="3"/>
    <m/>
    <s v="typical Irish beef-suckler system, supplement 1"/>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8.04245717672725"/>
    <s v=""/>
    <m/>
    <m/>
    <m/>
    <m/>
    <m/>
    <m/>
    <m/>
    <m/>
    <m/>
    <m/>
    <m/>
    <m/>
    <m/>
    <n v="28.04245717672725"/>
    <m/>
    <m/>
    <m/>
    <m/>
    <m/>
    <m/>
    <m/>
    <m/>
    <n v="28.04245717672725"/>
    <m/>
  </r>
  <r>
    <x v="1"/>
    <x v="3"/>
    <m/>
    <s v="typical Irish beef-suckler system, supplement 2"/>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7.718698790139815"/>
    <s v=""/>
    <m/>
    <m/>
    <m/>
    <m/>
    <m/>
    <m/>
    <m/>
    <m/>
    <m/>
    <m/>
    <m/>
    <m/>
    <m/>
    <n v="27.718698790139815"/>
    <m/>
    <m/>
    <m/>
    <m/>
    <m/>
    <m/>
    <m/>
    <m/>
    <n v="27.718698790139815"/>
    <m/>
  </r>
  <r>
    <x v="1"/>
    <x v="3"/>
    <m/>
    <s v="typical Irish beef-suckler system, supplement 3"/>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7.4945583686562"/>
    <s v=""/>
    <m/>
    <m/>
    <m/>
    <m/>
    <m/>
    <m/>
    <m/>
    <m/>
    <m/>
    <m/>
    <m/>
    <m/>
    <m/>
    <n v="27.4945583686562"/>
    <m/>
    <m/>
    <m/>
    <m/>
    <m/>
    <m/>
    <m/>
    <m/>
    <n v="27.4945583686562"/>
    <m/>
  </r>
  <r>
    <x v="1"/>
    <x v="3"/>
    <m/>
    <s v="shorter life scenario, harvesting younger animals"/>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5.925575418270931"/>
    <s v=""/>
    <m/>
    <m/>
    <m/>
    <m/>
    <m/>
    <m/>
    <m/>
    <m/>
    <m/>
    <m/>
    <m/>
    <m/>
    <m/>
    <n v="25.925575418270931"/>
    <m/>
    <m/>
    <m/>
    <m/>
    <m/>
    <m/>
    <m/>
    <m/>
    <n v="25.925575418270931"/>
    <m/>
  </r>
  <r>
    <x v="1"/>
    <x v="3"/>
    <m/>
    <s v="non-castrated males in intensive indoor feedlot"/>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6.99646854313707"/>
    <s v=""/>
    <m/>
    <m/>
    <m/>
    <m/>
    <m/>
    <m/>
    <m/>
    <m/>
    <m/>
    <m/>
    <m/>
    <m/>
    <m/>
    <n v="26.99646854313707"/>
    <m/>
    <m/>
    <m/>
    <m/>
    <m/>
    <m/>
    <m/>
    <m/>
    <n v="26.99646854313707"/>
    <m/>
  </r>
  <r>
    <x v="1"/>
    <x v="3"/>
    <m/>
    <s v="same management as scenario 1 but using dairy-bred beef, spplement 1"/>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4.281878994057788"/>
    <s v=""/>
    <m/>
    <m/>
    <m/>
    <m/>
    <m/>
    <m/>
    <m/>
    <m/>
    <m/>
    <m/>
    <m/>
    <m/>
    <m/>
    <n v="24.281878994057788"/>
    <m/>
    <m/>
    <m/>
    <m/>
    <m/>
    <m/>
    <m/>
    <m/>
    <n v="24.281878994057788"/>
    <m/>
  </r>
  <r>
    <x v="1"/>
    <x v="3"/>
    <m/>
    <s v="same management as scenario 1 but using dairy-bred beef, spplement 2"/>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2.787609517500389"/>
    <s v=""/>
    <m/>
    <m/>
    <m/>
    <m/>
    <m/>
    <m/>
    <m/>
    <m/>
    <m/>
    <m/>
    <m/>
    <m/>
    <m/>
    <n v="22.787609517500389"/>
    <m/>
    <m/>
    <m/>
    <m/>
    <m/>
    <m/>
    <m/>
    <m/>
    <n v="22.787609517500389"/>
    <m/>
  </r>
  <r>
    <x v="1"/>
    <x v="3"/>
    <m/>
    <s v="same management as scenario 1 but using dairy-bred beef, spplement 3"/>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2.563469096016778"/>
    <s v=""/>
    <m/>
    <m/>
    <m/>
    <m/>
    <m/>
    <m/>
    <m/>
    <m/>
    <m/>
    <m/>
    <m/>
    <m/>
    <m/>
    <n v="22.563469096016778"/>
    <m/>
    <m/>
    <m/>
    <m/>
    <m/>
    <m/>
    <m/>
    <m/>
    <n v="22.563469096016778"/>
    <m/>
  </r>
  <r>
    <x v="1"/>
    <x v="3"/>
    <m/>
    <s v="same as scenario 2, with dairy-bred animals"/>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7.85652024486096"/>
    <s v=""/>
    <m/>
    <m/>
    <m/>
    <m/>
    <m/>
    <m/>
    <m/>
    <m/>
    <m/>
    <m/>
    <m/>
    <m/>
    <m/>
    <n v="17.85652024486096"/>
    <m/>
    <m/>
    <m/>
    <m/>
    <m/>
    <m/>
    <m/>
    <m/>
    <n v="17.85652024486096"/>
    <m/>
  </r>
  <r>
    <x v="1"/>
    <x v="3"/>
    <m/>
    <s v="same as scenario 3, but using dairy-bred animals"/>
    <m/>
    <s v="Ireland"/>
    <n v="2006"/>
    <s v="Casey, J. W._x000a_Holden, N. M."/>
    <s v="University College Dublin"/>
    <s v="Peer Reviewed Journal"/>
    <s v="Casey, J. W. and Holden, N. M., Quantification of GHG emissions from sucker-beef production in Ireland. Agricultural Systems 2006, 90 (1–3), 79-98."/>
    <s v="Yes"/>
    <s v="No"/>
    <m/>
    <m/>
    <m/>
    <m/>
    <m/>
    <m/>
    <m/>
    <m/>
    <m/>
    <m/>
    <m/>
    <s v="farm gate"/>
    <m/>
    <m/>
    <s v="per kg live weight"/>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18.82779540462327"/>
    <s v=""/>
    <m/>
    <m/>
    <m/>
    <m/>
    <m/>
    <m/>
    <m/>
    <m/>
    <m/>
    <m/>
    <m/>
    <m/>
    <m/>
    <n v="18.82779540462327"/>
    <m/>
    <m/>
    <m/>
    <m/>
    <m/>
    <m/>
    <m/>
    <m/>
    <n v="18.82779540462327"/>
    <m/>
  </r>
  <r>
    <x v="3"/>
    <x v="94"/>
    <s v="Fresh or Not Specified"/>
    <m/>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0.223"/>
    <s v=""/>
    <n v="1.7999999999999999E-2"/>
    <s v=""/>
    <n v="0.223"/>
    <m/>
    <m/>
    <n v="2.16"/>
    <n v="0.26"/>
    <m/>
    <m/>
    <m/>
    <m/>
    <n v="0.223"/>
    <n v="2.6429999999999998"/>
    <m/>
    <m/>
    <n v="1.7999999999999999E-2"/>
    <m/>
    <m/>
    <n v="3.2000000000000001E-2"/>
    <n v="1.9E-2"/>
    <m/>
    <m/>
    <m/>
    <m/>
    <n v="1.7999999999999999E-2"/>
    <n v="6.9000000000000006E-2"/>
  </r>
  <r>
    <x v="3"/>
    <x v="232"/>
    <s v="Frozen"/>
    <s v="frozen, cut carrots at wholesaler"/>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0.59000000000000008"/>
    <n v="6.8900000000000006"/>
    <n v="2.3E-2"/>
    <n v="0.218"/>
    <n v="0.59000000000000008"/>
    <m/>
    <n v="6.3000000000000007"/>
    <m/>
    <n v="0.67"/>
    <m/>
    <m/>
    <m/>
    <m/>
    <n v="0.59000000000000008"/>
    <n v="7.5600000000000005"/>
    <m/>
    <m/>
    <n v="2.3E-2"/>
    <m/>
    <n v="0.19500000000000001"/>
    <m/>
    <n v="4.9000000000000002E-2"/>
    <m/>
    <m/>
    <m/>
    <m/>
    <n v="2.3E-2"/>
    <n v="0.26700000000000002"/>
  </r>
  <r>
    <x v="3"/>
    <x v="94"/>
    <s v="Fresh or Not Specified"/>
    <m/>
    <m/>
    <s v="Netherlands"/>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1.216"/>
    <s v=""/>
    <n v="0.04"/>
    <s v=""/>
    <n v="1.216"/>
    <m/>
    <m/>
    <n v="1.88"/>
    <n v="0.98"/>
    <m/>
    <m/>
    <m/>
    <m/>
    <n v="1.216"/>
    <n v="4.0760000000000005"/>
    <m/>
    <m/>
    <n v="0.04"/>
    <m/>
    <m/>
    <n v="4.3999999999999997E-2"/>
    <n v="7.0999999999999994E-2"/>
    <m/>
    <m/>
    <m/>
    <m/>
    <n v="0.04"/>
    <n v="0.15499999999999997"/>
  </r>
  <r>
    <x v="3"/>
    <x v="233"/>
    <s v="Fresh or Not Specified"/>
    <m/>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1.131"/>
    <s v=""/>
    <n v="3.9E-2"/>
    <s v=""/>
    <n v="1.131"/>
    <m/>
    <m/>
    <n v="0.52"/>
    <n v="0.26"/>
    <m/>
    <m/>
    <m/>
    <m/>
    <n v="1.131"/>
    <n v="1.911"/>
    <m/>
    <m/>
    <n v="3.9E-2"/>
    <m/>
    <m/>
    <n v="1.0999999999999999E-2"/>
    <n v="1.9E-2"/>
    <m/>
    <m/>
    <m/>
    <m/>
    <n v="3.9E-2"/>
    <n v="6.9000000000000006E-2"/>
  </r>
  <r>
    <x v="3"/>
    <x v="233"/>
    <s v="Fresh or Not Specified"/>
    <m/>
    <m/>
    <s v="Denmark"/>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1.49"/>
    <s v=""/>
    <n v="4.5999999999999999E-2"/>
    <s v=""/>
    <n v="1.49"/>
    <m/>
    <m/>
    <n v="0.98"/>
    <n v="0.55000000000000004"/>
    <m/>
    <m/>
    <m/>
    <m/>
    <n v="1.49"/>
    <n v="3.0199999999999996"/>
    <m/>
    <m/>
    <n v="4.5999999999999999E-2"/>
    <m/>
    <m/>
    <n v="5.8999999999999997E-2"/>
    <n v="0.04"/>
    <m/>
    <m/>
    <m/>
    <m/>
    <n v="4.5999999999999999E-2"/>
    <n v="0.14499999999999999"/>
  </r>
  <r>
    <x v="3"/>
    <x v="18"/>
    <s v="Fresh or Not Specified"/>
    <m/>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51"/>
    <s v=""/>
    <n v="2.694"/>
    <s v=""/>
    <n v="51"/>
    <m/>
    <m/>
    <m/>
    <n v="0.41"/>
    <m/>
    <m/>
    <m/>
    <m/>
    <n v="51"/>
    <n v="51.41"/>
    <m/>
    <m/>
    <n v="2.694"/>
    <m/>
    <m/>
    <m/>
    <n v="0.03"/>
    <m/>
    <m/>
    <m/>
    <m/>
    <n v="2.694"/>
    <n v="2.7239999999999998"/>
  </r>
  <r>
    <x v="3"/>
    <x v="18"/>
    <s v="Fresh or Not Specified"/>
    <m/>
    <m/>
    <s v="Netherlands"/>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52.4"/>
    <s v=""/>
    <n v="2.8330000000000002"/>
    <s v=""/>
    <n v="52.4"/>
    <m/>
    <m/>
    <m/>
    <n v="1.1000000000000001"/>
    <m/>
    <m/>
    <m/>
    <m/>
    <n v="52.4"/>
    <n v="53.5"/>
    <m/>
    <m/>
    <n v="2.8330000000000002"/>
    <m/>
    <m/>
    <m/>
    <n v="7.3999999999999996E-2"/>
    <m/>
    <m/>
    <m/>
    <m/>
    <n v="2.8330000000000002"/>
    <n v="2.907"/>
  </r>
  <r>
    <x v="3"/>
    <x v="18"/>
    <s v="Fresh or Not Specified"/>
    <m/>
    <m/>
    <s v="Denmark"/>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No"/>
    <s v="No"/>
    <s v="No"/>
    <s v="No"/>
    <s v="No"/>
    <m/>
    <s v="at wholesaler"/>
    <m/>
    <m/>
    <s v="per kg"/>
    <m/>
    <n v="60.91"/>
    <s v=""/>
    <n v="3.62"/>
    <s v=""/>
    <n v="60.91"/>
    <m/>
    <m/>
    <m/>
    <n v="0.55000000000000004"/>
    <m/>
    <m/>
    <m/>
    <m/>
    <n v="60.91"/>
    <n v="61.459999999999994"/>
    <m/>
    <m/>
    <n v="3.62"/>
    <m/>
    <m/>
    <m/>
    <n v="3.7999999999999999E-2"/>
    <m/>
    <m/>
    <m/>
    <m/>
    <n v="3.62"/>
    <n v="3.6579999999999999"/>
  </r>
  <r>
    <x v="3"/>
    <x v="75"/>
    <s v="Frozen"/>
    <s v="possible Sweish production"/>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n v="7.4509090909090903"/>
    <n v="12.212727272727271"/>
    <n v="0.61181818181818182"/>
    <n v="0.66723636363636363"/>
    <n v="7.4509090909090903"/>
    <m/>
    <n v="4.7618181818181817"/>
    <n v="0.49454545454545457"/>
    <n v="7.5545454545454547"/>
    <m/>
    <n v="7.045454545454545"/>
    <m/>
    <m/>
    <n v="7.4509090909090903"/>
    <n v="27.307272727272725"/>
    <m/>
    <m/>
    <n v="0.61181818181818182"/>
    <m/>
    <n v="5.5418181818181811E-2"/>
    <n v="1.5090909090909091E-2"/>
    <n v="0.15999999999999998"/>
    <m/>
    <n v="4.4272727272727269E-2"/>
    <m/>
    <m/>
    <n v="0.61181818181818182"/>
    <n v="0.88659999999999983"/>
  </r>
  <r>
    <x v="3"/>
    <x v="75"/>
    <s v="Frozen"/>
    <s v="South Europe case 1"/>
    <m/>
    <s v="S. Europe"/>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n v="3.6636363636363636"/>
    <n v="9.6818181818181817"/>
    <n v="0.36363636363636365"/>
    <n v="0.41905454545454546"/>
    <n v="3.6636363636363636"/>
    <m/>
    <n v="6.0181818181818176"/>
    <n v="0.49454545454545457"/>
    <n v="9.9"/>
    <m/>
    <n v="7.2363636363636354"/>
    <m/>
    <m/>
    <n v="3.6636363636363636"/>
    <n v="27.312727272727273"/>
    <m/>
    <m/>
    <n v="0.36363636363636365"/>
    <m/>
    <n v="5.5418181818181811E-2"/>
    <n v="1.5090909090909091E-2"/>
    <n v="0.32454545454545453"/>
    <m/>
    <n v="4.4272727272727269E-2"/>
    <m/>
    <m/>
    <n v="0.36363636363636365"/>
    <n v="0.80296363636363632"/>
  </r>
  <r>
    <x v="3"/>
    <x v="75"/>
    <s v="Frozen"/>
    <s v="South Europe case 2"/>
    <m/>
    <s v="S. Europe"/>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n v="3.3626363636363634"/>
    <n v="9.5899090909090905"/>
    <n v="0.33909090909090905"/>
    <n v="0.70045454545454544"/>
    <n v="3.3626363636363634"/>
    <m/>
    <n v="6.2272727272727266"/>
    <n v="0.49454545454545457"/>
    <n v="6.540909090909091"/>
    <m/>
    <n v="7.045454545454545"/>
    <m/>
    <m/>
    <n v="3.3626363636363634"/>
    <n v="23.670818181818184"/>
    <m/>
    <m/>
    <n v="0.33909090909090905"/>
    <m/>
    <n v="0.36136363636363633"/>
    <n v="1.5090909090909091E-2"/>
    <n v="0.18772727272727271"/>
    <m/>
    <n v="4.4272727272727269E-2"/>
    <m/>
    <m/>
    <n v="0.33909090909090905"/>
    <n v="0.94754545454545447"/>
  </r>
  <r>
    <x v="3"/>
    <x v="75"/>
    <s v="Frozen"/>
    <s v="S and C American case 1"/>
    <m/>
    <s v="S&amp;C America"/>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n v="3.0909090909090904"/>
    <n v="7.3818181818181809"/>
    <n v="0.57390909090909081"/>
    <n v="0.7827272727272726"/>
    <n v="3.0909090909090904"/>
    <m/>
    <n v="4.2909090909090901"/>
    <n v="0.49454545454545457"/>
    <n v="8.0272727272727273"/>
    <m/>
    <n v="7.2363636363636354"/>
    <m/>
    <m/>
    <n v="3.0909090909090904"/>
    <n v="23.139999999999997"/>
    <m/>
    <m/>
    <n v="0.57390909090909081"/>
    <m/>
    <n v="0.20881818181818179"/>
    <n v="1.5090909090909091E-2"/>
    <n v="0.34909090909090906"/>
    <m/>
    <n v="4.4272727272727269E-2"/>
    <m/>
    <m/>
    <n v="0.57390909090909081"/>
    <n v="1.1911818181818179"/>
  </r>
  <r>
    <x v="3"/>
    <x v="75"/>
    <s v="Frozen"/>
    <s v="S and C American case 2"/>
    <m/>
    <s v="S&amp;C America"/>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FU=1.1kg bc assuming frozen is 10% less nutritious"/>
    <s v="/1.1"/>
    <s v=""/>
    <n v="5.1090909090909085"/>
    <n v="0.21636363636363634"/>
    <n v="0.53818181818181809"/>
    <n v="0"/>
    <m/>
    <n v="5.1090909090909085"/>
    <n v="0.49454545454545457"/>
    <n v="7.8090909090909086"/>
    <m/>
    <n v="7.045454545454545"/>
    <m/>
    <m/>
    <n v="0"/>
    <n v="20.458181818181814"/>
    <m/>
    <m/>
    <n v="0.21636363636363634"/>
    <m/>
    <n v="0.32181818181818178"/>
    <n v="1.5090909090909091E-2"/>
    <n v="0.30727272727272725"/>
    <m/>
    <n v="4.4272727272727269E-2"/>
    <m/>
    <m/>
    <n v="0.21636363636363634"/>
    <n v="0.90481818181818163"/>
  </r>
  <r>
    <x v="3"/>
    <x v="75"/>
    <s v="Fresh or Not Specified"/>
    <s v="possible Swedish production"/>
    <m/>
    <s v="Sweden"/>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per kg"/>
    <m/>
    <n v="7.5"/>
    <n v="8.11"/>
    <n v="0.629"/>
    <n v="0.64370000000000005"/>
    <n v="7.5"/>
    <m/>
    <n v="0.61"/>
    <n v="0.90500000000000003"/>
    <n v="2.79"/>
    <m/>
    <n v="6.61"/>
    <m/>
    <m/>
    <n v="7.5"/>
    <n v="18.414999999999999"/>
    <m/>
    <m/>
    <n v="0.629"/>
    <m/>
    <n v="1.47E-2"/>
    <n v="1.66E-2"/>
    <n v="0.17499999999999999"/>
    <m/>
    <n v="0.159"/>
    <m/>
    <m/>
    <n v="0.629"/>
    <n v="0.99429999999999996"/>
  </r>
  <r>
    <x v="3"/>
    <x v="75"/>
    <s v="Fresh or Not Specified"/>
    <s v="South Europe case 1, fresh"/>
    <m/>
    <s v="S. Europe"/>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per kg"/>
    <m/>
    <n v="3.95"/>
    <n v="4.452"/>
    <n v="0.39700000000000002"/>
    <n v="0.41170000000000001"/>
    <n v="3.95"/>
    <m/>
    <n v="0.502"/>
    <n v="1.1200000000000001"/>
    <n v="4.95"/>
    <m/>
    <n v="6.3440000000000003"/>
    <m/>
    <m/>
    <n v="3.95"/>
    <n v="16.866"/>
    <m/>
    <m/>
    <n v="0.39700000000000002"/>
    <m/>
    <n v="1.47E-2"/>
    <n v="1.66E-2"/>
    <n v="0.246"/>
    <m/>
    <n v="0.16400000000000001"/>
    <m/>
    <m/>
    <n v="0.39700000000000002"/>
    <n v="0.83830000000000005"/>
  </r>
  <r>
    <x v="3"/>
    <x v="75"/>
    <s v="Fresh or Not Specified"/>
    <s v="South Europe case 2, fresh"/>
    <m/>
    <s v="S. Europe"/>
    <n v="2006"/>
    <s v="Lagerberg Fogelberg, C_x000a_Carlsson-Kanyama, A"/>
    <s v="FOI"/>
    <s v="NGO Report"/>
    <s v="Lagerberg Fogelberg, C. and Carlsson-Kanyama, A., Environmental assessment of foods–an LCA inspired approach . Totalförsvarets forskningsinstitut (FOI). Environmental information in the food supply system 2006, ."/>
    <s v="Yes"/>
    <s v="No"/>
    <s v="Yes"/>
    <s v="Yes"/>
    <s v="Yes"/>
    <s v="Yes"/>
    <s v="No"/>
    <s v="Yes"/>
    <s v="Yes"/>
    <s v="Yes"/>
    <s v="No"/>
    <s v="No"/>
    <m/>
    <m/>
    <m/>
    <m/>
    <s v="per kg"/>
    <m/>
    <n v="3.99"/>
    <n v="4.492"/>
    <n v="0.42699999999999999"/>
    <n v="0.46179999999999999"/>
    <n v="3.99"/>
    <m/>
    <n v="0.502"/>
    <n v="1.1200000000000001"/>
    <n v="5.22"/>
    <m/>
    <n v="6.3440000000000003"/>
    <m/>
    <m/>
    <n v="3.99"/>
    <n v="17.176000000000002"/>
    <m/>
    <m/>
    <n v="0.42699999999999999"/>
    <m/>
    <n v="3.4799999999999998E-2"/>
    <n v="3.6600000000000001E-2"/>
    <n v="0.27600000000000002"/>
    <m/>
    <n v="0.14899999999999999"/>
    <m/>
    <m/>
    <n v="0.42699999999999999"/>
    <n v="0.9234"/>
  </r>
  <r>
    <x v="12"/>
    <x v="101"/>
    <s v="Fresh or Not Specified"/>
    <s v="albacore tuna in Atlantic via purse seiners"/>
    <m/>
    <s v="Atlantic"/>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7.388303448275867"/>
    <s v=""/>
    <n v="1.8279310344827588"/>
    <s v=""/>
    <n v="27.388303448275867"/>
    <m/>
    <m/>
    <m/>
    <m/>
    <m/>
    <m/>
    <m/>
    <m/>
    <n v="27.388303448275867"/>
    <m/>
    <m/>
    <m/>
    <n v="1.8279310344827588"/>
    <m/>
    <m/>
    <m/>
    <m/>
    <m/>
    <m/>
    <m/>
    <m/>
    <n v="1.8279310344827588"/>
    <m/>
  </r>
  <r>
    <x v="12"/>
    <x v="101"/>
    <s v="Fresh or Not Specified"/>
    <s v="bigeye  tuna in Atlantic via purse seiners"/>
    <m/>
    <s v="Atlantic"/>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5.156331034482761"/>
    <s v=""/>
    <n v="2.3463793103448278"/>
    <s v=""/>
    <n v="35.156331034482761"/>
    <m/>
    <m/>
    <m/>
    <m/>
    <m/>
    <m/>
    <m/>
    <m/>
    <n v="35.156331034482761"/>
    <m/>
    <m/>
    <m/>
    <n v="2.3463793103448278"/>
    <m/>
    <m/>
    <m/>
    <m/>
    <m/>
    <m/>
    <m/>
    <m/>
    <n v="2.3463793103448278"/>
    <m/>
  </r>
  <r>
    <x v="12"/>
    <x v="101"/>
    <s v="Fresh or Not Specified"/>
    <s v="skipjack  tuna in Atlantic via purse seiners"/>
    <m/>
    <s v="Atlantic"/>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5.636827586206898"/>
    <s v=""/>
    <n v="2.3784482758620693"/>
    <s v=""/>
    <n v="35.636827586206898"/>
    <m/>
    <m/>
    <m/>
    <m/>
    <m/>
    <m/>
    <m/>
    <m/>
    <n v="35.636827586206898"/>
    <m/>
    <m/>
    <m/>
    <n v="2.3784482758620693"/>
    <m/>
    <m/>
    <m/>
    <m/>
    <m/>
    <m/>
    <m/>
    <m/>
    <n v="2.3784482758620693"/>
    <m/>
  </r>
  <r>
    <x v="12"/>
    <x v="101"/>
    <s v="Fresh or Not Specified"/>
    <s v="yellowfin tuna in Atlantic via purse seiners"/>
    <m/>
    <s v="Atlantic"/>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3.875006896551724"/>
    <s v=""/>
    <n v="2.2608620689655172"/>
    <s v=""/>
    <n v="33.875006896551724"/>
    <m/>
    <m/>
    <m/>
    <m/>
    <m/>
    <m/>
    <m/>
    <m/>
    <n v="33.875006896551724"/>
    <m/>
    <m/>
    <m/>
    <n v="2.2608620689655172"/>
    <m/>
    <m/>
    <m/>
    <m/>
    <m/>
    <m/>
    <m/>
    <m/>
    <n v="2.2608620689655172"/>
    <m/>
  </r>
  <r>
    <x v="12"/>
    <x v="101"/>
    <s v="Fresh or Not Specified"/>
    <s v="albacore tuna in Indian Ocean via purse seiners"/>
    <m/>
    <s v="Indian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4.104910344827587"/>
    <s v=""/>
    <n v="1.6087931034482761"/>
    <s v=""/>
    <n v="24.104910344827587"/>
    <m/>
    <m/>
    <m/>
    <m/>
    <m/>
    <m/>
    <m/>
    <m/>
    <n v="24.104910344827587"/>
    <m/>
    <m/>
    <m/>
    <n v="1.6087931034482761"/>
    <m/>
    <m/>
    <m/>
    <m/>
    <m/>
    <m/>
    <m/>
    <m/>
    <n v="1.6087931034482761"/>
    <m/>
  </r>
  <r>
    <x v="12"/>
    <x v="101"/>
    <s v="Fresh or Not Specified"/>
    <s v="bigeye  tuna in Indian Ocean via purse seiners"/>
    <m/>
    <s v="Indian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7.318565517241389"/>
    <s v=""/>
    <n v="2.4906896551724143"/>
    <s v=""/>
    <n v="37.318565517241389"/>
    <m/>
    <m/>
    <m/>
    <m/>
    <m/>
    <m/>
    <m/>
    <m/>
    <n v="37.318565517241389"/>
    <m/>
    <m/>
    <m/>
    <n v="2.4906896551724143"/>
    <m/>
    <m/>
    <m/>
    <m/>
    <m/>
    <m/>
    <m/>
    <m/>
    <n v="2.4906896551724143"/>
    <m/>
  </r>
  <r>
    <x v="12"/>
    <x v="101"/>
    <s v="Fresh or Not Specified"/>
    <s v="skipjack  tuna in Indian Ocean via purse seiners"/>
    <m/>
    <s v="Indian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6.757986206896561"/>
    <s v=""/>
    <n v="2.4532758620689656"/>
    <s v=""/>
    <n v="36.757986206896561"/>
    <m/>
    <m/>
    <m/>
    <m/>
    <m/>
    <m/>
    <m/>
    <m/>
    <n v="36.757986206896561"/>
    <m/>
    <m/>
    <m/>
    <n v="2.4532758620689656"/>
    <m/>
    <m/>
    <m/>
    <m/>
    <m/>
    <m/>
    <m/>
    <m/>
    <n v="2.4532758620689656"/>
    <m/>
  </r>
  <r>
    <x v="12"/>
    <x v="101"/>
    <s v="Fresh or Not Specified"/>
    <s v="yellowfin tuna in Indian Ocean via purse seiners"/>
    <m/>
    <s v="Indian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5.396579310344826"/>
    <s v=""/>
    <n v="2.3624137931034488"/>
    <s v=""/>
    <n v="35.396579310344826"/>
    <m/>
    <m/>
    <m/>
    <m/>
    <m/>
    <m/>
    <m/>
    <m/>
    <n v="35.396579310344826"/>
    <m/>
    <m/>
    <m/>
    <n v="2.3624137931034488"/>
    <m/>
    <m/>
    <m/>
    <m/>
    <m/>
    <m/>
    <m/>
    <m/>
    <n v="2.3624137931034488"/>
    <m/>
  </r>
  <r>
    <x v="12"/>
    <x v="101"/>
    <s v="Fresh or Not Specified"/>
    <s v="albacore tuna in Pacific Ocean via purse seiners"/>
    <m/>
    <s v="Pacific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5.866731034482761"/>
    <s v=""/>
    <n v="1.7263793103448279"/>
    <s v=""/>
    <n v="25.866731034482761"/>
    <m/>
    <m/>
    <m/>
    <m/>
    <m/>
    <m/>
    <m/>
    <m/>
    <n v="25.866731034482761"/>
    <m/>
    <m/>
    <m/>
    <n v="1.7263793103448279"/>
    <m/>
    <m/>
    <m/>
    <m/>
    <m/>
    <m/>
    <m/>
    <m/>
    <n v="1.7263793103448279"/>
    <m/>
  </r>
  <r>
    <x v="12"/>
    <x v="101"/>
    <s v="Fresh or Not Specified"/>
    <s v="bigeye  tuna in Pacific Ocean via purse seiners"/>
    <m/>
    <s v="Pacific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37.718979310344828"/>
    <s v=""/>
    <n v="2.5174137931034481"/>
    <s v=""/>
    <n v="37.718979310344828"/>
    <m/>
    <m/>
    <m/>
    <m/>
    <m/>
    <m/>
    <m/>
    <m/>
    <n v="37.718979310344828"/>
    <m/>
    <m/>
    <m/>
    <n v="2.5174137931034481"/>
    <m/>
    <m/>
    <m/>
    <m/>
    <m/>
    <m/>
    <m/>
    <m/>
    <n v="2.5174137931034481"/>
    <m/>
  </r>
  <r>
    <x v="12"/>
    <x v="101"/>
    <s v="Fresh or Not Specified"/>
    <s v="skipjack  tuna in Pacific Ocean via purse seiners"/>
    <m/>
    <s v="Pacific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7.948882758620691"/>
    <s v=""/>
    <n v="1.8653448275862068"/>
    <s v=""/>
    <n v="27.948882758620691"/>
    <m/>
    <m/>
    <m/>
    <m/>
    <m/>
    <m/>
    <m/>
    <m/>
    <n v="27.948882758620691"/>
    <m/>
    <m/>
    <m/>
    <n v="1.8653448275862068"/>
    <m/>
    <m/>
    <m/>
    <m/>
    <m/>
    <m/>
    <m/>
    <m/>
    <n v="1.8653448275862068"/>
    <m/>
  </r>
  <r>
    <x v="12"/>
    <x v="101"/>
    <s v="Fresh or Not Specified"/>
    <s v="yellowfin tuna inPacific Ocean via purse seiners"/>
    <m/>
    <s v="Pacific Ocean"/>
    <n v="2015"/>
    <s v="Parker, Robert W. R._x000a_Vázquez-Rowe, Ian_x000a_Tyedmers, Peter H."/>
    <m/>
    <s v="Peer Reviewed Journal"/>
    <s v="Parker, R. W. R., Vázquez-Rowe, I. and Tyedmers, P. H., Fuel performance and carbon footprint of the global purse seine tuna fleet. Journal of Cleaner Production 2015, 103, 517-524."/>
    <s v="Yes"/>
    <m/>
    <m/>
    <m/>
    <m/>
    <m/>
    <m/>
    <m/>
    <m/>
    <m/>
    <m/>
    <m/>
    <m/>
    <m/>
    <m/>
    <m/>
    <s v="fuel use (L/tonne landed fish)"/>
    <s v="assuming 46.448 MJ/L diesel; 3.1 kg CO2eq/L; 1:0.58 live to boneless weight"/>
    <n v="28.989958620689656"/>
    <s v=""/>
    <n v="1.9348275862068969"/>
    <s v=""/>
    <n v="28.989958620689656"/>
    <m/>
    <m/>
    <m/>
    <m/>
    <m/>
    <m/>
    <m/>
    <m/>
    <n v="28.989958620689656"/>
    <m/>
    <m/>
    <m/>
    <n v="1.9348275862068969"/>
    <m/>
    <m/>
    <m/>
    <m/>
    <m/>
    <m/>
    <m/>
    <m/>
    <n v="1.9348275862068969"/>
    <m/>
  </r>
  <r>
    <x v="12"/>
    <x v="111"/>
    <s v="Fresh or Not Specified"/>
    <s v="mangrove shrimp farms, organic"/>
    <m/>
    <s v="Vietnam"/>
    <n v="2015"/>
    <s v="Jonell, Malin_x000a_Henriksson, Patrik John Gustav"/>
    <m/>
    <s v="Peer Reviewed Journal"/>
    <s v="Jonell, M. and Henriksson, P. J. G., Mangrove–shrimp farms in Vietnam—Comparing organic and conventional systems using life cycle assessment. Aquaculture 2015, 447, 66-75."/>
    <s v="Yes"/>
    <s v="Yes"/>
    <m/>
    <m/>
    <m/>
    <m/>
    <m/>
    <m/>
    <m/>
    <m/>
    <m/>
    <m/>
    <m/>
    <m/>
    <m/>
    <m/>
    <s v="1000 kg live weight shrimp at farm"/>
    <s v="live:boneless ratio 1:0.57"/>
    <s v=""/>
    <s v=""/>
    <n v="34.736842105263165"/>
    <s v=""/>
    <m/>
    <m/>
    <m/>
    <m/>
    <m/>
    <m/>
    <m/>
    <m/>
    <m/>
    <m/>
    <m/>
    <m/>
    <m/>
    <n v="34.736842105263165"/>
    <m/>
    <m/>
    <m/>
    <m/>
    <m/>
    <m/>
    <m/>
    <m/>
    <n v="34.736842105263165"/>
    <m/>
  </r>
  <r>
    <x v="12"/>
    <x v="111"/>
    <s v="Fresh or Not Specified"/>
    <s v="mangrove shrimp farms, non-organic"/>
    <m/>
    <s v="Vietnam"/>
    <n v="2015"/>
    <s v="Jonell, Malin_x000a_Henriksson, Patrik John Gustav"/>
    <m/>
    <s v="Peer Reviewed Journal"/>
    <s v="Jonell, M. and Henriksson, P. J. G., Mangrove–shrimp farms in Vietnam—Comparing organic and conventional systems using life cycle assessment. Aquaculture 2015, 447, 66-75."/>
    <s v="Yes"/>
    <s v="Yes"/>
    <m/>
    <m/>
    <m/>
    <m/>
    <m/>
    <m/>
    <m/>
    <m/>
    <m/>
    <m/>
    <m/>
    <m/>
    <m/>
    <m/>
    <s v="1000 kg live weight shrimp at farm"/>
    <s v="live:boneless ratio 1:0.57"/>
    <s v=""/>
    <s v=""/>
    <n v="54.736842105263165"/>
    <s v=""/>
    <m/>
    <m/>
    <m/>
    <m/>
    <m/>
    <m/>
    <m/>
    <m/>
    <m/>
    <m/>
    <m/>
    <m/>
    <m/>
    <n v="54.736842105263165"/>
    <m/>
    <m/>
    <m/>
    <m/>
    <m/>
    <m/>
    <m/>
    <m/>
    <n v="54.736842105263165"/>
    <m/>
  </r>
  <r>
    <x v="12"/>
    <x v="111"/>
    <s v="Fresh or Not Specified"/>
    <s v="wild-caught banana prawn from Northern Prawn Fishery"/>
    <m/>
    <s v="Australia"/>
    <n v="2015"/>
    <s v="Farmery, A._x000a_Gardner, C._x000a_Green, B. S._x000a_Jennings, S._x000a_Watson, R."/>
    <m/>
    <s v="Peer Reviewed Journal"/>
    <s v="Farmery, A., Gardner, C., Green, B. S., Jennings, S. and Watson, R., Life cycle assessment of wild capture prawns: expanding sustainability considerations in the Australian Northern Prawn Fishery. Journal of Cleaner Production 2015, 87, 96-104."/>
    <s v="Yes"/>
    <m/>
    <s v="Yes"/>
    <s v="Yes"/>
    <m/>
    <s v="Yes"/>
    <s v="No"/>
    <s v="No"/>
    <s v="No"/>
    <s v="No"/>
    <s v="No"/>
    <s v="No"/>
    <s v="no"/>
    <m/>
    <m/>
    <m/>
    <s v="1 kg of frozen prawn at the processor gate"/>
    <s v="paper reports = to 550 g prawn meat;   /.550"/>
    <n v="114.6"/>
    <n v="182.6181818181818"/>
    <n v="7.8"/>
    <n v="12.6"/>
    <n v="114.6"/>
    <m/>
    <n v="68.018181818181802"/>
    <m/>
    <n v="7.1999999999999993"/>
    <m/>
    <m/>
    <m/>
    <m/>
    <n v="114.6"/>
    <n v="189.81818181818178"/>
    <m/>
    <m/>
    <n v="7.8"/>
    <m/>
    <n v="4.8"/>
    <m/>
    <n v="0.49090909090909091"/>
    <m/>
    <m/>
    <m/>
    <m/>
    <n v="7.8"/>
    <n v="13.09090909090909"/>
  </r>
  <r>
    <x v="12"/>
    <x v="111"/>
    <s v="Fresh or Not Specified"/>
    <s v="wild-caught Tiger prawn from Northern Prawn Fishery"/>
    <m/>
    <s v="Australia"/>
    <n v="2015"/>
    <s v="Farmery, A._x000a_Gardner, C._x000a_Green, B. S._x000a_Jennings, S._x000a_Watson, R."/>
    <m/>
    <s v="Peer Reviewed Journal"/>
    <s v="Farmery, A., Gardner, C., Green, B. S., Jennings, S. and Watson, R., Life cycle assessment of wild capture prawns: expanding sustainability considerations in the Australian Northern Prawn Fishery. Journal of Cleaner Production 2015, 87, 96-104."/>
    <s v="Yes"/>
    <m/>
    <s v="Yes"/>
    <s v="Yes"/>
    <m/>
    <s v="Yes"/>
    <s v="No"/>
    <s v="No"/>
    <s v="No"/>
    <s v="No"/>
    <s v="No"/>
    <s v="No"/>
    <s v="no"/>
    <m/>
    <m/>
    <m/>
    <s v="1 kg of frozen prawn at the processor gate"/>
    <s v="paper reports = to 550 g prawn meat;   /.550"/>
    <s v=""/>
    <s v=""/>
    <n v="58.18181818181818"/>
    <s v=""/>
    <m/>
    <m/>
    <m/>
    <m/>
    <m/>
    <m/>
    <m/>
    <m/>
    <m/>
    <m/>
    <m/>
    <m/>
    <m/>
    <n v="58.18181818181818"/>
    <m/>
    <m/>
    <m/>
    <m/>
    <m/>
    <m/>
    <m/>
    <m/>
    <n v="58.18181818181818"/>
    <m/>
  </r>
  <r>
    <x v="1"/>
    <x v="23"/>
    <s v="Fresh or Not Specified"/>
    <m/>
    <m/>
    <s v="Brazil"/>
    <n v="2015"/>
    <s v="Cherubini, Edivan_x000a_Zanghelini, Guilherme Marcelo_x000a_Alvarenga, Rodrigo Augusto Freitas_x000a_Franco, Davide_x000a_Soares, Sebastião Roberto"/>
    <m/>
    <s v="Peer Reviewed Journal"/>
    <s v="Cherubini, E., Zanghelini, G. M., Alvarenga, R. a. F., Franco, D. and Soares, S. R., Life cycle assessment of swine production in Brazil: a comparison of four manure management systems. Journal of Cleaner Production 2015, 87, 68-77."/>
    <s v="Yes"/>
    <s v="Yes"/>
    <s v="Yes"/>
    <s v="Yes"/>
    <s v="No"/>
    <s v="No"/>
    <s v="No"/>
    <s v="No"/>
    <s v="No"/>
    <s v="No"/>
    <s v="No"/>
    <s v="No"/>
    <s v="no"/>
    <m/>
    <m/>
    <m/>
    <s v="1000 kg carcass weight"/>
    <s v="edible weight = 0.729*carcass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n v="31.918106995884774"/>
    <n v="33.595061728395059"/>
    <n v="4.9883401920438954"/>
    <n v="5.0553635116598077"/>
    <n v="31.918106995884774"/>
    <m/>
    <n v="1.676954732510288"/>
    <m/>
    <m/>
    <m/>
    <m/>
    <n v="-4.0733882030178332"/>
    <m/>
    <n v="31.918106995884774"/>
    <n v="29.521673525377224"/>
    <m/>
    <m/>
    <n v="4.9883401920438954"/>
    <m/>
    <n v="6.7023319615912208E-2"/>
    <m/>
    <m/>
    <m/>
    <m/>
    <n v="-0.2496570644718793"/>
    <m/>
    <n v="4.9883401920438954"/>
    <n v="4.8057064471879283"/>
  </r>
  <r>
    <x v="0"/>
    <x v="0"/>
    <s v="Fresh or Not Specified"/>
    <s v="paper looks at coproduction of milk and energy via AD; only including base case without energy here"/>
    <m/>
    <s v="USA (Wisconcin)"/>
    <n v="2015"/>
    <s v="Aguirre-Villegas, Horacio A_x000a_Passos-Fonseca, Thaís H_x000a_Reinemann, Douglas J_x000a_Armentano, Louis E_x000a_Wattiaux, Michel A_x000a_Cabrera, Victor E_x000a_Norman, John M_x000a_Larson, R"/>
    <m/>
    <s v="Peer Reviewed Journal"/>
    <s v="Aguirre-Villegas, H. A., Passos-Fonseca, T. H., Reinemann, D. J., Armentano, L. E., Wattiaux, M. A., Cabrera, V. E., Norman, J. M. and Larson, R., Green cheese: Partial life cycle assessment of greenhouse gas emissions and energy intensity of integrated dairy production and bioenergy systems. Journal of dairy science 2015, 98 (3), 1571-1592."/>
    <s v="Yes"/>
    <s v="No"/>
    <s v="No"/>
    <s v="No"/>
    <s v="No"/>
    <s v="No"/>
    <s v="No"/>
    <s v="No"/>
    <s v="No"/>
    <s v="No"/>
    <s v="No"/>
    <s v="No"/>
    <s v="no"/>
    <s v="farm gate"/>
    <m/>
    <m/>
    <s v="kg FPCM"/>
    <m/>
    <n v="3.9"/>
    <s v=""/>
    <n v="1.03"/>
    <s v=""/>
    <n v="3.9"/>
    <m/>
    <m/>
    <m/>
    <m/>
    <m/>
    <m/>
    <m/>
    <m/>
    <n v="3.9"/>
    <m/>
    <m/>
    <m/>
    <n v="1.03"/>
    <m/>
    <m/>
    <m/>
    <m/>
    <m/>
    <m/>
    <m/>
    <m/>
    <n v="1.03"/>
    <m/>
  </r>
  <r>
    <x v="5"/>
    <x v="122"/>
    <s v="Dried"/>
    <s v="rain-fed paddy rice"/>
    <s v="Yes"/>
    <s v="Thailand"/>
    <n v="2014"/>
    <s v="Thanawong, Kwansirinapa_x000a_Perret, SR_x000a_Basset-Mens, Claudine"/>
    <m/>
    <s v="Peer Reviewed Journal"/>
    <s v="Thanawong, K., Perret, S. and Basset-Mens, C., Eco-efficiency of paddy rice production in Northeastern Thailand: a comparison of rain-fed and irrigated cropping systems. Journal of Cleaner Production 2014, 73, 204-217."/>
    <s v="Yes"/>
    <s v="No"/>
    <s v="No"/>
    <s v="No"/>
    <s v="No"/>
    <s v="No"/>
    <s v="No"/>
    <s v="No"/>
    <s v="No"/>
    <s v="No"/>
    <s v="No"/>
    <s v="No"/>
    <s v="no"/>
    <s v="farm gate"/>
    <s v="No"/>
    <s v="No"/>
    <s v="kg paddy rice"/>
    <m/>
    <n v="7.25"/>
    <s v=""/>
    <n v="2.97"/>
    <s v=""/>
    <n v="7.25"/>
    <m/>
    <m/>
    <m/>
    <m/>
    <m/>
    <m/>
    <m/>
    <m/>
    <n v="7.25"/>
    <m/>
    <m/>
    <m/>
    <n v="2.97"/>
    <m/>
    <m/>
    <m/>
    <m/>
    <m/>
    <m/>
    <m/>
    <m/>
    <n v="2.97"/>
    <m/>
  </r>
  <r>
    <x v="5"/>
    <x v="122"/>
    <s v="Dried"/>
    <s v="wet-season irrigated rice"/>
    <s v="Yes"/>
    <s v="Thailand"/>
    <n v="2014"/>
    <s v="Thanawong, Kwansirinapa_x000a_Perret, SR_x000a_Basset-Mens, Claudine"/>
    <m/>
    <s v="Peer Reviewed Journal"/>
    <s v="Thanawong, K., Perret, S. and Basset-Mens, C., Eco-efficiency of paddy rice production in Northeastern Thailand: a comparison of rain-fed and irrigated cropping systems. Journal of Cleaner Production 2014, 73, 204-217."/>
    <s v="Yes"/>
    <s v="No"/>
    <s v="No"/>
    <s v="No"/>
    <s v="No"/>
    <s v="No"/>
    <s v="No"/>
    <s v="No"/>
    <s v="No"/>
    <s v="No"/>
    <s v="No"/>
    <s v="No"/>
    <s v="no"/>
    <s v="farm gate"/>
    <s v="No"/>
    <s v="No"/>
    <s v="kg paddy rice"/>
    <m/>
    <n v="7.44"/>
    <s v=""/>
    <n v="4.87"/>
    <s v=""/>
    <n v="7.44"/>
    <m/>
    <m/>
    <m/>
    <m/>
    <m/>
    <m/>
    <m/>
    <m/>
    <n v="7.44"/>
    <m/>
    <m/>
    <m/>
    <n v="4.87"/>
    <m/>
    <m/>
    <m/>
    <m/>
    <m/>
    <m/>
    <m/>
    <m/>
    <n v="4.87"/>
    <m/>
  </r>
  <r>
    <x v="5"/>
    <x v="122"/>
    <s v="Dried"/>
    <s v="dry-season irrigated rice"/>
    <s v="Yes"/>
    <s v="Thailand"/>
    <n v="2014"/>
    <s v="Thanawong, Kwansirinapa_x000a_Perret, SR_x000a_Basset-Mens, Claudine"/>
    <m/>
    <s v="Peer Reviewed Journal"/>
    <s v="Thanawong, K., Perret, S. and Basset-Mens, C., Eco-efficiency of paddy rice production in Northeastern Thailand: a comparison of rain-fed and irrigated cropping systems. Journal of Cleaner Production 2014, 73, 204-217."/>
    <s v="Yes"/>
    <s v="No"/>
    <s v="No"/>
    <s v="No"/>
    <s v="No"/>
    <s v="No"/>
    <s v="No"/>
    <s v="No"/>
    <s v="No"/>
    <s v="No"/>
    <s v="No"/>
    <s v="No"/>
    <s v="no"/>
    <s v="farm gate"/>
    <s v="No"/>
    <s v="No"/>
    <s v="kg paddy rice"/>
    <m/>
    <n v="9.5299999999999994"/>
    <s v=""/>
    <n v="5.55"/>
    <s v=""/>
    <n v="9.5299999999999994"/>
    <m/>
    <m/>
    <m/>
    <m/>
    <m/>
    <m/>
    <m/>
    <m/>
    <n v="9.5299999999999994"/>
    <m/>
    <m/>
    <m/>
    <n v="5.55"/>
    <m/>
    <m/>
    <m/>
    <m/>
    <m/>
    <m/>
    <m/>
    <m/>
    <n v="5.55"/>
    <m/>
  </r>
  <r>
    <x v="1"/>
    <x v="24"/>
    <s v="Fresh or Not Specified"/>
    <s v="standard French production"/>
    <m/>
    <s v="France"/>
    <n v="2014"/>
    <s v="Da Silva, Vamilson Prudêncio_x000a_van der Werf, Hayo MG_x000a_Soares, Sebastião Roberto_x000a_Corson, Michael S"/>
    <m/>
    <s v="Peer Reviewed Journal"/>
    <s v="Da Silva, V. P., Van Der Werf, H. M., Soares, S. R. and Corson, M. S., Environmental impacts of French and Brazilian broiler chicken production scenarios: An LCA approach. Journal of environmental management 2014, 133, 222-231."/>
    <s v="Yes"/>
    <s v="No"/>
    <s v="Yes"/>
    <s v="Yes"/>
    <s v="Yes"/>
    <s v="No"/>
    <s v="No"/>
    <s v="No"/>
    <s v="No"/>
    <s v="No"/>
    <s v="No"/>
    <s v="No"/>
    <m/>
    <s v="cooled &amp; packaged chicken at slaughterhouse gate"/>
    <m/>
    <m/>
    <s v="1 tonne cooled &amp; packaged chicken at slaughterhouse"/>
    <s v="/1000/.77"/>
    <n v="34.753246753246749"/>
    <n v="38.961038961038959"/>
    <n v="4.0348831168831172"/>
    <n v="4.1298701298701301"/>
    <n v="34.753246753246749"/>
    <m/>
    <n v="4.2077922077922079"/>
    <m/>
    <m/>
    <m/>
    <m/>
    <m/>
    <m/>
    <n v="34.753246753246749"/>
    <n v="38.961038961038959"/>
    <m/>
    <m/>
    <n v="4.0348831168831172"/>
    <m/>
    <n v="9.4987012987012995E-2"/>
    <m/>
    <m/>
    <m/>
    <m/>
    <m/>
    <m/>
    <n v="4.0348831168831172"/>
    <m/>
  </r>
  <r>
    <x v="1"/>
    <x v="24"/>
    <s v="Fresh or Not Specified"/>
    <s v="Label Rouge, France (Southwest"/>
    <m/>
    <s v="France"/>
    <n v="2014"/>
    <s v="Da Silva, Vamilson Prudêncio_x000a_van der Werf, Hayo MG_x000a_Soares, Sebastião Roberto_x000a_Corson, Michael S"/>
    <m/>
    <s v="Peer Reviewed Journal"/>
    <s v="Da Silva, V. P., Van Der Werf, H. M., Soares, S. R. and Corson, M. S., Environmental impacts of French and Brazilian broiler chicken production scenarios: An LCA approach. Journal of environmental management 2014, 133, 222-231."/>
    <s v="Yes"/>
    <s v="No"/>
    <s v="Yes"/>
    <s v="Yes"/>
    <s v="Yes"/>
    <s v="No"/>
    <s v="No"/>
    <s v="No"/>
    <s v="No"/>
    <s v="No"/>
    <s v="No"/>
    <s v="No"/>
    <m/>
    <s v="cooled &amp; packaged chicken at slaughterhouse gate"/>
    <m/>
    <m/>
    <s v="1 tonne cooled &amp; packaged chicken at slaughterhouse"/>
    <s v="/1000/.77"/>
    <n v="56.041558441558436"/>
    <n v="60.259740259740255"/>
    <n v="5.1268051948051943"/>
    <n v="5.2207792207792201"/>
    <n v="56.041558441558436"/>
    <m/>
    <n v="4.2181818181818178"/>
    <m/>
    <m/>
    <m/>
    <m/>
    <m/>
    <m/>
    <n v="56.041558441558436"/>
    <n v="60.259740259740255"/>
    <m/>
    <m/>
    <n v="5.1268051948051943"/>
    <m/>
    <n v="9.397402597402596E-2"/>
    <m/>
    <m/>
    <m/>
    <m/>
    <m/>
    <m/>
    <n v="5.1268051948051943"/>
    <m/>
  </r>
  <r>
    <x v="1"/>
    <x v="24"/>
    <s v="Fresh or Not Specified"/>
    <s v="Center-West Brazil"/>
    <m/>
    <s v="Brazil"/>
    <n v="2014"/>
    <s v="Da Silva, Vamilson Prudêncio_x000a_van der Werf, Hayo MG_x000a_Soares, Sebastião Roberto_x000a_Corson, Michael S"/>
    <m/>
    <s v="Peer Reviewed Journal"/>
    <s v="Da Silva, V. P., Van Der Werf, H. M., Soares, S. R. and Corson, M. S., Environmental impacts of French and Brazilian broiler chicken production scenarios: An LCA approach. Journal of environmental management 2014, 133, 222-231."/>
    <s v="Yes"/>
    <s v="Yes"/>
    <s v="Yes"/>
    <s v="Yes"/>
    <s v="Yes"/>
    <s v="No"/>
    <s v="No"/>
    <s v="No"/>
    <s v="No"/>
    <s v="No"/>
    <s v="No"/>
    <s v="No"/>
    <m/>
    <s v="cooled &amp; packaged chicken at slaughterhouse gate"/>
    <m/>
    <m/>
    <s v="1 tonne cooled &amp; packaged chicken at slaughterhouse"/>
    <s v="/1000/.77"/>
    <n v="30.647272727272732"/>
    <n v="39.090909090909093"/>
    <n v="3.5142857142857138"/>
    <n v="3.5714285714285707"/>
    <n v="30.647272727272732"/>
    <m/>
    <n v="8.4436363636363634"/>
    <m/>
    <m/>
    <m/>
    <m/>
    <m/>
    <m/>
    <n v="30.647272727272732"/>
    <n v="39.090909090909093"/>
    <m/>
    <m/>
    <n v="3.5142857142857138"/>
    <m/>
    <n v="5.7142857142857141E-2"/>
    <m/>
    <m/>
    <m/>
    <m/>
    <m/>
    <m/>
    <n v="3.5142857142857138"/>
    <m/>
  </r>
  <r>
    <x v="1"/>
    <x v="24"/>
    <s v="Fresh or Not Specified"/>
    <s v="South Brazil"/>
    <m/>
    <s v="Brazil"/>
    <n v="2014"/>
    <s v="Da Silva, Vamilson Prudêncio_x000a_van der Werf, Hayo MG_x000a_Soares, Sebastião Roberto_x000a_Corson, Michael S"/>
    <m/>
    <s v="Peer Reviewed Journal"/>
    <s v="Da Silva, V. P., Van Der Werf, H. M., Soares, S. R. and Corson, M. S., Environmental impacts of French and Brazilian broiler chicken production scenarios: An LCA approach. Journal of environmental management 2014, 133, 222-231."/>
    <s v="Yes"/>
    <s v="No"/>
    <s v="Yes"/>
    <s v="Yes"/>
    <s v="Yes"/>
    <s v="No"/>
    <s v="No"/>
    <s v="No"/>
    <s v="No"/>
    <s v="No"/>
    <s v="No"/>
    <s v="No"/>
    <m/>
    <s v="cooled &amp; packaged chicken at slaughterhouse gate"/>
    <m/>
    <m/>
    <s v="1 tonne cooled &amp; packaged chicken at slaughterhouse"/>
    <s v="/1000/.77"/>
    <n v="32.68805194805195"/>
    <n v="41.168831168831169"/>
    <n v="2.4742207792207789"/>
    <n v="2.5324675324675323"/>
    <n v="32.68805194805195"/>
    <m/>
    <n v="8.4807792207792208"/>
    <m/>
    <m/>
    <m/>
    <m/>
    <m/>
    <m/>
    <n v="32.68805194805195"/>
    <n v="41.168831168831169"/>
    <m/>
    <m/>
    <n v="2.4742207792207789"/>
    <m/>
    <n v="5.8246753246753241E-2"/>
    <m/>
    <m/>
    <m/>
    <m/>
    <m/>
    <m/>
    <n v="2.4742207792207789"/>
    <m/>
  </r>
  <r>
    <x v="5"/>
    <x v="234"/>
    <s v="Dried"/>
    <s v="bulk quinoa from AlterEco 2012 emissions report"/>
    <m/>
    <s v="Bolivia"/>
    <n v="2012"/>
    <s v="ALTER ECO"/>
    <m/>
    <s v="Industry Based Report"/>
    <s v="Alter Eco. 2012 Emissions Report &amp; Impact Assessment; 2012."/>
    <m/>
    <m/>
    <m/>
    <m/>
    <m/>
    <m/>
    <m/>
    <m/>
    <m/>
    <m/>
    <m/>
    <m/>
    <m/>
    <s v="does not provide details on methods"/>
    <m/>
    <m/>
    <s v="kg bulk quinoa"/>
    <m/>
    <s v=""/>
    <s v=""/>
    <n v="0.91971728887277993"/>
    <n v="1.134650235592606"/>
    <m/>
    <m/>
    <m/>
    <m/>
    <m/>
    <m/>
    <m/>
    <m/>
    <m/>
    <m/>
    <m/>
    <m/>
    <m/>
    <n v="0.91971728887277993"/>
    <n v="0.21493294671982602"/>
    <m/>
    <n v="3.0808263863718738E-2"/>
    <n v="4.603117071402682E-2"/>
    <m/>
    <n v="6.6147154766219643E-2"/>
    <m/>
    <m/>
    <n v="0.91971728887277993"/>
    <n v="1.2776368249365713"/>
  </r>
  <r>
    <x v="0"/>
    <x v="26"/>
    <s v="Fresh or Not Specified"/>
    <s v="average of 6 Italian buffalo farms"/>
    <m/>
    <s v="Italy"/>
    <n v="2014"/>
    <s v="Prilo"/>
    <s v="Pirlo, G_x000a_Terzano, G_x000a_Pacelli, C_x000a_Abeni, F_x000a_Care, S"/>
    <s v="Peer Reviewed Journal"/>
    <s v="Pirlo, G., Terzano, G., Pacelli, C., Abeni, F. and Care, S., Carbon footprint of milk produced at Italian buffalo farms. Livestock Science 2014, 161, 176-184."/>
    <s v="Yes"/>
    <s v="No"/>
    <s v="No"/>
    <s v="No"/>
    <s v="No"/>
    <s v="No"/>
    <s v="No"/>
    <s v="No"/>
    <s v="No"/>
    <s v="No"/>
    <s v="No"/>
    <s v="No"/>
    <s v="no"/>
    <m/>
    <m/>
    <m/>
    <s v="kg FPCM"/>
    <m/>
    <s v=""/>
    <s v=""/>
    <n v="3.75"/>
    <s v=""/>
    <m/>
    <m/>
    <m/>
    <m/>
    <m/>
    <m/>
    <m/>
    <m/>
    <m/>
    <m/>
    <m/>
    <m/>
    <m/>
    <n v="3.75"/>
    <m/>
    <m/>
    <m/>
    <m/>
    <m/>
    <m/>
    <m/>
    <m/>
    <n v="3.75"/>
    <m/>
  </r>
  <r>
    <x v="0"/>
    <x v="0"/>
    <s v="Fresh or Not Specified"/>
    <s v="Irish pasture based dairy"/>
    <m/>
    <s v="Ireland"/>
    <n v="2014"/>
    <s v="O’Brien, D_x000a_Capper, JL_x000a_Garnsworthy, PC_x000a_Grainger, C_x000a_Shalloo, L"/>
    <m/>
    <s v="Peer Reviewed Journal"/>
    <s v="O’brien, D., Capper, J., Garnsworthy, P., Grainger, C. and Shalloo, L., A case study of the carbon footprint of milk from high-performing confinement and grass-based dairy farms. Journal of dairy science 2014, 97 (3), 1835-1851."/>
    <s v="Yes"/>
    <s v="No"/>
    <s v="No"/>
    <s v="No"/>
    <s v="No"/>
    <s v="No"/>
    <s v="No"/>
    <s v="No"/>
    <s v="No"/>
    <s v="No"/>
    <s v="No"/>
    <s v="No"/>
    <s v="no"/>
    <s v="using values that exclude on-farm carbon sequestration"/>
    <m/>
    <m/>
    <s v="kg ECM"/>
    <m/>
    <s v=""/>
    <s v=""/>
    <n v="0.91400000000000003"/>
    <s v=""/>
    <m/>
    <m/>
    <m/>
    <m/>
    <m/>
    <m/>
    <m/>
    <m/>
    <m/>
    <m/>
    <m/>
    <m/>
    <m/>
    <n v="0.91400000000000003"/>
    <m/>
    <m/>
    <m/>
    <m/>
    <m/>
    <m/>
    <m/>
    <m/>
    <n v="0.91400000000000003"/>
    <m/>
  </r>
  <r>
    <x v="0"/>
    <x v="0"/>
    <s v="Fresh or Not Specified"/>
    <s v="UK confinement dairy"/>
    <m/>
    <s v="UK"/>
    <n v="2014"/>
    <s v="O’Brien, D_x000a_Capper, JL_x000a_Garnsworthy, PC_x000a_Grainger, C_x000a_Shalloo, L"/>
    <m/>
    <s v="Peer Reviewed Journal"/>
    <s v="O’brien, D., Capper, J., Garnsworthy, P., Grainger, C. and Shalloo, L., A case study of the carbon footprint of milk from high-performing confinement and grass-based dairy farms. Journal of dairy science 2014, 97 (3), 1835-1851."/>
    <s v="Yes"/>
    <s v="No"/>
    <s v="No"/>
    <s v="No"/>
    <s v="No"/>
    <s v="No"/>
    <s v="No"/>
    <s v="No"/>
    <s v="No"/>
    <s v="No"/>
    <s v="No"/>
    <s v="No"/>
    <s v="no"/>
    <s v="using values that exclude on-farm carbon sequestration"/>
    <m/>
    <m/>
    <m/>
    <m/>
    <s v=""/>
    <s v=""/>
    <n v="0.89500000000000002"/>
    <s v=""/>
    <m/>
    <m/>
    <m/>
    <m/>
    <m/>
    <m/>
    <m/>
    <m/>
    <m/>
    <m/>
    <m/>
    <m/>
    <m/>
    <n v="0.89500000000000002"/>
    <m/>
    <m/>
    <m/>
    <m/>
    <m/>
    <m/>
    <m/>
    <m/>
    <n v="0.89500000000000002"/>
    <m/>
  </r>
  <r>
    <x v="0"/>
    <x v="0"/>
    <s v="Fresh or Not Specified"/>
    <s v="US confinement dairy"/>
    <m/>
    <s v="USA"/>
    <n v="2014"/>
    <s v="O’Brien, D_x000a_Capper, JL_x000a_Garnsworthy, PC_x000a_Grainger, C_x000a_Shalloo, L"/>
    <m/>
    <s v="Peer Reviewed Journal"/>
    <s v="O’brien, D., Capper, J., Garnsworthy, P., Grainger, C. and Shalloo, L., A case study of the carbon footprint of milk from high-performing confinement and grass-based dairy farms. Journal of dairy science 2014, 97 (3), 1835-1851."/>
    <s v="Yes"/>
    <s v="No"/>
    <s v="No"/>
    <s v="No"/>
    <s v="No"/>
    <s v="No"/>
    <s v="No"/>
    <s v="No"/>
    <s v="No"/>
    <s v="No"/>
    <s v="No"/>
    <s v="No"/>
    <s v="no"/>
    <s v="using values that exclude on-farm carbon sequestration"/>
    <m/>
    <m/>
    <m/>
    <m/>
    <s v=""/>
    <s v=""/>
    <n v="0.89800000000000002"/>
    <s v=""/>
    <m/>
    <m/>
    <m/>
    <m/>
    <m/>
    <m/>
    <m/>
    <m/>
    <m/>
    <m/>
    <m/>
    <m/>
    <m/>
    <n v="0.89800000000000002"/>
    <m/>
    <m/>
    <m/>
    <m/>
    <m/>
    <m/>
    <m/>
    <m/>
    <n v="0.89800000000000002"/>
    <m/>
  </r>
  <r>
    <x v="4"/>
    <x v="20"/>
    <s v="Fresh or Not Specified"/>
    <s v="premium quality export bananas, 2009 season"/>
    <m/>
    <s v="Ecuador"/>
    <n v="2014"/>
    <s v="Iriarte, Alfredo_x000a_Almeida, Maria Gabriela_x000a_Villalobos, Pablo"/>
    <m/>
    <s v="Peer Reviewed Journal"/>
    <s v="Iriarte, A., Almeida, M. G. and Villalobos, P., Carbon footprint of premium quality export bananas: Case study in Ecuador, the world's largest exporter. Science of The Total Environment 2014, 472, 1082-1088."/>
    <s v="Yes"/>
    <m/>
    <s v="Yes"/>
    <s v="Yes"/>
    <s v="Yes"/>
    <s v="Yes"/>
    <s v="No"/>
    <s v="No"/>
    <s v="No"/>
    <s v="No"/>
    <s v="No"/>
    <s v="No"/>
    <m/>
    <s v="cradle to delivery at port in Hamburg"/>
    <m/>
    <m/>
    <s v="kg export quality premium banana"/>
    <m/>
    <s v=""/>
    <s v=""/>
    <n v="0.21"/>
    <n v="0.219"/>
    <m/>
    <m/>
    <m/>
    <m/>
    <m/>
    <m/>
    <m/>
    <m/>
    <m/>
    <m/>
    <m/>
    <m/>
    <m/>
    <n v="0.21"/>
    <n v="8.0000000000000002E-3"/>
    <n v="1E-3"/>
    <n v="0.08"/>
    <n v="0.12"/>
    <m/>
    <m/>
    <m/>
    <m/>
    <n v="0.21"/>
    <n v="0.41899999999999998"/>
  </r>
  <r>
    <x v="4"/>
    <x v="20"/>
    <s v="Fresh or Not Specified"/>
    <s v="premium quality export bananas, 2010 season"/>
    <m/>
    <s v="Ecuador"/>
    <n v="2014"/>
    <s v="Iriarte, Alfredo_x000a_Almeida, Maria Gabriela_x000a_Villalobos, Pablo"/>
    <m/>
    <s v="Peer Reviewed Journal"/>
    <s v="Iriarte, A., Almeida, M. G. and Villalobos, P., Carbon footprint of premium quality export bananas: Case study in Ecuador, the world's largest exporter. Science of The Total Environment 2014, 472, 1082-1088."/>
    <s v="Yes"/>
    <m/>
    <s v="Yes"/>
    <s v="Yes"/>
    <s v="Yes"/>
    <s v="Yes"/>
    <s v="No"/>
    <s v="No"/>
    <s v="No"/>
    <s v="No"/>
    <s v="No"/>
    <s v="No"/>
    <m/>
    <s v="cradle to delivery at port in Hamburg"/>
    <m/>
    <m/>
    <s v="kg export quality premium banana"/>
    <m/>
    <s v=""/>
    <s v=""/>
    <n v="0.24"/>
    <n v="0.249"/>
    <m/>
    <m/>
    <m/>
    <m/>
    <m/>
    <m/>
    <m/>
    <m/>
    <m/>
    <m/>
    <m/>
    <m/>
    <m/>
    <n v="0.24"/>
    <n v="8.0000000000000002E-3"/>
    <n v="1E-3"/>
    <n v="0.09"/>
    <n v="0.12"/>
    <m/>
    <m/>
    <m/>
    <m/>
    <n v="0.24"/>
    <n v="0.45899999999999996"/>
  </r>
  <r>
    <x v="4"/>
    <x v="20"/>
    <s v="Fresh or Not Specified"/>
    <s v="premium quality export bananas, 2011 season"/>
    <m/>
    <s v="Ecuador"/>
    <n v="2014"/>
    <s v="Iriarte, Alfredo_x000a_Almeida, Maria Gabriela_x000a_Villalobos, Pablo"/>
    <m/>
    <s v="Peer Reviewed Journal"/>
    <s v="Iriarte, A., Almeida, M. G. and Villalobos, P., Carbon footprint of premium quality export bananas: Case study in Ecuador, the world's largest exporter. Science of The Total Environment 2014, 472, 1082-1088."/>
    <s v="Yes"/>
    <m/>
    <s v="Yes"/>
    <s v="Yes"/>
    <s v="Yes"/>
    <s v="Yes"/>
    <s v="No"/>
    <s v="No"/>
    <s v="No"/>
    <s v="No"/>
    <s v="No"/>
    <s v="No"/>
    <m/>
    <s v="cradle to delivery at port in Hamburg"/>
    <m/>
    <m/>
    <s v="kg export quality premium banana"/>
    <m/>
    <s v=""/>
    <s v=""/>
    <n v="0.26"/>
    <n v="0.27300000000000002"/>
    <m/>
    <m/>
    <m/>
    <m/>
    <m/>
    <m/>
    <m/>
    <m/>
    <m/>
    <m/>
    <m/>
    <m/>
    <m/>
    <n v="0.26"/>
    <n v="8.0000000000000002E-3"/>
    <n v="5.0000000000000001E-3"/>
    <n v="0.09"/>
    <n v="0.12"/>
    <m/>
    <m/>
    <m/>
    <m/>
    <n v="0.26"/>
    <n v="0.48299999999999998"/>
  </r>
  <r>
    <x v="1"/>
    <x v="3"/>
    <s v="Fresh or Not Specified"/>
    <s v="culled cows from milk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0"/>
    <s v=""/>
    <m/>
    <m/>
    <m/>
    <m/>
    <m/>
    <m/>
    <m/>
    <m/>
    <m/>
    <m/>
    <m/>
    <m/>
    <m/>
    <n v="20"/>
    <m/>
    <m/>
    <m/>
    <m/>
    <m/>
    <m/>
    <m/>
    <m/>
    <n v="20"/>
    <m/>
  </r>
  <r>
    <x v="1"/>
    <x v="3"/>
    <s v="Fresh or Not Specified"/>
    <s v="bulls from milk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2"/>
    <s v=""/>
    <m/>
    <m/>
    <m/>
    <m/>
    <m/>
    <m/>
    <m/>
    <m/>
    <m/>
    <m/>
    <m/>
    <m/>
    <m/>
    <n v="22"/>
    <m/>
    <m/>
    <m/>
    <m/>
    <m/>
    <m/>
    <m/>
    <m/>
    <n v="22"/>
    <m/>
  </r>
  <r>
    <x v="1"/>
    <x v="3"/>
    <s v="Fresh or Not Specified"/>
    <s v="steers from milk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8"/>
    <s v=""/>
    <m/>
    <m/>
    <m/>
    <m/>
    <m/>
    <m/>
    <m/>
    <m/>
    <m/>
    <m/>
    <m/>
    <m/>
    <m/>
    <n v="28"/>
    <m/>
    <m/>
    <m/>
    <m/>
    <m/>
    <m/>
    <m/>
    <m/>
    <n v="28"/>
    <m/>
  </r>
  <r>
    <x v="1"/>
    <x v="3"/>
    <s v="Fresh or Not Specified"/>
    <s v="heifers from milk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31"/>
    <s v=""/>
    <m/>
    <m/>
    <m/>
    <m/>
    <m/>
    <m/>
    <m/>
    <m/>
    <m/>
    <m/>
    <m/>
    <m/>
    <m/>
    <n v="31"/>
    <m/>
    <m/>
    <m/>
    <m/>
    <m/>
    <m/>
    <m/>
    <m/>
    <n v="31"/>
    <m/>
  </r>
  <r>
    <x v="1"/>
    <x v="3"/>
    <s v="Fresh or Not Specified"/>
    <s v="suckler production (cows and off-spring)"/>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31"/>
    <s v=""/>
    <m/>
    <m/>
    <m/>
    <m/>
    <m/>
    <m/>
    <m/>
    <m/>
    <m/>
    <m/>
    <m/>
    <m/>
    <m/>
    <n v="31"/>
    <m/>
    <m/>
    <m/>
    <m/>
    <m/>
    <m/>
    <m/>
    <m/>
    <n v="31"/>
    <m/>
  </r>
  <r>
    <x v="1"/>
    <x v="3"/>
    <s v="Fresh or Not Specified"/>
    <s v="suckler production (cows and off-spring)"/>
    <m/>
    <s v="Ireland"/>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31"/>
    <s v=""/>
    <m/>
    <m/>
    <m/>
    <m/>
    <m/>
    <m/>
    <m/>
    <m/>
    <m/>
    <m/>
    <m/>
    <m/>
    <m/>
    <n v="31"/>
    <m/>
    <m/>
    <m/>
    <m/>
    <m/>
    <m/>
    <m/>
    <m/>
    <n v="31"/>
    <m/>
  </r>
  <r>
    <x v="1"/>
    <x v="3"/>
    <s v="Fresh or Not Specified"/>
    <s v="bulls from milk production"/>
    <m/>
    <s v="Germany, Poland and Denmark"/>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1"/>
    <s v=""/>
    <m/>
    <m/>
    <m/>
    <m/>
    <m/>
    <m/>
    <m/>
    <m/>
    <m/>
    <m/>
    <m/>
    <m/>
    <m/>
    <n v="21"/>
    <m/>
    <m/>
    <m/>
    <m/>
    <m/>
    <m/>
    <m/>
    <m/>
    <n v="21"/>
    <m/>
  </r>
  <r>
    <x v="1"/>
    <x v="3"/>
    <s v="Fresh or Not Specified"/>
    <s v="suckler production (cows and off-spring)"/>
    <m/>
    <s v="Uruguay"/>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31"/>
    <s v=""/>
    <m/>
    <m/>
    <m/>
    <m/>
    <m/>
    <m/>
    <m/>
    <m/>
    <m/>
    <m/>
    <m/>
    <m/>
    <m/>
    <n v="31"/>
    <m/>
    <m/>
    <m/>
    <m/>
    <m/>
    <m/>
    <m/>
    <m/>
    <n v="31"/>
    <m/>
  </r>
  <r>
    <x v="1"/>
    <x v="3"/>
    <s v="Fresh or Not Specified"/>
    <s v="Extensive suckler production"/>
    <m/>
    <s v="Brazil"/>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41"/>
    <s v=""/>
    <m/>
    <m/>
    <m/>
    <m/>
    <m/>
    <m/>
    <m/>
    <m/>
    <m/>
    <m/>
    <m/>
    <m/>
    <m/>
    <n v="41"/>
    <m/>
    <m/>
    <m/>
    <m/>
    <m/>
    <m/>
    <m/>
    <m/>
    <n v="41"/>
    <m/>
  </r>
  <r>
    <x v="1"/>
    <x v="3"/>
    <s v="Fresh or Not Specified"/>
    <s v="calves from milk production, extensive"/>
    <m/>
    <s v="other imported"/>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5"/>
    <s v=""/>
    <m/>
    <m/>
    <m/>
    <m/>
    <m/>
    <m/>
    <m/>
    <m/>
    <m/>
    <m/>
    <m/>
    <m/>
    <m/>
    <n v="25"/>
    <m/>
    <m/>
    <m/>
    <m/>
    <m/>
    <m/>
    <m/>
    <m/>
    <n v="25"/>
    <m/>
  </r>
  <r>
    <x v="1"/>
    <x v="23"/>
    <s v="Fresh or Not Specified"/>
    <s v="intensive indoor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5.5"/>
    <s v=""/>
    <m/>
    <m/>
    <m/>
    <m/>
    <m/>
    <m/>
    <m/>
    <m/>
    <m/>
    <m/>
    <m/>
    <m/>
    <m/>
    <n v="5.5"/>
    <m/>
    <m/>
    <m/>
    <m/>
    <m/>
    <m/>
    <m/>
    <m/>
    <n v="5.5"/>
    <m/>
  </r>
  <r>
    <x v="1"/>
    <x v="23"/>
    <s v="Fresh or Not Specified"/>
    <s v="intensive indoor production"/>
    <m/>
    <s v="Imported"/>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5.5"/>
    <s v=""/>
    <m/>
    <m/>
    <m/>
    <m/>
    <m/>
    <m/>
    <m/>
    <m/>
    <m/>
    <m/>
    <m/>
    <m/>
    <m/>
    <n v="5.5"/>
    <m/>
    <m/>
    <m/>
    <m/>
    <m/>
    <m/>
    <m/>
    <m/>
    <n v="5.5"/>
    <m/>
  </r>
  <r>
    <x v="1"/>
    <x v="24"/>
    <s v="Fresh or Not Specified"/>
    <s v="intensive indoor production"/>
    <m/>
    <s v="Sweden"/>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6"/>
    <s v=""/>
    <m/>
    <m/>
    <m/>
    <m/>
    <m/>
    <m/>
    <m/>
    <m/>
    <m/>
    <m/>
    <m/>
    <m/>
    <m/>
    <n v="2.6"/>
    <m/>
    <m/>
    <m/>
    <m/>
    <m/>
    <m/>
    <m/>
    <m/>
    <n v="2.6"/>
    <m/>
  </r>
  <r>
    <x v="1"/>
    <x v="24"/>
    <s v="Fresh or Not Specified"/>
    <s v="intensive indoor production"/>
    <m/>
    <s v="Imported"/>
    <n v="2014"/>
    <s v="Hallström, E._x000a_Röös, E._x000a_Börjesson, P."/>
    <m/>
    <s v="Peer Reviewed Journal"/>
    <s v="Hallström, E., Röös, E. and Börjesson, P., Sustainable meat consumption: A quantitative analysis of nutritional intake, greenhouse gas emissions and land use from a Swedish perspective. Food Policy 2014, 47, 81-90."/>
    <s v="Yes"/>
    <s v="No"/>
    <s v="No"/>
    <s v="No"/>
    <s v="No"/>
    <s v="No"/>
    <s v="No"/>
    <s v="No"/>
    <s v="No"/>
    <s v="No"/>
    <s v="No"/>
    <s v="No"/>
    <m/>
    <m/>
    <m/>
    <m/>
    <s v="kg bone-free meat"/>
    <m/>
    <s v=""/>
    <s v=""/>
    <n v="2.6"/>
    <s v=""/>
    <m/>
    <m/>
    <m/>
    <m/>
    <m/>
    <m/>
    <m/>
    <m/>
    <m/>
    <m/>
    <m/>
    <m/>
    <m/>
    <n v="2.6"/>
    <m/>
    <m/>
    <m/>
    <m/>
    <m/>
    <m/>
    <m/>
    <m/>
    <n v="2.6"/>
    <m/>
  </r>
  <r>
    <x v="1"/>
    <x v="24"/>
    <s v="Fresh or Not Specified"/>
    <m/>
    <m/>
    <s v="Portugal"/>
    <n v="2014"/>
    <s v="González-García, Sara_x000a_Gomez-Fernández, Zaira_x000a_Dias, Ana Cláudia_x000a_Feijoo, Gumersindo_x000a_Moreira, Mª Teresa_x000a_Arroja, Luis"/>
    <m/>
    <s v="Peer Reviewed Journal"/>
    <s v="González-García, S., Gomez-Fernández, Z., Dias, A. C., Feijoo, G., Moreira, M. T. and Arroja, L., Life Cycle Assessment of broiler chicken production: a Portuguese case study. Journal of Cleaner Production 2014, 74, 125-134."/>
    <s v="Yes"/>
    <s v="No"/>
    <s v="Yes"/>
    <s v="Yes"/>
    <s v="Yes"/>
    <s v="No"/>
    <s v="No"/>
    <s v="No"/>
    <s v="No"/>
    <s v="No"/>
    <s v="No"/>
    <s v="No"/>
    <m/>
    <s v="cradle to processor gate"/>
    <m/>
    <m/>
    <s v="1.2 kg broilder chicken meat ready to be distributed"/>
    <s v="/1.2"/>
    <n v="15.500000000000002"/>
    <n v="17.333333333333336"/>
    <n v="2.2500000000000004"/>
    <n v="2.3775000000000004"/>
    <n v="15.500000000000002"/>
    <m/>
    <n v="1.8333333333333335"/>
    <n v="1.1666666666666667"/>
    <m/>
    <m/>
    <m/>
    <m/>
    <m/>
    <n v="15.500000000000002"/>
    <n v="18.500000000000004"/>
    <m/>
    <m/>
    <n v="2.2500000000000004"/>
    <m/>
    <n v="0.12750000000000003"/>
    <n v="3.9166666666666669E-2"/>
    <m/>
    <m/>
    <m/>
    <m/>
    <m/>
    <n v="2.2500000000000004"/>
    <n v="2.416666666666667"/>
  </r>
  <r>
    <x v="0"/>
    <x v="0"/>
    <s v="Fresh or Not Specified"/>
    <m/>
    <m/>
    <s v="Australia"/>
    <n v="2014"/>
    <s v="Gollnow, Sebastian_x000a_Lundie, Sven_x000a_Moore, Andrew D._x000a_McLaren, Jake_x000a_van Buuren, Neil_x000a_Stahle, Peter_x000a_Christie, Karen_x000a_Thylmann, Daniel_x000a_Rehl, Torsten"/>
    <m/>
    <s v="Peer Reviewed Journal"/>
    <s v="Gollnow, S., Lundie, S., Moore, A. D., Mclaren, J., Van Buuren, N., Stahle, P., Christie, K., Thylmann, D. and Rehl, T., Carbon footprint of milk production from dairy cows in Australia. International Dairy Journal 2014, 37 (1), 31-38."/>
    <s v="Yes"/>
    <s v="Yes"/>
    <s v="No"/>
    <s v="No"/>
    <s v="No"/>
    <s v="No"/>
    <s v="No"/>
    <s v="No"/>
    <s v="No"/>
    <s v="No"/>
    <s v="No"/>
    <s v="No"/>
    <m/>
    <s v="cradle to farm gate"/>
    <m/>
    <m/>
    <s v="1 kg FPCM"/>
    <m/>
    <s v=""/>
    <s v=""/>
    <n v="1.1100000000000001"/>
    <s v=""/>
    <m/>
    <m/>
    <m/>
    <m/>
    <m/>
    <m/>
    <m/>
    <m/>
    <m/>
    <m/>
    <m/>
    <m/>
    <m/>
    <n v="1.1100000000000001"/>
    <m/>
    <m/>
    <m/>
    <m/>
    <m/>
    <m/>
    <m/>
    <m/>
    <n v="1.1100000000000001"/>
    <m/>
  </r>
  <r>
    <x v="1"/>
    <x v="1"/>
    <s v="Fresh or Not Specified"/>
    <s v="East Canada"/>
    <m/>
    <s v="Canada"/>
    <n v="2014"/>
    <s v="Dyer, James A_x000a_Vergé, Xavier PC_x000a_Desjardins, Raymond L_x000a_Worth, Devon E"/>
    <m/>
    <s v="Peer Reviewed Journal"/>
    <s v="Dyer, J. A., Vergé, X. P., Desjardins, R. L. and Worth, D. E., A comparison of the greenhouse gas emissions from the sheep industry with beef production in Canada. Sustainable Agriculture Research 2014, 3 (3), 65-75."/>
    <s v="Yes"/>
    <s v="No"/>
    <s v="No"/>
    <s v="No"/>
    <s v="No"/>
    <s v="No"/>
    <s v="No"/>
    <s v="No"/>
    <s v="No"/>
    <s v="No"/>
    <s v="No"/>
    <s v="No"/>
    <m/>
    <m/>
    <m/>
    <m/>
    <s v="per kg LW"/>
    <s v="dressing yield=50.8%, 65.8% boneless meat"/>
    <s v=""/>
    <s v=""/>
    <n v="42.481391953665359"/>
    <s v=""/>
    <m/>
    <m/>
    <m/>
    <m/>
    <m/>
    <m/>
    <m/>
    <m/>
    <m/>
    <m/>
    <m/>
    <m/>
    <m/>
    <n v="42.481391953665359"/>
    <m/>
    <m/>
    <m/>
    <m/>
    <m/>
    <m/>
    <m/>
    <m/>
    <n v="42.481391953665359"/>
    <m/>
  </r>
  <r>
    <x v="1"/>
    <x v="1"/>
    <s v="Fresh or Not Specified"/>
    <s v="West Canada"/>
    <m/>
    <s v="Canada"/>
    <n v="2014"/>
    <s v="Dyer, James A_x000a_Vergé, Xavier PC_x000a_Desjardins, Raymond L_x000a_Worth, Devon E"/>
    <m/>
    <s v="Peer Reviewed Journal"/>
    <s v="Dyer, J. A., Vergé, X. P., Desjardins, R. L. and Worth, D. E., A comparison of the greenhouse gas emissions from the sheep industry with beef production in Canada. Sustainable Agriculture Research 2014, 3 (3), 65-75."/>
    <s v="Yes"/>
    <s v="No"/>
    <s v="No"/>
    <s v="No"/>
    <s v="No"/>
    <s v="No"/>
    <s v="No"/>
    <s v="No"/>
    <s v="No"/>
    <s v="No"/>
    <s v="No"/>
    <s v="No"/>
    <m/>
    <m/>
    <m/>
    <m/>
    <s v="per kg LW"/>
    <s v="dressing yield=50.8%, 65.8% boneless meat"/>
    <s v=""/>
    <s v=""/>
    <n v="39.489744632984703"/>
    <s v=""/>
    <m/>
    <m/>
    <m/>
    <m/>
    <m/>
    <m/>
    <m/>
    <m/>
    <m/>
    <m/>
    <m/>
    <m/>
    <m/>
    <n v="39.489744632984703"/>
    <m/>
    <m/>
    <m/>
    <m/>
    <m/>
    <m/>
    <m/>
    <m/>
    <n v="39.489744632984703"/>
    <m/>
  </r>
  <r>
    <x v="1"/>
    <x v="3"/>
    <s v="Fresh or Not Specified"/>
    <s v="East Canada"/>
    <m/>
    <s v="Canada"/>
    <n v="2014"/>
    <s v="Dyer, James A_x000a_Vergé, Xavier PC_x000a_Desjardins, Raymond L_x000a_Worth, Devon E"/>
    <m/>
    <s v="Peer Reviewed Journal"/>
    <s v="Dyer, J. A., Vergé, X. P., Desjardins, R. L. and Worth, D. E., A comparison of the greenhouse gas emissions from the sheep industry with beef production in Canada. Sustainable Agriculture Research 2014, 3 (3), 65-75."/>
    <s v="Yes"/>
    <s v="No"/>
    <s v="No"/>
    <s v="No"/>
    <s v="No"/>
    <s v="No"/>
    <s v="No"/>
    <s v="No"/>
    <s v="No"/>
    <s v="No"/>
    <s v="No"/>
    <s v="No"/>
    <m/>
    <m/>
    <m/>
    <m/>
    <s v="per kg LW"/>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35.115332699098957"/>
    <s v=""/>
    <m/>
    <m/>
    <m/>
    <m/>
    <m/>
    <m/>
    <m/>
    <m/>
    <m/>
    <m/>
    <m/>
    <m/>
    <m/>
    <n v="35.115332699098957"/>
    <m/>
    <m/>
    <m/>
    <m/>
    <m/>
    <m/>
    <m/>
    <m/>
    <n v="35.115332699098957"/>
    <m/>
  </r>
  <r>
    <x v="1"/>
    <x v="3"/>
    <s v="Fresh or Not Specified"/>
    <s v="West Canada"/>
    <m/>
    <s v="Canada"/>
    <n v="2014"/>
    <s v="Dyer, James A_x000a_Vergé, Xavier PC_x000a_Desjardins, Raymond L_x000a_Worth, Devon E"/>
    <m/>
    <s v="Peer Reviewed Journal"/>
    <s v="Dyer, J. A., Vergé, X. P., Desjardins, R. L. and Worth, D. E., A comparison of the greenhouse gas emissions from the sheep industry with beef production in Canada. Sustainable Agriculture Research 2014, 3 (3), 65-75."/>
    <s v="Yes"/>
    <s v="No"/>
    <s v="No"/>
    <s v="No"/>
    <s v="No"/>
    <s v="No"/>
    <s v="No"/>
    <s v="No"/>
    <s v="No"/>
    <s v="No"/>
    <s v="No"/>
    <s v="No"/>
    <m/>
    <m/>
    <m/>
    <m/>
    <s v="per kg LW"/>
    <s v="edible boneless weight = 0.667*(0.602*live weight); from Weights, Measures, and Conversion Factors for Agricultural Commodities and Their Products. Economic Research Service in cooperation with the Agricultural Marketing Service, the Agricultural Research Service, and the National Agricultural Statistics Service, U.S. Department of Agriculture. Agricultural Handbook No. 697."/>
    <s v=""/>
    <s v=""/>
    <n v="25.90067092699497"/>
    <s v=""/>
    <m/>
    <m/>
    <m/>
    <m/>
    <m/>
    <m/>
    <m/>
    <m/>
    <m/>
    <m/>
    <m/>
    <m/>
    <m/>
    <n v="25.90067092699497"/>
    <m/>
    <m/>
    <m/>
    <m/>
    <m/>
    <m/>
    <m/>
    <m/>
    <n v="25.90067092699497"/>
    <m/>
  </r>
  <r>
    <x v="12"/>
    <x v="235"/>
    <s v="Frozen"/>
    <s v="based on Patagonian grenadier fishery"/>
    <m/>
    <s v="Spain"/>
    <n v="2013"/>
    <s v="Vázquez-Rowe, Ian_x000a_Villanueva-Rey, Pedro_x000a_Mallo, Juan_x000a_De la Cerda, Juan José_x000a_Moreira, Ma Teresa_x000a_Feijoo, Gumersindo"/>
    <m/>
    <s v="Peer Reviewed Journal"/>
    <s v="Vázquez-Rowe, I., Villanueva-Rey, P., Mallo, J., De La Cerda, J. J., Moreira, M. T. and Feijoo, G., Carbon footprint of a multi-ingredient seafood product from a business-to-business perspective. Journal of Cleaner Production 2013, 44, 200-210."/>
    <s v="Yes"/>
    <s v="No"/>
    <s v="Yes"/>
    <s v="Yes"/>
    <s v="Yes"/>
    <s v="No"/>
    <s v="No"/>
    <s v="No"/>
    <s v="No"/>
    <s v="No"/>
    <s v="No"/>
    <s v="No"/>
    <m/>
    <m/>
    <m/>
    <m/>
    <s v="1 package - 320g  edible product"/>
    <s v="/.32"/>
    <s v=""/>
    <s v=""/>
    <n v="1.98084375"/>
    <n v="2.1531562499999999"/>
    <m/>
    <m/>
    <m/>
    <m/>
    <m/>
    <m/>
    <m/>
    <m/>
    <m/>
    <m/>
    <m/>
    <m/>
    <m/>
    <n v="1.98084375"/>
    <m/>
    <n v="0.17231250000000001"/>
    <n v="5.7999999999999996E-2"/>
    <m/>
    <m/>
    <m/>
    <m/>
    <m/>
    <n v="1.98084375"/>
    <n v="2.2111562499999997"/>
  </r>
  <r>
    <x v="1"/>
    <x v="24"/>
    <s v="Fresh or Not Specified"/>
    <m/>
    <m/>
    <s v="Reunion Island (Indian Ocean)"/>
    <n v="2013"/>
    <s v="Thévenot, Alexandre_x000a_Aubin, Joël_x000a_Tillard, Emmanuel_x000a_Vayssières, Jonathan"/>
    <m/>
    <s v="Peer Reviewed Journal"/>
    <s v="Thévenot, A., Aubin, J., Tillard, E. and Vayssières, J., Accounting for farm diversity in Life Cycle Assessment studies – the case of poultry production in a tropical island. Journal of Cleaner Production 2013, 57, 280-292."/>
    <s v="Yes"/>
    <s v="No"/>
    <s v="Yes"/>
    <s v="Yes"/>
    <s v="Yes"/>
    <s v="No"/>
    <s v="No"/>
    <s v="No"/>
    <s v="No"/>
    <s v="No"/>
    <s v="No"/>
    <s v="No"/>
    <m/>
    <m/>
    <m/>
    <m/>
    <s v="1 tonne bone-in chicken ready for retail"/>
    <m/>
    <n v="30.509999999999998"/>
    <n v="33.866250000000001"/>
    <n v="2.2311000000000001"/>
    <n v="2.4469799999999999"/>
    <n v="30.509999999999998"/>
    <m/>
    <n v="3.3562499999999997"/>
    <n v="1.1187499999999999"/>
    <m/>
    <m/>
    <m/>
    <m/>
    <m/>
    <n v="30.509999999999998"/>
    <n v="34.984999999999999"/>
    <m/>
    <m/>
    <n v="2.2311000000000001"/>
    <m/>
    <n v="0.21587999999999999"/>
    <n v="4.1120000000000004E-2"/>
    <m/>
    <m/>
    <m/>
    <m/>
    <m/>
    <n v="2.2311000000000001"/>
    <n v="2.4880999999999998"/>
  </r>
  <r>
    <x v="0"/>
    <x v="0"/>
    <s v="Fresh or Not Specified"/>
    <s v="Central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ECM"/>
    <m/>
    <n v="4.6619999999999999"/>
    <s v=""/>
    <n v="1.59"/>
    <s v=""/>
    <n v="4.6619999999999999"/>
    <m/>
    <m/>
    <m/>
    <m/>
    <m/>
    <m/>
    <m/>
    <m/>
    <n v="4.6619999999999999"/>
    <m/>
    <m/>
    <m/>
    <n v="1.59"/>
    <m/>
    <m/>
    <m/>
    <m/>
    <m/>
    <m/>
    <m/>
    <m/>
    <n v="1.59"/>
    <m/>
  </r>
  <r>
    <x v="0"/>
    <x v="0"/>
    <s v="Fresh or Not Specified"/>
    <s v="Central southeast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ECM"/>
    <m/>
    <n v="3.9438"/>
    <s v=""/>
    <n v="1.54"/>
    <s v=""/>
    <n v="3.9438"/>
    <m/>
    <m/>
    <m/>
    <m/>
    <m/>
    <m/>
    <m/>
    <m/>
    <n v="3.9438"/>
    <m/>
    <m/>
    <m/>
    <n v="1.54"/>
    <m/>
    <m/>
    <m/>
    <m/>
    <m/>
    <m/>
    <m/>
    <m/>
    <n v="1.54"/>
    <m/>
  </r>
  <r>
    <x v="0"/>
    <x v="0"/>
    <s v="Fresh or Not Specified"/>
    <s v="Southwest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ECM"/>
    <m/>
    <n v="3.7506000000000004"/>
    <s v=""/>
    <n v="1.47"/>
    <s v=""/>
    <n v="3.7506000000000004"/>
    <m/>
    <m/>
    <m/>
    <m/>
    <m/>
    <m/>
    <m/>
    <m/>
    <n v="3.7506000000000004"/>
    <m/>
    <m/>
    <m/>
    <n v="1.47"/>
    <m/>
    <m/>
    <m/>
    <m/>
    <m/>
    <m/>
    <m/>
    <m/>
    <n v="1.47"/>
    <m/>
  </r>
  <r>
    <x v="1"/>
    <x v="25"/>
    <s v="Fresh or Not Specified"/>
    <s v="Central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carcass (live weight*.5)"/>
    <s v="/.667"/>
    <n v="80.599700149925027"/>
    <s v=""/>
    <n v="27.586206896551719"/>
    <s v=""/>
    <n v="80.599700149925027"/>
    <m/>
    <m/>
    <m/>
    <m/>
    <m/>
    <m/>
    <m/>
    <m/>
    <n v="80.599700149925027"/>
    <m/>
    <m/>
    <m/>
    <n v="27.586206896551719"/>
    <m/>
    <m/>
    <m/>
    <m/>
    <m/>
    <m/>
    <m/>
    <m/>
    <n v="27.586206896551719"/>
    <m/>
  </r>
  <r>
    <x v="1"/>
    <x v="25"/>
    <s v="Fresh or Not Specified"/>
    <s v="Central southeast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carcass (live weight*.5)"/>
    <s v="/.667"/>
    <n v="71.784107946026978"/>
    <s v=""/>
    <n v="26.536731634182907"/>
    <s v=""/>
    <n v="71.784107946026978"/>
    <m/>
    <m/>
    <m/>
    <m/>
    <m/>
    <m/>
    <m/>
    <m/>
    <n v="71.784107946026978"/>
    <m/>
    <m/>
    <m/>
    <n v="26.536731634182907"/>
    <m/>
    <m/>
    <m/>
    <m/>
    <m/>
    <m/>
    <m/>
    <m/>
    <n v="26.536731634182907"/>
    <m/>
  </r>
  <r>
    <x v="1"/>
    <x v="25"/>
    <s v="Fresh or Not Specified"/>
    <s v="Southwest region"/>
    <m/>
    <s v="Norway"/>
    <n v="2013"/>
    <s v="Roer, Anne-Grete_x000a_Johansen, Astrid_x000a_Bakken, Anne Kjersti_x000a_Daugstad, Kristin_x000a_Fystro, Gustav_x000a_Strømman, Anders Hammer"/>
    <m/>
    <s v="Peer Reviewed Journal"/>
    <s v="Roer, A.-G., Johansen, A., Bakken, A. K., Daugstad, K., Fystro, G. and Strømman, A. H., Environmental impacts of combined milk and meat production in Norway according to a life cycle assessment with expanded system boundaries. Livestock Science 2013, 155 (2), 384-396."/>
    <s v="Yes"/>
    <s v="No"/>
    <s v="No"/>
    <s v="No"/>
    <s v="No"/>
    <s v="No"/>
    <s v="No"/>
    <s v="No"/>
    <s v="No"/>
    <s v="No"/>
    <s v="No"/>
    <s v="No"/>
    <m/>
    <m/>
    <m/>
    <m/>
    <s v="1 kg carcass (live weight*.5)"/>
    <s v="/.667"/>
    <n v="73.673163418290855"/>
    <s v=""/>
    <n v="27.286356821589202"/>
    <s v=""/>
    <n v="73.673163418290855"/>
    <m/>
    <m/>
    <m/>
    <m/>
    <m/>
    <m/>
    <m/>
    <m/>
    <n v="73.673163418290855"/>
    <m/>
    <m/>
    <m/>
    <n v="27.286356821589202"/>
    <m/>
    <m/>
    <m/>
    <m/>
    <m/>
    <m/>
    <m/>
    <m/>
    <n v="27.286356821589202"/>
    <m/>
  </r>
  <r>
    <x v="1"/>
    <x v="1"/>
    <s v="Fresh or Not Specified"/>
    <s v="pasture based"/>
    <s v="Yes"/>
    <s v="Spain"/>
    <n v="2013"/>
    <s v="Ripoll-Bosch, R._x000a_de Boer, I. J. M._x000a_Bernués, A._x000a_Vellinga, T. V."/>
    <m/>
    <s v="Peer Reviewed Journal"/>
    <s v="Ripoll-Bosch, R., De Boer, I. J. M., Bernués, A. and Vellinga, T. V., Accounting for multi-functionality of sheep farming in the carbon footprint of lamb: A comparison of three contrasting Mediterranean systems. Agricultural Systems 2013, 116, 60-68."/>
    <s v="Yes"/>
    <s v="No"/>
    <s v="No"/>
    <s v="No"/>
    <s v="No"/>
    <s v="No"/>
    <s v="No"/>
    <s v="No"/>
    <s v="No"/>
    <s v="No"/>
    <s v="No"/>
    <s v="No"/>
    <m/>
    <m/>
    <m/>
    <m/>
    <s v="1 kg live weight, but also reports per kg lamb meat"/>
    <m/>
    <s v=""/>
    <s v=""/>
    <n v="51.7"/>
    <s v=""/>
    <m/>
    <m/>
    <m/>
    <m/>
    <m/>
    <m/>
    <m/>
    <m/>
    <m/>
    <m/>
    <m/>
    <m/>
    <m/>
    <n v="51.7"/>
    <m/>
    <m/>
    <m/>
    <m/>
    <m/>
    <m/>
    <m/>
    <m/>
    <n v="51.7"/>
    <m/>
  </r>
  <r>
    <x v="1"/>
    <x v="1"/>
    <s v="Fresh or Not Specified"/>
    <s v="mixed pasture &amp; concentrated feed"/>
    <s v="Yes"/>
    <s v="Spain"/>
    <n v="2013"/>
    <s v="Ripoll-Bosch, R._x000a_de Boer, I. J. M._x000a_Bernués, A._x000a_Vellinga, T. V."/>
    <m/>
    <s v="Peer Reviewed Journal"/>
    <s v="Ripoll-Bosch, R., De Boer, I. J. M., Bernués, A. and Vellinga, T. V., Accounting for multi-functionality of sheep farming in the carbon footprint of lamb: A comparison of three contrasting Mediterranean systems. Agricultural Systems 2013, 116, 60-68."/>
    <s v="Yes"/>
    <s v="No"/>
    <s v="No"/>
    <s v="No"/>
    <s v="No"/>
    <s v="No"/>
    <s v="No"/>
    <s v="No"/>
    <s v="No"/>
    <s v="No"/>
    <s v="No"/>
    <s v="No"/>
    <m/>
    <m/>
    <m/>
    <m/>
    <s v="1 kg live weight, but also reports per kg lamb meat"/>
    <m/>
    <s v=""/>
    <s v=""/>
    <n v="47.9"/>
    <s v=""/>
    <m/>
    <m/>
    <m/>
    <m/>
    <m/>
    <m/>
    <m/>
    <m/>
    <m/>
    <m/>
    <m/>
    <m/>
    <m/>
    <n v="47.9"/>
    <m/>
    <m/>
    <m/>
    <m/>
    <m/>
    <m/>
    <m/>
    <m/>
    <n v="47.9"/>
    <m/>
  </r>
  <r>
    <x v="1"/>
    <x v="1"/>
    <s v="Fresh or Not Specified"/>
    <s v="zero grazing (all concentrated feed)"/>
    <s v="Yes"/>
    <s v="Spain"/>
    <n v="2013"/>
    <s v="Ripoll-Bosch, R._x000a_de Boer, I. J. M._x000a_Bernués, A._x000a_Vellinga, T. V."/>
    <m/>
    <s v="Peer Reviewed Journal"/>
    <s v="Ripoll-Bosch, R., De Boer, I. J. M., Bernués, A. and Vellinga, T. V., Accounting for multi-functionality of sheep farming in the carbon footprint of lamb: A comparison of three contrasting Mediterranean systems. Agricultural Systems 2013, 116, 60-68."/>
    <s v="Yes"/>
    <s v="No"/>
    <s v="No"/>
    <s v="No"/>
    <s v="No"/>
    <s v="No"/>
    <s v="No"/>
    <s v="No"/>
    <s v="No"/>
    <s v="No"/>
    <s v="No"/>
    <s v="No"/>
    <m/>
    <m/>
    <m/>
    <m/>
    <s v="1 kg live weight, but also reports per kg lamb meat"/>
    <m/>
    <s v=""/>
    <s v=""/>
    <n v="38.9"/>
    <s v=""/>
    <m/>
    <m/>
    <m/>
    <m/>
    <m/>
    <m/>
    <m/>
    <m/>
    <m/>
    <m/>
    <m/>
    <m/>
    <m/>
    <n v="38.9"/>
    <m/>
    <m/>
    <m/>
    <m/>
    <m/>
    <m/>
    <m/>
    <m/>
    <n v="38.9"/>
    <m/>
  </r>
  <r>
    <x v="1"/>
    <x v="3"/>
    <s v="Fresh or Not Specified"/>
    <s v="Japanese ox-grassfed steers (Scone)"/>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5.402581101475839"/>
    <s v=""/>
    <m/>
    <m/>
    <m/>
    <m/>
    <m/>
    <m/>
    <m/>
    <m/>
    <m/>
    <m/>
    <m/>
    <m/>
    <m/>
    <n v="25.402581101475839"/>
    <m/>
    <m/>
    <m/>
    <m/>
    <m/>
    <m/>
    <m/>
    <m/>
    <n v="25.402581101475839"/>
    <m/>
  </r>
  <r>
    <x v="1"/>
    <x v="3"/>
    <s v="Fresh or Not Specified"/>
    <s v="EU Cattle (Parkes)"/>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6.896850578033245"/>
    <s v=""/>
    <m/>
    <m/>
    <m/>
    <m/>
    <m/>
    <m/>
    <m/>
    <m/>
    <m/>
    <m/>
    <m/>
    <m/>
    <m/>
    <n v="26.896850578033245"/>
    <m/>
    <m/>
    <m/>
    <m/>
    <m/>
    <m/>
    <m/>
    <m/>
    <n v="26.896850578033245"/>
    <m/>
  </r>
  <r>
    <x v="1"/>
    <x v="3"/>
    <s v="Fresh or Not Specified"/>
    <s v="Inland weaners, grass fattened and feedlot finished (Walgett, Gunnedah, Quirindi)"/>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5.15353618871627"/>
    <s v=""/>
    <m/>
    <m/>
    <m/>
    <m/>
    <m/>
    <m/>
    <m/>
    <m/>
    <m/>
    <m/>
    <m/>
    <m/>
    <m/>
    <n v="25.15353618871627"/>
    <m/>
    <m/>
    <m/>
    <m/>
    <m/>
    <m/>
    <m/>
    <m/>
    <n v="25.15353618871627"/>
    <m/>
  </r>
  <r>
    <x v="1"/>
    <x v="3"/>
    <s v="Fresh or Not Specified"/>
    <s v="North coast weanters, grass fattened and feedlot finished (Casino, Glen Innes, Rangers Valley)"/>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31.628703920465011"/>
    <s v=""/>
    <m/>
    <m/>
    <m/>
    <m/>
    <m/>
    <m/>
    <m/>
    <m/>
    <m/>
    <m/>
    <m/>
    <m/>
    <m/>
    <n v="31.628703920465011"/>
    <m/>
    <m/>
    <m/>
    <m/>
    <m/>
    <m/>
    <m/>
    <m/>
    <n v="31.628703920465011"/>
    <m/>
  </r>
  <r>
    <x v="1"/>
    <x v="3"/>
    <s v="Fresh or Not Specified"/>
    <s v="Yearling (Gundagai)"/>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5.900670926994973"/>
    <s v=""/>
    <m/>
    <m/>
    <m/>
    <m/>
    <m/>
    <m/>
    <m/>
    <m/>
    <m/>
    <m/>
    <m/>
    <m/>
    <m/>
    <n v="25.900670926994973"/>
    <m/>
    <m/>
    <m/>
    <m/>
    <m/>
    <m/>
    <m/>
    <m/>
    <n v="25.900670926994973"/>
    <m/>
  </r>
  <r>
    <x v="1"/>
    <x v="3"/>
    <s v="Fresh or Not Specified"/>
    <s v="Yearling (Bathurst)"/>
    <m/>
    <s v="Australia"/>
    <n v="2014"/>
    <s v="Ridoutt, Bradley G_x000a_Page, Girija_x000a_Opie, Kimberley_x000a_Huang, Jing_x000a_Bellotti, William"/>
    <m/>
    <s v="Peer Reviewed Journal"/>
    <s v="Ridoutt, B. G., Page, G., Opie, K., Huang, J. and Bellotti, W., Carbon, water and land use footprints of beef cattle production systems in southern Australia. Journal of Cleaner Production 2014, 73, 24-30."/>
    <s v="Yes"/>
    <s v="No"/>
    <s v="No"/>
    <s v="No"/>
    <s v="No"/>
    <s v="No"/>
    <s v="No"/>
    <s v="No"/>
    <s v="No"/>
    <s v="No"/>
    <s v="No"/>
    <s v="No"/>
    <m/>
    <s v="cradle to farm gate"/>
    <m/>
    <m/>
    <s v="1 kg live weight"/>
    <s v="/0.667/0.602"/>
    <s v=""/>
    <s v=""/>
    <n v="26.398760752514107"/>
    <s v=""/>
    <m/>
    <m/>
    <m/>
    <m/>
    <m/>
    <m/>
    <m/>
    <m/>
    <m/>
    <m/>
    <m/>
    <m/>
    <m/>
    <n v="26.398760752514107"/>
    <m/>
    <m/>
    <m/>
    <m/>
    <m/>
    <m/>
    <m/>
    <m/>
    <n v="26.398760752514107"/>
    <m/>
  </r>
  <r>
    <x v="4"/>
    <x v="73"/>
    <s v="Fresh or Not Specified"/>
    <s v="conventional system"/>
    <m/>
    <s v="Italy"/>
    <n v="2013"/>
    <s v="Pergola, Maria_x000a_Favia, Mariafara_x000a_Palese, Assunta Maria_x000a_Perretti, Biagio_x000a_Xiloyannis, Cristos_x000a_Celano, Giuseppe"/>
    <m/>
    <s v="Peer Reviewed Journal"/>
    <s v="Pergola, M., Favia, M., Palese, A. M., Perretti, B., Xiloyannis, C. and Celano, G., Alternative management for olive orchards grown in semi-arid environments: An energy, economic and environmental analysis. Scientia Horticulturae 2013, 162, 380-386."/>
    <s v="Yes"/>
    <s v="No"/>
    <s v="No"/>
    <s v="No"/>
    <s v="No"/>
    <s v="No"/>
    <s v="No"/>
    <s v="No"/>
    <s v="No"/>
    <s v="No"/>
    <s v="No"/>
    <s v="No"/>
    <m/>
    <s v="cradle to farm gate"/>
    <m/>
    <m/>
    <s v="kg olives"/>
    <m/>
    <n v="2.8"/>
    <s v=""/>
    <n v="0.11"/>
    <s v=""/>
    <n v="2.8"/>
    <m/>
    <m/>
    <m/>
    <m/>
    <m/>
    <m/>
    <m/>
    <m/>
    <n v="2.8"/>
    <m/>
    <m/>
    <m/>
    <n v="0.11"/>
    <m/>
    <m/>
    <m/>
    <m/>
    <m/>
    <m/>
    <m/>
    <m/>
    <n v="0.11"/>
    <m/>
  </r>
  <r>
    <x v="4"/>
    <x v="73"/>
    <s v="Fresh or Not Specified"/>
    <s v="sustainable system"/>
    <m/>
    <s v="Italy"/>
    <n v="2013"/>
    <s v="Pergola, Maria_x000a_Favia, Mariafara_x000a_Palese, Assunta Maria_x000a_Perretti, Biagio_x000a_Xiloyannis, Cristos_x000a_Celano, Giuseppe"/>
    <m/>
    <s v="Peer Reviewed Journal"/>
    <s v="Pergola, M., Favia, M., Palese, A. M., Perretti, B., Xiloyannis, C. and Celano, G., Alternative management for olive orchards grown in semi-arid environments: An energy, economic and environmental analysis. Scientia Horticulturae 2013, 162, 380-386."/>
    <s v="Yes"/>
    <s v="No"/>
    <s v="No"/>
    <s v="No"/>
    <s v="No"/>
    <s v="No"/>
    <s v="No"/>
    <s v="No"/>
    <s v="No"/>
    <s v="No"/>
    <s v="No"/>
    <s v="No"/>
    <m/>
    <s v="cradle to farm gate"/>
    <m/>
    <m/>
    <s v="kg olives"/>
    <m/>
    <n v="4.43"/>
    <s v=""/>
    <n v="0.08"/>
    <s v=""/>
    <n v="4.43"/>
    <m/>
    <m/>
    <m/>
    <m/>
    <m/>
    <m/>
    <m/>
    <m/>
    <n v="4.43"/>
    <m/>
    <m/>
    <m/>
    <n v="0.08"/>
    <m/>
    <m/>
    <m/>
    <m/>
    <m/>
    <m/>
    <m/>
    <m/>
    <n v="0.08"/>
    <m/>
  </r>
  <r>
    <x v="4"/>
    <x v="173"/>
    <s v="Fresh or Not Specified"/>
    <s v="conventional"/>
    <m/>
    <s v="Sicily"/>
    <n v="2013"/>
    <s v="Pergola, M_x000a_D'Amico, M_x000a_Celano, G_x000a_Palese, AM_x000a_Scuderi, A_x000a_Di Vita, G_x000a_Pappalardo, G_x000a_Inglese, P"/>
    <m/>
    <s v="Peer Reviewed Journal"/>
    <s v="Pergola, M., D'amico, M., Celano, G., Palese, A., Scuderi, A., Di Vita, G., Pappalardo, G. and Inglese, P., Sustainability evaluation of Sicily's lemon and orange production: An energy, economic and environmental analysis. Journal of environmental management 2013, 128, 674-682."/>
    <s v="Yes"/>
    <s v="No"/>
    <s v="No"/>
    <s v="No"/>
    <s v="No"/>
    <s v="No"/>
    <s v="No"/>
    <s v="No"/>
    <s v="No"/>
    <s v="No"/>
    <s v="No"/>
    <s v="No"/>
    <m/>
    <s v="cradle to farm gate"/>
    <m/>
    <m/>
    <s v="kg lemons"/>
    <m/>
    <n v="2.85"/>
    <s v=""/>
    <n v="0.12"/>
    <s v=""/>
    <n v="2.85"/>
    <m/>
    <m/>
    <m/>
    <m/>
    <m/>
    <m/>
    <m/>
    <m/>
    <n v="2.85"/>
    <m/>
    <m/>
    <m/>
    <n v="0.12"/>
    <m/>
    <m/>
    <m/>
    <m/>
    <m/>
    <m/>
    <m/>
    <m/>
    <n v="0.12"/>
    <m/>
  </r>
  <r>
    <x v="4"/>
    <x v="173"/>
    <s v="Fresh or Not Specified"/>
    <s v="organic"/>
    <m/>
    <s v="Sicily"/>
    <n v="2013"/>
    <s v="Pergola, M_x000a_D'Amico, M_x000a_Celano, G_x000a_Palese, AM_x000a_Scuderi, A_x000a_Di Vita, G_x000a_Pappalardo, G_x000a_Inglese, P"/>
    <m/>
    <s v="Peer Reviewed Journal"/>
    <s v="Pergola, M., D'amico, M., Celano, G., Palese, A., Scuderi, A., Di Vita, G., Pappalardo, G. and Inglese, P., Sustainability evaluation of Sicily's lemon and orange production: An energy, economic and environmental analysis. Journal of environmental management 2013, 128, 674-682."/>
    <s v="Yes"/>
    <s v="No"/>
    <s v="No"/>
    <s v="No"/>
    <s v="No"/>
    <s v="No"/>
    <s v="No"/>
    <s v="No"/>
    <s v="No"/>
    <s v="No"/>
    <s v="No"/>
    <s v="No"/>
    <m/>
    <s v="cradle to farm gate"/>
    <m/>
    <m/>
    <s v="kg lemons"/>
    <m/>
    <n v="2.1"/>
    <s v=""/>
    <n v="0.04"/>
    <s v=""/>
    <n v="2.1"/>
    <m/>
    <m/>
    <m/>
    <m/>
    <m/>
    <m/>
    <m/>
    <m/>
    <n v="2.1"/>
    <m/>
    <m/>
    <m/>
    <n v="0.04"/>
    <m/>
    <m/>
    <m/>
    <m/>
    <m/>
    <m/>
    <m/>
    <m/>
    <n v="0.04"/>
    <m/>
  </r>
  <r>
    <x v="4"/>
    <x v="136"/>
    <s v="Fresh or Not Specified"/>
    <s v="conventional"/>
    <m/>
    <s v="Sicily"/>
    <n v="2013"/>
    <s v="Pergola, M_x000a_D'Amico, M_x000a_Celano, G_x000a_Palese, AM_x000a_Scuderi, A_x000a_Di Vita, G_x000a_Pappalardo, G_x000a_Inglese, P"/>
    <m/>
    <s v="Peer Reviewed Journal"/>
    <s v="Pergola, M., D'amico, M., Celano, G., Palese, A., Scuderi, A., Di Vita, G., Pappalardo, G. and Inglese, P., Sustainability evaluation of Sicily's lemon and orange production: An energy, economic and environmental analysis. Journal of environmental management 2013, 128, 674-682."/>
    <s v="Yes"/>
    <s v="No"/>
    <s v="No"/>
    <s v="No"/>
    <s v="No"/>
    <s v="No"/>
    <s v="No"/>
    <s v="No"/>
    <s v="No"/>
    <s v="No"/>
    <s v="No"/>
    <s v="No"/>
    <m/>
    <s v="cradle to farm gate"/>
    <m/>
    <m/>
    <s v="kg oranges"/>
    <m/>
    <n v="2.87"/>
    <s v=""/>
    <n v="0.13"/>
    <s v=""/>
    <n v="2.87"/>
    <m/>
    <m/>
    <m/>
    <m/>
    <m/>
    <m/>
    <m/>
    <m/>
    <n v="2.87"/>
    <m/>
    <m/>
    <m/>
    <n v="0.13"/>
    <m/>
    <m/>
    <m/>
    <m/>
    <m/>
    <m/>
    <m/>
    <m/>
    <n v="0.13"/>
    <m/>
  </r>
  <r>
    <x v="4"/>
    <x v="136"/>
    <s v="Fresh or Not Specified"/>
    <s v="organic"/>
    <m/>
    <s v="Sicily"/>
    <n v="2013"/>
    <s v="Pergola, M_x000a_D'Amico, M_x000a_Celano, G_x000a_Palese, AM_x000a_Scuderi, A_x000a_Di Vita, G_x000a_Pappalardo, G_x000a_Inglese, P"/>
    <m/>
    <s v="Peer Reviewed Journal"/>
    <s v="Pergola, M., D'amico, M., Celano, G., Palese, A., Scuderi, A., Di Vita, G., Pappalardo, G. and Inglese, P., Sustainability evaluation of Sicily's lemon and orange production: An energy, economic and environmental analysis. Journal of environmental management 2013, 128, 674-682."/>
    <s v="Yes"/>
    <s v="No"/>
    <s v="No"/>
    <s v="No"/>
    <s v="No"/>
    <s v="No"/>
    <s v="No"/>
    <s v="No"/>
    <s v="No"/>
    <s v="No"/>
    <s v="No"/>
    <s v="No"/>
    <m/>
    <s v="cradle to farm gate"/>
    <m/>
    <m/>
    <s v="kg oranges"/>
    <m/>
    <n v="2.38"/>
    <s v=""/>
    <n v="0.04"/>
    <s v=""/>
    <n v="2.38"/>
    <m/>
    <m/>
    <m/>
    <m/>
    <m/>
    <m/>
    <m/>
    <m/>
    <n v="2.38"/>
    <m/>
    <m/>
    <m/>
    <n v="0.04"/>
    <m/>
    <m/>
    <m/>
    <m/>
    <m/>
    <m/>
    <m/>
    <m/>
    <n v="0.04"/>
    <m/>
  </r>
  <r>
    <x v="0"/>
    <x v="0"/>
    <s v="Fresh or Not Specified"/>
    <s v="grass fed Normande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4.29"/>
    <s v=""/>
    <n v="1.45"/>
    <s v=""/>
    <n v="4.29"/>
    <m/>
    <m/>
    <m/>
    <m/>
    <m/>
    <m/>
    <m/>
    <m/>
    <n v="4.29"/>
    <m/>
    <m/>
    <m/>
    <n v="1.45"/>
    <m/>
    <m/>
    <m/>
    <m/>
    <m/>
    <m/>
    <m/>
    <m/>
    <n v="1.45"/>
    <m/>
  </r>
  <r>
    <x v="0"/>
    <x v="0"/>
    <s v="Fresh or Not Specified"/>
    <s v="Grass fed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97"/>
    <s v=""/>
    <n v="1.33"/>
    <s v=""/>
    <n v="3.97"/>
    <m/>
    <m/>
    <m/>
    <m/>
    <m/>
    <m/>
    <m/>
    <m/>
    <n v="3.97"/>
    <m/>
    <m/>
    <m/>
    <n v="1.33"/>
    <m/>
    <m/>
    <m/>
    <m/>
    <m/>
    <m/>
    <m/>
    <m/>
    <n v="1.33"/>
    <m/>
  </r>
  <r>
    <x v="0"/>
    <x v="0"/>
    <s v="Fresh or Not Specified"/>
    <s v="grass with low proportion of corn silage,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93"/>
    <s v=""/>
    <n v="1.29"/>
    <s v=""/>
    <n v="3.93"/>
    <m/>
    <m/>
    <m/>
    <m/>
    <m/>
    <m/>
    <m/>
    <m/>
    <n v="3.93"/>
    <m/>
    <m/>
    <m/>
    <n v="1.29"/>
    <m/>
    <m/>
    <m/>
    <m/>
    <m/>
    <m/>
    <m/>
    <m/>
    <n v="1.29"/>
    <m/>
  </r>
  <r>
    <x v="0"/>
    <x v="0"/>
    <s v="Fresh or Not Specified"/>
    <s v="grass with high proportion of corn silage,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75"/>
    <s v=""/>
    <n v="1.17"/>
    <s v=""/>
    <n v="3.75"/>
    <m/>
    <m/>
    <m/>
    <m/>
    <m/>
    <m/>
    <m/>
    <m/>
    <n v="3.75"/>
    <m/>
    <m/>
    <m/>
    <n v="1.17"/>
    <m/>
    <m/>
    <m/>
    <m/>
    <m/>
    <m/>
    <m/>
    <m/>
    <n v="1.17"/>
    <m/>
  </r>
  <r>
    <x v="0"/>
    <x v="0"/>
    <s v="Fresh or Not Specified"/>
    <s v="grass with low proportion of corn silage, ration enriched with omega 3 fatty acids,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98"/>
    <s v=""/>
    <n v="1.28"/>
    <s v=""/>
    <n v="3.98"/>
    <m/>
    <m/>
    <m/>
    <m/>
    <m/>
    <m/>
    <m/>
    <m/>
    <n v="3.98"/>
    <m/>
    <m/>
    <m/>
    <n v="1.28"/>
    <m/>
    <m/>
    <m/>
    <m/>
    <m/>
    <m/>
    <m/>
    <m/>
    <n v="1.28"/>
    <m/>
  </r>
  <r>
    <x v="0"/>
    <x v="0"/>
    <s v="Fresh or Not Specified"/>
    <s v="grass with high proportion of corn silage, ration enriched with omega 3 fatty acids, Holstein cows"/>
    <m/>
    <s v="France"/>
    <n v="2013"/>
    <s v="Nguyen, T. T. H._x000a_Doreau, M._x000a_Corson, M. S._x000a_Eugène, M._x000a_Delaby, L._x000a_Chesneau, G._x000a_Gallard, Y._x000a_van der Werf, H. M. G."/>
    <m/>
    <s v="Peer Reviewed Journal"/>
    <s v="Nguyen, T. T. H., Doreau, M., Corson, M. S., Eugène, M., Delaby, L., Chesneau, G., Gallard, Y. and Van Der Werf, H. M. G., Effect of dairy production system, breed and co-product handling methods on environmental impacts at farm level. Journal of Environmental Management 2013, 120, 127-137."/>
    <s v="Yes"/>
    <s v="Yes"/>
    <s v="No"/>
    <s v="No"/>
    <s v="No"/>
    <s v="No"/>
    <s v="No"/>
    <s v="No"/>
    <s v="No"/>
    <s v="No"/>
    <s v="No"/>
    <s v="No"/>
    <m/>
    <s v="considers LUC, but not included here; using biophysical allocation"/>
    <m/>
    <m/>
    <s v="kg FPCM"/>
    <m/>
    <n v="3.87"/>
    <s v=""/>
    <n v="1.1599999999999999"/>
    <s v=""/>
    <n v="3.87"/>
    <m/>
    <m/>
    <m/>
    <m/>
    <m/>
    <m/>
    <m/>
    <m/>
    <n v="3.87"/>
    <m/>
    <m/>
    <m/>
    <n v="1.1599999999999999"/>
    <m/>
    <m/>
    <m/>
    <m/>
    <m/>
    <m/>
    <m/>
    <m/>
    <n v="1.1599999999999999"/>
    <m/>
  </r>
  <r>
    <x v="12"/>
    <x v="102"/>
    <s v="Fresh or Not Specified"/>
    <s v="carp and tilapia, feed 2, practice 1 (large farms, high fish stocking density,_x000a_generally appropriate feeding practice or water quality)"/>
    <m/>
    <s v="West Java, Indonesia"/>
    <n v="2013"/>
    <s v="Mungkung, Rattanawan_x000a_Aubin, Joël_x000a_Prihadi, Tri Heru_x000a_Slembrouck, Jacques_x000a_van der Werf, Hayo MG_x000a_Legendre, Marc"/>
    <m/>
    <s v="Peer Reviewed Journal"/>
    <s v="Mungkung, R., Aubin, J., Prihadi, T. H., Slembrouck, J., Van Der Werf, H. M. and Legendre, M., Life Cycle Assessment for environmentally sustainable aquaculture management: a case study of combined aquaculture systems for carp and tilapia. Journal of Cleaner Production 2013, 57, 249-256."/>
    <s v="Yes"/>
    <s v="No"/>
    <s v="No"/>
    <s v="No"/>
    <s v="No"/>
    <s v="No"/>
    <s v="No"/>
    <s v="No"/>
    <s v="No"/>
    <s v="No"/>
    <s v="No"/>
    <s v="No"/>
    <m/>
    <m/>
    <m/>
    <m/>
    <s v="per tonne harvested fish"/>
    <s v="/1000/.37 (FAO Yield and nutritional value of the commercially more important fish species…)"/>
    <n v="77.418918918918919"/>
    <s v=""/>
    <n v="4.6675675675675681"/>
    <s v=""/>
    <n v="77.418918918918919"/>
    <m/>
    <m/>
    <m/>
    <m/>
    <m/>
    <m/>
    <m/>
    <m/>
    <n v="77.418918918918919"/>
    <m/>
    <m/>
    <m/>
    <n v="4.6675675675675681"/>
    <m/>
    <m/>
    <m/>
    <m/>
    <m/>
    <m/>
    <m/>
    <m/>
    <n v="4.6675675675675681"/>
    <m/>
  </r>
  <r>
    <x v="12"/>
    <x v="102"/>
    <s v="Fresh or Not Specified"/>
    <s v="carp and tilapia, feed 2, practice 2 (small farms and relatively lower fish stocking density, feeding efficiency or water quality than for practice 1)"/>
    <m/>
    <s v="West Java, Indonesia"/>
    <n v="2013"/>
    <s v="Mungkung, Rattanawan_x000a_Aubin, Joël_x000a_Prihadi, Tri Heru_x000a_Slembrouck, Jacques_x000a_van der Werf, Hayo MG_x000a_Legendre, Marc"/>
    <m/>
    <s v="Peer Reviewed Journal"/>
    <s v="Mungkung, R., Aubin, J., Prihadi, T. H., Slembrouck, J., Van Der Werf, H. M. and Legendre, M., Life Cycle Assessment for environmentally sustainable aquaculture management: a case study of combined aquaculture systems for carp and tilapia. Journal of Cleaner Production 2013, 57, 249-256."/>
    <s v="Yes"/>
    <s v="No"/>
    <s v="No"/>
    <s v="No"/>
    <s v="No"/>
    <s v="No"/>
    <s v="No"/>
    <s v="No"/>
    <s v="No"/>
    <s v="No"/>
    <s v="No"/>
    <s v="No"/>
    <m/>
    <m/>
    <m/>
    <m/>
    <s v="per tonne harvested fish"/>
    <s v="/1000/.37 (FAO Yield and nutritional value of the commercially more important fish species…)"/>
    <n v="89.040540540540547"/>
    <s v=""/>
    <n v="5.4729729729729728"/>
    <s v=""/>
    <n v="89.040540540540547"/>
    <m/>
    <m/>
    <m/>
    <m/>
    <m/>
    <m/>
    <m/>
    <m/>
    <n v="89.040540540540547"/>
    <m/>
    <m/>
    <m/>
    <n v="5.4729729729729728"/>
    <m/>
    <m/>
    <m/>
    <m/>
    <m/>
    <m/>
    <m/>
    <m/>
    <n v="5.4729729729729728"/>
    <m/>
  </r>
  <r>
    <x v="12"/>
    <x v="102"/>
    <s v="Fresh or Not Specified"/>
    <s v="carp and tilapia, feed 3, practice 1 (large farms, high fish stocking density,_x000a_generally appropriate feeding practice or water quality)"/>
    <m/>
    <s v="West Java, Indonesia"/>
    <n v="2013"/>
    <s v="Mungkung, Rattanawan_x000a_Aubin, Joël_x000a_Prihadi, Tri Heru_x000a_Slembrouck, Jacques_x000a_van der Werf, Hayo MG_x000a_Legendre, Marc"/>
    <m/>
    <s v="Peer Reviewed Journal"/>
    <s v="Mungkung, R., Aubin, J., Prihadi, T. H., Slembrouck, J., Van Der Werf, H. M. and Legendre, M., Life Cycle Assessment for environmentally sustainable aquaculture management: a case study of combined aquaculture systems for carp and tilapia. Journal of Cleaner Production 2013, 57, 249-256."/>
    <s v="Yes"/>
    <s v="No"/>
    <s v="No"/>
    <s v="No"/>
    <s v="No"/>
    <s v="No"/>
    <s v="No"/>
    <s v="No"/>
    <s v="No"/>
    <s v="No"/>
    <s v="No"/>
    <s v="No"/>
    <m/>
    <m/>
    <m/>
    <m/>
    <s v="per tonne harvested fish"/>
    <s v="/1000/.37 (FAO Yield and nutritional value of the commercially more important fish species…)"/>
    <n v="99.086486486486478"/>
    <s v=""/>
    <n v="4.7621621621621619"/>
    <s v=""/>
    <n v="99.086486486486478"/>
    <m/>
    <m/>
    <m/>
    <m/>
    <m/>
    <m/>
    <m/>
    <m/>
    <n v="99.086486486486478"/>
    <m/>
    <m/>
    <m/>
    <n v="4.7621621621621619"/>
    <m/>
    <m/>
    <m/>
    <m/>
    <m/>
    <m/>
    <m/>
    <m/>
    <n v="4.7621621621621619"/>
    <m/>
  </r>
  <r>
    <x v="12"/>
    <x v="102"/>
    <s v="Fresh or Not Specified"/>
    <s v="carp and tilapia, feed 4, practice 1 (large farms, high fish stocking density,_x000a_generally appropriate feeding practice or water quality)"/>
    <m/>
    <s v="West Java, Indonesia"/>
    <n v="2013"/>
    <s v="Mungkung, Rattanawan_x000a_Aubin, Joël_x000a_Prihadi, Tri Heru_x000a_Slembrouck, Jacques_x000a_van der Werf, Hayo MG_x000a_Legendre, Marc"/>
    <m/>
    <s v="Peer Reviewed Journal"/>
    <s v="Mungkung, R., Aubin, J., Prihadi, T. H., Slembrouck, J., Van Der Werf, H. M. and Legendre, M., Life Cycle Assessment for environmentally sustainable aquaculture management: a case study of combined aquaculture systems for carp and tilapia. Journal of Cleaner Production 2013, 57, 249-256."/>
    <s v="Yes"/>
    <s v="No"/>
    <s v="No"/>
    <s v="No"/>
    <s v="No"/>
    <s v="No"/>
    <s v="No"/>
    <s v="No"/>
    <s v="No"/>
    <s v="No"/>
    <s v="No"/>
    <s v="No"/>
    <m/>
    <m/>
    <m/>
    <m/>
    <s v="per tonne harvested fish"/>
    <s v="/1000/.37 (FAO Yield and nutritional value of the commercially more important fish species…)"/>
    <n v="86.994594594594602"/>
    <s v=""/>
    <n v="5.2027027027027026"/>
    <s v=""/>
    <n v="86.994594594594602"/>
    <m/>
    <m/>
    <m/>
    <m/>
    <m/>
    <m/>
    <m/>
    <m/>
    <n v="86.994594594594602"/>
    <m/>
    <m/>
    <m/>
    <n v="5.2027027027027026"/>
    <m/>
    <m/>
    <m/>
    <m/>
    <m/>
    <m/>
    <m/>
    <m/>
    <n v="5.2027027027027026"/>
    <m/>
  </r>
  <r>
    <x v="0"/>
    <x v="0"/>
    <s v="Fresh or Not Specified"/>
    <s v="pedigree milk production index &lt;100kg, 338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103"/>
    <s v=""/>
    <m/>
    <m/>
    <m/>
    <m/>
    <m/>
    <m/>
    <m/>
    <m/>
    <m/>
    <m/>
    <m/>
    <m/>
    <m/>
    <n v="1.103"/>
    <m/>
    <m/>
    <m/>
    <m/>
    <m/>
    <m/>
    <m/>
    <m/>
    <n v="1.103"/>
    <m/>
  </r>
  <r>
    <x v="0"/>
    <x v="0"/>
    <s v="Fresh or Not Specified"/>
    <s v="pedigree milk production index &lt;100kg, 736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840000000000001"/>
    <s v=""/>
    <m/>
    <m/>
    <m/>
    <m/>
    <m/>
    <m/>
    <m/>
    <m/>
    <m/>
    <m/>
    <m/>
    <m/>
    <m/>
    <n v="1.0840000000000001"/>
    <m/>
    <m/>
    <m/>
    <m/>
    <m/>
    <m/>
    <m/>
    <m/>
    <n v="1.0840000000000001"/>
    <m/>
  </r>
  <r>
    <x v="0"/>
    <x v="0"/>
    <s v="Fresh or Not Specified"/>
    <s v="pedigree milk production index &lt;100kg, 1403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409999999999999"/>
    <s v=""/>
    <m/>
    <m/>
    <m/>
    <m/>
    <m/>
    <m/>
    <m/>
    <m/>
    <m/>
    <m/>
    <m/>
    <m/>
    <m/>
    <n v="1.0409999999999999"/>
    <m/>
    <m/>
    <m/>
    <m/>
    <m/>
    <m/>
    <m/>
    <m/>
    <n v="1.0409999999999999"/>
    <m/>
  </r>
  <r>
    <x v="0"/>
    <x v="0"/>
    <s v="Fresh or Not Specified"/>
    <s v="pedigree milk production index 100kg-200kg, 338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145"/>
    <s v=""/>
    <m/>
    <m/>
    <m/>
    <m/>
    <m/>
    <m/>
    <m/>
    <m/>
    <m/>
    <m/>
    <m/>
    <m/>
    <m/>
    <n v="1.145"/>
    <m/>
    <m/>
    <m/>
    <m/>
    <m/>
    <m/>
    <m/>
    <m/>
    <n v="1.145"/>
    <m/>
  </r>
  <r>
    <x v="0"/>
    <x v="0"/>
    <s v="Fresh or Not Specified"/>
    <s v="pedigree milk production index 100kg-200kg, 736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920000000000001"/>
    <s v=""/>
    <m/>
    <m/>
    <m/>
    <m/>
    <m/>
    <m/>
    <m/>
    <m/>
    <m/>
    <m/>
    <m/>
    <m/>
    <m/>
    <n v="1.0920000000000001"/>
    <m/>
    <m/>
    <m/>
    <m/>
    <m/>
    <m/>
    <m/>
    <m/>
    <n v="1.0920000000000001"/>
    <m/>
  </r>
  <r>
    <x v="0"/>
    <x v="0"/>
    <s v="Fresh or Not Specified"/>
    <s v="pedigree milk production index 100kg-200kg, 1403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329999999999999"/>
    <s v=""/>
    <m/>
    <m/>
    <m/>
    <m/>
    <m/>
    <m/>
    <m/>
    <m/>
    <m/>
    <m/>
    <m/>
    <m/>
    <m/>
    <n v="1.0329999999999999"/>
    <m/>
    <m/>
    <m/>
    <m/>
    <m/>
    <m/>
    <m/>
    <m/>
    <n v="1.0329999999999999"/>
    <m/>
  </r>
  <r>
    <x v="0"/>
    <x v="0"/>
    <s v="Fresh or Not Specified"/>
    <s v="pedigree milk production index 200-300kg, 338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2"/>
    <s v=""/>
    <m/>
    <m/>
    <m/>
    <m/>
    <m/>
    <m/>
    <m/>
    <m/>
    <m/>
    <m/>
    <m/>
    <m/>
    <m/>
    <n v="1.2"/>
    <m/>
    <m/>
    <m/>
    <m/>
    <m/>
    <m/>
    <m/>
    <m/>
    <n v="1.2"/>
    <m/>
  </r>
  <r>
    <x v="0"/>
    <x v="0"/>
    <s v="Fresh or Not Specified"/>
    <s v="pedigree milk production index 200-300kg, 736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1319999999999999"/>
    <s v=""/>
    <m/>
    <m/>
    <m/>
    <m/>
    <m/>
    <m/>
    <m/>
    <m/>
    <m/>
    <m/>
    <m/>
    <m/>
    <m/>
    <n v="1.1319999999999999"/>
    <m/>
    <m/>
    <m/>
    <m/>
    <m/>
    <m/>
    <m/>
    <m/>
    <n v="1.1319999999999999"/>
    <m/>
  </r>
  <r>
    <x v="0"/>
    <x v="0"/>
    <s v="Fresh or Not Specified"/>
    <s v="pedigree milk production index 200-300kg, 1403 kg concentrate feed per head per year"/>
    <m/>
    <s v="Ireland"/>
    <n v="2006"/>
    <s v="Lovett, DK_x000a_Shalloo, L_x000a_Dillon, P_x000a_O’Mara, FP"/>
    <m/>
    <s v="Peer Reviewed Journal"/>
    <s v="Lovett, D., Shalloo, L., Dillon, P. and O’mara, F., A systems approach to quantify greenhouse gas fluxes from pastoral dairy production as affected by management regime. Agricultural Systems 2006, 88 (2), 156-179."/>
    <s v="Yes"/>
    <s v="No"/>
    <s v="No"/>
    <s v="No"/>
    <s v="No"/>
    <s v="No"/>
    <s v="No"/>
    <s v="No"/>
    <s v="No"/>
    <s v="No"/>
    <s v="No"/>
    <s v="No"/>
    <m/>
    <s v="modelling approach to farm gate GHGE"/>
    <m/>
    <m/>
    <s v="kg milk"/>
    <m/>
    <s v=""/>
    <s v=""/>
    <n v="1.0469999999999999"/>
    <s v=""/>
    <m/>
    <m/>
    <m/>
    <m/>
    <m/>
    <m/>
    <m/>
    <m/>
    <m/>
    <m/>
    <m/>
    <m/>
    <m/>
    <n v="1.0469999999999999"/>
    <m/>
    <m/>
    <m/>
    <m/>
    <m/>
    <m/>
    <m/>
    <m/>
    <n v="1.0469999999999999"/>
    <m/>
  </r>
  <r>
    <x v="4"/>
    <x v="66"/>
    <s v="Fresh or Not Specified"/>
    <s v="braeburn apples, Hawke's Bay site #1"/>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0"/>
    <n v="0.41699999999999998"/>
    <s v=""/>
    <n v="3.9699999999999999E-2"/>
    <s v=""/>
    <n v="0.41699999999999998"/>
    <m/>
    <m/>
    <m/>
    <m/>
    <m/>
    <m/>
    <m/>
    <m/>
    <n v="0.41699999999999998"/>
    <m/>
    <m/>
    <m/>
    <n v="3.9699999999999999E-2"/>
    <m/>
    <m/>
    <m/>
    <m/>
    <m/>
    <m/>
    <m/>
    <m/>
    <n v="3.9699999999999999E-2"/>
    <m/>
  </r>
  <r>
    <x v="4"/>
    <x v="66"/>
    <s v="Fresh or Not Specified"/>
    <s v="braeburn apples, Hawke's Bay site #2"/>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1"/>
    <n v="0.44600000000000001"/>
    <s v=""/>
    <n v="4.0599999999999997E-2"/>
    <s v=""/>
    <n v="0.44600000000000001"/>
    <m/>
    <m/>
    <m/>
    <m/>
    <m/>
    <m/>
    <m/>
    <m/>
    <n v="0.44600000000000001"/>
    <m/>
    <m/>
    <m/>
    <n v="4.0599999999999997E-2"/>
    <m/>
    <m/>
    <m/>
    <m/>
    <m/>
    <m/>
    <m/>
    <m/>
    <n v="4.0599999999999997E-2"/>
    <m/>
  </r>
  <r>
    <x v="4"/>
    <x v="66"/>
    <s v="Fresh or Not Specified"/>
    <s v="braeburn apples, Hawke's Bay site #Ref"/>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2"/>
    <n v="0.71050000000000002"/>
    <s v=""/>
    <n v="9.5500000000000002E-2"/>
    <s v=""/>
    <n v="0.71050000000000002"/>
    <m/>
    <m/>
    <m/>
    <m/>
    <m/>
    <m/>
    <m/>
    <m/>
    <n v="0.71050000000000002"/>
    <m/>
    <m/>
    <m/>
    <n v="9.5500000000000002E-2"/>
    <m/>
    <m/>
    <m/>
    <m/>
    <m/>
    <m/>
    <m/>
    <m/>
    <n v="9.5500000000000002E-2"/>
    <m/>
  </r>
  <r>
    <x v="4"/>
    <x v="66"/>
    <s v="Fresh or Not Specified"/>
    <s v="braeburn apples,Central Otago site #1"/>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3"/>
    <n v="0.54500000000000004"/>
    <s v=""/>
    <n v="6.268E-2"/>
    <s v=""/>
    <n v="0.54500000000000004"/>
    <m/>
    <m/>
    <m/>
    <m/>
    <m/>
    <m/>
    <m/>
    <m/>
    <n v="0.54500000000000004"/>
    <m/>
    <m/>
    <m/>
    <n v="6.268E-2"/>
    <m/>
    <m/>
    <m/>
    <m/>
    <m/>
    <m/>
    <m/>
    <m/>
    <n v="6.268E-2"/>
    <m/>
  </r>
  <r>
    <x v="4"/>
    <x v="66"/>
    <s v="Fresh or Not Specified"/>
    <s v="braeburn apples,Central Otago site #Ref"/>
    <s v="Yes"/>
    <s v="New Zealand"/>
    <n v="2006"/>
    <s v="Milà i Canals, L._x000a_Burnip, G. M._x000a_Cowell, S. J."/>
    <m/>
    <s v="Peer Reviewed Journal"/>
    <s v="Milà I Canals, L., Burnip, G. M. and Cowell, S. J., Evaluation of the environmental impacts of apple production using Life Cycle Assessment (LCA): Case study in New Zealand. Agriculture, Ecosystems &amp; Environment 2006, 114, 226-238."/>
    <s v="Yes"/>
    <s v="No"/>
    <s v="No"/>
    <s v="No"/>
    <s v="No"/>
    <s v="No"/>
    <s v="No"/>
    <s v="No"/>
    <s v="No"/>
    <s v="No"/>
    <s v="No"/>
    <s v="No"/>
    <m/>
    <m/>
    <m/>
    <m/>
    <s v="1 tonne_x000a_harvested Grade 1 or 2 Braeburn apples at a central location_x000a_on the orchard ready for cool storage and/or packing"/>
    <s v="/1004"/>
    <n v="0.68300000000000005"/>
    <s v=""/>
    <n v="9.4600000000000004E-2"/>
    <s v=""/>
    <n v="0.68300000000000005"/>
    <m/>
    <m/>
    <m/>
    <m/>
    <m/>
    <m/>
    <m/>
    <m/>
    <n v="0.68300000000000005"/>
    <m/>
    <m/>
    <m/>
    <n v="9.4600000000000004E-2"/>
    <m/>
    <m/>
    <m/>
    <m/>
    <m/>
    <m/>
    <m/>
    <m/>
    <n v="9.4600000000000004E-2"/>
    <m/>
  </r>
  <r>
    <x v="12"/>
    <x v="104"/>
    <s v="Frozen"/>
    <s v="flatfish filet"/>
    <s v="No"/>
    <s v="Denmark"/>
    <n v="2006"/>
    <s v="Thrane, Mikkel"/>
    <m/>
    <s v="Peer Reviewed Journal"/>
    <s v="Thrane, M., LCA of Danish Fish Products. New methods and insights. The International Journal of Life Cycle Assessment 2006, 11 (1), 66-74."/>
    <s v="Yes"/>
    <s v="No"/>
    <s v="Yes"/>
    <s v="Yes"/>
    <s v="No"/>
    <s v="Yes"/>
    <s v="Yes"/>
    <s v="Yes"/>
    <s v="Yes"/>
    <s v="Yes"/>
    <s v="No"/>
    <s v="No"/>
    <m/>
    <m/>
    <s v="Yes"/>
    <m/>
    <s v="1 kg consumed frozen flatfish filet"/>
    <m/>
    <s v=""/>
    <s v=""/>
    <n v="9.8648880000000005"/>
    <n v="10.8784896"/>
    <m/>
    <m/>
    <m/>
    <m/>
    <m/>
    <m/>
    <m/>
    <m/>
    <m/>
    <m/>
    <m/>
    <m/>
    <m/>
    <n v="9.8648880000000005"/>
    <m/>
    <n v="1.0136016000000001"/>
    <m/>
    <n v="0.36299999999999999"/>
    <n v="3.6915119999999999"/>
    <n v="5.9231040000000004"/>
    <m/>
    <m/>
    <n v="9.8648880000000005"/>
    <n v="20.856105599999999"/>
  </r>
  <r>
    <x v="1"/>
    <x v="23"/>
    <s v="Fresh or Not Specified"/>
    <m/>
    <m/>
    <s v="Denmark"/>
    <n v="2007"/>
    <s v="Dalgaard, Randi"/>
    <m/>
    <s v="Other (specify)"/>
    <s v="Dalgaard, R., The environmental impact of pork production from a life cycle perspective. 2007, PhD, ."/>
    <s v="Yes"/>
    <s v="No"/>
    <s v="Yes"/>
    <s v="Yes"/>
    <s v="No"/>
    <s v="Yes"/>
    <s v="No"/>
    <s v="No"/>
    <s v="No"/>
    <s v="No"/>
    <s v="No"/>
    <s v="No"/>
    <m/>
    <m/>
    <m/>
    <m/>
    <s v="1 kg carcass weight"/>
    <s v="/0.729"/>
    <s v=""/>
    <s v=""/>
    <n v="4.9128943758573387"/>
    <n v="5.1197530864197534"/>
    <m/>
    <m/>
    <m/>
    <m/>
    <m/>
    <m/>
    <m/>
    <m/>
    <m/>
    <m/>
    <m/>
    <m/>
    <m/>
    <n v="4.9128943758573387"/>
    <m/>
    <n v="0.20685871056241428"/>
    <m/>
    <n v="5.1714677640603571E-2"/>
    <m/>
    <m/>
    <m/>
    <m/>
    <n v="4.9128943758573387"/>
    <n v="5.171467764060357"/>
  </r>
  <r>
    <x v="1"/>
    <x v="3"/>
    <s v="Fresh or Not Specified"/>
    <s v="Japanese Wagyu beef"/>
    <m/>
    <s v="Japan"/>
    <n v="2007"/>
    <s v="Ogino, Akifumi_x000a_Orito, Hideki_x000a_Shimada, Kazuhiro_x000a_Hirooka, Hiroyuki"/>
    <m/>
    <s v="Peer Reviewed Journal"/>
    <s v="Ogino, A., Orito, H., Shimada, K. and Hirooka, H., Evaluating environmental impacts of the Japanese beef cow–calf system by the life cycle assessment method. Animal Science Journal 2007, 78 (4), 424-432."/>
    <s v="Yes"/>
    <s v="No"/>
    <s v="No"/>
    <s v="No"/>
    <s v="No"/>
    <s v="No"/>
    <s v="No"/>
    <s v="No"/>
    <s v="No"/>
    <s v="No"/>
    <s v="No"/>
    <s v="No"/>
    <s v="no"/>
    <s v="study focuses on cow-calf stage but extrapolates to finished beef"/>
    <m/>
    <m/>
    <s v="presents a value per kg retail beef; assuming this refers to boneless"/>
    <m/>
    <n v="169"/>
    <s v=""/>
    <n v="36.4"/>
    <s v=""/>
    <n v="169"/>
    <m/>
    <m/>
    <m/>
    <m/>
    <m/>
    <m/>
    <m/>
    <m/>
    <n v="169"/>
    <m/>
    <m/>
    <m/>
    <n v="36.4"/>
    <m/>
    <m/>
    <m/>
    <m/>
    <m/>
    <m/>
    <m/>
    <m/>
    <n v="36.4"/>
    <m/>
  </r>
  <r>
    <x v="0"/>
    <x v="0"/>
    <s v="Fresh or Not Specified"/>
    <m/>
    <m/>
    <s v="Sweden"/>
    <n v="2008"/>
    <s v="Berlin, Johanna_x000a_Sonesson, Ulf_x000a_Tillman, Anne‐Marie"/>
    <m/>
    <s v="Peer Reviewed Journal"/>
    <s v="Berlin, J., Sonesson, U. and Tillman, A. M., Product chain actors' potential for greening the product life cycle. Journal of Industrial Ecology 2008, 12 (1), 95-110."/>
    <s v="Yes"/>
    <s v="Yes"/>
    <s v="Yes"/>
    <s v="Yes"/>
    <s v="Yes"/>
    <s v="Yes"/>
    <s v="Yes"/>
    <s v="Yes"/>
    <s v="Yes"/>
    <s v="No"/>
    <s v="No"/>
    <s v="No"/>
    <m/>
    <m/>
    <m/>
    <m/>
    <s v="1 kg"/>
    <m/>
    <s v=""/>
    <s v=""/>
    <s v=""/>
    <s v=""/>
    <m/>
    <m/>
    <m/>
    <m/>
    <m/>
    <m/>
    <m/>
    <m/>
    <m/>
    <m/>
    <n v="5.8"/>
    <m/>
    <m/>
    <m/>
    <m/>
    <m/>
    <m/>
    <m/>
    <m/>
    <m/>
    <m/>
    <m/>
    <m/>
    <n v="1.1399999999999999"/>
  </r>
  <r>
    <x v="0"/>
    <x v="4"/>
    <s v="Fresh or Not Specified"/>
    <m/>
    <m/>
    <s v="Sweden"/>
    <n v="2008"/>
    <s v="Berlin, Johanna_x000a_Sonesson, Ulf_x000a_Tillman, Anne‐Marie"/>
    <m/>
    <s v="Peer Reviewed Journal"/>
    <s v="Berlin, J., Sonesson, U. and Tillman, A. M., Product chain actors' potential for greening the product life cycle. Journal of Industrial Ecology 2008, 12 (1), 95-110."/>
    <s v="Yes"/>
    <s v="Yes"/>
    <s v="Yes"/>
    <s v="Yes"/>
    <s v="Yes"/>
    <s v="Yes"/>
    <s v="Yes"/>
    <s v="Yes"/>
    <s v="Yes"/>
    <s v="No"/>
    <s v="No"/>
    <s v="No"/>
    <m/>
    <m/>
    <m/>
    <m/>
    <s v="1 kg"/>
    <m/>
    <s v=""/>
    <s v=""/>
    <s v=""/>
    <s v=""/>
    <m/>
    <m/>
    <m/>
    <m/>
    <m/>
    <m/>
    <m/>
    <m/>
    <m/>
    <m/>
    <n v="40"/>
    <m/>
    <m/>
    <m/>
    <m/>
    <m/>
    <m/>
    <m/>
    <m/>
    <m/>
    <m/>
    <m/>
    <m/>
    <n v="10.7"/>
  </r>
  <r>
    <x v="0"/>
    <x v="5"/>
    <s v="Fresh or Not Specified"/>
    <m/>
    <m/>
    <s v="Sweden"/>
    <n v="2008"/>
    <s v="Berlin, Johanna_x000a_Sonesson, Ulf_x000a_Tillman, Anne‐Marie"/>
    <m/>
    <s v="Peer Reviewed Journal"/>
    <s v="Berlin, J., Sonesson, U. and Tillman, A. M., Product chain actors' potential for greening the product life cycle. Journal of Industrial Ecology 2008, 12 (1), 95-110."/>
    <s v="Yes"/>
    <s v="Yes"/>
    <s v="Yes"/>
    <s v="Yes"/>
    <s v="Yes"/>
    <s v="Yes"/>
    <s v="Yes"/>
    <s v="Yes"/>
    <s v="Yes"/>
    <s v="No"/>
    <s v="No"/>
    <s v="No"/>
    <m/>
    <m/>
    <m/>
    <m/>
    <s v="1 kg"/>
    <m/>
    <s v=""/>
    <s v=""/>
    <s v=""/>
    <s v=""/>
    <m/>
    <m/>
    <m/>
    <m/>
    <m/>
    <m/>
    <m/>
    <m/>
    <m/>
    <m/>
    <n v="8.9"/>
    <m/>
    <m/>
    <m/>
    <m/>
    <m/>
    <m/>
    <m/>
    <m/>
    <m/>
    <m/>
    <m/>
    <m/>
    <n v="1.45"/>
  </r>
  <r>
    <x v="12"/>
    <x v="102"/>
    <s v="Frozen"/>
    <s v="farmed salmon, filleted, frozen and delivered to consumer in Paris"/>
    <m/>
    <s v="Norway"/>
    <n v="2008"/>
    <s v="Ellingsen, H_x000a_Olaussen, JO_x000a_Utne, IB"/>
    <m/>
    <s v="Peer Reviewed Journal"/>
    <s v="Ellingsen, H., Olaussen, J. and Utne, I., Environmental analysis of the Norwegian fishery and aquaculture industry—A preliminary study focusing on farmed salmon. Marine Policy 2009, 33 (3), 479-488."/>
    <s v="Yes"/>
    <s v="No"/>
    <s v="Yes"/>
    <s v="Yes"/>
    <s v="No"/>
    <s v="Yes"/>
    <s v="No"/>
    <s v="Yes"/>
    <s v="No"/>
    <s v="No"/>
    <s v="No"/>
    <s v="No"/>
    <m/>
    <m/>
    <m/>
    <m/>
    <s v="1 kg salmon fillet"/>
    <m/>
    <s v=""/>
    <s v=""/>
    <n v="2.25"/>
    <n v="2.3311000000000002"/>
    <m/>
    <m/>
    <m/>
    <m/>
    <m/>
    <m/>
    <m/>
    <m/>
    <m/>
    <m/>
    <m/>
    <m/>
    <m/>
    <n v="2.25"/>
    <n v="8.1100000000000005E-2"/>
    <n v="0"/>
    <m/>
    <n v="0.36906800000000001"/>
    <m/>
    <n v="0.33040000000000003"/>
    <m/>
    <m/>
    <n v="2.25"/>
    <n v="3.0305680000000002"/>
  </r>
  <r>
    <x v="3"/>
    <x v="18"/>
    <s v="Fresh or Not Specified"/>
    <s v="low temperature distribution"/>
    <m/>
    <s v="Japan"/>
    <n v="2008"/>
    <s v="Roy, Poritosh_x000a_Nei, Daisuke_x000a_Okadome, Hiroshi_x000a_Nakamura, Nobutaka_x000a_Orikasa, Takahiro_x000a_Shiina, Takeo"/>
    <m/>
    <s v="Peer Reviewed Journal"/>
    <s v="Roy, P., Nei, D., Okadome, H., Nakamura, N., Orikasa, T. and Shiina, T., Life cycle inventory analysis of fresh tomato distribution systems in Japan considering the quality aspect. Journal of Food Engineering 2008, 86 (2), 225-233."/>
    <s v="Yes"/>
    <s v="No"/>
    <s v="Yes"/>
    <s v="No"/>
    <s v="Yes"/>
    <s v="Yes"/>
    <s v="No"/>
    <s v="No"/>
    <s v="No"/>
    <s v="No"/>
    <s v="No"/>
    <s v="No"/>
    <m/>
    <s v="value recorded in processing stage for low temp distribution is for cooling"/>
    <s v="Yes"/>
    <m/>
    <s v="1000 kg"/>
    <s v="/1000"/>
    <s v=""/>
    <s v=""/>
    <n v="0.81"/>
    <n v="0.81742500000000007"/>
    <m/>
    <m/>
    <m/>
    <m/>
    <m/>
    <m/>
    <m/>
    <m/>
    <m/>
    <m/>
    <m/>
    <m/>
    <m/>
    <n v="0.81"/>
    <n v="5.5599999999999998E-3"/>
    <n v="1.8649999999999999E-3"/>
    <n v="5.8799999999999998E-2"/>
    <n v="1.2529999999999998E-4"/>
    <m/>
    <m/>
    <m/>
    <m/>
    <n v="0.81"/>
    <n v="0.87635030000000003"/>
  </r>
  <r>
    <x v="3"/>
    <x v="19"/>
    <s v="Fresh or Not Specified"/>
    <s v="low temperature distribution"/>
    <m/>
    <s v="Japan"/>
    <n v="2008"/>
    <s v="Roy, Poritosh_x000a_Nei, Daisuke_x000a_Okadome, Hiroshi_x000a_Nakamura, Nobutaka_x000a_Orikasa, Takahiro_x000a_Shiina, Takeo"/>
    <m/>
    <s v="Peer Reviewed Journal"/>
    <s v="Roy, P., Nei, D., Okadome, H., Nakamura, N., Orikasa, T. and Shiina, T., Life cycle inventory analysis of fresh tomato distribution systems in Japan considering the quality aspect. Journal of Food Engineering 2008, 86 (2), 225-233."/>
    <s v="Yes"/>
    <s v="No"/>
    <s v="Yes"/>
    <s v="No"/>
    <s v="Yes"/>
    <s v="Yes"/>
    <s v="No"/>
    <s v="No"/>
    <s v="No"/>
    <s v="No"/>
    <s v="No"/>
    <s v="No"/>
    <m/>
    <s v="value recorded in processing stage for low temp distribution is for cooling"/>
    <s v="Yes"/>
    <m/>
    <s v="1000 kg"/>
    <s v="/1000"/>
    <s v=""/>
    <s v=""/>
    <n v="0.20200000000000001"/>
    <n v="0.20942500000000003"/>
    <m/>
    <m/>
    <m/>
    <m/>
    <m/>
    <m/>
    <m/>
    <m/>
    <m/>
    <m/>
    <m/>
    <m/>
    <m/>
    <n v="0.20200000000000001"/>
    <n v="5.5599999999999998E-3"/>
    <n v="1.8649999999999999E-3"/>
    <n v="5.8799999999999998E-2"/>
    <n v="1.2529999999999998E-4"/>
    <m/>
    <m/>
    <m/>
    <m/>
    <n v="0.20200000000000001"/>
    <n v="0.26835030000000004"/>
  </r>
  <r>
    <x v="3"/>
    <x v="18"/>
    <s v="Fresh or Not Specified"/>
    <s v="modified atmosphere packaging distribution"/>
    <m/>
    <s v="Japan"/>
    <n v="2008"/>
    <s v="Roy, Poritosh_x000a_Nei, Daisuke_x000a_Okadome, Hiroshi_x000a_Nakamura, Nobutaka_x000a_Orikasa, Takahiro_x000a_Shiina, Takeo"/>
    <m/>
    <s v="Peer Reviewed Journal"/>
    <s v="Roy, P., Nei, D., Okadome, H., Nakamura, N., Orikasa, T. and Shiina, T., Life cycle inventory analysis of fresh tomato distribution systems in Japan considering the quality aspect. Journal of Food Engineering 2008, 86 (2), 225-233."/>
    <s v="Yes"/>
    <s v="No"/>
    <s v="Yes"/>
    <s v="No"/>
    <s v="Yes"/>
    <s v="Yes"/>
    <s v="No"/>
    <s v="No"/>
    <s v="No"/>
    <s v="No"/>
    <s v="No"/>
    <s v="No"/>
    <m/>
    <s v="value recorded in processing stage for low temp distribution is for cooling"/>
    <s v="Yes"/>
    <m/>
    <s v="1000 kg"/>
    <s v="/1000"/>
    <s v=""/>
    <s v=""/>
    <n v="0.81"/>
    <n v="0.81556000000000006"/>
    <m/>
    <m/>
    <m/>
    <m/>
    <m/>
    <m/>
    <m/>
    <m/>
    <m/>
    <m/>
    <m/>
    <m/>
    <m/>
    <n v="0.81"/>
    <n v="5.5599999999999998E-3"/>
    <m/>
    <n v="7.4190000000000006E-2"/>
    <n v="1.0450000000000001E-4"/>
    <m/>
    <m/>
    <m/>
    <m/>
    <n v="0.81"/>
    <n v="0.88985449999999999"/>
  </r>
  <r>
    <x v="3"/>
    <x v="19"/>
    <s v="Fresh or Not Specified"/>
    <s v="modified atmosphere packaging distribution"/>
    <m/>
    <s v="Japan"/>
    <n v="2008"/>
    <s v="Roy, Poritosh_x000a_Nei, Daisuke_x000a_Okadome, Hiroshi_x000a_Nakamura, Nobutaka_x000a_Orikasa, Takahiro_x000a_Shiina, Takeo"/>
    <m/>
    <s v="Peer Reviewed Journal"/>
    <s v="Roy, P., Nei, D., Okadome, H., Nakamura, N., Orikasa, T. and Shiina, T., Life cycle inventory analysis of fresh tomato distribution systems in Japan considering the quality aspect. Journal of Food Engineering 2008, 86 (2), 225-233."/>
    <s v="Yes"/>
    <s v="No"/>
    <s v="Yes"/>
    <s v="No"/>
    <s v="Yes"/>
    <s v="Yes"/>
    <s v="No"/>
    <s v="No"/>
    <s v="No"/>
    <s v="No"/>
    <s v="No"/>
    <s v="No"/>
    <m/>
    <s v="value recorded in processing stage for low temp distribution is for cooling"/>
    <s v="Yes"/>
    <m/>
    <s v="1000 kg"/>
    <s v="/1000"/>
    <s v=""/>
    <s v=""/>
    <n v="0.20200000000000001"/>
    <n v="0.20756000000000002"/>
    <m/>
    <m/>
    <m/>
    <m/>
    <m/>
    <m/>
    <m/>
    <m/>
    <m/>
    <m/>
    <m/>
    <m/>
    <m/>
    <n v="0.20200000000000001"/>
    <n v="5.5599999999999998E-3"/>
    <m/>
    <n v="7.4190000000000006E-2"/>
    <n v="1.0450000000000001E-4"/>
    <m/>
    <m/>
    <m/>
    <m/>
    <n v="0.20200000000000001"/>
    <n v="0.28185450000000006"/>
  </r>
  <r>
    <x v="0"/>
    <x v="0"/>
    <s v="Fresh or Not Specified"/>
    <s v="mass allocation"/>
    <m/>
    <s v="Netherlands"/>
    <n v="2008"/>
    <s v="Thomassen, Marlies A_x000a_Dalgaard, Randi_x000a_Heijungs, Reinout_x000a_De Boer, Imke"/>
    <m/>
    <s v="Peer Reviewed Journal"/>
    <s v="Thomassen, M. A., Dalgaard, R., Heijungs, R. and De Boer, I., Attributional and consequential LCA of milk production. The International Journal of Life Cycle Assessment 2008, 13 (4), 339-349."/>
    <s v="Yes"/>
    <s v="No"/>
    <s v="No"/>
    <s v="No"/>
    <s v="No"/>
    <s v="No"/>
    <s v="No"/>
    <s v="No"/>
    <s v="No"/>
    <s v="No"/>
    <s v="No"/>
    <s v="No"/>
    <m/>
    <s v="cradle to farm gate (not logging consequestial results)"/>
    <m/>
    <m/>
    <s v="1 kg FPCM"/>
    <m/>
    <n v="5.77"/>
    <s v=""/>
    <n v="1.56"/>
    <s v=""/>
    <n v="5.77"/>
    <m/>
    <m/>
    <m/>
    <m/>
    <m/>
    <m/>
    <m/>
    <m/>
    <n v="5.77"/>
    <m/>
    <m/>
    <m/>
    <n v="1.56"/>
    <m/>
    <m/>
    <m/>
    <m/>
    <m/>
    <m/>
    <m/>
    <m/>
    <n v="1.56"/>
    <m/>
  </r>
  <r>
    <x v="0"/>
    <x v="0"/>
    <s v="Fresh or Not Specified"/>
    <s v="economic allocation"/>
    <m/>
    <s v="Netherlands"/>
    <n v="2008"/>
    <s v="Thomassen, Marlies A_x000a_Dalgaard, Randi_x000a_Heijungs, Reinout_x000a_De Boer, Imke"/>
    <m/>
    <s v="Peer Reviewed Journal"/>
    <s v="Thomassen, M. A., Dalgaard, R., Heijungs, R. and De Boer, I., Attributional and consequential LCA of milk production. The International Journal of Life Cycle Assessment 2008, 13 (4), 339-349."/>
    <s v="Yes"/>
    <s v="No"/>
    <s v="No"/>
    <s v="No"/>
    <s v="No"/>
    <s v="No"/>
    <s v="No"/>
    <s v="No"/>
    <s v="No"/>
    <s v="No"/>
    <s v="No"/>
    <s v="No"/>
    <m/>
    <s v="cradle to farm gate (not logging consequestial results)"/>
    <m/>
    <m/>
    <s v="1 kg FPCM"/>
    <m/>
    <n v="6.91"/>
    <s v=""/>
    <n v="1.61"/>
    <s v=""/>
    <n v="6.91"/>
    <m/>
    <m/>
    <m/>
    <m/>
    <m/>
    <m/>
    <m/>
    <m/>
    <n v="6.91"/>
    <m/>
    <m/>
    <m/>
    <n v="1.61"/>
    <m/>
    <m/>
    <m/>
    <m/>
    <m/>
    <m/>
    <m/>
    <m/>
    <n v="1.61"/>
    <m/>
  </r>
  <r>
    <x v="1"/>
    <x v="3"/>
    <s v="Fresh or Not Specified"/>
    <s v="eastern Canada"/>
    <m/>
    <s v="Canada"/>
    <n v="2008"/>
    <s v="Vergé, X. P. C._x000a_Dyer, J. A._x000a_Desjardins, R. L._x000a_Worth, D."/>
    <m/>
    <s v="Peer Reviewed Journal"/>
    <s v="Vergé, X. P. C., Dyer, J. A., Desjardins, R. L. and Worth, D., Greenhouse gas emissions from the Canadian beef industry. Agricultural Systems 2008, 98 (2), 126-134."/>
    <s v="Yes"/>
    <s v="No"/>
    <s v="No"/>
    <s v="No"/>
    <s v="No"/>
    <s v="No"/>
    <s v="No"/>
    <s v="No"/>
    <s v="No"/>
    <s v="No"/>
    <s v="No"/>
    <s v="No"/>
    <m/>
    <s v="farm gate.  Reporting values from 2001"/>
    <m/>
    <m/>
    <s v="per kg live weight"/>
    <s v="/0.667/0.602"/>
    <s v=""/>
    <s v=""/>
    <n v="30.408383847943142"/>
    <s v=""/>
    <m/>
    <m/>
    <m/>
    <m/>
    <m/>
    <m/>
    <m/>
    <m/>
    <m/>
    <m/>
    <m/>
    <m/>
    <m/>
    <n v="30.408383847943142"/>
    <m/>
    <m/>
    <m/>
    <m/>
    <m/>
    <m/>
    <m/>
    <m/>
    <n v="30.408383847943142"/>
    <m/>
  </r>
  <r>
    <x v="1"/>
    <x v="3"/>
    <s v="Fresh or Not Specified"/>
    <s v="Western Canada"/>
    <m/>
    <s v="Canada"/>
    <n v="2008"/>
    <s v="Vergé, X. P. C._x000a_Dyer, J. A._x000a_Desjardins, R. L._x000a_Worth, D."/>
    <m/>
    <s v="Peer Reviewed Journal"/>
    <s v="Vergé, X. P. C., Dyer, J. A., Desjardins, R. L. and Worth, D., Greenhouse gas emissions from the Canadian beef industry. Agricultural Systems 2008, 98 (2), 126-134."/>
    <s v="Yes"/>
    <s v="No"/>
    <s v="No"/>
    <s v="No"/>
    <s v="No"/>
    <s v="No"/>
    <s v="No"/>
    <s v="No"/>
    <s v="No"/>
    <s v="No"/>
    <s v="No"/>
    <s v="No"/>
    <m/>
    <s v="farm gate.  Reporting values from 2001"/>
    <m/>
    <m/>
    <s v="per kg live weight"/>
    <s v="/0.667/0.602"/>
    <s v=""/>
    <s v=""/>
    <n v="25.053918223612449"/>
    <s v=""/>
    <m/>
    <m/>
    <m/>
    <m/>
    <m/>
    <m/>
    <m/>
    <m/>
    <m/>
    <m/>
    <m/>
    <m/>
    <m/>
    <n v="25.053918223612449"/>
    <m/>
    <m/>
    <m/>
    <m/>
    <m/>
    <m/>
    <m/>
    <m/>
    <n v="25.053918223612449"/>
    <m/>
  </r>
  <r>
    <x v="1"/>
    <x v="3"/>
    <s v="Fresh or Not Specified"/>
    <s v="Canada wide"/>
    <m/>
    <s v="Canada"/>
    <n v="2008"/>
    <s v="Vergé, X. P. C._x000a_Dyer, J. A._x000a_Desjardins, R. L._x000a_Worth, D."/>
    <m/>
    <s v="Peer Reviewed Journal"/>
    <s v="Vergé, X. P. C., Dyer, J. A., Desjardins, R. L. and Worth, D., Greenhouse gas emissions from the Canadian beef industry. Agricultural Systems 2008, 98 (2), 126-134."/>
    <s v="Yes"/>
    <s v="No"/>
    <s v="No"/>
    <s v="No"/>
    <s v="No"/>
    <s v="No"/>
    <s v="No"/>
    <s v="No"/>
    <s v="No"/>
    <s v="No"/>
    <s v="No"/>
    <s v="No"/>
    <m/>
    <s v="farm gate.  Reporting values from 2001"/>
    <m/>
    <m/>
    <s v="per kg live weight"/>
    <s v="/0.667/0.602"/>
    <s v=""/>
    <s v=""/>
    <n v="25.825957453167099"/>
    <s v=""/>
    <m/>
    <m/>
    <m/>
    <m/>
    <m/>
    <m/>
    <m/>
    <m/>
    <m/>
    <m/>
    <m/>
    <m/>
    <m/>
    <n v="25.825957453167099"/>
    <m/>
    <m/>
    <m/>
    <m/>
    <m/>
    <m/>
    <m/>
    <m/>
    <n v="25.825957453167099"/>
    <m/>
  </r>
  <r>
    <x v="12"/>
    <x v="111"/>
    <s v="Fresh or Not Specified"/>
    <s v="Norway Lobster, trawled"/>
    <m/>
    <s v="Sweden"/>
    <n v="2008"/>
    <s v="Ziegler, Friederike_x000a_Valentinsson, Daniel"/>
    <m/>
    <s v="Peer Reviewed Journal"/>
    <s v="Ziegler, F. and Valentinsson, D., Environmental life cycle assessment of Norway lobster (Nephrops norvegicus) caught along the Swedish west coast by creels and conventional trawls—LCA methodology with case study. The International Journal of Life Cycle Assessment 2008, 13 (6), 487."/>
    <s v="Yes"/>
    <s v="No"/>
    <s v="Yes"/>
    <s v="No"/>
    <s v="No"/>
    <s v="Yes"/>
    <s v="Yes"/>
    <s v="Yes"/>
    <s v="Yes"/>
    <s v="Yes"/>
    <s v="No"/>
    <s v="No"/>
    <m/>
    <m/>
    <m/>
    <m/>
    <s v=".3 g edible meat (Norway Lobster tails) corresponding to 1 kg whole boiled lobster"/>
    <s v="/.3"/>
    <n v="1066.6666666666667"/>
    <s v=""/>
    <n v="105.66666666666667"/>
    <s v=""/>
    <n v="1066.6666666666667"/>
    <m/>
    <m/>
    <m/>
    <n v="33.333333333333336"/>
    <m/>
    <n v="83.333333333333343"/>
    <m/>
    <m/>
    <n v="1066.6666666666667"/>
    <n v="1183.3333333333333"/>
    <m/>
    <m/>
    <n v="105.66666666666667"/>
    <m/>
    <m/>
    <m/>
    <n v="1.8293800000000002"/>
    <n v="1.19"/>
    <n v="9.9333333333333336"/>
    <n v="6.1000000000000004E-3"/>
    <m/>
    <n v="105.66666666666667"/>
    <n v="118.62548000000001"/>
  </r>
  <r>
    <x v="12"/>
    <x v="111"/>
    <s v="Fresh or Not Specified"/>
    <s v="Norway Lobster, creeled"/>
    <m/>
    <s v="Sweden"/>
    <n v="2008"/>
    <s v="Ziegler, Friederike_x000a_Valentinsson, Daniel"/>
    <m/>
    <s v="Peer Reviewed Journal"/>
    <s v="Ziegler, F. and Valentinsson, D., Environmental life cycle assessment of Norway lobster (Nephrops norvegicus) caught along the Swedish west coast by creels and conventional trawls—LCA methodology with case study. The International Journal of Life Cycle Assessment 2008, 13 (6), 487."/>
    <s v="Yes"/>
    <s v="No"/>
    <s v="Yes"/>
    <s v="No"/>
    <s v="No"/>
    <s v="Yes"/>
    <s v="Yes"/>
    <s v="Yes"/>
    <s v="Yes"/>
    <s v="Yes"/>
    <s v="No"/>
    <s v="No"/>
    <m/>
    <m/>
    <m/>
    <m/>
    <s v=".3 g edible meat (Norway Lobster tails) corresponding to 1 kg whole boiled lobster"/>
    <s v="/.3"/>
    <n v="250"/>
    <s v=""/>
    <n v="37"/>
    <s v=""/>
    <n v="250"/>
    <m/>
    <m/>
    <m/>
    <n v="33.333333333333336"/>
    <m/>
    <n v="83.333333333333343"/>
    <m/>
    <m/>
    <n v="250"/>
    <n v="366.66666666666663"/>
    <m/>
    <m/>
    <n v="37"/>
    <m/>
    <m/>
    <m/>
    <n v="1.8293800000000002"/>
    <n v="1.19"/>
    <n v="9.9333333333333336"/>
    <n v="6.1000000000000004E-3"/>
    <m/>
    <n v="37"/>
    <n v="49.958813333333339"/>
  </r>
  <r>
    <x v="1"/>
    <x v="1"/>
    <s v="Fresh or Not Specified"/>
    <s v="conventional"/>
    <m/>
    <s v="UK"/>
    <n v="2009"/>
    <s v="Edwards-Jones, G._x000a_Plassmann, K._x000a_Harris, I. M."/>
    <m/>
    <s v="Peer Reviewed Journal"/>
    <s v="Edwards-Jones, G., Plassmann, K. and Harris, I. M., Carbon footprinting of lamb and beef production systems: insights from an empirical analysis of farms in Wales, UK. The Journal of Agricultural Science 2009, 147 (6), 707-719."/>
    <s v="Yes"/>
    <s v="No"/>
    <s v="No"/>
    <s v="No"/>
    <s v="No"/>
    <s v="No"/>
    <s v="No"/>
    <s v="No"/>
    <s v="No"/>
    <s v="No"/>
    <s v="No"/>
    <s v="No"/>
    <m/>
    <m/>
    <m/>
    <m/>
    <s v="/kg dead weight"/>
    <s v="/0.658"/>
    <s v=""/>
    <s v=""/>
    <n v="43.617021276595743"/>
    <s v=""/>
    <m/>
    <m/>
    <m/>
    <m/>
    <m/>
    <m/>
    <m/>
    <m/>
    <m/>
    <m/>
    <m/>
    <m/>
    <m/>
    <n v="43.617021276595743"/>
    <m/>
    <m/>
    <m/>
    <m/>
    <m/>
    <m/>
    <m/>
    <m/>
    <n v="43.617021276595743"/>
    <m/>
  </r>
  <r>
    <x v="1"/>
    <x v="1"/>
    <s v="Fresh or Not Specified"/>
    <s v="conventional, extensive"/>
    <m/>
    <s v="UK"/>
    <n v="2009"/>
    <s v="Edwards-Jones, G._x000a_Plassmann, K._x000a_Harris, I. M."/>
    <m/>
    <s v="Peer Reviewed Journal"/>
    <s v="Edwards-Jones, G., Plassmann, K. and Harris, I. M., Carbon footprinting of lamb and beef production systems: insights from an empirical analysis of farms in Wales, UK. The Journal of Agricultural Science 2009, 147 (6), 707-719."/>
    <s v="Yes"/>
    <s v="No"/>
    <s v="No"/>
    <s v="No"/>
    <s v="No"/>
    <s v="No"/>
    <s v="No"/>
    <s v="No"/>
    <s v="No"/>
    <s v="No"/>
    <s v="No"/>
    <s v="No"/>
    <m/>
    <m/>
    <m/>
    <m/>
    <s v="/kg dead weight"/>
    <s v="/0.658"/>
    <s v=""/>
    <s v=""/>
    <n v="166.71732522796353"/>
    <s v=""/>
    <m/>
    <m/>
    <m/>
    <m/>
    <m/>
    <m/>
    <m/>
    <m/>
    <m/>
    <m/>
    <m/>
    <m/>
    <m/>
    <n v="166.71732522796353"/>
    <m/>
    <m/>
    <m/>
    <m/>
    <m/>
    <m/>
    <m/>
    <m/>
    <n v="166.71732522796353"/>
    <m/>
  </r>
  <r>
    <x v="1"/>
    <x v="3"/>
    <s v="Fresh or Not Specified"/>
    <s v="conventional"/>
    <m/>
    <s v="UK"/>
    <n v="2009"/>
    <s v="Edwards-Jones, G._x000a_Plassmann, K._x000a_Harris, I. M."/>
    <m/>
    <s v="Peer Reviewed Journal"/>
    <s v="Edwards-Jones, G., Plassmann, K. and Harris, I. M., Carbon footprinting of lamb and beef production systems: insights from an empirical analysis of farms in Wales, UK. The Journal of Agricultural Science 2009, 147 (6), 707-719."/>
    <s v="Yes"/>
    <s v="No"/>
    <s v="No"/>
    <s v="No"/>
    <s v="No"/>
    <s v="No"/>
    <s v="No"/>
    <s v="No"/>
    <s v="No"/>
    <s v="No"/>
    <s v="No"/>
    <s v="No"/>
    <m/>
    <m/>
    <m/>
    <m/>
    <s v="/kg live weight"/>
    <s v="/0.667/0.602"/>
    <s v=""/>
    <s v=""/>
    <n v="38.6019614777329"/>
    <s v=""/>
    <m/>
    <m/>
    <m/>
    <m/>
    <m/>
    <m/>
    <m/>
    <m/>
    <m/>
    <m/>
    <m/>
    <m/>
    <m/>
    <n v="38.6019614777329"/>
    <m/>
    <m/>
    <m/>
    <m/>
    <m/>
    <m/>
    <m/>
    <m/>
    <n v="38.6019614777329"/>
    <m/>
  </r>
  <r>
    <x v="1"/>
    <x v="3"/>
    <s v="Fresh or Not Specified"/>
    <s v="extensive"/>
    <m/>
    <s v="UK"/>
    <n v="2009"/>
    <s v="Edwards-Jones, G._x000a_Plassmann, K._x000a_Harris, I. M."/>
    <m/>
    <s v="Peer Reviewed Journal"/>
    <s v="Edwards-Jones, G., Plassmann, K. and Harris, I. M., Carbon footprinting of lamb and beef production systems: insights from an empirical analysis of farms in Wales, UK. The Journal of Agricultural Science 2009, 147 (6), 707-719."/>
    <s v="Yes"/>
    <s v="No"/>
    <s v="No"/>
    <s v="No"/>
    <s v="No"/>
    <s v="No"/>
    <s v="No"/>
    <s v="No"/>
    <s v="No"/>
    <s v="No"/>
    <s v="No"/>
    <s v="No"/>
    <m/>
    <m/>
    <m/>
    <m/>
    <s v="/kg live weight"/>
    <s v="/0.667/0.602"/>
    <s v=""/>
    <s v=""/>
    <n v="118.54537847355391"/>
    <s v=""/>
    <m/>
    <m/>
    <m/>
    <m/>
    <m/>
    <m/>
    <m/>
    <m/>
    <m/>
    <m/>
    <m/>
    <m/>
    <m/>
    <n v="118.54537847355391"/>
    <m/>
    <m/>
    <m/>
    <m/>
    <m/>
    <m/>
    <m/>
    <m/>
    <n v="118.54537847355391"/>
    <m/>
  </r>
  <r>
    <x v="12"/>
    <x v="104"/>
    <s v="Frozen"/>
    <s v="cod, processed, long liner fishing"/>
    <m/>
    <s v="Iceland"/>
    <n v="2009"/>
    <s v="Guttormsdóttir, Aðalbjörg Birna"/>
    <m/>
    <s v="NGO Report"/>
    <s v="Guttormsdóttir, A. B., Life cycle assessment on Icelandic cod product based on two different fishing methods. Univerity of Iceland 2009, ."/>
    <s v="Yes"/>
    <s v="No"/>
    <s v="Yes"/>
    <s v="Yes"/>
    <m/>
    <s v="Yes"/>
    <s v="No"/>
    <s v="No"/>
    <s v="No"/>
    <s v="No"/>
    <s v="No"/>
    <s v="No"/>
    <m/>
    <m/>
    <m/>
    <m/>
    <s v="1 kg of frozen light salted cod fillets caught in Icelandic sea"/>
    <m/>
    <n v="1.19529"/>
    <n v="1.42272"/>
    <n v="1.2008000000000001"/>
    <n v="1.2128080000000001"/>
    <n v="1.19529"/>
    <m/>
    <n v="0.22743000000000002"/>
    <m/>
    <n v="0.38303999999999999"/>
    <m/>
    <m/>
    <m/>
    <m/>
    <n v="1.19529"/>
    <n v="1.71"/>
    <m/>
    <m/>
    <n v="1.2008000000000001"/>
    <m/>
    <n v="1.2008000000000001E-2"/>
    <m/>
    <n v="0.37446000000000002"/>
    <m/>
    <m/>
    <m/>
    <m/>
    <n v="1.2008000000000001"/>
    <n v="1.58"/>
  </r>
  <r>
    <x v="12"/>
    <x v="104"/>
    <s v="Frozen"/>
    <s v="cod, processed, bottom trawler fishing"/>
    <m/>
    <s v="Iceland"/>
    <n v="2009"/>
    <s v="Guttormsdóttir, Aðalbjörg Birna"/>
    <m/>
    <s v="NGO Report"/>
    <s v="Guttormsdóttir, A. B., Life cycle assessment on Icelandic cod product based on two different fishing methods. Univerity of Iceland 2009, ."/>
    <s v="Yes"/>
    <s v="No"/>
    <s v="Yes"/>
    <s v="Yes"/>
    <m/>
    <s v="Yes"/>
    <s v="No"/>
    <s v="No"/>
    <s v="No"/>
    <s v="No"/>
    <s v="No"/>
    <s v="No"/>
    <m/>
    <m/>
    <m/>
    <m/>
    <s v="1 kg of frozen light salted cod fillets caught in Icelandic sea"/>
    <m/>
    <n v="3.4701600000000004"/>
    <n v="7.4121400000000008"/>
    <n v="3.4438"/>
    <n v="4.883"/>
    <n v="3.4701600000000004"/>
    <m/>
    <n v="3.9419800000000005"/>
    <m/>
    <n v="0.23667099999999999"/>
    <m/>
    <m/>
    <m/>
    <m/>
    <n v="3.4701600000000004"/>
    <n v="7.61"/>
    <m/>
    <m/>
    <n v="3.4438"/>
    <m/>
    <n v="1.4392"/>
    <m/>
    <n v="0.25700000000000001"/>
    <m/>
    <m/>
    <m/>
    <m/>
    <n v="3.4438"/>
    <n v="5.14"/>
  </r>
  <r>
    <x v="5"/>
    <x v="122"/>
    <m/>
    <s v="conventional"/>
    <m/>
    <s v="Japan"/>
    <n v="2009"/>
    <s v="Hokazono, S_x000a_Hayashi, K_x000a_Sato, M"/>
    <m/>
    <s v="Peer Reviewed Journal"/>
    <s v="Hokazono, S., Hayashi, K. and Sato, M., Potentialities of organic and sustainable rice production in Japan from a life cycle perspective. Agronomy Research 2009, 7 (1), 257-262."/>
    <s v="Yes"/>
    <s v="No"/>
    <s v="No"/>
    <s v="No"/>
    <s v="No"/>
    <s v="No"/>
    <s v="No"/>
    <s v="No"/>
    <s v="No"/>
    <s v="No"/>
    <s v="No"/>
    <s v="No"/>
    <m/>
    <m/>
    <m/>
    <m/>
    <s v="1 kg brown rice"/>
    <m/>
    <s v=""/>
    <s v=""/>
    <n v="1.5"/>
    <s v=""/>
    <m/>
    <m/>
    <m/>
    <m/>
    <m/>
    <m/>
    <m/>
    <m/>
    <m/>
    <m/>
    <m/>
    <m/>
    <m/>
    <n v="1.5"/>
    <m/>
    <m/>
    <m/>
    <m/>
    <m/>
    <m/>
    <m/>
    <m/>
    <n v="1.5"/>
    <m/>
  </r>
  <r>
    <x v="5"/>
    <x v="122"/>
    <m/>
    <s v="sustainable"/>
    <m/>
    <s v="Japan"/>
    <n v="2009"/>
    <s v="Hokazono, S_x000a_Hayashi, K_x000a_Sato, M"/>
    <m/>
    <s v="Peer Reviewed Journal"/>
    <s v="Hokazono, S., Hayashi, K. and Sato, M., Potentialities of organic and sustainable rice production in Japan from a life cycle perspective. Agronomy Research 2009, 7 (1), 257-262."/>
    <s v="Yes"/>
    <s v="No"/>
    <s v="No"/>
    <s v="No"/>
    <s v="No"/>
    <s v="No"/>
    <s v="No"/>
    <s v="No"/>
    <s v="No"/>
    <s v="No"/>
    <s v="No"/>
    <s v="No"/>
    <m/>
    <m/>
    <m/>
    <m/>
    <s v="1 kg brown rice"/>
    <m/>
    <s v=""/>
    <s v=""/>
    <n v="1.33"/>
    <s v=""/>
    <m/>
    <m/>
    <m/>
    <m/>
    <m/>
    <m/>
    <m/>
    <m/>
    <m/>
    <m/>
    <m/>
    <m/>
    <m/>
    <n v="1.33"/>
    <m/>
    <m/>
    <m/>
    <m/>
    <m/>
    <m/>
    <m/>
    <m/>
    <n v="1.33"/>
    <m/>
  </r>
  <r>
    <x v="5"/>
    <x v="122"/>
    <m/>
    <s v="organic"/>
    <m/>
    <s v="Japan"/>
    <n v="2009"/>
    <s v="Hokazono, S_x000a_Hayashi, K_x000a_Sato, M"/>
    <m/>
    <s v="Peer Reviewed Journal"/>
    <s v="Hokazono, S., Hayashi, K. and Sato, M., Potentialities of organic and sustainable rice production in Japan from a life cycle perspective. Agronomy Research 2009, 7 (1), 257-262."/>
    <s v="Yes"/>
    <s v="No"/>
    <s v="No"/>
    <s v="No"/>
    <s v="No"/>
    <s v="No"/>
    <s v="No"/>
    <s v="No"/>
    <s v="No"/>
    <s v="No"/>
    <s v="No"/>
    <s v="No"/>
    <m/>
    <m/>
    <m/>
    <m/>
    <s v="1 kg brown rice"/>
    <m/>
    <s v=""/>
    <s v=""/>
    <n v="1.62"/>
    <s v=""/>
    <m/>
    <m/>
    <m/>
    <m/>
    <m/>
    <m/>
    <m/>
    <m/>
    <m/>
    <m/>
    <m/>
    <m/>
    <m/>
    <n v="1.62"/>
    <m/>
    <m/>
    <m/>
    <m/>
    <m/>
    <m/>
    <m/>
    <m/>
    <n v="1.62"/>
    <m/>
  </r>
  <r>
    <x v="3"/>
    <x v="57"/>
    <m/>
    <s v="british farms (outdoors)"/>
    <m/>
    <s v="UK"/>
    <n v="2009"/>
    <s v="Hospido, Almudena_x000a_i Canals, Llorenç Milà_x000a_McLaren, Sarah_x000a_Truninger, Monica_x000a_Edwards-Jones, Gareth_x000a_Clift, Roland"/>
    <m/>
    <s v="Peer Reviewed Journal"/>
    <s v="Hospido, A., I Canals, L. M., Mclaren, S., Truninger, M., Edwards-Jones, G. and Clift, R., The role of seasonality in lettuce consumption: a case study of environmental and social aspects. The International Journal of Life Cycle Assessment 2009, 14 (5), 381-391."/>
    <s v="Yes"/>
    <s v="No"/>
    <s v="No"/>
    <s v="Yes"/>
    <s v="No"/>
    <s v="Yes"/>
    <s v="No"/>
    <s v="No"/>
    <s v="No"/>
    <s v="No"/>
    <s v="No"/>
    <s v="Yes"/>
    <m/>
    <m/>
    <m/>
    <m/>
    <s v="1 kg of lettuce delivered to a UK RDC"/>
    <m/>
    <s v=""/>
    <s v=""/>
    <n v="0.23067000000000001"/>
    <n v="0.27423000000000003"/>
    <m/>
    <m/>
    <m/>
    <m/>
    <m/>
    <m/>
    <m/>
    <m/>
    <m/>
    <m/>
    <m/>
    <m/>
    <m/>
    <n v="0.23067000000000001"/>
    <m/>
    <n v="4.3560000000000001E-2"/>
    <m/>
    <n v="5.5770000000000007E-2"/>
    <m/>
    <m/>
    <m/>
    <m/>
    <n v="0.23067000000000001"/>
    <n v="0.33"/>
  </r>
  <r>
    <x v="3"/>
    <x v="57"/>
    <m/>
    <s v="Spanish farms (imported to UK)"/>
    <m/>
    <s v="Spain"/>
    <n v="2009"/>
    <s v="Hospido, Almudena_x000a_i Canals, Llorenç Milà_x000a_McLaren, Sarah_x000a_Truninger, Monica_x000a_Edwards-Jones, Gareth_x000a_Clift, Roland"/>
    <m/>
    <s v="Peer Reviewed Journal"/>
    <s v="Hospido, A., I Canals, L. M., Mclaren, S., Truninger, M., Edwards-Jones, G. and Clift, R., The role of seasonality in lettuce consumption: a case study of environmental and social aspects. The International Journal of Life Cycle Assessment 2009, 14 (5), 381-391."/>
    <s v="Yes"/>
    <s v="No"/>
    <s v="No"/>
    <s v="Yes"/>
    <s v="No"/>
    <s v="Yes"/>
    <s v="No"/>
    <s v="No"/>
    <s v="No"/>
    <s v="No"/>
    <s v="No"/>
    <s v="Yes"/>
    <m/>
    <m/>
    <m/>
    <m/>
    <s v="1 kg of lettuce delivered to a UK RDC"/>
    <m/>
    <s v=""/>
    <s v=""/>
    <n v="0.21042"/>
    <n v="0.24149999999999999"/>
    <m/>
    <m/>
    <m/>
    <m/>
    <m/>
    <m/>
    <m/>
    <m/>
    <m/>
    <m/>
    <m/>
    <m/>
    <m/>
    <n v="0.21042"/>
    <m/>
    <n v="3.1079999999999997E-2"/>
    <m/>
    <n v="0.17849999999999999"/>
    <m/>
    <m/>
    <m/>
    <m/>
    <n v="0.21042"/>
    <n v="0.42"/>
  </r>
  <r>
    <x v="3"/>
    <x v="59"/>
    <m/>
    <s v="British farms (with heating)"/>
    <m/>
    <s v="UK"/>
    <n v="2009"/>
    <s v="Hospido, Almudena_x000a_i Canals, Llorenç Milà_x000a_McLaren, Sarah_x000a_Truninger, Monica_x000a_Edwards-Jones, Gareth_x000a_Clift, Roland"/>
    <m/>
    <s v="Peer Reviewed Journal"/>
    <s v="Hospido, A., I Canals, L. M., Mclaren, S., Truninger, M., Edwards-Jones, G. and Clift, R., The role of seasonality in lettuce consumption: a case study of environmental and social aspects. The International Journal of Life Cycle Assessment 2009, 14 (5), 381-391."/>
    <s v="Yes"/>
    <s v="No"/>
    <s v="No"/>
    <s v="Yes"/>
    <s v="No"/>
    <s v="Yes"/>
    <s v="No"/>
    <s v="No"/>
    <s v="No"/>
    <s v="No"/>
    <s v="No"/>
    <s v="Yes"/>
    <m/>
    <m/>
    <m/>
    <m/>
    <s v="1 kg of lettuce delivered to a UK RDC"/>
    <m/>
    <s v=""/>
    <s v=""/>
    <n v="2.45756"/>
    <n v="2.5492599999999999"/>
    <m/>
    <m/>
    <m/>
    <m/>
    <m/>
    <m/>
    <m/>
    <m/>
    <m/>
    <m/>
    <m/>
    <m/>
    <m/>
    <n v="2.45756"/>
    <m/>
    <n v="9.1700000000000018E-2"/>
    <m/>
    <n v="7.0739999999999997E-2"/>
    <m/>
    <m/>
    <m/>
    <m/>
    <n v="2.45756"/>
    <n v="2.62"/>
  </r>
  <r>
    <x v="3"/>
    <x v="57"/>
    <m/>
    <s v="british farms (without heating)"/>
    <m/>
    <s v="UK"/>
    <n v="2009"/>
    <s v="Hospido, Almudena_x000a_i Canals, Llorenç Milà_x000a_McLaren, Sarah_x000a_Truninger, Monica_x000a_Edwards-Jones, Gareth_x000a_Clift, Roland"/>
    <m/>
    <s v="Peer Reviewed Journal"/>
    <s v="Hospido, A., I Canals, L. M., Mclaren, S., Truninger, M., Edwards-Jones, G. and Clift, R., The role of seasonality in lettuce consumption: a case study of environmental and social aspects. The International Journal of Life Cycle Assessment 2009, 14 (5), 381-391."/>
    <s v="Yes"/>
    <s v="No"/>
    <s v="No"/>
    <s v="Yes"/>
    <s v="No"/>
    <s v="Yes"/>
    <s v="No"/>
    <s v="No"/>
    <s v="No"/>
    <s v="No"/>
    <s v="No"/>
    <s v="Yes"/>
    <m/>
    <m/>
    <m/>
    <m/>
    <s v="1 kg of lettuce delivered to a UK RDC"/>
    <m/>
    <s v=""/>
    <s v=""/>
    <n v="9.7200000000000009E-2"/>
    <n v="0.18359999999999999"/>
    <m/>
    <m/>
    <m/>
    <m/>
    <m/>
    <m/>
    <m/>
    <m/>
    <m/>
    <m/>
    <m/>
    <m/>
    <m/>
    <n v="9.7200000000000009E-2"/>
    <m/>
    <n v="8.6399999999999991E-2"/>
    <m/>
    <n v="5.6399999999999992E-2"/>
    <m/>
    <m/>
    <m/>
    <m/>
    <n v="9.7200000000000009E-2"/>
    <n v="0.24"/>
  </r>
  <r>
    <x v="5"/>
    <x v="129"/>
    <m/>
    <m/>
    <m/>
    <s v="Thailand"/>
    <n v="2009"/>
    <s v="Kasmaprapruet, Sakaorat_x000a_Paengjuntuek, Woranee_x000a_Saikhwan, Phanida_x000a_Phungrassami, Harnpon"/>
    <m/>
    <s v="Peer Reviewed Journal"/>
    <s v="Kasmaprapruet, S., Paengjuntuek, W., Saikhwan, P. and Phungrassami, H., Life cycle assessment of milled rice production: case study in Thailand. European Journal of Scientific Research 2009, 30 (2), 195-203."/>
    <s v="Yes"/>
    <s v="No"/>
    <s v="Yes"/>
    <s v="Yes"/>
    <s v="No"/>
    <s v="No"/>
    <s v="No"/>
    <s v="No"/>
    <s v="No"/>
    <s v="No"/>
    <s v="No"/>
    <s v="No"/>
    <m/>
    <s v="note that rice hulls are used as energy source for drying; this contribution is not included in the CED data"/>
    <m/>
    <m/>
    <s v="1 kg milled rice at mill gate"/>
    <m/>
    <n v="1.456"/>
    <n v="1.8596999999999999"/>
    <n v="2.4506189999999997"/>
    <n v="2.4929999999999999"/>
    <n v="1.456"/>
    <n v="0.23769999999999999"/>
    <n v="0.16600000000000001"/>
    <m/>
    <m/>
    <m/>
    <m/>
    <m/>
    <m/>
    <n v="1.456"/>
    <n v="1.8596999999999999"/>
    <m/>
    <m/>
    <n v="2.4506189999999997"/>
    <n v="1.7525789999999999E-2"/>
    <n v="2.4855210000000225E-2"/>
    <m/>
    <m/>
    <m/>
    <m/>
    <m/>
    <m/>
    <n v="2.4506189999999997"/>
    <n v="2.4929999999999999"/>
  </r>
  <r>
    <x v="0"/>
    <x v="0"/>
    <m/>
    <s v="based on analysis of 119 Dutch dairy farms; economic allocation"/>
    <m/>
    <s v="Netherlands"/>
    <n v="2009"/>
    <s v="Thomassen, MA_x000a_Dolman, MA_x000a_Van Calker, KJ_x000a_De Boer, IJM"/>
    <m/>
    <s v="Peer Reviewed Journal"/>
    <s v="Thomassen, M., Dolman, M., Van Calker, K. and De Boer, I., Relating life cycle assessment indicators to gross value added for Dutch dairy farms. Ecological Economics 2009, 68 (8), 2278-2284."/>
    <s v="Yes"/>
    <s v="No"/>
    <s v="No"/>
    <s v="No"/>
    <s v="No"/>
    <s v="No"/>
    <s v="No"/>
    <s v="No"/>
    <s v="No"/>
    <s v="No"/>
    <s v="No"/>
    <s v="No"/>
    <m/>
    <m/>
    <m/>
    <m/>
    <s v="1 kg FPCM"/>
    <m/>
    <n v="5.3"/>
    <s v=""/>
    <n v="1.36"/>
    <s v=""/>
    <n v="5.3"/>
    <m/>
    <m/>
    <m/>
    <m/>
    <m/>
    <m/>
    <m/>
    <m/>
    <n v="5.3"/>
    <m/>
    <m/>
    <m/>
    <n v="1.36"/>
    <m/>
    <m/>
    <m/>
    <m/>
    <m/>
    <m/>
    <m/>
    <m/>
    <n v="1.36"/>
    <m/>
  </r>
  <r>
    <x v="1"/>
    <x v="3"/>
    <m/>
    <s v="UK1 (~100 cow farm)"/>
    <m/>
    <s v="UK"/>
    <n v="2012"/>
    <s v="Schroeder, Roberto_x000a_Aguiar, Luís Kluwe_x000a_Baines, Richard"/>
    <m/>
    <s v="Peer Reviewed Journal"/>
    <s v="Schroeder, R., Aguiar, L. K. and Baines, R., Carbon footprint in meat production and supply chains. Journal of Food Science and Engineering 2012, 2 (11), 652."/>
    <s v="Yes"/>
    <s v="No"/>
    <s v="No"/>
    <s v="Yes"/>
    <s v="No"/>
    <s v="Yes"/>
    <s v="No"/>
    <s v="No"/>
    <s v="No"/>
    <s v="No"/>
    <s v="No"/>
    <s v="No"/>
    <m/>
    <m/>
    <m/>
    <m/>
    <s v="1 kg bone-free meat"/>
    <m/>
    <s v=""/>
    <s v=""/>
    <n v="33.57"/>
    <n v="33.770000000000003"/>
    <m/>
    <m/>
    <m/>
    <m/>
    <m/>
    <m/>
    <m/>
    <m/>
    <m/>
    <m/>
    <m/>
    <m/>
    <m/>
    <n v="33.57"/>
    <m/>
    <n v="0.2"/>
    <m/>
    <n v="8.3699999999999997E-2"/>
    <m/>
    <m/>
    <m/>
    <m/>
    <n v="33.57"/>
    <n v="33.853700000000003"/>
  </r>
  <r>
    <x v="1"/>
    <x v="3"/>
    <m/>
    <s v="UK2 (~50 cow farm)"/>
    <m/>
    <s v="UK"/>
    <n v="2012"/>
    <s v="Schroeder, Roberto_x000a_Aguiar, Luís Kluwe_x000a_Baines, Richard"/>
    <m/>
    <s v="Peer Reviewed Journal"/>
    <s v="Schroeder, R., Aguiar, L. K. and Baines, R., Carbon footprint in meat production and supply chains. Journal of Food Science and Engineering 2012, 2 (11), 652."/>
    <s v="Yes"/>
    <s v="No"/>
    <s v="No"/>
    <s v="Yes"/>
    <s v="No"/>
    <s v="Yes"/>
    <s v="No"/>
    <s v="No"/>
    <s v="No"/>
    <s v="No"/>
    <s v="No"/>
    <s v="No"/>
    <m/>
    <m/>
    <m/>
    <m/>
    <s v="1 kg bone-free meat"/>
    <m/>
    <s v=""/>
    <s v=""/>
    <n v="33.710000000000008"/>
    <n v="33.910000000000011"/>
    <m/>
    <m/>
    <m/>
    <m/>
    <m/>
    <m/>
    <m/>
    <m/>
    <m/>
    <m/>
    <m/>
    <m/>
    <m/>
    <n v="33.710000000000008"/>
    <m/>
    <n v="0.2"/>
    <m/>
    <n v="7.9500000000000001E-2"/>
    <m/>
    <m/>
    <m/>
    <m/>
    <n v="33.710000000000008"/>
    <n v="33.989500000000014"/>
  </r>
  <r>
    <x v="1"/>
    <x v="3"/>
    <m/>
    <s v="Brazil (~300 cow farm)"/>
    <m/>
    <s v="Brazil"/>
    <n v="2012"/>
    <s v="Schroeder, Roberto_x000a_Aguiar, Luís Kluwe_x000a_Baines, Richard"/>
    <m/>
    <s v="Peer Reviewed Journal"/>
    <s v="Schroeder, R., Aguiar, L. K. and Baines, R., Carbon footprint in meat production and supply chains. Journal of Food Science and Engineering 2012, 2 (11), 652."/>
    <s v="Yes"/>
    <s v="No"/>
    <s v="No"/>
    <s v="Yes"/>
    <s v="No"/>
    <s v="Yes"/>
    <s v="No"/>
    <s v="No"/>
    <s v="No"/>
    <s v="No"/>
    <s v="No"/>
    <s v="No"/>
    <m/>
    <m/>
    <m/>
    <m/>
    <s v="1 kg bone-free meat"/>
    <m/>
    <s v=""/>
    <s v=""/>
    <n v="44.75"/>
    <n v="44.95"/>
    <m/>
    <m/>
    <m/>
    <m/>
    <m/>
    <m/>
    <m/>
    <m/>
    <m/>
    <m/>
    <m/>
    <m/>
    <m/>
    <n v="44.75"/>
    <m/>
    <n v="0.2"/>
    <m/>
    <n v="0.1179"/>
    <m/>
    <m/>
    <m/>
    <m/>
    <n v="44.75"/>
    <n v="45.067900000000002"/>
  </r>
  <r>
    <x v="0"/>
    <x v="0"/>
    <m/>
    <s v="organic"/>
    <m/>
    <s v="France"/>
    <n v="2009"/>
    <s v="van der Werf, Hayo MG_x000a_Kanyarushoki, Claver_x000a_Corson, Michael S"/>
    <m/>
    <s v="Peer Reviewed Journal"/>
    <s v="Van Der Werf, H. M., Kanyarushoki, C. and Corson, M. S., An operational method for the evaluation of resource use and environmental impacts of dairy farms by life cycle assessment. Journal of environmental management 2009, 90 (11), 3643-3652."/>
    <s v="Yes"/>
    <s v="No"/>
    <s v="No"/>
    <s v="No"/>
    <s v="No"/>
    <s v="No"/>
    <s v="No"/>
    <s v="No"/>
    <s v="No"/>
    <s v="No"/>
    <s v="No"/>
    <s v="No"/>
    <m/>
    <s v="farm gate"/>
    <m/>
    <m/>
    <s v="1000 kg FPCM"/>
    <s v="/1000"/>
    <n v="2.6"/>
    <s v=""/>
    <n v="1.0820000000000001"/>
    <s v=""/>
    <n v="2.6"/>
    <m/>
    <m/>
    <m/>
    <m/>
    <m/>
    <m/>
    <m/>
    <m/>
    <n v="2.6"/>
    <m/>
    <m/>
    <s v="CV=34%, n=6"/>
    <n v="1.0820000000000001"/>
    <m/>
    <m/>
    <m/>
    <m/>
    <m/>
    <m/>
    <m/>
    <m/>
    <n v="1.0820000000000001"/>
    <m/>
  </r>
  <r>
    <x v="0"/>
    <x v="0"/>
    <m/>
    <s v="conventional"/>
    <m/>
    <s v="France"/>
    <n v="2009"/>
    <s v="van der Werf, Hayo MG_x000a_Kanyarushoki, Claver_x000a_Corson, Michael S"/>
    <m/>
    <s v="Peer Reviewed Journal"/>
    <s v="Van Der Werf, H. M., Kanyarushoki, C. and Corson, M. S., An operational method for the evaluation of resource use and environmental impacts of dairy farms by life cycle assessment. Journal of environmental management 2009, 90 (11), 3643-3652."/>
    <s v="Yes"/>
    <s v="No"/>
    <s v="No"/>
    <s v="No"/>
    <s v="No"/>
    <s v="No"/>
    <s v="No"/>
    <s v="No"/>
    <s v="No"/>
    <s v="No"/>
    <s v="No"/>
    <s v="No"/>
    <m/>
    <s v="farm gate"/>
    <m/>
    <m/>
    <s v="1000 kg FPCM"/>
    <s v="/1000"/>
    <n v="2.8"/>
    <s v=""/>
    <n v="1.0369999999999999"/>
    <s v=""/>
    <n v="2.8"/>
    <m/>
    <m/>
    <m/>
    <m/>
    <m/>
    <m/>
    <m/>
    <m/>
    <n v="2.8"/>
    <m/>
    <m/>
    <s v="CV=16%, n=41"/>
    <n v="1.0369999999999999"/>
    <m/>
    <m/>
    <m/>
    <m/>
    <m/>
    <m/>
    <m/>
    <m/>
    <n v="1.0369999999999999"/>
    <m/>
  </r>
  <r>
    <x v="12"/>
    <x v="102"/>
    <m/>
    <s v="aquaculture, salmon, fresh gutted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89"/>
    <m/>
    <m/>
    <m/>
    <m/>
    <m/>
    <m/>
    <m/>
    <m/>
    <m/>
    <m/>
    <n v="55.4"/>
    <m/>
    <m/>
    <n v="2.8600000000000003"/>
    <m/>
    <n v="0.03"/>
    <n v="0.2"/>
    <n v="0.51"/>
    <m/>
    <m/>
    <m/>
    <m/>
    <n v="2.8600000000000003"/>
    <n v="3.6000000000000005"/>
  </r>
  <r>
    <x v="12"/>
    <x v="102"/>
    <m/>
    <s v="aquaculture, salmon, fresh gutted to Oslo"/>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89"/>
    <m/>
    <m/>
    <m/>
    <m/>
    <m/>
    <m/>
    <m/>
    <m/>
    <m/>
    <m/>
    <n v="49.9"/>
    <m/>
    <m/>
    <n v="2.8600000000000003"/>
    <m/>
    <n v="0.03"/>
    <n v="0.2"/>
    <n v="0.2"/>
    <m/>
    <m/>
    <m/>
    <m/>
    <n v="2.8600000000000003"/>
    <n v="3.2900000000000005"/>
  </r>
  <r>
    <x v="12"/>
    <x v="102"/>
    <m/>
    <s v="aquaculture, salmon, fresh gutted to Moscow"/>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89"/>
    <m/>
    <m/>
    <m/>
    <m/>
    <m/>
    <m/>
    <m/>
    <m/>
    <m/>
    <m/>
    <n v="62.3"/>
    <m/>
    <m/>
    <n v="2.8600000000000003"/>
    <m/>
    <n v="0.03"/>
    <n v="0.2"/>
    <n v="1.05"/>
    <m/>
    <m/>
    <m/>
    <m/>
    <n v="2.8600000000000003"/>
    <n v="4.1400000000000006"/>
  </r>
  <r>
    <x v="12"/>
    <x v="102"/>
    <m/>
    <s v="aquaculture, salmon, fresh gutted to Tokyo (by air)"/>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89"/>
    <m/>
    <m/>
    <m/>
    <m/>
    <m/>
    <m/>
    <m/>
    <m/>
    <m/>
    <m/>
    <n v="210.2"/>
    <m/>
    <m/>
    <n v="2.8600000000000003"/>
    <m/>
    <n v="0.03"/>
    <n v="0.14000000000000001"/>
    <n v="10.83"/>
    <m/>
    <m/>
    <m/>
    <m/>
    <n v="2.8600000000000003"/>
    <n v="13.86"/>
  </r>
  <r>
    <x v="12"/>
    <x v="102"/>
    <m/>
    <s v="aquaculture, salmon, frozen gutted to Shanghai (by boat)"/>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n v="2.91"/>
    <m/>
    <m/>
    <m/>
    <m/>
    <m/>
    <m/>
    <m/>
    <m/>
    <m/>
    <m/>
    <n v="61.5"/>
    <m/>
    <m/>
    <n v="2.8600000000000003"/>
    <m/>
    <n v="0.05"/>
    <n v="0.11"/>
    <n v="1.18"/>
    <m/>
    <m/>
    <m/>
    <m/>
    <n v="2.8600000000000003"/>
    <n v="4.2"/>
  </r>
  <r>
    <x v="12"/>
    <x v="102"/>
    <m/>
    <s v="aquaculture, salmon, fresh fillet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
    <n v="2.14"/>
    <m/>
    <m/>
    <m/>
    <m/>
    <m/>
    <m/>
    <m/>
    <m/>
    <m/>
    <m/>
    <n v="40.700000000000003"/>
    <m/>
    <m/>
    <n v="2"/>
    <m/>
    <n v="0.14000000000000001"/>
    <n v="0.09"/>
    <n v="0.26"/>
    <m/>
    <m/>
    <m/>
    <m/>
    <n v="2"/>
    <n v="2.4900000000000002"/>
  </r>
  <r>
    <x v="12"/>
    <x v="102"/>
    <m/>
    <s v="aquaculture, salmon, frozen fillet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
    <n v="2.1800000000000002"/>
    <m/>
    <m/>
    <m/>
    <m/>
    <m/>
    <m/>
    <m/>
    <m/>
    <m/>
    <m/>
    <n v="40.700000000000003"/>
    <m/>
    <m/>
    <n v="2"/>
    <m/>
    <n v="0.18"/>
    <n v="7.0000000000000007E-2"/>
    <n v="0.21"/>
    <m/>
    <m/>
    <m/>
    <m/>
    <n v="2"/>
    <n v="2.46"/>
  </r>
  <r>
    <x v="12"/>
    <x v="103"/>
    <m/>
    <s v="aquaculture, blue mussels, Fresh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1.24"/>
    <s v=""/>
    <m/>
    <m/>
    <m/>
    <m/>
    <m/>
    <m/>
    <m/>
    <m/>
    <m/>
    <m/>
    <n v="45.1"/>
    <m/>
    <m/>
    <n v="1.24"/>
    <m/>
    <n v="0"/>
    <n v="0.11"/>
    <n v="1.19"/>
    <m/>
    <m/>
    <m/>
    <m/>
    <n v="1.24"/>
    <n v="2.54"/>
  </r>
  <r>
    <x v="12"/>
    <x v="104"/>
    <m/>
    <s v="wild capture, cod, fresh gutted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8600000000000003"/>
    <s v=""/>
    <m/>
    <m/>
    <m/>
    <m/>
    <m/>
    <m/>
    <m/>
    <m/>
    <m/>
    <m/>
    <n v="42.6"/>
    <m/>
    <m/>
    <n v="2.8600000000000003"/>
    <m/>
    <n v="0"/>
    <n v="0.19"/>
    <n v="0.56999999999999995"/>
    <m/>
    <m/>
    <m/>
    <m/>
    <n v="2.8600000000000003"/>
    <n v="3.62"/>
  </r>
  <r>
    <x v="12"/>
    <x v="104"/>
    <m/>
    <s v="wild capture, cod, fresh fillet to Oslo"/>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0099999999999998"/>
    <n v="2.13"/>
    <m/>
    <m/>
    <m/>
    <m/>
    <m/>
    <m/>
    <m/>
    <m/>
    <m/>
    <m/>
    <n v="28.6"/>
    <m/>
    <m/>
    <n v="2.0099999999999998"/>
    <m/>
    <n v="0.12"/>
    <n v="0.09"/>
    <n v="0.13"/>
    <m/>
    <m/>
    <m/>
    <m/>
    <n v="2.0099999999999998"/>
    <n v="2.3499999999999996"/>
  </r>
  <r>
    <x v="12"/>
    <x v="104"/>
    <m/>
    <s v="wild capture, cod, fresh fillet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0099999999999998"/>
    <n v="2.13"/>
    <m/>
    <m/>
    <m/>
    <m/>
    <m/>
    <m/>
    <m/>
    <m/>
    <m/>
    <m/>
    <n v="31.3"/>
    <m/>
    <m/>
    <n v="2.0099999999999998"/>
    <m/>
    <n v="0.12"/>
    <n v="0.09"/>
    <n v="0.28000000000000003"/>
    <m/>
    <m/>
    <m/>
    <m/>
    <n v="2.0099999999999998"/>
    <n v="2.5"/>
  </r>
  <r>
    <x v="12"/>
    <x v="104"/>
    <m/>
    <s v="wild capture, cod, frozen fillet to Paris"/>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0099999999999998"/>
    <n v="2.1799999999999997"/>
    <m/>
    <m/>
    <m/>
    <m/>
    <m/>
    <m/>
    <m/>
    <m/>
    <m/>
    <m/>
    <n v="31.5"/>
    <m/>
    <m/>
    <n v="2.0099999999999998"/>
    <m/>
    <n v="0.17"/>
    <n v="7.0000000000000007E-2"/>
    <n v="0.26"/>
    <m/>
    <m/>
    <m/>
    <m/>
    <n v="2.0099999999999998"/>
    <n v="2.5099999999999998"/>
  </r>
  <r>
    <x v="12"/>
    <x v="104"/>
    <m/>
    <s v="wild capture, cod, frozen fillet to Paris, via China"/>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1.7400000000000002"/>
    <n v="2.31"/>
    <m/>
    <m/>
    <m/>
    <m/>
    <m/>
    <m/>
    <m/>
    <m/>
    <m/>
    <m/>
    <n v="45.7"/>
    <m/>
    <m/>
    <n v="1.7400000000000002"/>
    <m/>
    <n v="0.56999999999999995"/>
    <n v="0.13"/>
    <n v="1.34"/>
    <m/>
    <m/>
    <m/>
    <m/>
    <n v="1.7400000000000002"/>
    <n v="3.7800000000000002"/>
  </r>
  <r>
    <x v="12"/>
    <x v="104"/>
    <m/>
    <s v="wild capture, cod, saltfish to Lisbo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1.7000000000000002"/>
    <n v="1.9100000000000001"/>
    <m/>
    <m/>
    <m/>
    <m/>
    <m/>
    <m/>
    <m/>
    <m/>
    <m/>
    <m/>
    <n v="26.6"/>
    <m/>
    <m/>
    <n v="1.7000000000000002"/>
    <m/>
    <n v="0.21"/>
    <n v="0.05"/>
    <n v="0.24"/>
    <m/>
    <m/>
    <m/>
    <m/>
    <n v="1.7000000000000002"/>
    <n v="2.2000000000000002"/>
  </r>
  <r>
    <x v="12"/>
    <x v="104"/>
    <m/>
    <s v="wild capture, cod, clipfish to Lisbo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1.7000000000000002"/>
    <n v="2.06"/>
    <m/>
    <m/>
    <m/>
    <m/>
    <m/>
    <m/>
    <m/>
    <m/>
    <m/>
    <m/>
    <n v="28"/>
    <m/>
    <m/>
    <n v="1.7000000000000002"/>
    <m/>
    <n v="0.36"/>
    <n v="0.03"/>
    <n v="0.17"/>
    <m/>
    <m/>
    <m/>
    <m/>
    <n v="1.7000000000000002"/>
    <n v="2.2599999999999998"/>
  </r>
  <r>
    <x v="12"/>
    <x v="104"/>
    <m/>
    <s v="wild capture, saithe, frozen fillets to Berli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2.13"/>
    <n v="2.2999999999999998"/>
    <m/>
    <m/>
    <m/>
    <m/>
    <m/>
    <m/>
    <m/>
    <m/>
    <m/>
    <m/>
    <n v="32.700000000000003"/>
    <m/>
    <m/>
    <n v="2.13"/>
    <m/>
    <n v="0.17"/>
    <n v="7.0000000000000007E-2"/>
    <n v="0.19"/>
    <m/>
    <m/>
    <m/>
    <m/>
    <n v="2.13"/>
    <n v="2.5599999999999996"/>
  </r>
  <r>
    <x v="12"/>
    <x v="104"/>
    <m/>
    <s v="wild capture, haddock, frozen gutted to Londo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3.33"/>
    <n v="3.36"/>
    <m/>
    <m/>
    <m/>
    <m/>
    <m/>
    <m/>
    <m/>
    <m/>
    <m/>
    <m/>
    <n v="40.9"/>
    <m/>
    <m/>
    <n v="3.33"/>
    <m/>
    <n v="0.03"/>
    <n v="0.16"/>
    <n v="0.2"/>
    <m/>
    <m/>
    <m/>
    <m/>
    <n v="3.33"/>
    <n v="3.72"/>
  </r>
  <r>
    <x v="12"/>
    <x v="104"/>
    <m/>
    <s v="wild capture, haddock, fresh gutted to London"/>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3.33"/>
    <s v=""/>
    <m/>
    <m/>
    <m/>
    <m/>
    <m/>
    <m/>
    <m/>
    <m/>
    <m/>
    <m/>
    <n v="44.7"/>
    <m/>
    <m/>
    <n v="3.33"/>
    <m/>
    <n v="0"/>
    <n v="0.21"/>
    <n v="0.3"/>
    <m/>
    <m/>
    <m/>
    <m/>
    <n v="3.33"/>
    <n v="3.84"/>
  </r>
  <r>
    <x v="12"/>
    <x v="104"/>
    <m/>
    <s v="wild capture, herring, round frozen to Moscow"/>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0.52"/>
    <n v="0.61"/>
    <m/>
    <m/>
    <m/>
    <m/>
    <m/>
    <m/>
    <m/>
    <m/>
    <m/>
    <m/>
    <n v="16.100000000000001"/>
    <m/>
    <m/>
    <n v="0.52"/>
    <m/>
    <n v="0.09"/>
    <n v="0.12"/>
    <n v="0.24"/>
    <m/>
    <m/>
    <m/>
    <m/>
    <n v="0.52"/>
    <n v="0.97"/>
  </r>
  <r>
    <x v="12"/>
    <x v="104"/>
    <m/>
    <s v="wild capture, herring, frozen fillet to Moscow"/>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0.32"/>
    <n v="0.48"/>
    <m/>
    <m/>
    <m/>
    <m/>
    <m/>
    <m/>
    <m/>
    <m/>
    <m/>
    <m/>
    <n v="23.8"/>
    <m/>
    <m/>
    <n v="0.32"/>
    <m/>
    <n v="0.16"/>
    <n v="7.0000000000000007E-2"/>
    <n v="0.83"/>
    <m/>
    <m/>
    <m/>
    <m/>
    <n v="0.32"/>
    <n v="1.38"/>
  </r>
  <r>
    <x v="12"/>
    <x v="104"/>
    <m/>
    <s v="wild capture, round frozen mackerel Tokyo"/>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
    <s v="Yes"/>
    <s v="No"/>
    <s v="No"/>
    <s v="Yes"/>
    <s v="Yes"/>
    <s v="Yes"/>
    <s v="No"/>
    <s v="No"/>
    <s v="No"/>
    <s v="No"/>
    <s v="No"/>
    <s v="No"/>
    <m/>
    <m/>
    <m/>
    <m/>
    <s v="1 kg edible product"/>
    <m/>
    <s v=""/>
    <s v=""/>
    <n v="0.54"/>
    <n v="0.63"/>
    <m/>
    <m/>
    <m/>
    <m/>
    <m/>
    <m/>
    <m/>
    <m/>
    <m/>
    <m/>
    <n v="29"/>
    <m/>
    <m/>
    <n v="0.54"/>
    <m/>
    <n v="0.09"/>
    <n v="0.12"/>
    <n v="1.18"/>
    <m/>
    <m/>
    <m/>
    <m/>
    <n v="0.54"/>
    <n v="1.93"/>
  </r>
  <r>
    <x v="12"/>
    <x v="104"/>
    <m/>
    <s v="wild capture, round frozen mackerel Moscow"/>
    <m/>
    <s v="Norway"/>
    <n v="2009"/>
    <s v="Winther, Ulf_x000a_Ziegler, Friederike_x000a_Hognes, Erik Skontorp_x000a_Emanuelsson, Andreas_x000a_Sund, Veronica_x000a_Ellingsen, Harald"/>
    <m/>
    <s v="NGO Report"/>
    <s v="Winther, U., Ziegler, F., Hognes, E. S., Emanuelsson, A., Sund, V. and Ellingsen, H., Carbon footprint and energy use of Norwegian seafood products. SINTEF Fisheries and Aquaculture, Report SFH80 A 2009, 96068."/>
    <s v="Yes"/>
    <s v="No"/>
    <s v="No"/>
    <s v="Yes"/>
    <s v="Yes"/>
    <s v="Yes"/>
    <s v="No"/>
    <s v="No"/>
    <s v="No"/>
    <s v="No"/>
    <s v="No"/>
    <s v="No"/>
    <m/>
    <m/>
    <m/>
    <m/>
    <s v="1 kg edible product"/>
    <m/>
    <s v=""/>
    <s v=""/>
    <n v="0.54"/>
    <n v="0.63"/>
    <m/>
    <m/>
    <m/>
    <m/>
    <m/>
    <m/>
    <m/>
    <m/>
    <m/>
    <m/>
    <n v="16.3"/>
    <m/>
    <m/>
    <n v="0.54"/>
    <m/>
    <n v="0.09"/>
    <n v="0.12"/>
    <n v="0.24"/>
    <m/>
    <m/>
    <m/>
    <m/>
    <n v="0.54"/>
    <n v="0.99"/>
  </r>
  <r>
    <x v="1"/>
    <x v="1"/>
    <m/>
    <s v="sub-clover"/>
    <m/>
    <s v="Australia"/>
    <n v="2010"/>
    <s v="Biswas, Wahidul K_x000a_Graham, John_x000a_Kelly, Kevin_x000a_John, Michele B"/>
    <m/>
    <s v="Peer Reviewed Journal"/>
    <s v="Biswas, W. K., Graham, J., Kelly, K. and John, M. B., Global warming contributions from wheat, sheep meat and wool production in Victoria, Australia–a life cycle assessment. Journal of Cleaner Production 2010, 18 (14), 1386-1392."/>
    <s v="Yes"/>
    <s v="No"/>
    <s v="No"/>
    <s v="No"/>
    <s v="No"/>
    <s v="No"/>
    <s v="No"/>
    <s v="No"/>
    <s v="No"/>
    <s v="No"/>
    <s v="No"/>
    <s v="No"/>
    <m/>
    <m/>
    <m/>
    <m/>
    <s v="1 kg live weight"/>
    <s v="/0.658/0.508"/>
    <s v=""/>
    <s v=""/>
    <n v="16.633559102984464"/>
    <s v=""/>
    <m/>
    <m/>
    <m/>
    <m/>
    <m/>
    <m/>
    <m/>
    <m/>
    <m/>
    <m/>
    <m/>
    <m/>
    <m/>
    <n v="16.633559102984464"/>
    <m/>
    <m/>
    <m/>
    <m/>
    <m/>
    <m/>
    <m/>
    <m/>
    <n v="16.633559102984464"/>
    <m/>
  </r>
  <r>
    <x v="1"/>
    <x v="1"/>
    <m/>
    <s v="mixed pasture"/>
    <m/>
    <s v="Australia"/>
    <n v="2010"/>
    <s v="Biswas, Wahidul K_x000a_Graham, John_x000a_Kelly, Kevin_x000a_John, Michele B"/>
    <m/>
    <s v="Peer Reviewed Journal"/>
    <s v="Biswas, W. K., Graham, J., Kelly, K. and John, M. B., Global warming contributions from wheat, sheep meat and wool production in Victoria, Australia–a life cycle assessment. Journal of Cleaner Production 2010, 18 (14), 1386-1392."/>
    <s v="Yes"/>
    <s v="No"/>
    <s v="No"/>
    <s v="No"/>
    <s v="No"/>
    <s v="No"/>
    <s v="No"/>
    <s v="No"/>
    <s v="No"/>
    <s v="No"/>
    <s v="No"/>
    <s v="No"/>
    <m/>
    <m/>
    <m/>
    <m/>
    <s v="1 kg live weight"/>
    <s v="/0.658/0.508"/>
    <s v=""/>
    <s v=""/>
    <n v="15.227484862264557"/>
    <s v=""/>
    <m/>
    <m/>
    <m/>
    <m/>
    <m/>
    <m/>
    <m/>
    <m/>
    <m/>
    <m/>
    <m/>
    <m/>
    <m/>
    <n v="15.227484862264557"/>
    <m/>
    <m/>
    <m/>
    <m/>
    <m/>
    <m/>
    <m/>
    <m/>
    <n v="15.227484862264557"/>
    <m/>
  </r>
  <r>
    <x v="5"/>
    <x v="67"/>
    <m/>
    <m/>
    <m/>
    <s v="Australia"/>
    <n v="2010"/>
    <s v="Biswas, Wahidul K_x000a_Graham, John_x000a_Kelly, Kevin_x000a_John, Michele B"/>
    <m/>
    <s v="Peer Reviewed Journal"/>
    <s v="Biswas, W. K., Graham, J., Kelly, K. and John, M. B., Global warming contributions from wheat, sheep meat and wool production in Victoria, Australia–a life cycle assessment. Journal of Cleaner Production 2010, 18 (14), 1386-1392."/>
    <s v="Yes"/>
    <s v="No"/>
    <s v="No"/>
    <s v="No"/>
    <s v="No"/>
    <s v="No"/>
    <s v="No"/>
    <s v="No"/>
    <s v="No"/>
    <s v="No"/>
    <s v="No"/>
    <s v="No"/>
    <m/>
    <m/>
    <m/>
    <m/>
    <s v="1 kg"/>
    <m/>
    <s v=""/>
    <s v=""/>
    <n v="0.4"/>
    <s v=""/>
    <m/>
    <m/>
    <m/>
    <m/>
    <m/>
    <m/>
    <m/>
    <m/>
    <m/>
    <m/>
    <m/>
    <m/>
    <m/>
    <n v="0.4"/>
    <m/>
    <m/>
    <m/>
    <m/>
    <m/>
    <m/>
    <m/>
    <m/>
    <n v="0.4"/>
    <m/>
  </r>
  <r>
    <x v="12"/>
    <x v="104"/>
    <m/>
    <s v="combined purse seiner and pelagic trawler in NE Atlantic"/>
    <m/>
    <s v="Norway"/>
    <n v="2010"/>
    <s v=" Fet, Annik Magerholm_x000a_Schau, Erwin M_x000a_Haskins, Cecilia"/>
    <m/>
    <s v="Peer Reviewed Journal"/>
    <s v="Fet, A. M., Schau, E. M. and Haskins, C., A framework for environmental analyses of fish food production systems based on systems engineering principles. Systems Engineering 2010, 13 (2), 109-118."/>
    <s v="Yes"/>
    <s v="No"/>
    <s v="No"/>
    <s v="Yes"/>
    <s v="Yes"/>
    <s v="Yes"/>
    <s v="No"/>
    <s v="No"/>
    <s v="No"/>
    <s v="No"/>
    <s v="No"/>
    <s v="No"/>
    <m/>
    <m/>
    <m/>
    <m/>
    <s v="1 kg frozen fish fillet, delivered to Paris"/>
    <m/>
    <s v=""/>
    <s v=""/>
    <n v="0.82300000000000006"/>
    <n v="0.82517000000000007"/>
    <m/>
    <m/>
    <m/>
    <m/>
    <m/>
    <m/>
    <m/>
    <m/>
    <m/>
    <m/>
    <m/>
    <m/>
    <m/>
    <n v="0.82300000000000006"/>
    <m/>
    <n v="2.1700000000000001E-3"/>
    <n v="8.4000000000000005E-2"/>
    <n v="0.13800000000000001"/>
    <m/>
    <m/>
    <m/>
    <m/>
    <n v="0.82300000000000006"/>
    <n v="1.0471699999999999"/>
  </r>
  <r>
    <x v="1"/>
    <x v="1"/>
    <m/>
    <s v="typical New Zealand production"/>
    <m/>
    <s v="New Zealand"/>
    <n v="2010"/>
    <s v="Ledgard, SF_x000a_Lieffering, M_x000a_McDevitt, J_x000a_Boyes, M_x000a_Kemp, R"/>
    <m/>
    <s v="Peer Reviewed Journal"/>
    <s v="Ledgard, S., Lieffering, M., Mcdevitt, J., Boyes, M. and Kemp, R., A greenhouse gas footprint study for exported New Zealand lamb. Report for Meat Industry Association, Ballance Agri-nutrients, Landcorp and MAF. AgResearch, Hamilton, 26pp 2010."/>
    <s v="Yes"/>
    <s v="No"/>
    <s v="Yes"/>
    <s v="Yes"/>
    <s v="Yes"/>
    <s v="Yes"/>
    <s v="Yes"/>
    <s v="No"/>
    <s v="Yes"/>
    <s v="Yes"/>
    <s v="No"/>
    <s v="No"/>
    <m/>
    <s v="NZ lamb to UK"/>
    <m/>
    <m/>
    <s v="100g portion of raw purchased meat"/>
    <s v="assumed this is bone-free. X10"/>
    <s v=""/>
    <s v=""/>
    <n v="15.200000000000001"/>
    <n v="15.770000000000001"/>
    <m/>
    <m/>
    <m/>
    <m/>
    <m/>
    <m/>
    <m/>
    <m/>
    <m/>
    <m/>
    <m/>
    <m/>
    <m/>
    <n v="15.200000000000001"/>
    <m/>
    <n v="0.56999999999999995"/>
    <m/>
    <n v="0.95000000000000007"/>
    <m/>
    <n v="2.2799999999999998"/>
    <m/>
    <m/>
    <n v="15.200000000000001"/>
    <n v="19"/>
  </r>
  <r>
    <x v="3"/>
    <x v="139"/>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2.54"/>
    <s v=""/>
    <m/>
    <m/>
    <m/>
    <m/>
    <m/>
    <m/>
    <m/>
    <m/>
    <m/>
    <m/>
    <m/>
    <m/>
    <m/>
    <n v="2.54"/>
    <m/>
    <m/>
    <m/>
    <m/>
    <m/>
    <m/>
    <m/>
    <m/>
    <n v="2.54"/>
    <m/>
  </r>
  <r>
    <x v="3"/>
    <x v="77"/>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1.37"/>
    <s v=""/>
    <m/>
    <m/>
    <m/>
    <m/>
    <m/>
    <m/>
    <m/>
    <m/>
    <m/>
    <m/>
    <m/>
    <m/>
    <m/>
    <n v="1.37"/>
    <m/>
    <m/>
    <m/>
    <m/>
    <m/>
    <m/>
    <m/>
    <m/>
    <n v="1.37"/>
    <m/>
  </r>
  <r>
    <x v="3"/>
    <x v="196"/>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4"/>
    <s v=""/>
    <m/>
    <m/>
    <m/>
    <m/>
    <m/>
    <m/>
    <m/>
    <m/>
    <m/>
    <m/>
    <m/>
    <m/>
    <m/>
    <n v="0.24"/>
    <m/>
    <m/>
    <m/>
    <m/>
    <m/>
    <m/>
    <m/>
    <m/>
    <n v="0.24"/>
    <m/>
  </r>
  <r>
    <x v="3"/>
    <x v="75"/>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1.73"/>
    <s v=""/>
    <m/>
    <m/>
    <m/>
    <m/>
    <m/>
    <m/>
    <m/>
    <m/>
    <m/>
    <m/>
    <m/>
    <m/>
    <m/>
    <n v="1.73"/>
    <m/>
    <m/>
    <m/>
    <m/>
    <m/>
    <m/>
    <m/>
    <m/>
    <n v="1.73"/>
    <m/>
  </r>
  <r>
    <x v="3"/>
    <x v="197"/>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3"/>
    <s v=""/>
    <m/>
    <m/>
    <m/>
    <m/>
    <m/>
    <m/>
    <m/>
    <m/>
    <m/>
    <m/>
    <m/>
    <m/>
    <m/>
    <n v="0.23"/>
    <m/>
    <m/>
    <m/>
    <m/>
    <m/>
    <m/>
    <m/>
    <m/>
    <n v="0.23"/>
    <m/>
  </r>
  <r>
    <x v="3"/>
    <x v="88"/>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59"/>
    <s v=""/>
    <m/>
    <m/>
    <m/>
    <m/>
    <m/>
    <m/>
    <m/>
    <m/>
    <m/>
    <m/>
    <m/>
    <m/>
    <m/>
    <n v="0.59"/>
    <m/>
    <m/>
    <m/>
    <m/>
    <m/>
    <m/>
    <m/>
    <m/>
    <n v="0.59"/>
    <m/>
  </r>
  <r>
    <x v="3"/>
    <x v="232"/>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
    <s v=""/>
    <m/>
    <m/>
    <m/>
    <m/>
    <m/>
    <m/>
    <m/>
    <m/>
    <m/>
    <m/>
    <m/>
    <m/>
    <m/>
    <n v="0.2"/>
    <m/>
    <m/>
    <m/>
    <m/>
    <m/>
    <m/>
    <m/>
    <m/>
    <n v="0.2"/>
    <m/>
  </r>
  <r>
    <x v="3"/>
    <x v="95"/>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38"/>
    <s v=""/>
    <m/>
    <m/>
    <m/>
    <m/>
    <m/>
    <m/>
    <m/>
    <m/>
    <m/>
    <m/>
    <m/>
    <m/>
    <m/>
    <n v="0.38"/>
    <m/>
    <m/>
    <m/>
    <m/>
    <m/>
    <m/>
    <m/>
    <m/>
    <n v="0.38"/>
    <m/>
  </r>
  <r>
    <x v="3"/>
    <x v="203"/>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18"/>
    <s v=""/>
    <m/>
    <m/>
    <m/>
    <m/>
    <m/>
    <m/>
    <m/>
    <m/>
    <m/>
    <m/>
    <m/>
    <m/>
    <m/>
    <n v="0.18"/>
    <m/>
    <m/>
    <m/>
    <m/>
    <m/>
    <m/>
    <m/>
    <m/>
    <n v="0.18"/>
    <m/>
  </r>
  <r>
    <x v="3"/>
    <x v="236"/>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66"/>
    <s v=""/>
    <m/>
    <m/>
    <m/>
    <m/>
    <m/>
    <m/>
    <m/>
    <m/>
    <m/>
    <m/>
    <m/>
    <m/>
    <m/>
    <n v="0.66"/>
    <m/>
    <m/>
    <m/>
    <m/>
    <m/>
    <m/>
    <m/>
    <m/>
    <n v="0.66"/>
    <m/>
  </r>
  <r>
    <x v="3"/>
    <x v="86"/>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13"/>
    <s v=""/>
    <m/>
    <m/>
    <m/>
    <m/>
    <m/>
    <m/>
    <m/>
    <m/>
    <m/>
    <m/>
    <m/>
    <m/>
    <m/>
    <n v="0.13"/>
    <m/>
    <m/>
    <m/>
    <m/>
    <m/>
    <m/>
    <m/>
    <m/>
    <n v="0.13"/>
    <m/>
  </r>
  <r>
    <x v="3"/>
    <x v="166"/>
    <m/>
    <s v="fresh pod"/>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3.94"/>
    <s v=""/>
    <m/>
    <m/>
    <m/>
    <m/>
    <m/>
    <m/>
    <m/>
    <m/>
    <m/>
    <m/>
    <m/>
    <m/>
    <m/>
    <n v="3.94"/>
    <m/>
    <m/>
    <m/>
    <m/>
    <m/>
    <m/>
    <m/>
    <m/>
    <n v="3.94"/>
    <m/>
  </r>
  <r>
    <x v="3"/>
    <x v="166"/>
    <m/>
    <s v="shelled"/>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2.46"/>
    <s v=""/>
    <m/>
    <m/>
    <m/>
    <m/>
    <m/>
    <m/>
    <m/>
    <m/>
    <m/>
    <m/>
    <m/>
    <m/>
    <m/>
    <n v="2.46"/>
    <m/>
    <m/>
    <m/>
    <m/>
    <m/>
    <m/>
    <m/>
    <m/>
    <n v="2.46"/>
    <m/>
  </r>
  <r>
    <x v="3"/>
    <x v="57"/>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32"/>
    <s v=""/>
    <m/>
    <m/>
    <m/>
    <m/>
    <m/>
    <m/>
    <m/>
    <m/>
    <m/>
    <m/>
    <m/>
    <m/>
    <m/>
    <n v="0.32"/>
    <m/>
    <m/>
    <m/>
    <m/>
    <m/>
    <m/>
    <m/>
    <m/>
    <n v="0.32"/>
    <m/>
  </r>
  <r>
    <x v="3"/>
    <x v="237"/>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5"/>
    <s v=""/>
    <m/>
    <m/>
    <m/>
    <m/>
    <m/>
    <m/>
    <m/>
    <m/>
    <m/>
    <m/>
    <m/>
    <m/>
    <m/>
    <n v="0.25"/>
    <m/>
    <m/>
    <m/>
    <m/>
    <m/>
    <m/>
    <m/>
    <m/>
    <n v="0.25"/>
    <m/>
  </r>
  <r>
    <x v="4"/>
    <x v="199"/>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38"/>
    <s v=""/>
    <m/>
    <m/>
    <m/>
    <m/>
    <m/>
    <m/>
    <m/>
    <m/>
    <m/>
    <m/>
    <m/>
    <m/>
    <m/>
    <n v="0.38"/>
    <m/>
    <m/>
    <m/>
    <m/>
    <m/>
    <m/>
    <m/>
    <m/>
    <n v="0.38"/>
    <m/>
  </r>
  <r>
    <x v="3"/>
    <x v="63"/>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06"/>
    <s v=""/>
    <m/>
    <m/>
    <m/>
    <m/>
    <m/>
    <m/>
    <m/>
    <m/>
    <m/>
    <m/>
    <m/>
    <m/>
    <m/>
    <n v="0.06"/>
    <m/>
    <m/>
    <m/>
    <m/>
    <m/>
    <m/>
    <m/>
    <m/>
    <n v="0.06"/>
    <m/>
  </r>
  <r>
    <x v="3"/>
    <x v="233"/>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1"/>
    <s v=""/>
    <m/>
    <m/>
    <m/>
    <m/>
    <m/>
    <m/>
    <m/>
    <m/>
    <m/>
    <m/>
    <m/>
    <m/>
    <m/>
    <n v="0.21"/>
    <m/>
    <m/>
    <m/>
    <m/>
    <m/>
    <m/>
    <m/>
    <m/>
    <n v="0.21"/>
    <m/>
  </r>
  <r>
    <x v="3"/>
    <x v="44"/>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7"/>
    <s v=""/>
    <m/>
    <m/>
    <m/>
    <m/>
    <m/>
    <m/>
    <m/>
    <m/>
    <m/>
    <m/>
    <m/>
    <m/>
    <m/>
    <n v="0.27"/>
    <m/>
    <m/>
    <m/>
    <m/>
    <m/>
    <m/>
    <m/>
    <m/>
    <n v="0.27"/>
    <m/>
  </r>
  <r>
    <x v="3"/>
    <x v="206"/>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63"/>
    <s v=""/>
    <m/>
    <m/>
    <m/>
    <m/>
    <m/>
    <m/>
    <m/>
    <m/>
    <m/>
    <m/>
    <m/>
    <m/>
    <m/>
    <n v="0.63"/>
    <m/>
    <m/>
    <m/>
    <m/>
    <m/>
    <m/>
    <m/>
    <m/>
    <n v="0.63"/>
    <m/>
  </r>
  <r>
    <x v="3"/>
    <x v="238"/>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1.38"/>
    <s v=""/>
    <m/>
    <m/>
    <m/>
    <m/>
    <m/>
    <m/>
    <m/>
    <m/>
    <m/>
    <m/>
    <m/>
    <m/>
    <m/>
    <n v="1.38"/>
    <m/>
    <m/>
    <m/>
    <m/>
    <m/>
    <m/>
    <m/>
    <m/>
    <n v="1.38"/>
    <m/>
  </r>
  <r>
    <x v="3"/>
    <x v="19"/>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0.22"/>
    <s v=""/>
    <m/>
    <m/>
    <m/>
    <m/>
    <m/>
    <m/>
    <m/>
    <m/>
    <m/>
    <m/>
    <m/>
    <m/>
    <m/>
    <n v="0.22"/>
    <m/>
    <m/>
    <m/>
    <m/>
    <m/>
    <m/>
    <m/>
    <m/>
    <n v="0.22"/>
    <m/>
  </r>
  <r>
    <x v="3"/>
    <x v="99"/>
    <m/>
    <m/>
    <m/>
    <s v="Australia"/>
    <n v="2010"/>
    <s v="Maraseni, Tek N_x000a_Cockfield, Geoff_x000a_Maroulis, Jerry_x000a_Chen, Guangnan"/>
    <m/>
    <s v="Peer Reviewed Journal"/>
    <s v="Maraseni, T. N., Cockfield, G., Maroulis, J. and Chen, G., An assessment of greenhouse gas emissions from the Australian vegetables industry. Journal of Environmental Science and Health Part B 2010, 45 (6), 578-588."/>
    <s v="Yes"/>
    <s v="No"/>
    <s v="No"/>
    <s v="No"/>
    <s v="No"/>
    <s v="No"/>
    <s v="No"/>
    <s v="No"/>
    <s v="No"/>
    <s v="No"/>
    <s v="No"/>
    <s v="Yes"/>
    <m/>
    <m/>
    <m/>
    <m/>
    <s v="t CO2e/t=kg co2e/kg"/>
    <m/>
    <s v=""/>
    <s v=""/>
    <n v="1.17"/>
    <s v=""/>
    <m/>
    <m/>
    <m/>
    <m/>
    <m/>
    <m/>
    <m/>
    <m/>
    <m/>
    <m/>
    <m/>
    <m/>
    <m/>
    <n v="1.17"/>
    <m/>
    <m/>
    <m/>
    <m/>
    <m/>
    <m/>
    <m/>
    <m/>
    <n v="1.17"/>
    <m/>
  </r>
  <r>
    <x v="1"/>
    <x v="3"/>
    <m/>
    <s v="specialized beef in grassland area, calf-to-weanling and fattend females"/>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77.034572414789267"/>
    <s v=""/>
    <n v="41.092410605328567"/>
    <s v=""/>
    <n v="77.034572414789267"/>
    <m/>
    <m/>
    <m/>
    <m/>
    <m/>
    <m/>
    <m/>
    <m/>
    <n v="77.034572414789267"/>
    <m/>
    <m/>
    <m/>
    <n v="41.092410605328567"/>
    <m/>
    <m/>
    <m/>
    <m/>
    <m/>
    <m/>
    <m/>
    <m/>
    <n v="41.092410605328567"/>
    <m/>
  </r>
  <r>
    <x v="1"/>
    <x v="3"/>
    <m/>
    <s v="specialized beef in grassland area, calf-to-weanling, 100% grassland farm"/>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73.694880134683487"/>
    <s v=""/>
    <n v="42.586680081885966"/>
    <s v=""/>
    <n v="73.694880134683487"/>
    <m/>
    <m/>
    <m/>
    <m/>
    <m/>
    <m/>
    <m/>
    <m/>
    <n v="73.694880134683487"/>
    <m/>
    <m/>
    <m/>
    <n v="42.586680081885966"/>
    <m/>
    <m/>
    <m/>
    <m/>
    <m/>
    <m/>
    <m/>
    <m/>
    <n v="42.586680081885966"/>
    <m/>
  </r>
  <r>
    <x v="1"/>
    <x v="3"/>
    <m/>
    <s v="specialized beef in grassland area, calf-to-beef, beef steer production"/>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72.110954489532631"/>
    <s v=""/>
    <n v="37.107692001175486"/>
    <s v=""/>
    <n v="72.110954489532631"/>
    <m/>
    <m/>
    <m/>
    <m/>
    <m/>
    <m/>
    <m/>
    <m/>
    <n v="72.110954489532631"/>
    <m/>
    <m/>
    <m/>
    <n v="37.107692001175486"/>
    <m/>
    <m/>
    <m/>
    <m/>
    <m/>
    <m/>
    <m/>
    <m/>
    <n v="37.107692001175486"/>
    <m/>
  </r>
  <r>
    <x v="1"/>
    <x v="3"/>
    <m/>
    <s v="mixed crop-livestock, calf-to-beef intensive baby beef production"/>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66.497482155932005"/>
    <s v=""/>
    <n v="36.360557262896791"/>
    <s v=""/>
    <n v="66.497482155932005"/>
    <m/>
    <m/>
    <m/>
    <m/>
    <m/>
    <m/>
    <m/>
    <m/>
    <n v="66.497482155932005"/>
    <m/>
    <m/>
    <m/>
    <n v="36.360557262896791"/>
    <m/>
    <m/>
    <m/>
    <m/>
    <m/>
    <m/>
    <m/>
    <m/>
    <n v="36.360557262896791"/>
    <m/>
  </r>
  <r>
    <x v="1"/>
    <x v="3"/>
    <m/>
    <s v="mixed crop-livestock, calf-to-weanling and cereals production"/>
    <m/>
    <s v="France"/>
    <n v="2010"/>
    <s v="Veysset, P_x000a_Lherm, M_x000a_Bébin, D"/>
    <m/>
    <s v="Peer Reviewed Journal"/>
    <s v="Veysset, P., Lherm, M. and Bébin, D., Energy consumption, greenhouse gas emissions and economic performance assessments in French Charolais suckler cattle farms: Model-based analysis and forecasts. Agricultural Systems 2010, 103 (1), 41-50."/>
    <s v="Yes"/>
    <s v="No"/>
    <s v="No"/>
    <s v="No"/>
    <s v="No"/>
    <s v="No"/>
    <s v="No"/>
    <s v="No"/>
    <s v="No"/>
    <s v="No"/>
    <s v="No"/>
    <s v="No"/>
    <m/>
    <m/>
    <m/>
    <m/>
    <s v="/ton LW"/>
    <s v="/1000/0.667/0.602"/>
    <n v="75.632449555952917"/>
    <s v=""/>
    <n v="47.318533424317742"/>
    <s v=""/>
    <n v="75.632449555952917"/>
    <m/>
    <m/>
    <m/>
    <m/>
    <m/>
    <m/>
    <m/>
    <m/>
    <n v="75.632449555952917"/>
    <m/>
    <m/>
    <m/>
    <n v="47.318533424317742"/>
    <m/>
    <m/>
    <m/>
    <m/>
    <m/>
    <m/>
    <m/>
    <m/>
    <n v="47.318533424317742"/>
    <m/>
  </r>
  <r>
    <x v="5"/>
    <x v="67"/>
    <m/>
    <s v="non-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2.4"/>
    <s v=""/>
    <n v="0.7"/>
    <s v=""/>
    <n v="2.4"/>
    <m/>
    <m/>
    <m/>
    <m/>
    <m/>
    <m/>
    <m/>
    <m/>
    <n v="2.4"/>
    <m/>
    <m/>
    <m/>
    <n v="0.7"/>
    <m/>
    <m/>
    <m/>
    <m/>
    <m/>
    <m/>
    <m/>
    <m/>
    <n v="0.7"/>
    <m/>
  </r>
  <r>
    <x v="5"/>
    <x v="45"/>
    <m/>
    <s v="non-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4.9000000000000004"/>
    <s v=""/>
    <n v="1.4"/>
    <s v=""/>
    <n v="4.9000000000000004"/>
    <m/>
    <m/>
    <m/>
    <m/>
    <m/>
    <m/>
    <m/>
    <m/>
    <n v="4.9000000000000004"/>
    <m/>
    <m/>
    <m/>
    <n v="1.4"/>
    <m/>
    <m/>
    <m/>
    <m/>
    <m/>
    <m/>
    <m/>
    <m/>
    <n v="1.4"/>
    <m/>
  </r>
  <r>
    <x v="3"/>
    <x v="44"/>
    <m/>
    <s v="non-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1.4"/>
    <s v=""/>
    <n v="0.19"/>
    <s v=""/>
    <n v="1.4"/>
    <m/>
    <m/>
    <m/>
    <m/>
    <m/>
    <m/>
    <m/>
    <m/>
    <n v="1.4"/>
    <m/>
    <m/>
    <m/>
    <n v="0.19"/>
    <m/>
    <m/>
    <m/>
    <m/>
    <m/>
    <m/>
    <m/>
    <m/>
    <n v="0.19"/>
    <m/>
  </r>
  <r>
    <x v="5"/>
    <x v="67"/>
    <m/>
    <s v="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2"/>
    <s v=""/>
    <n v="0.8"/>
    <s v=""/>
    <n v="2"/>
    <m/>
    <m/>
    <m/>
    <m/>
    <m/>
    <m/>
    <m/>
    <m/>
    <n v="2"/>
    <m/>
    <m/>
    <m/>
    <n v="0.8"/>
    <m/>
    <m/>
    <m/>
    <m/>
    <m/>
    <m/>
    <m/>
    <m/>
    <n v="0.8"/>
    <m/>
  </r>
  <r>
    <x v="3"/>
    <x v="44"/>
    <m/>
    <s v="organic; assessed via modelling/simulation"/>
    <m/>
    <s v="UK"/>
    <n v="2010"/>
    <s v="Williams, Adrian G_x000a_Audsley, Eric_x000a_Sandars, Daniel L"/>
    <m/>
    <s v="Peer Reviewed Journal"/>
    <s v="Williams, A. G., Audsley, E. and Sandars, D. L., Environmental burdens of producing bread wheat, oilseed rape and potatoes in England and Wales using simulation and system modelling. The International Journal of Life Cycle Assessment 2010, 15 (8), 855-868."/>
    <s v="Yes"/>
    <s v="No"/>
    <s v="No"/>
    <s v="No"/>
    <s v="No"/>
    <s v="No"/>
    <s v="No"/>
    <s v="No"/>
    <s v="No"/>
    <s v="No"/>
    <s v="No"/>
    <s v="No"/>
    <m/>
    <m/>
    <m/>
    <m/>
    <s v="1 kg"/>
    <m/>
    <n v="1.6"/>
    <s v=""/>
    <n v="0.2"/>
    <s v=""/>
    <n v="1.6"/>
    <m/>
    <m/>
    <m/>
    <m/>
    <m/>
    <m/>
    <m/>
    <m/>
    <n v="1.6"/>
    <m/>
    <m/>
    <m/>
    <n v="0.2"/>
    <m/>
    <m/>
    <m/>
    <m/>
    <m/>
    <m/>
    <m/>
    <m/>
    <n v="0.2"/>
    <m/>
  </r>
  <r>
    <x v="12"/>
    <x v="102"/>
    <m/>
    <s v="striped catfish (Pangasianodon hypophthalmus), Mekong Delta"/>
    <m/>
    <s v="Vietnam"/>
    <n v="2011"/>
    <s v="Bosma, Roel_x000a_Anh, Pham Thi_x000a_Potting, José"/>
    <m/>
    <s v="Peer Reviewed Journal"/>
    <s v="Bosma, R., Anh, P. T. and Potting, J., Life cycle assessment of intensive striped catfish farming in the Mekong Delta for screening hotspots as input to environmental policy and research agenda. The International Journal of Life Cycle Assessment 2011, 16 (9), 903."/>
    <s v="Yes"/>
    <s v="No"/>
    <s v="No"/>
    <s v="No"/>
    <s v="No"/>
    <s v="No"/>
    <s v="No"/>
    <s v="No"/>
    <s v="No"/>
    <s v="No"/>
    <s v="No"/>
    <s v="No"/>
    <m/>
    <m/>
    <m/>
    <m/>
    <s v="1 tonne fresh fish at farm gate"/>
    <s v="/.65"/>
    <n v="20.307692307692307"/>
    <s v=""/>
    <n v="13.738461538461538"/>
    <s v=""/>
    <n v="20.307692307692307"/>
    <m/>
    <m/>
    <m/>
    <m/>
    <m/>
    <m/>
    <m/>
    <m/>
    <n v="20.307692307692307"/>
    <m/>
    <m/>
    <m/>
    <n v="13.738461538461538"/>
    <m/>
    <m/>
    <m/>
    <m/>
    <m/>
    <m/>
    <m/>
    <m/>
    <n v="13.738461538461538"/>
    <m/>
  </r>
  <r>
    <x v="1"/>
    <x v="1"/>
    <m/>
    <m/>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LW"/>
    <s v="/0.658/0.508"/>
    <s v=""/>
    <s v=""/>
    <n v="34.10477945575952"/>
    <s v=""/>
    <m/>
    <m/>
    <m/>
    <m/>
    <m/>
    <m/>
    <m/>
    <m/>
    <m/>
    <n v="0"/>
    <m/>
    <m/>
    <m/>
    <n v="34.10477945575952"/>
    <m/>
    <m/>
    <m/>
    <m/>
    <m/>
    <m/>
    <m/>
    <m/>
    <n v="34.10477945575952"/>
    <m/>
  </r>
  <r>
    <x v="1"/>
    <x v="3"/>
    <m/>
    <m/>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LW"/>
    <s v="/0.667/0.602"/>
    <s v=""/>
    <s v=""/>
    <n v="56.782240109181295"/>
    <s v=""/>
    <m/>
    <m/>
    <m/>
    <m/>
    <m/>
    <m/>
    <m/>
    <m/>
    <m/>
    <m/>
    <m/>
    <m/>
    <m/>
    <n v="56.782240109181295"/>
    <m/>
    <m/>
    <m/>
    <m/>
    <m/>
    <m/>
    <m/>
    <m/>
    <n v="56.782240109181295"/>
    <m/>
  </r>
  <r>
    <x v="0"/>
    <x v="0"/>
    <m/>
    <s v="pasture"/>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FPCM"/>
    <m/>
    <s v=""/>
    <s v=""/>
    <n v="9"/>
    <s v=""/>
    <m/>
    <m/>
    <m/>
    <m/>
    <m/>
    <m/>
    <m/>
    <m/>
    <m/>
    <m/>
    <m/>
    <m/>
    <m/>
    <n v="9"/>
    <m/>
    <m/>
    <m/>
    <m/>
    <m/>
    <m/>
    <m/>
    <m/>
    <n v="9"/>
    <m/>
  </r>
  <r>
    <x v="0"/>
    <x v="0"/>
    <m/>
    <s v="pasture/supplement"/>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FPCM"/>
    <m/>
    <s v=""/>
    <s v=""/>
    <n v="8.5"/>
    <s v=""/>
    <m/>
    <m/>
    <m/>
    <m/>
    <m/>
    <m/>
    <m/>
    <m/>
    <m/>
    <m/>
    <m/>
    <m/>
    <m/>
    <n v="8.5"/>
    <m/>
    <m/>
    <m/>
    <m/>
    <m/>
    <m/>
    <m/>
    <m/>
    <n v="8.5"/>
    <m/>
  </r>
  <r>
    <x v="5"/>
    <x v="67"/>
    <m/>
    <m/>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
    <m/>
    <s v=""/>
    <s v=""/>
    <n v="0.04"/>
    <s v=""/>
    <m/>
    <m/>
    <m/>
    <m/>
    <m/>
    <m/>
    <m/>
    <m/>
    <m/>
    <m/>
    <m/>
    <m/>
    <m/>
    <n v="0.04"/>
    <m/>
    <m/>
    <m/>
    <m/>
    <m/>
    <m/>
    <m/>
    <m/>
    <n v="0.04"/>
    <m/>
  </r>
  <r>
    <x v="5"/>
    <x v="125"/>
    <m/>
    <m/>
    <m/>
    <s v="Australia"/>
    <n v="2011"/>
    <s v="Browne, Natalie A_x000a_Eckard, Richard J_x000a_Behrendt, Ralph_x000a_Kingwell, Ross S"/>
    <m/>
    <s v="Peer Reviewed Journal"/>
    <s v="Browne, N. A., Eckard, R. J., Behrendt, R. and Kingwell, R. S., A comparative analysis of on-farm greenhouse gas emissions from agricultural enterprises in south eastern Australia. Animal Feed Science and Technology 2011, 166, 641-652."/>
    <s v="Yes"/>
    <s v="No"/>
    <s v="No"/>
    <s v="No"/>
    <s v="No"/>
    <s v="No"/>
    <s v="No"/>
    <s v="No"/>
    <s v="No"/>
    <s v="No"/>
    <s v="No"/>
    <s v="No"/>
    <m/>
    <m/>
    <m/>
    <m/>
    <s v="kg"/>
    <m/>
    <s v=""/>
    <s v=""/>
    <n v="0.15"/>
    <s v=""/>
    <m/>
    <m/>
    <m/>
    <m/>
    <m/>
    <m/>
    <m/>
    <m/>
    <m/>
    <m/>
    <m/>
    <m/>
    <m/>
    <n v="0.15"/>
    <m/>
    <m/>
    <m/>
    <m/>
    <m/>
    <m/>
    <m/>
    <m/>
    <n v="0.15"/>
    <m/>
  </r>
  <r>
    <x v="0"/>
    <x v="0"/>
    <m/>
    <s v="average of 60 Tasmanian dairy farms, estimated by GHGE calculator"/>
    <m/>
    <s v="Australia (Tasmania)"/>
    <n v="2011"/>
    <s v="Christie, KM_x000a_Rawnsley, RP_x000a_Eckard, RJ"/>
    <m/>
    <s v="Peer Reviewed Journal"/>
    <s v="Christie, K., Rawnsley, R. and Eckard, R., A whole farm systems analysis of greenhouse gas emissions of 60 Tasmanian dairy farms. Animal Feed Science and Technology 2011, 166, 653-662."/>
    <s v="Yes"/>
    <s v="No"/>
    <s v="No"/>
    <s v="No"/>
    <s v="No"/>
    <s v="No"/>
    <s v="No"/>
    <s v="No"/>
    <s v="No"/>
    <s v="No"/>
    <s v="No"/>
    <s v="No"/>
    <m/>
    <m/>
    <m/>
    <m/>
    <s v="kg FPCM"/>
    <m/>
    <s v=""/>
    <s v=""/>
    <n v="1.04"/>
    <s v=""/>
    <m/>
    <m/>
    <m/>
    <m/>
    <m/>
    <m/>
    <m/>
    <m/>
    <m/>
    <m/>
    <m/>
    <m/>
    <m/>
    <n v="1.04"/>
    <m/>
    <m/>
    <m/>
    <m/>
    <m/>
    <m/>
    <m/>
    <m/>
    <n v="1.04"/>
    <m/>
  </r>
  <r>
    <x v="1"/>
    <x v="3"/>
    <m/>
    <s v="National Farm Survey"/>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34.482758620689651"/>
    <s v=""/>
    <m/>
    <m/>
    <m/>
    <m/>
    <m/>
    <m/>
    <m/>
    <m/>
    <m/>
    <m/>
    <m/>
    <m/>
    <m/>
    <n v="34.482758620689651"/>
    <m/>
    <m/>
    <m/>
    <m/>
    <m/>
    <m/>
    <m/>
    <m/>
    <n v="34.482758620689651"/>
    <m/>
  </r>
  <r>
    <x v="1"/>
    <x v="3"/>
    <m/>
    <s v="Steer, moderate"/>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29.535232383808093"/>
    <s v=""/>
    <m/>
    <m/>
    <m/>
    <m/>
    <m/>
    <m/>
    <m/>
    <m/>
    <m/>
    <m/>
    <m/>
    <m/>
    <m/>
    <n v="29.535232383808093"/>
    <m/>
    <m/>
    <m/>
    <m/>
    <m/>
    <m/>
    <m/>
    <m/>
    <n v="29.535232383808093"/>
    <m/>
  </r>
  <r>
    <x v="1"/>
    <x v="3"/>
    <m/>
    <s v="steer, intensive"/>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32.983508245877061"/>
    <s v=""/>
    <m/>
    <m/>
    <m/>
    <m/>
    <m/>
    <m/>
    <m/>
    <m/>
    <m/>
    <m/>
    <m/>
    <m/>
    <m/>
    <n v="32.983508245877061"/>
    <m/>
    <m/>
    <m/>
    <m/>
    <m/>
    <m/>
    <m/>
    <m/>
    <n v="32.983508245877061"/>
    <m/>
  </r>
  <r>
    <x v="1"/>
    <x v="3"/>
    <m/>
    <s v="bull, moderate"/>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28.335832083958017"/>
    <s v=""/>
    <m/>
    <m/>
    <m/>
    <m/>
    <m/>
    <m/>
    <m/>
    <m/>
    <m/>
    <m/>
    <m/>
    <m/>
    <m/>
    <n v="28.335832083958017"/>
    <m/>
    <m/>
    <m/>
    <m/>
    <m/>
    <m/>
    <m/>
    <m/>
    <n v="28.335832083958017"/>
    <m/>
  </r>
  <r>
    <x v="1"/>
    <x v="3"/>
    <m/>
    <s v="bull, intensive"/>
    <m/>
    <s v="Ireland"/>
    <n v="2011"/>
    <s v="Foley, P. A._x000a_Crosson, P._x000a_Lovett, D. K._x000a_Boland, T. M._x000a_O’Mara, F. P._x000a_Kenny, D. A."/>
    <m/>
    <s v="Peer Reviewed Journal"/>
    <s v="Foley, P. A., Crosson, P., Lovett, D. K., Boland, T. M., O’mara, F. P. and Kenny, D. A., Whole-farm systems modelling of greenhouse gas emissions from pastoral suckler beef cow production systems. Agriculture, Ecosystems &amp; Environment 2011, 142 (3–4), 222-230."/>
    <s v="Yes"/>
    <s v="No"/>
    <s v="No"/>
    <s v="No"/>
    <s v="No"/>
    <s v="No"/>
    <s v="No"/>
    <s v="No"/>
    <s v="No"/>
    <s v="No"/>
    <s v="No"/>
    <s v="No"/>
    <m/>
    <s v="modeled production"/>
    <m/>
    <m/>
    <s v="kg beef carcass"/>
    <s v="/0.667"/>
    <s v=""/>
    <s v=""/>
    <n v="30.584707646176909"/>
    <s v=""/>
    <m/>
    <m/>
    <m/>
    <m/>
    <m/>
    <m/>
    <m/>
    <m/>
    <m/>
    <m/>
    <m/>
    <m/>
    <m/>
    <n v="30.584707646176909"/>
    <m/>
    <m/>
    <m/>
    <m/>
    <m/>
    <m/>
    <m/>
    <m/>
    <n v="30.584707646176909"/>
    <m/>
  </r>
  <r>
    <x v="0"/>
    <x v="0"/>
    <m/>
    <s v="average of 45 model farms in 38 countries"/>
    <m/>
    <s v="world"/>
    <n v="2011"/>
    <s v="Hagemann, Martin_x000a_Hemme, Torsten_x000a_Ndambi, Asaah_x000a_Alqaisi, Othman_x000a_Sultana, Mst Nadira"/>
    <m/>
    <s v="Peer Reviewed Journal"/>
    <s v="Hagemann, M., Hemme, T., Ndambi, A., Alqaisi, O. and Sultana, M. N., Benchmarking of greenhouse gas emissions of bovine milk production systems for 38 countries. Animal feed science and technology 2011, 166, 46-58."/>
    <s v="Yes"/>
    <s v="No"/>
    <s v="No"/>
    <s v="No"/>
    <s v="No"/>
    <s v="No"/>
    <s v="No"/>
    <s v="No"/>
    <s v="No"/>
    <s v="No"/>
    <s v="No"/>
    <s v="No"/>
    <m/>
    <m/>
    <m/>
    <m/>
    <s v="kg ECM"/>
    <m/>
    <s v=""/>
    <s v=""/>
    <n v="1.24"/>
    <s v=""/>
    <m/>
    <m/>
    <m/>
    <m/>
    <m/>
    <m/>
    <m/>
    <m/>
    <m/>
    <m/>
    <m/>
    <m/>
    <m/>
    <n v="1.24"/>
    <m/>
    <m/>
    <m/>
    <m/>
    <m/>
    <m/>
    <m/>
    <m/>
    <n v="1.24"/>
    <m/>
  </r>
  <r>
    <x v="0"/>
    <x v="0"/>
    <m/>
    <s v="Aurora Organic Dairy (vertically integrated organic dairy)"/>
    <m/>
    <s v="US"/>
    <n v="2011"/>
    <s v="Heller, M. C._x000a_Keoleian, G. A."/>
    <m/>
    <s v="Peer Reviewed Journal"/>
    <s v="Heller, M. C. and Keoleian, G. A., Life Cycle Energy and Greenhouse Gas Analysis of a Large-Scale Vertically Integrated Organic Dairy in the United States. Environmental Science and Technology 2011, 45 (5), 1903-1910."/>
    <s v="Yes"/>
    <s v="No"/>
    <s v="Yes"/>
    <s v="Yes"/>
    <s v="Yes"/>
    <s v="Yes"/>
    <s v="Yes"/>
    <s v="Yes"/>
    <s v="Yes"/>
    <s v="No"/>
    <s v="No"/>
    <s v="No"/>
    <m/>
    <s v="reporting average of 2 years"/>
    <m/>
    <m/>
    <s v="1 L packaged fluid milk"/>
    <s v="1.035kg/L"/>
    <n v="5.5993499999999994"/>
    <n v="9.4024251999999997"/>
    <n v="1.516275"/>
    <n v="1.72224"/>
    <n v="5.5993499999999994"/>
    <n v="0.49472999999999995"/>
    <n v="3.3083452000000002"/>
    <n v="2.8255499999999998"/>
    <n v="3.6638999999999999"/>
    <n v="0.67274999999999996"/>
    <n v="2.3463449999999999"/>
    <n v="1.0142999999999999E-2"/>
    <m/>
    <n v="5.5993499999999994"/>
    <n v="18.921113199999997"/>
    <m/>
    <m/>
    <n v="1.516275"/>
    <n v="3.5189999999999999E-2"/>
    <n v="0.17077499999999998"/>
    <n v="0.13734450000000001"/>
    <n v="0.24498449999999997"/>
    <n v="4.0468499999999998E-2"/>
    <n v="0.14862599999999998"/>
    <n v="9.2114999999999989E-2"/>
    <m/>
    <n v="1.516275"/>
    <n v="2.3857785000000002"/>
  </r>
  <r>
    <x v="0"/>
    <x v="0"/>
    <s v="Fresh or Not Specified"/>
    <s v="average of 41 intensive dairy farms in the Po valley "/>
    <m/>
    <s v="Italy"/>
    <n v="2013"/>
    <s v="Guerci, Matteo_x000a_Bava, Luciana_x000a_Zucali, Maddalena_x000a_Sandrucci, Anna_x000a_Penati, Chiara_x000a_Tamburini, Alberto"/>
    <s v="Intensive dairy farms in Italy"/>
    <s v="Peer Reviewed Journal"/>
    <s v="Guerci, M., Bava, L., Zucali, M., Sandrucci, A., Penati, C. and Tamburini, A., Effect of farming strategies on environmental impact of intensive dairy farms in Italy. Journal of Dairy Research 2013, 80 (3), 300-308."/>
    <s v="Yes"/>
    <s v="No"/>
    <s v="No"/>
    <s v="No"/>
    <s v="No"/>
    <s v="No"/>
    <s v="No"/>
    <s v="No"/>
    <s v="No"/>
    <s v="No"/>
    <s v="No"/>
    <s v="No"/>
    <m/>
    <s v="cradle to farm gate"/>
    <m/>
    <m/>
    <s v="kg FPCM"/>
    <m/>
    <n v="5.97"/>
    <s v=""/>
    <n v="1.3"/>
    <s v=""/>
    <n v="5.97"/>
    <m/>
    <m/>
    <m/>
    <m/>
    <m/>
    <m/>
    <m/>
    <m/>
    <n v="5.97"/>
    <m/>
    <m/>
    <s v="sd= 1.32; on-farm and off-farm values"/>
    <n v="1.3"/>
    <m/>
    <m/>
    <m/>
    <m/>
    <m/>
    <m/>
    <m/>
    <m/>
    <n v="1.3"/>
    <m/>
  </r>
  <r>
    <x v="0"/>
    <x v="0"/>
    <s v="Fresh or Not Specified"/>
    <s v="organic"/>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2.87"/>
    <s v=""/>
    <n v="1.43"/>
    <s v=""/>
    <n v="2.87"/>
    <m/>
    <m/>
    <m/>
    <m/>
    <m/>
    <m/>
    <m/>
    <m/>
    <n v="2.87"/>
    <m/>
    <m/>
    <s v="Provides on-farm %s"/>
    <n v="1.43"/>
    <m/>
    <m/>
    <m/>
    <m/>
    <m/>
    <m/>
    <m/>
    <m/>
    <n v="1.43"/>
    <m/>
  </r>
  <r>
    <x v="0"/>
    <x v="0"/>
    <s v="Fresh or Not Specified"/>
    <s v="organic"/>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2.5499999999999998"/>
    <s v=""/>
    <n v="1.1000000000000001"/>
    <s v=""/>
    <n v="2.5499999999999998"/>
    <m/>
    <m/>
    <m/>
    <m/>
    <m/>
    <m/>
    <m/>
    <m/>
    <n v="2.5499999999999998"/>
    <m/>
    <m/>
    <s v="Provides on-farm %s"/>
    <n v="1.1000000000000001"/>
    <m/>
    <m/>
    <m/>
    <m/>
    <m/>
    <m/>
    <m/>
    <m/>
    <n v="1.1000000000000001"/>
    <m/>
  </r>
  <r>
    <x v="0"/>
    <x v="0"/>
    <s v="Fresh or Not Specified"/>
    <m/>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3.08"/>
    <s v=""/>
    <n v="1.57"/>
    <s v=""/>
    <n v="3.08"/>
    <m/>
    <m/>
    <m/>
    <m/>
    <m/>
    <m/>
    <m/>
    <m/>
    <n v="3.08"/>
    <m/>
    <m/>
    <s v="Provides on-farm %s"/>
    <n v="1.57"/>
    <m/>
    <m/>
    <m/>
    <m/>
    <m/>
    <m/>
    <m/>
    <m/>
    <n v="1.57"/>
    <m/>
  </r>
  <r>
    <x v="0"/>
    <x v="0"/>
    <s v="Fresh or Not Specified"/>
    <m/>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2.96"/>
    <s v=""/>
    <n v="1.27"/>
    <s v=""/>
    <n v="2.96"/>
    <m/>
    <m/>
    <m/>
    <m/>
    <m/>
    <m/>
    <m/>
    <m/>
    <n v="2.96"/>
    <m/>
    <m/>
    <s v="Provides on-farm %s"/>
    <n v="1.27"/>
    <m/>
    <m/>
    <m/>
    <m/>
    <m/>
    <m/>
    <m/>
    <m/>
    <n v="1.27"/>
    <m/>
  </r>
  <r>
    <x v="0"/>
    <x v="0"/>
    <s v="Fresh or Not Specified"/>
    <m/>
    <m/>
    <s v="Denmark"/>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5.29"/>
    <s v=""/>
    <n v="1.66"/>
    <s v=""/>
    <n v="5.29"/>
    <m/>
    <m/>
    <m/>
    <m/>
    <m/>
    <m/>
    <m/>
    <m/>
    <n v="5.29"/>
    <m/>
    <m/>
    <s v="Provides on-farm %s"/>
    <n v="1.66"/>
    <m/>
    <m/>
    <m/>
    <m/>
    <m/>
    <m/>
    <m/>
    <m/>
    <n v="1.66"/>
    <m/>
  </r>
  <r>
    <x v="0"/>
    <x v="0"/>
    <s v="Fresh or Not Specified"/>
    <m/>
    <m/>
    <s v="German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3.71"/>
    <s v=""/>
    <n v="1.32"/>
    <s v=""/>
    <n v="3.71"/>
    <m/>
    <m/>
    <m/>
    <m/>
    <m/>
    <m/>
    <m/>
    <m/>
    <n v="3.71"/>
    <m/>
    <m/>
    <s v="Provides on-farm %s"/>
    <n v="1.32"/>
    <m/>
    <m/>
    <m/>
    <m/>
    <m/>
    <m/>
    <m/>
    <m/>
    <n v="1.32"/>
    <m/>
  </r>
  <r>
    <x v="0"/>
    <x v="0"/>
    <s v="Fresh or Not Specified"/>
    <s v="pasture based feeding in the summer"/>
    <m/>
    <s v="German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0.92"/>
    <s v=""/>
    <n v="0.55000000000000004"/>
    <s v=""/>
    <n v="0.92"/>
    <m/>
    <m/>
    <m/>
    <m/>
    <m/>
    <m/>
    <m/>
    <m/>
    <n v="0.92"/>
    <m/>
    <m/>
    <s v="Provides on-farm %s"/>
    <n v="0.55000000000000004"/>
    <m/>
    <m/>
    <m/>
    <m/>
    <m/>
    <m/>
    <m/>
    <m/>
    <n v="0.55000000000000004"/>
    <m/>
  </r>
  <r>
    <x v="0"/>
    <x v="0"/>
    <s v="Fresh or Not Specified"/>
    <s v="confinement feed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4.09"/>
    <s v=""/>
    <n v="1.36"/>
    <s v=""/>
    <n v="4.09"/>
    <m/>
    <m/>
    <m/>
    <m/>
    <m/>
    <m/>
    <m/>
    <m/>
    <n v="4.09"/>
    <m/>
    <m/>
    <s v="Provides on-farm %s"/>
    <n v="1.36"/>
    <m/>
    <m/>
    <m/>
    <m/>
    <m/>
    <m/>
    <m/>
    <m/>
    <n v="1.36"/>
    <m/>
  </r>
  <r>
    <x v="0"/>
    <x v="0"/>
    <s v="Fresh or Not Specified"/>
    <s v="confinement feed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3.73"/>
    <s v=""/>
    <n v="1.91"/>
    <s v=""/>
    <n v="3.73"/>
    <m/>
    <m/>
    <m/>
    <m/>
    <m/>
    <m/>
    <m/>
    <m/>
    <n v="3.73"/>
    <m/>
    <m/>
    <s v="Provides on-farm %s"/>
    <n v="1.91"/>
    <m/>
    <m/>
    <m/>
    <m/>
    <m/>
    <m/>
    <m/>
    <m/>
    <n v="1.91"/>
    <m/>
  </r>
  <r>
    <x v="0"/>
    <x v="0"/>
    <s v="Fresh or Not Specified"/>
    <s v="confinement feed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4.12"/>
    <s v=""/>
    <n v="1.47"/>
    <s v=""/>
    <n v="4.12"/>
    <m/>
    <m/>
    <m/>
    <m/>
    <m/>
    <m/>
    <m/>
    <m/>
    <n v="4.12"/>
    <m/>
    <m/>
    <s v="Provides on-farm %s"/>
    <n v="1.47"/>
    <m/>
    <m/>
    <m/>
    <m/>
    <m/>
    <m/>
    <m/>
    <m/>
    <n v="1.47"/>
    <m/>
  </r>
  <r>
    <x v="0"/>
    <x v="0"/>
    <s v="Fresh or Not Specified"/>
    <s v="confinement feeding; intensive farm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3.37"/>
    <s v=""/>
    <n v="1.18"/>
    <s v=""/>
    <n v="3.37"/>
    <m/>
    <m/>
    <m/>
    <m/>
    <m/>
    <m/>
    <m/>
    <m/>
    <n v="3.37"/>
    <m/>
    <m/>
    <s v="Provides on-farm %s"/>
    <n v="1.18"/>
    <m/>
    <m/>
    <m/>
    <m/>
    <m/>
    <m/>
    <m/>
    <m/>
    <n v="1.18"/>
    <m/>
  </r>
  <r>
    <x v="0"/>
    <x v="0"/>
    <s v="Fresh or Not Specified"/>
    <s v="confinement feeding; intensive farming"/>
    <m/>
    <s v="Italy"/>
    <n v="2013"/>
    <s v="Guerci, Matteo_x000a_Knudsen, Marie Trydeman_x000a_Bava, Luciana_x000a_Zucali, Maddalena_x000a_Schönbach, Philipp_x000a_Kristensen, Troels"/>
    <s v="Dairy farms in Denmark, Germany, and Italy"/>
    <s v="Peer Reviewed Journal"/>
    <s v="Guerci, M., Knudsen, M. T., Bava, L., Zucali, M., Schönbach, P. and Kristensen, T., Parameters affecting the environmental impact of a range of dairy farming systems in Denmark, Germany and Italy. Journal of Cleaner Production 2013, 54, 133-141."/>
    <s v="Yes"/>
    <s v="No"/>
    <s v="No"/>
    <s v="No"/>
    <s v="No"/>
    <s v="No"/>
    <s v="No"/>
    <s v="No"/>
    <s v="No"/>
    <s v="No"/>
    <s v="No"/>
    <s v="No"/>
    <m/>
    <s v="cradle to farm gate; uses biological allocation"/>
    <m/>
    <m/>
    <s v="kg ECM"/>
    <m/>
    <n v="2.4"/>
    <s v=""/>
    <n v="1.1100000000000001"/>
    <s v=""/>
    <n v="2.4"/>
    <m/>
    <m/>
    <m/>
    <m/>
    <m/>
    <m/>
    <m/>
    <m/>
    <n v="2.4"/>
    <m/>
    <m/>
    <s v="Provides on-farm %s"/>
    <n v="1.1100000000000001"/>
    <m/>
    <m/>
    <m/>
    <m/>
    <m/>
    <m/>
    <m/>
    <m/>
    <n v="1.1100000000000001"/>
    <m/>
  </r>
  <r>
    <x v="0"/>
    <x v="5"/>
    <s v="Fresh or Not Specified"/>
    <s v="an average for different forms (drinking, stirrable, and solid) of  yogurt"/>
    <m/>
    <s v="Portugal"/>
    <n v="2013"/>
    <s v="González-García, Sara_x000a_Castanheira, Érica G._x000a_Dias, Ana Cláudia_x000a_Arroja, Luis"/>
    <s v="Environmental LCA of a diary product"/>
    <s v="Peer Reviewed Journal"/>
    <s v="González-García, S., Castanheira, É. G., Dias, A. C. and Arroja, L., Environmental life cycle assessment of a dairy product: the yoghurt. The International Journal of Life Cycle Assessment 2013, 18 (4), 796-811."/>
    <s v="Yes"/>
    <s v="No"/>
    <s v="Yes"/>
    <s v="Yes"/>
    <s v="Yes"/>
    <s v="Yes"/>
    <s v="Yes"/>
    <s v="Yes"/>
    <s v="Yes"/>
    <s v="No"/>
    <s v="Yes"/>
    <s v="No"/>
    <s v="Final Disposal"/>
    <s v="cradle to grave; uses mass allocation"/>
    <s v="Yes"/>
    <m/>
    <s v="1 tonne yogurt at the household"/>
    <m/>
    <n v="3.1236359999999999"/>
    <n v="9.6909869999999998"/>
    <n v="0.60097"/>
    <n v="1.3679779999999999"/>
    <n v="3.1236359999999999"/>
    <n v="0.80828900000000004"/>
    <n v="5.7590620000000001"/>
    <n v="4.7992179999999998"/>
    <m/>
    <n v="1.7353540000000001"/>
    <n v="0.86767700000000003"/>
    <n v="8.6767999999999998E-2"/>
    <m/>
    <n v="3.1236359999999999"/>
    <n v="17.180004"/>
    <m/>
    <m/>
    <n v="0.60097"/>
    <n v="5.8043999999999998E-2"/>
    <n v="0.70896400000000004"/>
    <n v="0.16583999999999999"/>
    <m/>
    <n v="0.134545"/>
    <n v="8.0726999999999993E-2"/>
    <n v="2.6908999999999999E-2"/>
    <m/>
    <n v="0.60097"/>
    <n v="1.7759989999999999"/>
  </r>
  <r>
    <x v="0"/>
    <x v="0"/>
    <s v="Fresh or Not Specified"/>
    <s v="average for simple (whole, semi-skimmed, and skimmed) UHT milk and cocoa UHT milk"/>
    <m/>
    <s v="Portugal"/>
    <n v="2013"/>
    <s v="González-García, Sara_x000a_Castanheira, Érica G._x000a_Dias, Ana Cláudia_x000a_Arroja, Luis"/>
    <s v="Using LCA to assess UHT milk production"/>
    <s v="Peer Reviewed Journal"/>
    <s v="González-García, S., Castanheira, É. G., Dias, A. C. and Arroja, L., Using Life Cycle Assessment methodology to assess UHT milk production in Portugal. Science of The Total Environment 2013, 442, 225-234."/>
    <s v="Yes"/>
    <s v="No"/>
    <s v="Yes"/>
    <s v="Yes"/>
    <s v="Yes"/>
    <s v="No"/>
    <s v="No"/>
    <s v="No"/>
    <s v="No"/>
    <s v="No"/>
    <s v="No"/>
    <s v="No"/>
    <m/>
    <s v="cradle to factory gate; uses mass allocation"/>
    <m/>
    <m/>
    <s v="1 kg ECM"/>
    <m/>
    <n v="5.0651999999999999"/>
    <n v="10.56295793"/>
    <n v="0.96256799999999998"/>
    <n v="1.734262"/>
    <n v="5.0651999999999999"/>
    <n v="1.2905534999999999"/>
    <n v="4.20720443"/>
    <n v="1.49704207"/>
    <m/>
    <m/>
    <m/>
    <m/>
    <m/>
    <n v="5.0651999999999999"/>
    <n v="12.059999999999999"/>
    <m/>
    <m/>
    <n v="0.96256799999999998"/>
    <n v="9.1800000000000007E-2"/>
    <n v="0.679894"/>
    <n v="5.738E-3"/>
    <m/>
    <m/>
    <m/>
    <m/>
    <m/>
    <n v="0.96256799999999998"/>
    <n v="1.74"/>
  </r>
  <r>
    <x v="0"/>
    <x v="4"/>
    <s v="Fresh or Not Specified"/>
    <s v="San Simon da Costa cheese (a type of Galician cheese)"/>
    <m/>
    <s v="Spain"/>
    <n v="2013"/>
    <s v="González-García, Sara_x000a_Hospido, Almudena_x000a_Moreira, María Teresa_x000a_Feijoo, Gumersindo_x000a_Arroja, Luis"/>
    <s v="Environmental LCA of a Galician cheese"/>
    <s v="Peer Reviewed Journal"/>
    <s v="González-García, S., Hospido, A., Moreira, M. T., Feijoo, G. and Arroja, L., Environmental Life Cycle Assessment of a Galician cheese: San Simon da Costa. Journal of Cleaner Production 2013, 52, 253-262."/>
    <s v="Yes"/>
    <s v="No"/>
    <s v="Yes"/>
    <s v="Yes"/>
    <s v="Yes"/>
    <s v="No"/>
    <s v="No"/>
    <s v="No"/>
    <s v="No"/>
    <s v="No"/>
    <s v="No"/>
    <s v="No"/>
    <s v="Wastewater treatment plant"/>
    <s v="cradle to packaging; with waste included"/>
    <s v="Yes"/>
    <m/>
    <s v="1 kg cheese packaged or ready to be consumed"/>
    <m/>
    <n v="45.29"/>
    <n v="67.600999999999999"/>
    <n v="8.52"/>
    <n v="10.026999999999999"/>
    <n v="45.29"/>
    <n v="3.4860000000000002"/>
    <n v="18.824999999999999"/>
    <n v="1.569"/>
    <m/>
    <m/>
    <m/>
    <n v="2.81"/>
    <m/>
    <n v="45.29"/>
    <n v="71.98"/>
    <m/>
    <m/>
    <n v="8.52"/>
    <n v="0.23860000000000001"/>
    <n v="1.2684"/>
    <n v="0.113"/>
    <m/>
    <m/>
    <m/>
    <n v="0.3"/>
    <m/>
    <n v="8.52"/>
    <n v="10.44"/>
  </r>
  <r>
    <x v="4"/>
    <x v="66"/>
    <s v="Fresh or Not Specified"/>
    <s v="Golden delicious apple; West Viriginia"/>
    <m/>
    <s v="US"/>
    <n v="2013"/>
    <s v="Cerutti, Alessandro K._x000a_Bruun, Sander_x000a_Donno, Dario_x000a_Beccaro, Gabriele L._x000a_Bounous, Giancarlo"/>
    <s v="Ancient apple cultivars in Northern Italy"/>
    <s v="Peer Reviewed Journal"/>
    <s v="Cerutti, A. K., Bruun, S., Donno, D., Beccaro, G. L. and Bounous, G., Environmental sustainability of traditional foods: the case of ancient apple cultivars in Northern Italy assessed by multifunctional LCA. Journal of Cleaner Production 2013, 52, 245-252."/>
    <s v="Yes"/>
    <s v="No"/>
    <s v="No"/>
    <s v="No"/>
    <s v="No"/>
    <s v="No"/>
    <s v="No"/>
    <s v="No"/>
    <s v="No"/>
    <s v="No"/>
    <s v="No"/>
    <s v="No"/>
    <m/>
    <s v="cradle to farm gate"/>
    <m/>
    <m/>
    <s v="1 tonne of fruit"/>
    <m/>
    <s v=""/>
    <s v=""/>
    <n v="0.163882"/>
    <s v=""/>
    <m/>
    <m/>
    <m/>
    <m/>
    <m/>
    <m/>
    <m/>
    <m/>
    <m/>
    <m/>
    <m/>
    <m/>
    <m/>
    <n v="0.163882"/>
    <m/>
    <m/>
    <m/>
    <m/>
    <m/>
    <m/>
    <m/>
    <m/>
    <n v="0.163882"/>
    <m/>
  </r>
  <r>
    <x v="4"/>
    <x v="66"/>
    <s v="Fresh or Not Specified"/>
    <s v="Grigia di Torriana apple; Cueno, Italy"/>
    <m/>
    <s v="Italy"/>
    <n v="2013"/>
    <s v="Cerutti, Alessandro K._x000a_Bruun, Sander_x000a_Donno, Dario_x000a_Beccaro, Gabriele L._x000a_Bounous, Giancarlo"/>
    <s v="Ancient apple cultivars in Northern Italy"/>
    <s v="Peer Reviewed Journal"/>
    <s v="Cerutti, A. K., Bruun, S., Donno, D., Beccaro, G. L. and Bounous, G., Environmental sustainability of traditional foods: the case of ancient apple cultivars in Northern Italy assessed by multifunctional LCA. Journal of Cleaner Production 2013, 52, 245-252."/>
    <s v="Yes"/>
    <s v="No"/>
    <s v="No"/>
    <s v="No"/>
    <s v="No"/>
    <s v="No"/>
    <s v="No"/>
    <s v="No"/>
    <s v="No"/>
    <s v="No"/>
    <s v="No"/>
    <s v="No"/>
    <m/>
    <s v="cradle to farm gate"/>
    <m/>
    <m/>
    <s v="1 tonne of fruit"/>
    <m/>
    <s v=""/>
    <s v=""/>
    <n v="0.20388999999999999"/>
    <s v=""/>
    <m/>
    <m/>
    <m/>
    <m/>
    <m/>
    <m/>
    <m/>
    <m/>
    <m/>
    <m/>
    <m/>
    <m/>
    <m/>
    <n v="0.20388999999999999"/>
    <m/>
    <m/>
    <m/>
    <m/>
    <m/>
    <m/>
    <m/>
    <m/>
    <n v="0.20388999999999999"/>
    <m/>
  </r>
  <r>
    <x v="4"/>
    <x v="66"/>
    <s v="Fresh or Not Specified"/>
    <s v="Magnana apple; Torino, Italy"/>
    <m/>
    <s v="Italy"/>
    <n v="2013"/>
    <s v="Cerutti, Alessandro K._x000a_Bruun, Sander_x000a_Donno, Dario_x000a_Beccaro, Gabriele L._x000a_Bounous, Giancarlo"/>
    <s v="Ancient apple cultivars in Northern Italy"/>
    <s v="Peer Reviewed Journal"/>
    <s v="Cerutti, A. K., Bruun, S., Donno, D., Beccaro, G. L. and Bounous, G., Environmental sustainability of traditional foods: the case of ancient apple cultivars in Northern Italy assessed by multifunctional LCA. Journal of Cleaner Production 2013, 52, 245-252."/>
    <s v="Yes"/>
    <s v="No"/>
    <s v="No"/>
    <s v="No"/>
    <s v="No"/>
    <s v="No"/>
    <s v="No"/>
    <s v="No"/>
    <s v="No"/>
    <s v="No"/>
    <s v="No"/>
    <s v="No"/>
    <m/>
    <s v="cradle to farm gate"/>
    <m/>
    <m/>
    <s v="1 tonne of fruit"/>
    <m/>
    <s v=""/>
    <s v=""/>
    <n v="0.19287399999999999"/>
    <s v=""/>
    <m/>
    <m/>
    <m/>
    <m/>
    <m/>
    <m/>
    <m/>
    <m/>
    <m/>
    <m/>
    <m/>
    <m/>
    <m/>
    <n v="0.19287399999999999"/>
    <m/>
    <m/>
    <m/>
    <m/>
    <m/>
    <m/>
    <m/>
    <m/>
    <n v="0.19287399999999999"/>
    <m/>
  </r>
  <r>
    <x v="4"/>
    <x v="66"/>
    <s v="Fresh or Not Specified"/>
    <s v="Runse apple; Torino, Italy"/>
    <m/>
    <s v="Italy"/>
    <n v="2013"/>
    <s v="Cerutti, Alessandro K._x000a_Bruun, Sander_x000a_Donno, Dario_x000a_Beccaro, Gabriele L._x000a_Bounous, Giancarlo"/>
    <s v="Ancient apple cultivars in Northern Italy"/>
    <s v="Peer Reviewed Journal"/>
    <s v="Cerutti, A. K., Bruun, S., Donno, D., Beccaro, G. L. and Bounous, G., Environmental sustainability of traditional foods: the case of ancient apple cultivars in Northern Italy assessed by multifunctional LCA. Journal of Cleaner Production 2013, 52, 245-252."/>
    <s v="Yes"/>
    <s v="No"/>
    <s v="No"/>
    <s v="No"/>
    <s v="No"/>
    <s v="No"/>
    <s v="No"/>
    <s v="No"/>
    <s v="No"/>
    <s v="No"/>
    <s v="No"/>
    <s v="No"/>
    <m/>
    <s v="cradle to farm gate"/>
    <m/>
    <m/>
    <s v="1 tonne of fruit"/>
    <m/>
    <s v=""/>
    <s v=""/>
    <n v="0.19654840000000001"/>
    <s v=""/>
    <m/>
    <m/>
    <m/>
    <m/>
    <m/>
    <m/>
    <m/>
    <m/>
    <m/>
    <m/>
    <m/>
    <m/>
    <m/>
    <n v="0.19654840000000001"/>
    <m/>
    <m/>
    <m/>
    <m/>
    <m/>
    <m/>
    <m/>
    <m/>
    <n v="0.19654840000000001"/>
    <m/>
  </r>
  <r>
    <x v="4"/>
    <x v="239"/>
    <s v="Fresh or Not Specified"/>
    <s v="Brazilian yellow melon; produced in non-heated greenhouses"/>
    <m/>
    <s v="Brazil"/>
    <n v="2013"/>
    <s v="Brito de Figueirêdo, Maria Cléa_x000a_Kroeze, Carolien_x000a_Potting, José_x000a_da Silva Barros, Viviane_x000a_Sousa de Aragão, Fernando Antônio_x000a_Gondim, Rubens Sonsol_x000a_de Lima Santos, Tayane_x000a_de Boer, Imke J. M."/>
    <s v="Carbon footprint of Brazilian yellow melon"/>
    <s v="Peer Reviewed Journal"/>
    <s v="Brito De Figueirêdo, M. C., Kroeze, C., Potting, J., Da Silva Barros, V., Sousa De Aragão, F. A., Gondim, R. S., De Lima Santos, T. and De Boer, I. J. M., The carbon footprint of exported Brazilian yellow melon. Journal of Cleaner Production 2013, 47, 404-414."/>
    <s v="Yes"/>
    <s v="No"/>
    <s v="No"/>
    <s v="No"/>
    <s v="No"/>
    <s v="Yes"/>
    <s v="No"/>
    <s v="No"/>
    <s v="No"/>
    <s v="No"/>
    <s v="No"/>
    <s v="No"/>
    <m/>
    <s v="cradle to transport to retail"/>
    <m/>
    <m/>
    <s v="1 tonne of melon"/>
    <m/>
    <s v=""/>
    <s v=""/>
    <n v="0.64634482758620693"/>
    <s v=""/>
    <m/>
    <m/>
    <m/>
    <m/>
    <m/>
    <m/>
    <m/>
    <m/>
    <m/>
    <m/>
    <m/>
    <m/>
    <m/>
    <n v="0.64634482758620693"/>
    <m/>
    <m/>
    <m/>
    <n v="6.3655172413793107E-2"/>
    <m/>
    <m/>
    <m/>
    <m/>
    <n v="0.64634482758620693"/>
    <n v="0.71000000000000008"/>
  </r>
  <r>
    <x v="0"/>
    <x v="0"/>
    <s v="Fresh or Not Specified"/>
    <s v="average of 30 dairy farms"/>
    <m/>
    <s v="Norway"/>
    <n v="2013"/>
    <s v="Bonesmo, Helge_x000a_Beauchemin, Karen A._x000a_Harstad, Odd M._x000a_Skjelvåg, Arne O."/>
    <s v="GHGE intensities of grass silage based dairy and beef production"/>
    <s v="Peer Reviewed Journal"/>
    <s v="Bonesmo, H., Beauchemin, K. A., Harstad, O. M. and Skjelvåg, A. O., Greenhouse gas emission intensities of grass silage based dairy and beef production: A systems analysis of Norwegian farms. Livestock Science 2013, 152 (2–3), 239-252."/>
    <s v="Yes"/>
    <s v="No"/>
    <s v="No"/>
    <s v="No"/>
    <s v="No"/>
    <s v="No"/>
    <s v="No"/>
    <s v="No"/>
    <s v="No"/>
    <s v="No"/>
    <s v="No"/>
    <s v="No"/>
    <m/>
    <s v="cradle to farm gate"/>
    <m/>
    <m/>
    <s v="1 kg FPCM"/>
    <m/>
    <s v=""/>
    <s v=""/>
    <n v="1.02"/>
    <s v=""/>
    <m/>
    <m/>
    <m/>
    <m/>
    <m/>
    <m/>
    <m/>
    <m/>
    <m/>
    <m/>
    <m/>
    <m/>
    <m/>
    <n v="1.02"/>
    <m/>
    <m/>
    <m/>
    <m/>
    <m/>
    <m/>
    <m/>
    <m/>
    <n v="1.02"/>
    <m/>
  </r>
  <r>
    <x v="1"/>
    <x v="3"/>
    <s v="Fresh or Not Specified"/>
    <s v="culled cows and heifers; average of 30 dairy farms"/>
    <m/>
    <s v="Norway"/>
    <n v="2013"/>
    <s v="Bonesmo, Helge_x000a_Beauchemin, Karen A._x000a_Harstad, Odd M._x000a_Skjelvåg, Arne O."/>
    <s v="GHGE intensities of grass silage based dairy and beef production"/>
    <s v="Peer Reviewed Journal"/>
    <s v="Bonesmo, H., Beauchemin, K. A., Harstad, O. M. and Skjelvåg, A. O., Greenhouse gas emission intensities of grass silage based dairy and beef production: A systems analysis of Norwegian farms. Livestock Science 2013, 152 (2–3), 239-252."/>
    <s v="Yes"/>
    <s v="No"/>
    <s v="No"/>
    <s v="No"/>
    <s v="No"/>
    <s v="No"/>
    <s v="No"/>
    <s v="No"/>
    <s v="No"/>
    <s v="No"/>
    <s v="No"/>
    <s v="No"/>
    <m/>
    <s v="cradle to farm gate"/>
    <m/>
    <m/>
    <s v="1 kg carcass weight"/>
    <s v="/.667"/>
    <s v=""/>
    <s v=""/>
    <n v="32.488755622188904"/>
    <s v=""/>
    <m/>
    <m/>
    <m/>
    <m/>
    <m/>
    <m/>
    <m/>
    <m/>
    <m/>
    <m/>
    <m/>
    <m/>
    <m/>
    <n v="32.488755622188904"/>
    <m/>
    <m/>
    <m/>
    <m/>
    <m/>
    <m/>
    <m/>
    <m/>
    <n v="32.488755622188904"/>
    <m/>
  </r>
  <r>
    <x v="1"/>
    <x v="3"/>
    <s v="Fresh or Not Specified"/>
    <s v="young bulls; average of 30 dairy farms"/>
    <m/>
    <s v="Norway"/>
    <n v="2013"/>
    <s v="Bonesmo, Helge_x000a_Beauchemin, Karen A._x000a_Harstad, Odd M._x000a_Skjelvåg, Arne O."/>
    <s v="GHGE intensities of grass silage based dairy and beef production"/>
    <s v="Peer Reviewed Journal"/>
    <s v="Bonesmo, H., Beauchemin, K. A., Harstad, O. M. and Skjelvåg, A. O., Greenhouse gas emission intensities of grass silage based dairy and beef production: A systems analysis of Norwegian farms. Livestock Science 2013, 152 (2–3), 239-252."/>
    <s v="Yes"/>
    <s v="No"/>
    <s v="No"/>
    <s v="No"/>
    <s v="No"/>
    <s v="No"/>
    <s v="No"/>
    <s v="No"/>
    <s v="No"/>
    <s v="No"/>
    <s v="No"/>
    <s v="No"/>
    <m/>
    <s v="cradle to farm gate"/>
    <m/>
    <m/>
    <s v="1 kg carcass weight"/>
    <s v="/.667"/>
    <s v=""/>
    <s v=""/>
    <n v="25.862068965517238"/>
    <s v=""/>
    <m/>
    <m/>
    <m/>
    <m/>
    <m/>
    <m/>
    <m/>
    <m/>
    <m/>
    <m/>
    <m/>
    <m/>
    <m/>
    <n v="25.862068965517238"/>
    <m/>
    <m/>
    <m/>
    <m/>
    <m/>
    <m/>
    <m/>
    <m/>
    <n v="25.862068965517238"/>
    <m/>
  </r>
  <r>
    <x v="1"/>
    <x v="24"/>
    <s v="Fresh or Not Specified"/>
    <s v="Queensland; conventional production"/>
    <m/>
    <s v="Australia"/>
    <n v="2012"/>
    <s v="Wiedemann, Stephen_x000a_McGahan, Eugene J_x000a_Poad, Glenn"/>
    <s v="Chicken meat production Australia"/>
    <s v="Other, government report"/>
    <s v="Wiedemann, S., Mcgahan, E. J. and Poad, G., Using life cycle assessment to quantify the environmental impact of chicken meat production. 2012, ."/>
    <s v="Yes"/>
    <s v="No"/>
    <s v="No"/>
    <s v="Yes"/>
    <s v="No"/>
    <s v="No"/>
    <s v="No"/>
    <s v="No"/>
    <s v="No"/>
    <s v="No"/>
    <s v="No"/>
    <s v="No"/>
    <m/>
    <s v="cradle to processor gate"/>
    <m/>
    <m/>
    <s v="1 kg carcass weight"/>
    <s v="/0.77"/>
    <n v="20.38961038961039"/>
    <n v="26.233766233766232"/>
    <n v="2.5494363636363637"/>
    <n v="3.0909090909090908"/>
    <n v="20.38961038961039"/>
    <m/>
    <n v="5.8441558441558437"/>
    <m/>
    <m/>
    <m/>
    <m/>
    <m/>
    <m/>
    <n v="20.38961038961039"/>
    <n v="26.233766233766232"/>
    <m/>
    <m/>
    <n v="2.5494363636363637"/>
    <m/>
    <n v="0.54147272727272733"/>
    <m/>
    <m/>
    <m/>
    <m/>
    <m/>
    <m/>
    <n v="2.5494363636363637"/>
    <n v="3.0909090909090908"/>
  </r>
  <r>
    <x v="1"/>
    <x v="24"/>
    <s v="Fresh or Not Specified"/>
    <s v="South Australia; conventional production"/>
    <m/>
    <s v="Australia"/>
    <n v="2012"/>
    <s v="Wiedemann, Stephen_x000a_McGahan, Eugene J_x000a_Poad, Glenn"/>
    <s v="Chicken meat production Australia"/>
    <s v="Other, government report"/>
    <s v="Wiedemann, S., Mcgahan, E. J. and Poad, G., Using life cycle assessment to quantify the environmental impact of chicken meat production. 2012, ."/>
    <s v="Yes"/>
    <s v="No"/>
    <s v="No"/>
    <s v="Yes"/>
    <s v="No"/>
    <s v="No"/>
    <s v="No"/>
    <s v="No"/>
    <s v="No"/>
    <s v="No"/>
    <s v="No"/>
    <s v="No"/>
    <m/>
    <s v="cradle to processor gate"/>
    <m/>
    <m/>
    <s v="1 kg carcass weight"/>
    <s v="/0.77"/>
    <n v="14.285714285714285"/>
    <n v="18.831168831168831"/>
    <n v="2.1918909090909091"/>
    <n v="2.4545454545454546"/>
    <n v="14.285714285714285"/>
    <m/>
    <n v="4.545454545454545"/>
    <m/>
    <m/>
    <m/>
    <m/>
    <m/>
    <m/>
    <n v="14.285714285714285"/>
    <n v="18.831168831168831"/>
    <m/>
    <m/>
    <n v="2.1918909090909091"/>
    <m/>
    <n v="0.26265454545454547"/>
    <m/>
    <m/>
    <m/>
    <m/>
    <m/>
    <m/>
    <n v="2.1918909090909091"/>
    <n v="2.4545454545454546"/>
  </r>
  <r>
    <x v="1"/>
    <x v="24"/>
    <s v="Fresh or Not Specified"/>
    <s v="Free range"/>
    <m/>
    <s v="Australia"/>
    <n v="2012"/>
    <s v="Wiedemann, Stephen_x000a_McGahan, Eugene J_x000a_Poad, Glenn"/>
    <s v="Chicken meat production Australia"/>
    <s v="Other, government report"/>
    <s v="Wiedemann, S., Mcgahan, E. J. and Poad, G., Using life cycle assessment to quantify the environmental impact of chicken meat production. 2012, ."/>
    <s v="Yes"/>
    <s v="No"/>
    <s v="No"/>
    <s v="Yes"/>
    <s v="No"/>
    <s v="No"/>
    <s v="No"/>
    <s v="No"/>
    <s v="No"/>
    <s v="No"/>
    <s v="No"/>
    <s v="No"/>
    <m/>
    <s v="cradle to processor gate"/>
    <m/>
    <m/>
    <s v="1 kg carcass weight"/>
    <s v="/0.77"/>
    <n v="17.012987012987011"/>
    <n v="21.818181818181817"/>
    <n v="2.4289506493506492"/>
    <n v="2.8441558441558441"/>
    <n v="17.012987012987011"/>
    <m/>
    <n v="4.8051948051948052"/>
    <m/>
    <m/>
    <m/>
    <m/>
    <m/>
    <m/>
    <n v="17.012987012987011"/>
    <n v="21.818181818181817"/>
    <m/>
    <m/>
    <n v="2.4289506493506492"/>
    <m/>
    <n v="0.4152051948051948"/>
    <m/>
    <m/>
    <m/>
    <m/>
    <m/>
    <m/>
    <n v="2.4289506493506492"/>
    <n v="2.8441558441558441"/>
  </r>
  <r>
    <x v="1"/>
    <x v="24"/>
    <s v="Fresh or Not Specified"/>
    <s v="Organic"/>
    <m/>
    <s v="Australia"/>
    <n v="2012"/>
    <s v="Wiedemann, Stephen_x000a_McGahan, Eugene J_x000a_Poad, Glenn"/>
    <s v="Chicken meat production Australia"/>
    <s v="Other, government report"/>
    <s v="Wiedemann, S., Mcgahan, E. J. and Poad, G., Using life cycle assessment to quantify the environmental impact of chicken meat production. 2012, ."/>
    <s v="Yes"/>
    <s v="No"/>
    <s v="No"/>
    <s v="Yes"/>
    <s v="No"/>
    <s v="No"/>
    <s v="No"/>
    <s v="No"/>
    <s v="No"/>
    <s v="No"/>
    <s v="No"/>
    <s v="No"/>
    <m/>
    <s v="cradle to processor gate"/>
    <m/>
    <m/>
    <s v="1 kg carcass weight"/>
    <s v="/0.77"/>
    <n v="11.168831168831169"/>
    <n v="16.623376623376622"/>
    <n v="3.2805"/>
    <n v="3.7142857142857144"/>
    <n v="11.168831168831169"/>
    <m/>
    <n v="5.454545454545455"/>
    <m/>
    <m/>
    <m/>
    <m/>
    <m/>
    <m/>
    <n v="11.168831168831169"/>
    <n v="16.623376623376622"/>
    <m/>
    <m/>
    <n v="3.2805"/>
    <m/>
    <n v="0.43378571428571427"/>
    <m/>
    <m/>
    <m/>
    <m/>
    <m/>
    <m/>
    <n v="3.2805"/>
    <n v="3.7142857142857144"/>
  </r>
  <r>
    <x v="0"/>
    <x v="0"/>
    <s v="Fresh or Not Specified"/>
    <s v="Seasonally grassfed Holstein-Friesian cows"/>
    <m/>
    <s v="Ireland"/>
    <n v="2012"/>
    <s v="O’Brien, Donal_x000a_Shalloo, Laurence_x000a_Patton, Joe_x000a_Buckley, Frank_x000a_Grainger, Chris_x000a_Wallace, Michael"/>
    <s v="LCA of seasonal grass-based and confinement dairy farms"/>
    <s v="Peer Reviewed Journal"/>
    <s v="O’brien, D., Shalloo, L., Patton, J., Buckley, F., Grainger, C. and Wallace, M., A life cycle assessment of seasonal grass-based and confinement dairy farms. Agricultural Systems 2012, 107, 33-46."/>
    <s v="Yes"/>
    <s v="Yes"/>
    <s v="No"/>
    <s v="No"/>
    <s v="No"/>
    <s v="No"/>
    <s v="No"/>
    <s v="No"/>
    <s v="No"/>
    <s v="No"/>
    <s v="No"/>
    <s v="No"/>
    <m/>
    <s v="cradle to farm gate"/>
    <m/>
    <m/>
    <s v="1 tonne FPCM"/>
    <m/>
    <n v="2.2999999999999998"/>
    <s v=""/>
    <n v="0.87429999999999997"/>
    <s v=""/>
    <n v="2.2999999999999998"/>
    <m/>
    <m/>
    <m/>
    <m/>
    <m/>
    <m/>
    <m/>
    <m/>
    <n v="2.2999999999999998"/>
    <m/>
    <m/>
    <m/>
    <n v="0.87429999999999997"/>
    <m/>
    <m/>
    <m/>
    <m/>
    <m/>
    <m/>
    <m/>
    <m/>
    <n v="0.87429999999999997"/>
    <m/>
  </r>
  <r>
    <x v="0"/>
    <x v="0"/>
    <s v="Fresh or Not Specified"/>
    <s v="Confinement fed Holstein-Friesian cows"/>
    <m/>
    <s v="Ireland"/>
    <n v="2012"/>
    <s v="O’Brien, Donal_x000a_Shalloo, Laurence_x000a_Patton, Joe_x000a_Buckley, Frank_x000a_Grainger, Chris_x000a_Wallace, Michael"/>
    <s v="LCA of seasonal grass-based and confinement dairy farms"/>
    <s v="Peer Reviewed Journal"/>
    <s v="O’brien, D., Shalloo, L., Patton, J., Buckley, F., Grainger, C. and Wallace, M., A life cycle assessment of seasonal grass-based and confinement dairy farms. Agricultural Systems 2012, 107, 33-46."/>
    <s v="Yes"/>
    <s v="Yes"/>
    <s v="No"/>
    <s v="No"/>
    <s v="No"/>
    <s v="No"/>
    <s v="No"/>
    <s v="No"/>
    <s v="No"/>
    <s v="No"/>
    <s v="No"/>
    <s v="No"/>
    <m/>
    <s v="cradle to farm gate"/>
    <m/>
    <m/>
    <s v="1 tonne FPCM"/>
    <m/>
    <n v="3.9"/>
    <s v=""/>
    <n v="1.0274000000000001"/>
    <s v=""/>
    <n v="3.9"/>
    <m/>
    <m/>
    <m/>
    <m/>
    <m/>
    <m/>
    <m/>
    <m/>
    <n v="3.9"/>
    <m/>
    <m/>
    <m/>
    <n v="1.0274000000000001"/>
    <m/>
    <m/>
    <m/>
    <m/>
    <m/>
    <m/>
    <m/>
    <m/>
    <n v="1.0274000000000001"/>
    <m/>
  </r>
  <r>
    <x v="1"/>
    <x v="3"/>
    <s v="Fresh or Not Specified"/>
    <s v="St-Sm (standard diet for cow-calf herd and silage maize starch for bull-fattening herd)"/>
    <s v="Yes"/>
    <s v="France"/>
    <n v="2012"/>
    <s v="Nguyen, T. T. H._x000a_van der Werf, H. M. G._x000a_Eugène, M._x000a_Veysset, P._x000a_Devun, J._x000a_Chesneau, G._x000a_Doreau, M."/>
    <s v="Effects of type of ration and allocation methods on the impacts of beef"/>
    <s v="Peer Reviewed Journal"/>
    <s v="Nguyen, T. T. H., Van Der Werf, H. M. G., Eugène, M., Veysset, P., Devun, J., Chesneau, G. and Doreau, M., Effects of type of ration and allocation methods on the environmental impacts of beef-production systems. Livestock Science 2012, 145 (1–3), 239-251."/>
    <s v="Yes"/>
    <s v="Yes"/>
    <s v="No"/>
    <s v="No"/>
    <s v="No"/>
    <s v="No"/>
    <s v="No"/>
    <s v="No"/>
    <s v="No"/>
    <s v="No"/>
    <s v="No"/>
    <s v="No"/>
    <m/>
    <s v="cradle to farm gate; considers LU/LUC but not reported here"/>
    <m/>
    <m/>
    <s v="1 kg carcass weight"/>
    <s v="/.667"/>
    <n v="97.151424287856059"/>
    <s v=""/>
    <n v="41.679160419790101"/>
    <s v=""/>
    <n v="97.151424287856059"/>
    <m/>
    <m/>
    <m/>
    <m/>
    <m/>
    <m/>
    <m/>
    <m/>
    <n v="97.151424287856059"/>
    <m/>
    <m/>
    <m/>
    <n v="41.679160419790101"/>
    <m/>
    <m/>
    <m/>
    <m/>
    <m/>
    <m/>
    <m/>
    <m/>
    <n v="41.679160419790101"/>
    <m/>
  </r>
  <r>
    <x v="1"/>
    <x v="3"/>
    <s v="Fresh or Not Specified"/>
    <s v="O3-SML (maximizing omega-3 fatty acids using wrapped grass silage for cow-calf herd and silage maize starch plus linseed, rich in omega 3s, for bull fattening herd)"/>
    <s v="Yes"/>
    <s v="France"/>
    <n v="2012"/>
    <s v="Nguyen, T. T. H._x000a_van der Werf, H. M. G._x000a_Eugène, M._x000a_Veysset, P._x000a_Devun, J._x000a_Chesneau, G._x000a_Doreau, M."/>
    <s v="Effects of type of ration and allocation methods on the impacts of beef"/>
    <s v="Peer Reviewed Journal"/>
    <s v="Nguyen, T. T. H., Van Der Werf, H. M. G., Eugène, M., Veysset, P., Devun, J., Chesneau, G. and Doreau, M., Effects of type of ration and allocation methods on the environmental impacts of beef-production systems. Livestock Science 2012, 145 (1–3), 239-251."/>
    <s v="Yes"/>
    <s v="Yes"/>
    <s v="No"/>
    <s v="No"/>
    <s v="No"/>
    <s v="No"/>
    <s v="No"/>
    <s v="No"/>
    <s v="No"/>
    <s v="No"/>
    <s v="No"/>
    <s v="No"/>
    <m/>
    <s v="cradle to farm gate; considers LU/LUC but not reported here"/>
    <m/>
    <m/>
    <s v="1 kg carcass weight"/>
    <s v="/.667"/>
    <n v="102.54872563718141"/>
    <s v=""/>
    <n v="41.52923538230884"/>
    <s v=""/>
    <n v="102.54872563718141"/>
    <m/>
    <m/>
    <m/>
    <m/>
    <m/>
    <m/>
    <m/>
    <m/>
    <n v="102.54872563718141"/>
    <m/>
    <m/>
    <m/>
    <n v="41.52923538230884"/>
    <m/>
    <m/>
    <m/>
    <m/>
    <m/>
    <m/>
    <m/>
    <m/>
    <n v="41.52923538230884"/>
    <m/>
  </r>
  <r>
    <x v="1"/>
    <x v="3"/>
    <s v="Fresh or Not Specified"/>
    <s v="St-FC (standard diet for cow-calf herd and fiber-based concentrate for bull fattening herd)"/>
    <s v="Yes"/>
    <s v="France"/>
    <n v="2012"/>
    <s v="Nguyen, T. T. H._x000a_van der Werf, H. M. G._x000a_Eugène, M._x000a_Veysset, P._x000a_Devun, J._x000a_Chesneau, G._x000a_Doreau, M."/>
    <s v="Effects of type of ration and allocation methods on the impacts of beef"/>
    <s v="Peer Reviewed Journal"/>
    <s v="Nguyen, T. T. H., Van Der Werf, H. M. G., Eugène, M., Veysset, P., Devun, J., Chesneau, G. and Doreau, M., Effects of type of ration and allocation methods on the environmental impacts of beef-production systems. Livestock Science 2012, 145 (1–3), 239-251."/>
    <s v="Yes"/>
    <s v="Yes"/>
    <s v="No"/>
    <s v="No"/>
    <s v="No"/>
    <s v="No"/>
    <s v="No"/>
    <s v="No"/>
    <s v="No"/>
    <s v="No"/>
    <s v="No"/>
    <s v="No"/>
    <m/>
    <s v="cradle to farm gate; considers LU/LUC but not reported here"/>
    <m/>
    <m/>
    <s v="1 kg carcass weight"/>
    <s v="/.667"/>
    <n v="110.04497751124438"/>
    <s v=""/>
    <n v="41.829085457271361"/>
    <s v=""/>
    <n v="110.04497751124438"/>
    <m/>
    <m/>
    <m/>
    <m/>
    <m/>
    <m/>
    <m/>
    <m/>
    <n v="110.04497751124438"/>
    <m/>
    <m/>
    <m/>
    <n v="41.829085457271361"/>
    <m/>
    <m/>
    <m/>
    <m/>
    <m/>
    <m/>
    <m/>
    <m/>
    <n v="41.829085457271361"/>
    <m/>
  </r>
  <r>
    <x v="1"/>
    <x v="3"/>
    <s v="Fresh or Not Specified"/>
    <s v="O3-SCL (maximizing omega-3 fatty acids using wrapped grass silage for cow-calf herd and starch-based concentrate plus linseed for bull fattening herd)"/>
    <s v="Yes"/>
    <s v="France"/>
    <n v="2012"/>
    <s v="Nguyen, T. T. H._x000a_van der Werf, H. M. G._x000a_Eugène, M._x000a_Veysset, P._x000a_Devun, J._x000a_Chesneau, G._x000a_Doreau, M."/>
    <s v="Effects of type of ration and allocation methods on the impacts of beef"/>
    <s v="Peer Reviewed Journal"/>
    <s v="Nguyen, T. T. H., Van Der Werf, H. M. G., Eugène, M., Veysset, P., Devun, J., Chesneau, G. and Doreau, M., Effects of type of ration and allocation methods on the environmental impacts of beef-production systems. Livestock Science 2012, 145 (1–3), 239-251."/>
    <s v="Yes"/>
    <s v="Yes"/>
    <s v="No"/>
    <s v="No"/>
    <s v="No"/>
    <s v="No"/>
    <s v="No"/>
    <s v="No"/>
    <s v="No"/>
    <s v="No"/>
    <s v="No"/>
    <s v="No"/>
    <m/>
    <s v="cradle to farm gate; considers LU/LUC but not reported here"/>
    <m/>
    <m/>
    <s v="1 kg carcass weight"/>
    <s v="/.667"/>
    <n v="106.5967016491754"/>
    <s v=""/>
    <n v="40.479760119940025"/>
    <s v=""/>
    <n v="106.5967016491754"/>
    <m/>
    <m/>
    <m/>
    <m/>
    <m/>
    <m/>
    <m/>
    <m/>
    <n v="106.5967016491754"/>
    <m/>
    <m/>
    <m/>
    <n v="40.479760119940025"/>
    <m/>
    <m/>
    <m/>
    <m/>
    <m/>
    <m/>
    <m/>
    <m/>
    <n v="40.479760119940025"/>
    <m/>
  </r>
  <r>
    <x v="3"/>
    <x v="202"/>
    <s v="Fresh or Not Specified"/>
    <s v="Hokaido pumpkin; Small integrated vegetable production"/>
    <s v="Yes"/>
    <s v="Germany"/>
    <n v="2012"/>
    <s v="Schäfer, Florian_x000a_Blanke, Michael"/>
    <s v="Farming and marketing system…case study using Hakaido pumpkin"/>
    <s v="Peer Reviewed Journal"/>
    <s v="Schäfer, F. and Blanke, M., Farming and marketing system affects carbon and water footprint – a case study using Hokaido pumpkin. Journal of Cleaner Production 2012, 28, 113-119."/>
    <s v="Yes"/>
    <s v="No"/>
    <s v="No"/>
    <s v="No"/>
    <s v="No"/>
    <s v="Yes"/>
    <s v="Yes"/>
    <s v="Yes"/>
    <s v="No"/>
    <s v="No"/>
    <s v="No"/>
    <s v="No"/>
    <m/>
    <s v="cradle to transport retail to consumer"/>
    <s v="Yes"/>
    <m/>
    <s v="1 kg pumpkin (&quot;saleable product&quot;)"/>
    <m/>
    <s v=""/>
    <s v=""/>
    <n v="3.5799999999999998E-2"/>
    <s v=""/>
    <m/>
    <m/>
    <m/>
    <m/>
    <m/>
    <m/>
    <m/>
    <m/>
    <m/>
    <m/>
    <m/>
    <m/>
    <m/>
    <n v="3.5799999999999998E-2"/>
    <m/>
    <m/>
    <m/>
    <n v="9.9999999999999995E-7"/>
    <n v="7.0500000000000001E-4"/>
    <n v="0.67349999999999999"/>
    <m/>
    <m/>
    <n v="3.5799999999999998E-2"/>
    <n v="0.71000600000000003"/>
  </r>
  <r>
    <x v="3"/>
    <x v="202"/>
    <s v="Fresh or Not Specified"/>
    <s v="Hokaido pumpkin; Small organic production"/>
    <s v="Yes"/>
    <s v="Germany"/>
    <n v="2012"/>
    <s v="Schäfer, Florian_x000a_Blanke, Michael"/>
    <s v="Farming and marketing system…case study using Hakaido pumpkin"/>
    <s v="Peer Reviewed Journal"/>
    <s v="Schäfer, F. and Blanke, M., Farming and marketing system affects carbon and water footprint – a case study using Hokaido pumpkin. Journal of Cleaner Production 2012, 28, 113-119."/>
    <s v="Yes"/>
    <s v="No"/>
    <s v="No"/>
    <s v="No"/>
    <s v="No"/>
    <s v="Yes"/>
    <s v="Yes"/>
    <s v="Yes"/>
    <s v="No"/>
    <s v="No"/>
    <s v="No"/>
    <s v="No"/>
    <m/>
    <s v="cradle to transport retail to consumer"/>
    <s v="Yes"/>
    <m/>
    <s v="1 kg pumpkin (&quot;saleable product&quot;)"/>
    <m/>
    <s v=""/>
    <s v=""/>
    <n v="4.1300000000000003E-2"/>
    <s v=""/>
    <m/>
    <m/>
    <m/>
    <m/>
    <m/>
    <m/>
    <m/>
    <m/>
    <m/>
    <m/>
    <m/>
    <m/>
    <m/>
    <n v="4.1300000000000003E-2"/>
    <m/>
    <m/>
    <m/>
    <n v="0"/>
    <n v="8.0029999999999999E-4"/>
    <n v="0.67349999999999999"/>
    <m/>
    <m/>
    <n v="4.1300000000000003E-2"/>
    <n v="0.71560029999999997"/>
  </r>
  <r>
    <x v="3"/>
    <x v="202"/>
    <s v="Fresh or Not Specified"/>
    <s v="Hokaido pumpkin; Large farm devoted to pumpkin production"/>
    <s v="Yes"/>
    <s v="Germany"/>
    <n v="2012"/>
    <s v="Schäfer, Florian_x000a_Blanke, Michael"/>
    <s v="Farming and marketing system…case study using Hakaido pumpkin"/>
    <s v="Peer Reviewed Journal"/>
    <s v="Schäfer, F. and Blanke, M., Farming and marketing system affects carbon and water footprint – a case study using Hokaido pumpkin. Journal of Cleaner Production 2012, 28, 113-119."/>
    <s v="Yes"/>
    <s v="No"/>
    <s v="No"/>
    <s v="No"/>
    <s v="No"/>
    <s v="Yes"/>
    <s v="Yes"/>
    <s v="Yes"/>
    <s v="No"/>
    <s v="No"/>
    <s v="No"/>
    <s v="No"/>
    <m/>
    <s v="cradle to transport retail to consumer"/>
    <s v="Yes"/>
    <m/>
    <s v="1 kg pumpkin (&quot;saleable product&quot;)"/>
    <m/>
    <s v=""/>
    <s v=""/>
    <n v="1.46E-2"/>
    <s v=""/>
    <m/>
    <m/>
    <m/>
    <m/>
    <m/>
    <m/>
    <m/>
    <m/>
    <m/>
    <m/>
    <m/>
    <m/>
    <m/>
    <n v="1.46E-2"/>
    <m/>
    <m/>
    <m/>
    <n v="5.0000000000000002E-5"/>
    <n v="8.9999999999999998E-4"/>
    <n v="0.1235"/>
    <m/>
    <m/>
    <n v="1.46E-2"/>
    <n v="0.13905000000000001"/>
  </r>
  <r>
    <x v="3"/>
    <x v="202"/>
    <s v="Fresh or Not Specified"/>
    <s v="Imported to Germany from Mendoza; organic"/>
    <s v="Yes"/>
    <s v="Argentina"/>
    <n v="2012"/>
    <s v="Schäfer, Florian_x000a_Blanke, Michael"/>
    <s v="Farming and marketing system…case study using Hakaido pumpkin"/>
    <s v="Peer Reviewed Journal"/>
    <s v="Schäfer, F. and Blanke, M., Farming and marketing system affects carbon and water footprint – a case study using Hokaido pumpkin. Journal of Cleaner Production 2012, 28, 113-119."/>
    <s v="Yes"/>
    <s v="No"/>
    <s v="No"/>
    <s v="No"/>
    <s v="No"/>
    <s v="Yes"/>
    <s v="Yes"/>
    <s v="Yes"/>
    <s v="No"/>
    <s v="No"/>
    <s v="No"/>
    <s v="No"/>
    <m/>
    <s v="cradle to transport retail to consumer"/>
    <s v="Yes"/>
    <m/>
    <s v="1 kg pumpkin (&quot;saleable product&quot;)"/>
    <m/>
    <s v=""/>
    <s v=""/>
    <n v="4.1300000000000003E-2"/>
    <s v=""/>
    <m/>
    <m/>
    <m/>
    <m/>
    <m/>
    <m/>
    <m/>
    <m/>
    <m/>
    <m/>
    <m/>
    <m/>
    <m/>
    <n v="4.1300000000000003E-2"/>
    <m/>
    <m/>
    <m/>
    <n v="7.1300000000000002E-2"/>
    <n v="6.7999999999999996E-3"/>
    <n v="0.1235"/>
    <m/>
    <m/>
    <n v="4.1300000000000003E-2"/>
    <n v="0.2429"/>
  </r>
  <r>
    <x v="1"/>
    <x v="24"/>
    <s v="Fresh or Not Specified"/>
    <s v="Tsukuba in the Ibaraki Prefecture"/>
    <m/>
    <s v="Japan"/>
    <n v="2012"/>
    <s v="Roy, Poritosh_x000a_Orikasa, Takahiro_x000a_Thammawong, Manasikan_x000a_Nakamura, Nobutaka_x000a_Xu, Qingyi_x000a_Shiina, Takeo"/>
    <s v="Life cycle of meats in Japan"/>
    <s v="Peer Reviewed Journal"/>
    <s v="Roy, P., Orikasa, T., Thammawong, M., Nakamura, N., Xu, Q. and Shiina, T., Life cycle of meats: An opportunity to abate the greenhouse gas emission from meat industry in Japan. Journal of Environmental Management 2012, 93 (1), 218-224."/>
    <s v="Yes"/>
    <s v="No"/>
    <s v="No"/>
    <s v="Yes"/>
    <s v="Yes"/>
    <s v="Yes"/>
    <s v="Yes"/>
    <s v="Yes"/>
    <s v="Yes"/>
    <s v="Yes"/>
    <s v="No"/>
    <s v="No"/>
    <m/>
    <s v="cradle to grave"/>
    <m/>
    <m/>
    <s v="1 kg meat"/>
    <m/>
    <s v=""/>
    <s v=""/>
    <n v="4.57"/>
    <n v="4.74"/>
    <m/>
    <m/>
    <m/>
    <m/>
    <m/>
    <m/>
    <m/>
    <m/>
    <m/>
    <m/>
    <m/>
    <m/>
    <m/>
    <n v="4.57"/>
    <m/>
    <n v="0.17"/>
    <n v="0.6"/>
    <n v="0.23"/>
    <n v="0.06"/>
    <n v="0.34"/>
    <m/>
    <m/>
    <n v="4.57"/>
    <n v="5.97"/>
  </r>
  <r>
    <x v="1"/>
    <x v="23"/>
    <s v="Fresh or Not Specified"/>
    <s v="Tsukuba in the Ibaraki Prefecture"/>
    <m/>
    <s v="Japan"/>
    <n v="2012"/>
    <s v="Roy, Poritosh_x000a_Orikasa, Takahiro_x000a_Thammawong, Manasikan_x000a_Nakamura, Nobutaka_x000a_Xu, Qingyi_x000a_Shiina, Takeo"/>
    <s v="Life cycle of meats in Japan"/>
    <s v="Peer Reviewed Journal"/>
    <s v="Roy, P., Orikasa, T., Thammawong, M., Nakamura, N., Xu, Q. and Shiina, T., Life cycle of meats: An opportunity to abate the greenhouse gas emission from meat industry in Japan. Journal of Environmental Management 2012, 93 (1), 218-224."/>
    <s v="Yes"/>
    <s v="No"/>
    <s v="No"/>
    <s v="Yes"/>
    <s v="Yes"/>
    <s v="Yes"/>
    <s v="Yes"/>
    <s v="Yes"/>
    <s v="Yes"/>
    <s v="Yes"/>
    <s v="No"/>
    <s v="No"/>
    <m/>
    <s v="cradle to grave"/>
    <m/>
    <m/>
    <s v="1 kg meat"/>
    <m/>
    <s v=""/>
    <s v=""/>
    <n v="5.57"/>
    <n v="5.69"/>
    <m/>
    <m/>
    <m/>
    <m/>
    <m/>
    <m/>
    <m/>
    <m/>
    <m/>
    <m/>
    <m/>
    <m/>
    <m/>
    <n v="5.57"/>
    <m/>
    <n v="0.12"/>
    <n v="0.6"/>
    <n v="0.24"/>
    <n v="7.0000000000000007E-2"/>
    <n v="0.34"/>
    <m/>
    <m/>
    <n v="5.57"/>
    <n v="6.94"/>
  </r>
  <r>
    <x v="1"/>
    <x v="3"/>
    <s v="Fresh or Not Specified"/>
    <s v="Tsukuba in the Ibaraki Prefecture"/>
    <m/>
    <s v="Japan"/>
    <n v="2012"/>
    <s v="Roy, Poritosh_x000a_Orikasa, Takahiro_x000a_Thammawong, Manasikan_x000a_Nakamura, Nobutaka_x000a_Xu, Qingyi_x000a_Shiina, Takeo"/>
    <s v="Life cycle of meats in Japan"/>
    <s v="Peer Reviewed Journal"/>
    <s v="Roy, P., Orikasa, T., Thammawong, M., Nakamura, N., Xu, Q. and Shiina, T., Life cycle of meats: An opportunity to abate the greenhouse gas emission from meat industry in Japan. Journal of Environmental Management 2012, 93 (1), 218-224."/>
    <s v="Yes"/>
    <s v="No"/>
    <s v="No"/>
    <s v="Yes"/>
    <s v="Yes"/>
    <s v="Yes"/>
    <s v="Yes"/>
    <s v="Yes"/>
    <s v="Yes"/>
    <s v="Yes"/>
    <s v="No"/>
    <s v="No"/>
    <m/>
    <s v="cradle to grave"/>
    <m/>
    <m/>
    <s v="1 kg meat"/>
    <m/>
    <s v=""/>
    <s v=""/>
    <n v="34.299999999999997"/>
    <n v="34.339999999999996"/>
    <m/>
    <m/>
    <m/>
    <m/>
    <m/>
    <m/>
    <m/>
    <m/>
    <m/>
    <m/>
    <m/>
    <m/>
    <m/>
    <n v="34.299999999999997"/>
    <m/>
    <n v="0.04"/>
    <n v="0.6"/>
    <n v="0.24"/>
    <n v="7.0000000000000007E-2"/>
    <n v="0.34"/>
    <m/>
    <m/>
    <n v="34.299999999999997"/>
    <n v="35.590000000000003"/>
  </r>
  <r>
    <x v="5"/>
    <x v="122"/>
    <s v="Dried"/>
    <s v="Conventional; five-year average impact of rice cultivation while converting from conventional to organic production"/>
    <s v="Yes"/>
    <s v="Japan"/>
    <n v="2012"/>
    <s v="Hokazono, Shingo_x000a_Hayashi, Kiyotada"/>
    <s v="Variability in environmental impacts…comparison among three rice production systems"/>
    <s v="Peer Reviewed Journal"/>
    <s v="Hokazono, S. and Hayashi, K., Variability in environmental impacts during conversion from conventional to organic farming: a comparison among three rice production systems in Japan. Journal of Cleaner Production 2012, 28, 101-112."/>
    <s v="Yes"/>
    <s v="No"/>
    <s v="No"/>
    <s v="No"/>
    <s v="No"/>
    <s v="No"/>
    <s v="No"/>
    <s v="No"/>
    <s v="No"/>
    <s v="No"/>
    <s v="No"/>
    <s v="No"/>
    <m/>
    <s v="cradle to farm gate"/>
    <m/>
    <m/>
    <s v="1 kg brown rice (dried and husked)"/>
    <m/>
    <n v="5.2"/>
    <s v=""/>
    <n v="1.46"/>
    <s v=""/>
    <n v="5.2"/>
    <m/>
    <m/>
    <m/>
    <m/>
    <m/>
    <m/>
    <m/>
    <m/>
    <n v="5.2"/>
    <m/>
    <m/>
    <m/>
    <n v="1.46"/>
    <m/>
    <m/>
    <m/>
    <m/>
    <m/>
    <m/>
    <m/>
    <m/>
    <n v="1.46"/>
    <m/>
  </r>
  <r>
    <x v="5"/>
    <x v="122"/>
    <s v="Dried"/>
    <s v="Environmentally friendly production; five-year average impact of rice cultivation while converting from conventional to organic production"/>
    <s v="Yes"/>
    <s v="Japan"/>
    <n v="2012"/>
    <s v="Hokazono, Shingo_x000a_Hayashi, Kiyotada"/>
    <s v="Variability in environmental impacts…comparison among three rice production systems"/>
    <s v="Peer Reviewed Journal"/>
    <s v="Hokazono, S. and Hayashi, K., Variability in environmental impacts during conversion from conventional to organic farming: a comparison among three rice production systems in Japan. Journal of Cleaner Production 2012, 28, 101-112."/>
    <s v="Yes"/>
    <s v="No"/>
    <s v="No"/>
    <s v="No"/>
    <s v="No"/>
    <s v="No"/>
    <s v="No"/>
    <s v="No"/>
    <s v="No"/>
    <s v="No"/>
    <s v="No"/>
    <s v="No"/>
    <m/>
    <s v="cradle to farm gate"/>
    <m/>
    <m/>
    <s v="1 kg brown rice (dried and husked)"/>
    <m/>
    <n v="4.5999999999999996"/>
    <s v=""/>
    <n v="1.58"/>
    <s v=""/>
    <n v="4.5999999999999996"/>
    <m/>
    <m/>
    <m/>
    <m/>
    <m/>
    <m/>
    <m/>
    <m/>
    <n v="4.5999999999999996"/>
    <m/>
    <m/>
    <m/>
    <n v="1.58"/>
    <m/>
    <m/>
    <m/>
    <m/>
    <m/>
    <m/>
    <m/>
    <m/>
    <n v="1.58"/>
    <m/>
  </r>
  <r>
    <x v="5"/>
    <x v="122"/>
    <s v="Dried"/>
    <s v="Organic; five-year average impact of rice cultivation while converting from conventional to organic production"/>
    <s v="Yes"/>
    <s v="Japan"/>
    <n v="2012"/>
    <s v="Hokazono, Shingo_x000a_Hayashi, Kiyotada"/>
    <s v="Variability in environmental impacts…comparison among three rice production systems"/>
    <s v="Peer Reviewed Journal"/>
    <s v="Hokazono, S. and Hayashi, K., Variability in environmental impacts during conversion from conventional to organic farming: a comparison among three rice production systems in Japan. Journal of Cleaner Production 2012, 28, 101-112."/>
    <s v="Yes"/>
    <s v="No"/>
    <s v="No"/>
    <s v="No"/>
    <s v="No"/>
    <s v="No"/>
    <s v="No"/>
    <s v="No"/>
    <s v="No"/>
    <s v="No"/>
    <s v="No"/>
    <s v="No"/>
    <m/>
    <s v="cradle to farm gate"/>
    <m/>
    <m/>
    <s v="1 kg brown rice (dried and husked)"/>
    <m/>
    <n v="6.1"/>
    <s v=""/>
    <n v="2"/>
    <s v=""/>
    <n v="6.1"/>
    <m/>
    <m/>
    <m/>
    <m/>
    <m/>
    <m/>
    <m/>
    <m/>
    <n v="6.1"/>
    <m/>
    <m/>
    <m/>
    <n v="2"/>
    <m/>
    <m/>
    <m/>
    <m/>
    <m/>
    <m/>
    <m/>
    <m/>
    <n v="2"/>
    <m/>
  </r>
  <r>
    <x v="4"/>
    <x v="73"/>
    <s v="Fresh or Not Specified"/>
    <s v="High density model"/>
    <s v="Yes"/>
    <s v="Italy"/>
    <n v="2012"/>
    <s v="De Gennaro, B._x000a_Notarnicola, B._x000a_Roselli, L._x000a_Tassielli, G."/>
    <s v="Innovative olive-growing models"/>
    <s v="Peer Reviewed Journal"/>
    <s v="De Gennaro, B., Notarnicola, B., Roselli, L. and Tassielli, G., Innovative olive-growing models: an environmental and economic assessment. Journal of Cleaner Production 2012, 28, 70-80."/>
    <s v="Yes"/>
    <s v="No"/>
    <s v="No"/>
    <s v="No"/>
    <s v="No"/>
    <s v="No"/>
    <s v="No"/>
    <s v="No"/>
    <s v="No"/>
    <s v="No"/>
    <s v="No"/>
    <s v="No"/>
    <m/>
    <s v="cradle to farm gate"/>
    <m/>
    <m/>
    <s v="1 tonne olives"/>
    <m/>
    <s v=""/>
    <s v=""/>
    <n v="0.54220000000000002"/>
    <s v=""/>
    <m/>
    <m/>
    <m/>
    <m/>
    <m/>
    <m/>
    <m/>
    <m/>
    <m/>
    <m/>
    <m/>
    <m/>
    <m/>
    <n v="0.54220000000000002"/>
    <m/>
    <m/>
    <m/>
    <m/>
    <m/>
    <m/>
    <m/>
    <m/>
    <n v="0.54220000000000002"/>
    <m/>
  </r>
  <r>
    <x v="4"/>
    <x v="73"/>
    <s v="Fresh or Not Specified"/>
    <s v="Super high density model"/>
    <s v="Yes"/>
    <s v="Italy"/>
    <n v="2012"/>
    <s v="De Gennaro, B._x000a_Notarnicola, B._x000a_Roselli, L._x000a_Tassielli, G."/>
    <s v="Innovative olive-growing models"/>
    <s v="Peer Reviewed Journal"/>
    <s v="De Gennaro, B., Notarnicola, B., Roselli, L. and Tassielli, G., Innovative olive-growing models: an environmental and economic assessment. Journal of Cleaner Production 2012, 28, 70-80."/>
    <s v="Yes"/>
    <s v="No"/>
    <s v="No"/>
    <s v="No"/>
    <s v="No"/>
    <s v="No"/>
    <s v="No"/>
    <s v="No"/>
    <s v="No"/>
    <s v="No"/>
    <s v="No"/>
    <s v="No"/>
    <m/>
    <s v="cradle to farm gate"/>
    <m/>
    <m/>
    <s v="1 tonne olives"/>
    <m/>
    <s v=""/>
    <s v=""/>
    <n v="0.70710000000000006"/>
    <s v=""/>
    <m/>
    <m/>
    <m/>
    <m/>
    <m/>
    <m/>
    <m/>
    <m/>
    <m/>
    <m/>
    <m/>
    <m/>
    <m/>
    <n v="0.70710000000000006"/>
    <m/>
    <m/>
    <m/>
    <m/>
    <m/>
    <m/>
    <m/>
    <m/>
    <n v="0.70710000000000006"/>
    <m/>
  </r>
  <r>
    <x v="4"/>
    <x v="240"/>
    <s v="Fresh or Not Specified"/>
    <s v="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24"/>
    <m/>
    <s v="Values for each LCA are not able to be broken down accurately"/>
    <m/>
    <m/>
    <m/>
    <m/>
    <m/>
    <m/>
    <m/>
    <m/>
    <m/>
    <m/>
    <n v="1.4275"/>
  </r>
  <r>
    <x v="3"/>
    <x v="241"/>
    <s v="Fresh or Not Specified"/>
    <s v="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18"/>
    <m/>
    <s v="Values for each LCA are not able to be broken down accurately"/>
    <m/>
    <m/>
    <m/>
    <m/>
    <m/>
    <m/>
    <m/>
    <m/>
    <m/>
    <m/>
    <n v="0.91549999999999998"/>
  </r>
  <r>
    <x v="3"/>
    <x v="242"/>
    <s v="Fresh or Not Specified"/>
    <s v="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29"/>
    <m/>
    <s v="Values for each LCA are not able to be broken down accurately"/>
    <m/>
    <m/>
    <m/>
    <m/>
    <m/>
    <m/>
    <m/>
    <m/>
    <m/>
    <m/>
    <n v="1.571"/>
  </r>
  <r>
    <x v="3"/>
    <x v="18"/>
    <s v="Fresh or Not Specified"/>
    <s v="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16.2"/>
    <m/>
    <s v="Values for each LCA are not able to be broken down accurately"/>
    <m/>
    <m/>
    <m/>
    <m/>
    <m/>
    <m/>
    <m/>
    <m/>
    <m/>
    <m/>
    <n v="0.74"/>
  </r>
  <r>
    <x v="3"/>
    <x v="18"/>
    <s v="Fresh or Not Specified"/>
    <s v="Cherry tomato; single company in southern Italy; rotating cycles in greenhouses"/>
    <m/>
    <s v="Italy"/>
    <n v="2012"/>
    <s v="Cellura, Maurizio_x000a_Longo, Sonia_x000a_Mistretta, Marina"/>
    <s v="LCA of protected crops Italy"/>
    <s v="Peer Reviewed Journal"/>
    <s v="Cellura, M., Longo, S. and Mistretta, M., Life Cycle Assessment (LCA) of protected crops: an Italian case study. Journal of cleaner production 2012, 28, 56-62."/>
    <s v="Yes"/>
    <s v="No"/>
    <s v="Yes"/>
    <s v="No"/>
    <s v="Yes"/>
    <s v="Yes"/>
    <s v="No"/>
    <s v="No"/>
    <s v="No"/>
    <s v="No"/>
    <s v="No"/>
    <s v="No"/>
    <m/>
    <s v="cradle to transport to retail"/>
    <m/>
    <m/>
    <s v="1000 kg packaged vegetables"/>
    <m/>
    <s v=""/>
    <s v=""/>
    <s v=""/>
    <s v=""/>
    <m/>
    <m/>
    <m/>
    <m/>
    <m/>
    <m/>
    <m/>
    <m/>
    <m/>
    <m/>
    <n v="23"/>
    <m/>
    <s v="Values for each LCA are not able to be broken down accurately"/>
    <m/>
    <m/>
    <m/>
    <m/>
    <m/>
    <m/>
    <m/>
    <m/>
    <m/>
    <m/>
    <n v="1.2459"/>
  </r>
  <r>
    <x v="0"/>
    <x v="0"/>
    <s v="Fresh or Not Specified"/>
    <s v="Average allocation attributional modelling"/>
    <m/>
    <s v="Denmark"/>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Yes"/>
    <m/>
    <s v="cradle to farm gate; considers LU/LUC but not reported here"/>
    <m/>
    <m/>
    <s v="1 kg ECM"/>
    <m/>
    <s v=""/>
    <s v=""/>
    <n v="1.01"/>
    <s v=""/>
    <m/>
    <m/>
    <m/>
    <m/>
    <m/>
    <m/>
    <m/>
    <m/>
    <m/>
    <m/>
    <m/>
    <m/>
    <m/>
    <n v="1.01"/>
    <m/>
    <m/>
    <m/>
    <m/>
    <m/>
    <m/>
    <m/>
    <m/>
    <n v="1.01"/>
    <m/>
  </r>
  <r>
    <x v="0"/>
    <x v="0"/>
    <s v="Fresh or Not Specified"/>
    <s v="Average allocation attributional modelling"/>
    <m/>
    <s v="Sweden"/>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Yes"/>
    <m/>
    <s v="cradle to farm gate; considers LU/LUC but not reported here"/>
    <m/>
    <m/>
    <s v="1 kg ECM"/>
    <m/>
    <s v=""/>
    <s v=""/>
    <n v="1.25"/>
    <s v=""/>
    <m/>
    <m/>
    <m/>
    <m/>
    <m/>
    <m/>
    <m/>
    <m/>
    <m/>
    <m/>
    <m/>
    <m/>
    <m/>
    <n v="1.25"/>
    <m/>
    <m/>
    <m/>
    <m/>
    <m/>
    <m/>
    <m/>
    <m/>
    <n v="1.25"/>
    <m/>
  </r>
  <r>
    <x v="0"/>
    <x v="0"/>
    <s v="Fresh or Not Specified"/>
    <s v="PAS2050"/>
    <m/>
    <s v="Denmark"/>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No"/>
    <m/>
    <s v="cradle to farm gate; considers LU/LUC but not reported here"/>
    <m/>
    <m/>
    <s v="1 kg ECM"/>
    <m/>
    <s v=""/>
    <s v=""/>
    <n v="0.94199999999999995"/>
    <s v=""/>
    <m/>
    <m/>
    <m/>
    <m/>
    <m/>
    <m/>
    <m/>
    <m/>
    <m/>
    <m/>
    <m/>
    <m/>
    <m/>
    <n v="0.94199999999999995"/>
    <m/>
    <m/>
    <m/>
    <m/>
    <m/>
    <m/>
    <m/>
    <m/>
    <n v="0.94199999999999995"/>
    <m/>
  </r>
  <r>
    <x v="0"/>
    <x v="0"/>
    <s v="Fresh or Not Specified"/>
    <s v="PAS2050"/>
    <m/>
    <s v="Sweden"/>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No"/>
    <m/>
    <s v="cradle to farm gate; considers LU/LUC but not reported here"/>
    <m/>
    <m/>
    <s v="1 kg ECM"/>
    <m/>
    <s v=""/>
    <s v=""/>
    <n v="1.1599999999999999"/>
    <s v=""/>
    <m/>
    <m/>
    <m/>
    <m/>
    <m/>
    <m/>
    <m/>
    <m/>
    <m/>
    <m/>
    <m/>
    <m/>
    <m/>
    <n v="1.1599999999999999"/>
    <m/>
    <m/>
    <m/>
    <m/>
    <m/>
    <m/>
    <m/>
    <m/>
    <n v="1.1599999999999999"/>
    <m/>
  </r>
  <r>
    <x v="0"/>
    <x v="0"/>
    <s v="Fresh or Not Specified"/>
    <s v="IDF guideline"/>
    <m/>
    <s v="Denmark"/>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Yes"/>
    <m/>
    <s v="cradle to farm gate; considers LU/LUC but not reported here"/>
    <m/>
    <m/>
    <s v="1 kg ECM"/>
    <m/>
    <s v=""/>
    <s v=""/>
    <n v="0.98099999999999998"/>
    <s v=""/>
    <m/>
    <m/>
    <m/>
    <m/>
    <m/>
    <m/>
    <m/>
    <m/>
    <m/>
    <m/>
    <m/>
    <m/>
    <m/>
    <n v="0.98099999999999998"/>
    <m/>
    <m/>
    <m/>
    <m/>
    <m/>
    <m/>
    <m/>
    <m/>
    <n v="0.98099999999999998"/>
    <m/>
  </r>
  <r>
    <x v="0"/>
    <x v="0"/>
    <s v="Fresh or Not Specified"/>
    <s v="IDF guideline"/>
    <m/>
    <s v="Sweden"/>
    <n v="2012"/>
    <s v="Schmidt, Jannick Højrup_x000a_Dalgaard, Randi"/>
    <s v="National and farm level carbon footprint of Danish and Sweish milk"/>
    <s v="Industry Based Report"/>
    <s v="Schmidt JH, Dalgaard R. National and farm level carbon footprint of milk: Methodology and results for Danish and Swedish milk 2005 at farm gate. Aarhus, Denmark: Arla Foods; 2012."/>
    <s v="Yes"/>
    <s v="Yes"/>
    <s v="No"/>
    <s v="No"/>
    <s v="No"/>
    <s v="No"/>
    <s v="No"/>
    <s v="No"/>
    <s v="No"/>
    <s v="No"/>
    <s v="No"/>
    <s v="Yes"/>
    <m/>
    <s v="cradle to farm gate; considers LU/LUC but not reported here"/>
    <m/>
    <m/>
    <s v="1 kg ECM"/>
    <m/>
    <s v=""/>
    <s v=""/>
    <n v="1.0900000000000001"/>
    <s v=""/>
    <m/>
    <m/>
    <m/>
    <m/>
    <m/>
    <m/>
    <m/>
    <m/>
    <m/>
    <m/>
    <m/>
    <m/>
    <m/>
    <n v="1.0900000000000001"/>
    <m/>
    <m/>
    <m/>
    <m/>
    <m/>
    <m/>
    <m/>
    <m/>
    <n v="1.0900000000000001"/>
    <m/>
  </r>
  <r>
    <x v="12"/>
    <x v="102"/>
    <s v="Fresh or Not Specified"/>
    <s v="Rainbow trout farmed in the Archipelago Sea area of the Baltic Sea "/>
    <m/>
    <s v="Finland"/>
    <n v="2012"/>
    <s v="Grönroos, Juha_x000a_Silvenius, Frans_x000a_Kankainen, Markus_x000a_Silvo, Kimmo_x000a_Mäkinen, Timo"/>
    <s v="Life cycle impacts Baltic Sea"/>
    <s v="Other, intergovernmental report"/>
    <s v="Grönroos, J., Silvenius, F., Kankainen, M., Silvo, K. and Mäkinen, T., Life cycle environmental impacts of different fish farming alternatives in the Baltic Sea. 2012,  (ICES CM 2012/Q:3), ."/>
    <s v="Yes"/>
    <s v="No"/>
    <s v="No"/>
    <s v="No"/>
    <s v="No"/>
    <s v="No"/>
    <s v="No"/>
    <s v="No"/>
    <s v="No"/>
    <s v="No"/>
    <s v="No"/>
    <s v="No"/>
    <m/>
    <s v="cradle to farm gate"/>
    <m/>
    <m/>
    <s v="1000 kg ungutted Rainbow trout"/>
    <s v="/1000/0.65"/>
    <n v="28.769230769230766"/>
    <s v=""/>
    <n v="2.6846153846153848"/>
    <s v=""/>
    <n v="28.769230769230766"/>
    <m/>
    <m/>
    <m/>
    <m/>
    <m/>
    <m/>
    <m/>
    <m/>
    <n v="28.769230769230766"/>
    <m/>
    <m/>
    <m/>
    <n v="2.6846153846153848"/>
    <m/>
    <m/>
    <m/>
    <m/>
    <m/>
    <m/>
    <m/>
    <m/>
    <n v="2.6846153846153848"/>
    <m/>
  </r>
  <r>
    <x v="0"/>
    <x v="0"/>
    <s v="Fresh or Not Specified"/>
    <s v="High quality milk; M1 study (follows PCR for milk)"/>
    <m/>
    <s v="Italy"/>
    <n v="2012"/>
    <s v="Fantin, Valentina_x000a_Buttol, Patrizia_x000a_Pergreffi, Roberto_x000a_Masoni, Paolo"/>
    <s v="Life cycle asessment of Italian high quality milk production"/>
    <s v="Peer Reviewed Journal"/>
    <s v="Fantin, V., Buttol, P., Pergreffi, R. and Masoni, P., Life cycle assessment of Italian high quality milk production. A comparison with an EPD study. Journal of Cleaner Production 2012, 28, 150-159."/>
    <s v="Yes"/>
    <s v="No"/>
    <s v="Yes"/>
    <s v="Yes"/>
    <s v="Yes"/>
    <s v="Yes"/>
    <s v="No"/>
    <s v="No"/>
    <s v="No"/>
    <s v="No"/>
    <s v="No"/>
    <s v="No"/>
    <m/>
    <s v="cradle to distribution"/>
    <m/>
    <m/>
    <s v="1 liter HQ milk"/>
    <s v="*1.035"/>
    <s v=""/>
    <s v=""/>
    <n v="1.3196249999999998"/>
    <n v="1.5059249999999997"/>
    <m/>
    <m/>
    <m/>
    <m/>
    <m/>
    <m/>
    <m/>
    <m/>
    <m/>
    <m/>
    <m/>
    <m/>
    <m/>
    <n v="1.3196249999999998"/>
    <n v="1.5524999999999999E-2"/>
    <n v="0.17077499999999998"/>
    <m/>
    <n v="4.6574999999999991E-2"/>
    <m/>
    <m/>
    <m/>
    <m/>
    <n v="1.3196249999999998"/>
    <n v="1.5524999999999998"/>
  </r>
  <r>
    <x v="0"/>
    <x v="0"/>
    <s v="Fresh or Not Specified"/>
    <s v="High quality milk; M3 study (follows revised PCR for milk)"/>
    <m/>
    <s v="Italy"/>
    <n v="2012"/>
    <s v="Fantin, Valentina_x000a_Buttol, Patrizia_x000a_Pergreffi, Roberto_x000a_Masoni, Paolo"/>
    <s v="Life cycle asessment of Italian high quality milk production"/>
    <s v="Peer Reviewed Journal"/>
    <s v="Fantin, V., Buttol, P., Pergreffi, R. and Masoni, P., Life cycle assessment of Italian high quality milk production. A comparison with an EPD study. Journal of Cleaner Production 2012, 28, 150-159."/>
    <s v="Yes"/>
    <s v="No"/>
    <s v="Yes"/>
    <s v="Yes"/>
    <s v="Yes"/>
    <s v="Yes"/>
    <s v="No"/>
    <s v="No"/>
    <s v="No"/>
    <s v="No"/>
    <s v="No"/>
    <s v="No"/>
    <m/>
    <s v="cradle to distribution"/>
    <m/>
    <m/>
    <s v="1 liter HQ milk"/>
    <s v="*1.035"/>
    <s v=""/>
    <s v=""/>
    <n v="1.10331"/>
    <n v="1.3051349999999999"/>
    <m/>
    <m/>
    <m/>
    <m/>
    <m/>
    <m/>
    <m/>
    <m/>
    <m/>
    <m/>
    <m/>
    <m/>
    <m/>
    <n v="1.10331"/>
    <n v="1.3455E-2"/>
    <n v="0.18837000000000001"/>
    <m/>
    <n v="4.0364999999999998E-2"/>
    <m/>
    <m/>
    <m/>
    <m/>
    <n v="1.10331"/>
    <n v="1.3454999999999999"/>
  </r>
  <r>
    <x v="1"/>
    <x v="1"/>
    <s v="Fresh or Not Specified"/>
    <s v="Swedish lamb; average of 10 farms (3 conventional indoor breeding, 3 conventional outdoor breeding, &amp; 4 organic)"/>
    <m/>
    <s v="Sweden"/>
    <n v="2011"/>
    <s v="Wallman, M_x000a_Cederberg, C_x000a_Sonesson, U"/>
    <s v="Life cycle assessment of Swedish Lamb Production"/>
    <s v="Other, government report"/>
    <s v="Wallman, M., Cederberg, C. and Sonesson, U., Life cycle assessment of Swedish lamb production. 2011,  (SIK-rapport NR 831), 2011."/>
    <s v="Yes"/>
    <s v="No"/>
    <s v="Yes"/>
    <s v="Yes"/>
    <s v="Yes"/>
    <s v="Yes"/>
    <s v="No"/>
    <s v="No"/>
    <s v="No"/>
    <s v="No"/>
    <s v="No"/>
    <s v="No"/>
    <m/>
    <s v="cradle to regional distribution center"/>
    <m/>
    <m/>
    <s v="1 kg carcass weight"/>
    <s v="/.658"/>
    <n v="47.112462006079028"/>
    <n v="54.711246200607903"/>
    <n v="24.012158054711247"/>
    <n v="24.316109422492403"/>
    <n v="47.112462006079028"/>
    <m/>
    <n v="7.598784194528875"/>
    <m/>
    <m/>
    <m/>
    <m/>
    <m/>
    <m/>
    <n v="47.112462006079028"/>
    <n v="54.711246200607903"/>
    <m/>
    <s v="Transport of animals to slaughter, energy use at slaughter house, packaging, and transport to regional distribution center all included in processing value- no way to separate"/>
    <n v="24.012158054711247"/>
    <m/>
    <n v="0.303951367781155"/>
    <m/>
    <m/>
    <m/>
    <m/>
    <m/>
    <m/>
    <n v="24.012158054711247"/>
    <n v="24.316109422492403"/>
  </r>
  <r>
    <x v="0"/>
    <x v="4"/>
    <s v="Fresh or Not Specified"/>
    <s v="Eight-week old, semi-hard Dutch cheese"/>
    <m/>
    <s v="The Netherlands"/>
    <n v="2011"/>
    <s v="van Middelaar, C. E._x000a_Berentsen, P. B. M._x000a_Dolman, M. A._x000a_de Boer, I. J. M."/>
    <s v="Eco-efficiency in the production chain of Dutch semi-hard cheese"/>
    <s v="Peer Reviewed Journal"/>
    <s v="Van Middelaar, C. E., Berentsen, P. B. M., Dolman, M. A. and De Boer, I. J. M., Eco-efficiency in the production chain of Dutch semi-hard cheese. Livestock Science 2011, 139 (1–2), 91-99."/>
    <s v="Yes"/>
    <s v="Yes"/>
    <s v="Yes"/>
    <s v="Yes"/>
    <s v="Yes"/>
    <s v="Yes"/>
    <s v="Yes"/>
    <s v="No"/>
    <s v="No"/>
    <s v="No"/>
    <s v="No"/>
    <s v="No"/>
    <m/>
    <s v="cradle to retail"/>
    <m/>
    <m/>
    <s v="1 kg cheese"/>
    <m/>
    <n v="32.200000000000003"/>
    <n v="42.67"/>
    <n v="7.5"/>
    <n v="8.09"/>
    <n v="32.200000000000003"/>
    <m/>
    <n v="10.469999999999999"/>
    <n v="3.38"/>
    <m/>
    <n v="1.1100000000000001"/>
    <m/>
    <m/>
    <m/>
    <n v="32.200000000000003"/>
    <n v="47.160000000000004"/>
    <m/>
    <m/>
    <n v="7.5"/>
    <m/>
    <n v="0.59"/>
    <n v="0.38"/>
    <m/>
    <n v="0.02"/>
    <m/>
    <m/>
    <m/>
    <n v="7.5"/>
    <n v="8.49"/>
  </r>
  <r>
    <x v="4"/>
    <x v="20"/>
    <s v="Fresh or Not Specified"/>
    <s v="Site A; Carbon Trust methodology; exported to Europe"/>
    <m/>
    <s v="Not specified"/>
    <n v="2012"/>
    <s v="Lescot, Thierry"/>
    <s v="Carbon footprint analysis in banana production"/>
    <s v="Other"/>
    <s v="Lescot, T., Carbon footprint analysis in banana production. Second Conference of the World Banana Forum 2012, ."/>
    <s v="Yes"/>
    <s v="No"/>
    <s v="No"/>
    <s v="Yes"/>
    <s v="Yes"/>
    <s v="Yes"/>
    <s v="No"/>
    <s v="No"/>
    <s v="No"/>
    <s v="No"/>
    <s v="No"/>
    <s v="No"/>
    <m/>
    <s v="cradle to transport to retail"/>
    <m/>
    <m/>
    <s v="1 ton bananas"/>
    <m/>
    <s v=""/>
    <s v=""/>
    <n v="0.13780000000000001"/>
    <n v="0.22739999999999999"/>
    <m/>
    <m/>
    <m/>
    <m/>
    <m/>
    <m/>
    <m/>
    <m/>
    <m/>
    <m/>
    <m/>
    <m/>
    <m/>
    <n v="0.13780000000000001"/>
    <m/>
    <n v="8.9599999999999999E-2"/>
    <m/>
    <n v="0.8962"/>
    <m/>
    <m/>
    <m/>
    <m/>
    <n v="0.13780000000000001"/>
    <n v="1.1235999999999999"/>
  </r>
  <r>
    <x v="4"/>
    <x v="20"/>
    <s v="Fresh or Not Specified"/>
    <s v="Site B; Carbon Trust methodology; exported to Europe"/>
    <m/>
    <s v="Not specified"/>
    <n v="2012"/>
    <s v="Lescot, Thierry"/>
    <s v="Carbon footprint analysis in banana production"/>
    <s v="Other"/>
    <s v="Lescot, T., Carbon footprint analysis in banana production. Second Conference of the World Banana Forum 2012, ."/>
    <s v="Yes"/>
    <s v="No"/>
    <s v="Yes"/>
    <s v="No"/>
    <s v="No"/>
    <s v="Yes"/>
    <s v="No"/>
    <s v="No"/>
    <s v="No"/>
    <s v="No"/>
    <s v="No"/>
    <s v="No"/>
    <m/>
    <s v="cradle to transport to retail"/>
    <m/>
    <m/>
    <s v="1 ton bananas"/>
    <m/>
    <s v=""/>
    <s v=""/>
    <n v="0.27750000000000008"/>
    <n v="0.36360000000000009"/>
    <m/>
    <m/>
    <m/>
    <m/>
    <m/>
    <m/>
    <m/>
    <m/>
    <m/>
    <m/>
    <m/>
    <m/>
    <m/>
    <n v="0.27750000000000008"/>
    <n v="8.6099999999999996E-2"/>
    <m/>
    <m/>
    <n v="0.56219999999999992"/>
    <m/>
    <m/>
    <m/>
    <m/>
    <n v="0.27750000000000008"/>
    <n v="0.92579999999999996"/>
  </r>
  <r>
    <x v="4"/>
    <x v="20"/>
    <s v="Fresh or Not Specified"/>
    <s v="Site B; LCA methodology; exported to Europe"/>
    <m/>
    <s v="Not specified"/>
    <n v="2012"/>
    <s v="Lescot, Thierry"/>
    <s v="Carbon footprint analysis in banana production"/>
    <s v="Other"/>
    <s v="Lescot, T., Carbon footprint analysis in banana production. Second Conference of the World Banana Forum 2012, ."/>
    <s v="Yes"/>
    <s v="No"/>
    <s v="No"/>
    <s v="No"/>
    <s v="No"/>
    <s v="Yes"/>
    <s v="No"/>
    <s v="No"/>
    <s v="No"/>
    <s v="No"/>
    <s v="No"/>
    <s v="No"/>
    <m/>
    <s v="cradle to transport to retail"/>
    <m/>
    <m/>
    <s v="1 ton bananas"/>
    <m/>
    <s v=""/>
    <s v=""/>
    <n v="0.36499999999999999"/>
    <s v=""/>
    <m/>
    <m/>
    <m/>
    <m/>
    <m/>
    <m/>
    <m/>
    <m/>
    <m/>
    <m/>
    <m/>
    <m/>
    <m/>
    <n v="0.36499999999999999"/>
    <m/>
    <m/>
    <m/>
    <n v="0.32800000000000001"/>
    <m/>
    <m/>
    <m/>
    <m/>
    <n v="0.36499999999999999"/>
    <n v="0.69300000000000006"/>
  </r>
  <r>
    <x v="4"/>
    <x v="20"/>
    <s v="Fresh or Not Specified"/>
    <s v="Site C; LCA methodology; exported to Europe"/>
    <m/>
    <s v="Not specified"/>
    <n v="2012"/>
    <s v="Lescot, Thierry"/>
    <s v="Carbon footprint analysis in banana production"/>
    <s v="Other"/>
    <s v="Lescot, T., Carbon footprint analysis in banana production. Second Conference of the World Banana Forum 2012, ."/>
    <s v="Yes"/>
    <s v="No"/>
    <s v="No"/>
    <s v="Yes"/>
    <s v="Yes"/>
    <s v="Yes"/>
    <s v="No"/>
    <s v="No"/>
    <s v="No"/>
    <s v="No"/>
    <s v="No"/>
    <s v="No"/>
    <m/>
    <s v="cradle to transport to retail"/>
    <m/>
    <m/>
    <s v="1 ton bananas"/>
    <m/>
    <s v=""/>
    <s v=""/>
    <n v="0.19159999999999999"/>
    <n v="0.30159999999999998"/>
    <m/>
    <m/>
    <m/>
    <m/>
    <m/>
    <m/>
    <m/>
    <m/>
    <m/>
    <m/>
    <m/>
    <m/>
    <m/>
    <n v="0.19159999999999999"/>
    <m/>
    <n v="0.11"/>
    <m/>
    <n v="0.35110000000000002"/>
    <m/>
    <m/>
    <m/>
    <m/>
    <n v="0.19159999999999999"/>
    <n v="0.65270000000000006"/>
  </r>
  <r>
    <x v="1"/>
    <x v="24"/>
    <s v="Fresh or Not Specified"/>
    <s v="average for Danish broiler chickens at 6 farms"/>
    <m/>
    <s v="Denmark"/>
    <n v="2011"/>
    <s v="Nielsen, NI_x000a_Jørgensen, M_x000a_Bahrndorff, S"/>
    <s v="GHGE from the Danish broiler production"/>
    <s v="Other"/>
    <s v="Nielsen, N., Jørgensen, M. and Bahrndorff, S., Greenhouse gas emission from the Danish broiler production estimated via LCA methodology. 2011, 4-22."/>
    <s v="Yes"/>
    <s v="No"/>
    <s v="No"/>
    <s v="Yes"/>
    <s v="No"/>
    <s v="No"/>
    <s v="No"/>
    <s v="No"/>
    <s v="No"/>
    <s v="No"/>
    <s v="No"/>
    <s v="Yes"/>
    <m/>
    <s v="cradle to processor gate"/>
    <m/>
    <m/>
    <s v="1 kg carcass weight"/>
    <s v="/0.77"/>
    <s v=""/>
    <s v=""/>
    <n v="2.6970000000000001"/>
    <n v="3"/>
    <m/>
    <m/>
    <m/>
    <m/>
    <m/>
    <m/>
    <m/>
    <m/>
    <m/>
    <m/>
    <m/>
    <m/>
    <m/>
    <n v="2.6970000000000001"/>
    <m/>
    <n v="0.30299999999999999"/>
    <m/>
    <m/>
    <m/>
    <m/>
    <m/>
    <m/>
    <n v="2.6970000000000001"/>
    <n v="3"/>
  </r>
  <r>
    <x v="1"/>
    <x v="30"/>
    <s v="50% Fresh; 50% Frozen"/>
    <s v="Typical Australian duck production"/>
    <m/>
    <s v="Australia"/>
    <n v="2011"/>
    <s v="Michael, David"/>
    <s v="Carbon Reduction Benchmarks &amp; Strategies: New Animal Products"/>
    <s v="Other, government report"/>
    <s v="Michael D. Carbon Reduction Benchmarks &amp; Strategies: New Animal Products. Australia: RIRDC; 2011. Report No.: 1742542476."/>
    <s v="Yes"/>
    <s v="No"/>
    <s v="Yes"/>
    <s v="Yes"/>
    <s v="Yes"/>
    <s v="Yes"/>
    <s v="No"/>
    <s v="No"/>
    <s v="No"/>
    <s v="No"/>
    <s v="No"/>
    <s v="Yes"/>
    <m/>
    <s v="cradle to transport to retail"/>
    <m/>
    <m/>
    <s v="1 kg carcass weight"/>
    <s v="/.45 from {Swanson, 1964 #663}"/>
    <n v="25.555555555555554"/>
    <n v="31.644444444444442"/>
    <n v="3.5999999999999996"/>
    <n v="4.3066666666666666"/>
    <n v="25.555555555555554"/>
    <m/>
    <n v="6.0888888888888895"/>
    <m/>
    <n v="2.3555555555555556"/>
    <m/>
    <m/>
    <m/>
    <m/>
    <n v="25.555555555555554"/>
    <n v="34"/>
    <m/>
    <m/>
    <n v="3.5999999999999996"/>
    <m/>
    <n v="0.70666666666666667"/>
    <m/>
    <n v="0.29333333333333333"/>
    <m/>
    <m/>
    <m/>
    <m/>
    <n v="3.5999999999999996"/>
    <n v="4.5999999999999996"/>
  </r>
  <r>
    <x v="1"/>
    <x v="33"/>
    <s v="50% Fresh; 50% Frozen"/>
    <s v="Typical Australian farmed rabbit production"/>
    <m/>
    <s v="Australia"/>
    <n v="2011"/>
    <s v="Michael, David"/>
    <s v="Carbon Reduction Benchmarks &amp; Strategies: New Animal Products"/>
    <s v="Other, government report"/>
    <s v="Michael D. Carbon Reduction Benchmarks &amp; Strategies: New Animal Products. Australia: RIRDC; 2011. Report No.: 1742542476."/>
    <s v="Yes"/>
    <s v="No"/>
    <s v="Yes"/>
    <s v="Yes"/>
    <s v="Yes"/>
    <s v="Yes"/>
    <s v="No"/>
    <s v="No"/>
    <s v="No"/>
    <s v="No"/>
    <s v="No"/>
    <s v="Yes"/>
    <m/>
    <s v="cradle to transport to retail"/>
    <m/>
    <m/>
    <s v="1 kg live rabbit produced for ag stage; 1 kg carcass weight for processing and distribution stages"/>
    <s v="/.795 from {Kirton, 1971 #664}"/>
    <n v="55.220125786163514"/>
    <n v="65.132075471698101"/>
    <n v="4.5408805031446535"/>
    <n v="5.3723270440251572"/>
    <n v="55.220125786163514"/>
    <m/>
    <n v="9.9119496855345908"/>
    <m/>
    <n v="1.320754716981132"/>
    <m/>
    <m/>
    <m/>
    <m/>
    <n v="55.220125786163514"/>
    <n v="66.452830188679229"/>
    <m/>
    <m/>
    <n v="4.5408805031446535"/>
    <m/>
    <n v="0.83144654088050318"/>
    <m/>
    <n v="0.13207547169811321"/>
    <m/>
    <m/>
    <m/>
    <m/>
    <n v="4.5408805031446535"/>
    <n v="5.5044025157232701"/>
  </r>
  <r>
    <x v="1"/>
    <x v="30"/>
    <s v="Fresh or Not Specified"/>
    <s v="Typical Australian emu enterprise"/>
    <m/>
    <s v="Australia"/>
    <n v="2011"/>
    <s v="Michael, David"/>
    <s v="Carbon Reduction Benchmarks &amp; Strategies: New Animal Products"/>
    <s v="Other, government report"/>
    <s v="Michael D. Carbon Reduction Benchmarks &amp; Strategies: New Animal Products. Australia: RIRDC; 2011. Report No.: 1742542476."/>
    <s v="Yes"/>
    <s v="No"/>
    <s v="Yes"/>
    <s v="Yes"/>
    <s v="Yes"/>
    <s v="Yes"/>
    <s v="No"/>
    <s v="No"/>
    <s v="No"/>
    <s v="No"/>
    <s v="No"/>
    <s v="Yes"/>
    <m/>
    <s v="cradle to processor gate"/>
    <m/>
    <m/>
    <s v="per kg live carcass weighing 45 kg for ag production; per kg of dressed carcass weighing 24 kg for processing"/>
    <s v="/.325 from http://posc.tamu.edu/wp-content/uploads/sites/20/2012/08/emuproduction1.pdf"/>
    <n v="44.246153846153845"/>
    <n v="49.98646153846154"/>
    <n v="4.3538461538461535"/>
    <n v="4.8615384615384611"/>
    <n v="44.246153846153845"/>
    <m/>
    <n v="5.7403076923076917"/>
    <m/>
    <m/>
    <m/>
    <m/>
    <m/>
    <m/>
    <n v="44.246153846153845"/>
    <n v="49.98646153846154"/>
    <m/>
    <s v="using economic allocation"/>
    <n v="4.3538461538461535"/>
    <m/>
    <n v="0.50769230769230766"/>
    <m/>
    <m/>
    <m/>
    <m/>
    <m/>
    <m/>
    <n v="4.3538461538461535"/>
    <n v="4.8615384615384611"/>
  </r>
  <r>
    <x v="0"/>
    <x v="29"/>
    <s v="Fresh or Not Specified"/>
    <s v="Typical Australian dairy goat enterprise"/>
    <m/>
    <s v="Australia"/>
    <n v="2011"/>
    <s v="Michael, David"/>
    <s v="Carbon Reduction Benchmarks &amp; Strategies: New Animal Products"/>
    <s v="Other, government report"/>
    <s v="Michael D. Carbon Reduction Benchmarks &amp; Strategies: New Animal Products. Australia: RIRDC; 2011. Report No.: 1742542476."/>
    <s v="Yes"/>
    <s v="No"/>
    <s v="No"/>
    <s v="No"/>
    <s v="No"/>
    <s v="No"/>
    <s v="No"/>
    <s v="No"/>
    <s v="No"/>
    <s v="No"/>
    <s v="No"/>
    <s v="Yes"/>
    <m/>
    <s v="cradle to processor gate"/>
    <m/>
    <m/>
    <s v="1 kg FPCM"/>
    <m/>
    <n v="9.56"/>
    <s v=""/>
    <n v="5.61"/>
    <s v=""/>
    <n v="9.56"/>
    <m/>
    <m/>
    <m/>
    <m/>
    <m/>
    <m/>
    <m/>
    <m/>
    <n v="9.56"/>
    <m/>
    <m/>
    <m/>
    <n v="5.61"/>
    <m/>
    <m/>
    <m/>
    <m/>
    <m/>
    <m/>
    <m/>
    <m/>
    <n v="5.61"/>
    <m/>
  </r>
  <r>
    <x v="0"/>
    <x v="27"/>
    <s v="Fresh or Not Specified"/>
    <s v="Typical Australian dairy sheep enterprise"/>
    <m/>
    <s v="Australia"/>
    <n v="2011"/>
    <s v="Michael, David"/>
    <s v="Carbon Reduction Benchmarks &amp; Strategies: New Animal Products"/>
    <s v="Other, government report"/>
    <s v="Michael D. Carbon Reduction Benchmarks &amp; Strategies: New Animal Products. Australia: RIRDC; 2011. Report No.: 1742542476."/>
    <s v="Yes"/>
    <s v="No"/>
    <s v="No"/>
    <s v="No"/>
    <s v="No"/>
    <s v="No"/>
    <s v="No"/>
    <s v="No"/>
    <s v="No"/>
    <s v="No"/>
    <s v="No"/>
    <s v="Yes"/>
    <m/>
    <s v="cradle to processor gate"/>
    <m/>
    <m/>
    <s v="1 kg FPCM"/>
    <m/>
    <n v="6.55"/>
    <s v=""/>
    <n v="4.0999999999999996"/>
    <s v=""/>
    <n v="6.55"/>
    <m/>
    <m/>
    <m/>
    <m/>
    <m/>
    <m/>
    <m/>
    <m/>
    <n v="6.55"/>
    <m/>
    <m/>
    <m/>
    <n v="4.0999999999999996"/>
    <m/>
    <m/>
    <m/>
    <m/>
    <m/>
    <m/>
    <m/>
    <m/>
    <n v="4.0999999999999996"/>
    <m/>
  </r>
  <r>
    <x v="12"/>
    <x v="111"/>
    <s v="Frozen"/>
    <s v="Sengalese southern pink shrimp; industrial fishing methods; exported to Europe"/>
    <s v="Yes"/>
    <s v="Senegal"/>
    <n v="2011"/>
    <s v="Ziegler, Friederike_x000a_Emanuelsson, Andreas_x000a_Eichelsheim, John Lucas_x000a_Flysjö, Anna_x000a_Ndiaye, Vaque_x000a_Thrane, Mikkel"/>
    <s v="LCA of Southern Pink Shrimp"/>
    <s v="Peer Reviewed Journal"/>
    <s v="Ziegler, F., Emanuelsson, A., Eichelsheim, J. L., Flysjö, A., Ndiaye, V. and Thrane, M., Extended life cycle assessment of southern pink shrimp products originating in Senegalese artisanal and industrial fisheries for export to Europe. Journal of Industrial Ecology 2011, 15 (4), 527-538."/>
    <s v="Yes"/>
    <s v="No"/>
    <s v="Yes"/>
    <s v="Yes"/>
    <s v="Yes"/>
    <s v="Yes"/>
    <s v="No"/>
    <s v="No"/>
    <s v="No"/>
    <s v="No"/>
    <s v="No"/>
    <s v="No"/>
    <m/>
    <s v="cradle to transport to retail"/>
    <m/>
    <m/>
    <s v="1 kg shrimp"/>
    <m/>
    <s v=""/>
    <s v=""/>
    <n v="28.697916666666664"/>
    <n v="35.229166666666664"/>
    <m/>
    <m/>
    <m/>
    <m/>
    <m/>
    <m/>
    <m/>
    <m/>
    <m/>
    <m/>
    <m/>
    <m/>
    <m/>
    <n v="28.697916666666664"/>
    <m/>
    <n v="6.53125"/>
    <m/>
    <n v="2.7708333333333335"/>
    <m/>
    <m/>
    <m/>
    <m/>
    <n v="28.697916666666664"/>
    <n v="38"/>
  </r>
  <r>
    <x v="12"/>
    <x v="111"/>
    <s v="Frozen"/>
    <s v="Sengalese southern pink shrimp; artisanal fishing methods; exported to Europe"/>
    <s v="Yes"/>
    <s v="Senegal"/>
    <n v="2011"/>
    <s v="Ziegler, Friederike_x000a_Emanuelsson, Andreas_x000a_Eichelsheim, John Lucas_x000a_Flysjö, Anna_x000a_Ndiaye, Vaque_x000a_Thrane, Mikkel"/>
    <s v="LCA of Southern Pink Shrimp"/>
    <s v="Peer Reviewed Journal"/>
    <s v="Ziegler, F., Emanuelsson, A., Eichelsheim, J. L., Flysjö, A., Ndiaye, V. and Thrane, M., Extended life cycle assessment of southern pink shrimp products originating in Senegalese artisanal and industrial fisheries for export to Europe. Journal of Industrial Ecology 2011, 15 (4), 527-538."/>
    <s v="Yes"/>
    <s v="No"/>
    <s v="Yes"/>
    <s v="Yes"/>
    <s v="Yes"/>
    <s v="Yes"/>
    <s v="No"/>
    <s v="No"/>
    <s v="No"/>
    <s v="No"/>
    <s v="No"/>
    <s v="No"/>
    <m/>
    <s v="cradle to transport to retail"/>
    <m/>
    <m/>
    <s v="1 kg shrimp"/>
    <m/>
    <s v=""/>
    <s v=""/>
    <n v="5.4166666666666669E-2"/>
    <n v="4.3874999999999993"/>
    <m/>
    <m/>
    <m/>
    <m/>
    <m/>
    <m/>
    <m/>
    <m/>
    <m/>
    <m/>
    <m/>
    <m/>
    <m/>
    <n v="5.4166666666666669E-2"/>
    <m/>
    <n v="4.333333333333333"/>
    <n v="9.4791666666666677E-2"/>
    <n v="3.3177083333333335"/>
    <m/>
    <m/>
    <m/>
    <m/>
    <n v="5.4166666666666669E-2"/>
    <n v="7.7999999999999989"/>
  </r>
  <r>
    <x v="0"/>
    <x v="0"/>
    <s v="Fresh or Not Specified"/>
    <s v="Pasture-based dairy farm in Georgia; ISFM "/>
    <s v="Yes"/>
    <s v="U.S."/>
    <n v="2012"/>
    <s v="Belflower, Jeff B_x000a_Bernard, John K_x000a_Gattie, David K_x000a_Hancock, Dennis W_x000a_Risse, Lawrence M_x000a_Rotz, C Alan"/>
    <s v="Case study of different dairy production systems in Georgia"/>
    <s v="Peer Reviewed Journal"/>
    <s v="Belflower, J. B., Bernard, J. K., Gattie, D. K., Hancock, D. W., Risse, L. M. and Rotz, C. A., A case study of the potential environmental impacts of different dairy production systems in Georgia. Agricultural Systems 2012, 108, 84-93."/>
    <s v="Yes"/>
    <s v="No"/>
    <s v="No"/>
    <s v="No"/>
    <s v="No"/>
    <s v="No"/>
    <s v="No"/>
    <s v="No"/>
    <s v="No"/>
    <s v="No"/>
    <s v="No"/>
    <s v="No"/>
    <m/>
    <s v="cradle to farm gate"/>
    <m/>
    <m/>
    <s v="1 kg ECM"/>
    <m/>
    <s v=""/>
    <s v=""/>
    <n v="0.79"/>
    <s v=""/>
    <m/>
    <m/>
    <m/>
    <m/>
    <m/>
    <m/>
    <m/>
    <m/>
    <m/>
    <m/>
    <m/>
    <m/>
    <m/>
    <n v="0.79"/>
    <m/>
    <m/>
    <m/>
    <m/>
    <m/>
    <m/>
    <m/>
    <m/>
    <n v="0.79"/>
    <m/>
  </r>
  <r>
    <x v="0"/>
    <x v="0"/>
    <s v="Fresh or Not Specified"/>
    <s v="Confinement dairy in Georgia; ISFM"/>
    <s v="Yes"/>
    <s v="U.S."/>
    <n v="2012"/>
    <s v="Belflower, Jeff B_x000a_Bernard, John K_x000a_Gattie, David K_x000a_Hancock, Dennis W_x000a_Risse, Lawrence M_x000a_Rotz, C Alan"/>
    <s v="Case study of different dairy production systems in Georgia"/>
    <s v="Peer Reviewed Journal"/>
    <s v="Belflower, J. B., Bernard, J. K., Gattie, D. K., Hancock, D. W., Risse, L. M. and Rotz, C. A., A case study of the potential environmental impacts of different dairy production systems in Georgia. Agricultural Systems 2012, 108, 84-93."/>
    <s v="Yes"/>
    <s v="No"/>
    <s v="No"/>
    <s v="No"/>
    <s v="No"/>
    <s v="No"/>
    <s v="No"/>
    <s v="No"/>
    <s v="No"/>
    <s v="No"/>
    <s v="No"/>
    <s v="No"/>
    <m/>
    <s v="cradle to farm gate"/>
    <m/>
    <m/>
    <s v="1 kg ECM"/>
    <m/>
    <s v=""/>
    <s v=""/>
    <n v="0.87"/>
    <s v=""/>
    <m/>
    <m/>
    <m/>
    <m/>
    <m/>
    <m/>
    <m/>
    <m/>
    <m/>
    <m/>
    <m/>
    <m/>
    <m/>
    <n v="0.87"/>
    <m/>
    <m/>
    <m/>
    <m/>
    <m/>
    <m/>
    <m/>
    <m/>
    <n v="0.87"/>
    <m/>
  </r>
  <r>
    <x v="1"/>
    <x v="23"/>
    <s v="Fresh or Not Specified"/>
    <s v="Typical 2010 production; PAS2050 method"/>
    <m/>
    <s v="Denmark"/>
    <n v="2011"/>
    <s v="Nguyen, T Lan T_x000a_Hermansen, John Erik_x000a_Mogensen, Lisbeth"/>
    <s v="Environmental Assessment of Danish Pork"/>
    <s v="Other, research center report"/>
    <s v="Nguyen, T. L. T., Hermansen, J. E. and Mogensen, L., Environmental assessment of Danish pork. 2011,  (REPORT NO. 103), ."/>
    <s v="Yes"/>
    <s v="No"/>
    <s v="No"/>
    <s v="Yes"/>
    <s v="No"/>
    <s v="No"/>
    <s v="No"/>
    <s v="No"/>
    <s v="No"/>
    <s v="No"/>
    <s v="No"/>
    <s v="No"/>
    <m/>
    <s v="cradle to processor gate"/>
    <m/>
    <m/>
    <s v="1kg live weight for age production; 1 kg carcass weight for processing"/>
    <s v="For ag production: /0.528; For processing: /0.729"/>
    <n v="25.824837156612858"/>
    <n v="28.658061519778379"/>
    <n v="4.134806003964882"/>
    <n v="4.3206962902359232"/>
    <n v="25.824837156612858"/>
    <m/>
    <n v="2.8332243631655194"/>
    <m/>
    <m/>
    <m/>
    <m/>
    <m/>
    <m/>
    <n v="25.824837156612858"/>
    <n v="28.658061519778379"/>
    <m/>
    <m/>
    <n v="4.134806003964882"/>
    <m/>
    <n v="0.18589028627104084"/>
    <m/>
    <m/>
    <m/>
    <m/>
    <m/>
    <m/>
    <n v="4.134806003964882"/>
    <n v="4.3206962902359232"/>
  </r>
  <r>
    <x v="0"/>
    <x v="0"/>
    <s v="Fresh or Not Specified"/>
    <s v="35 conventional farms with Holstein Friesian and Jersey cows"/>
    <m/>
    <s v="Denmark"/>
    <n v="2011"/>
    <s v="Kristensen, Troels_x000a_Mogensen, Lisbeth_x000a_Knudsen, Marie Trydeman_x000a_Hermansen, John E"/>
    <s v="Effect of Production system and farming on commercial dairy farms"/>
    <s v="Peer Reviewed Journal"/>
    <s v="Kristensen, T., Mogensen, L., Knudsen, M. T. and Hermansen, J. E., Effect of production system and farming strategy on greenhouse gas emissions from commercial dairy farms in a life cycle approach. Livestock Science 2011, 140 (1), 136-148."/>
    <s v="Yes"/>
    <s v="No"/>
    <s v="No"/>
    <s v="No"/>
    <s v="No"/>
    <s v="No"/>
    <s v="No"/>
    <s v="No"/>
    <s v="No"/>
    <s v="No"/>
    <s v="No"/>
    <s v="No"/>
    <m/>
    <s v="cradle to farm gate"/>
    <m/>
    <m/>
    <s v="1 kg ECM"/>
    <m/>
    <s v=""/>
    <s v=""/>
    <n v="0.91"/>
    <s v=""/>
    <m/>
    <m/>
    <m/>
    <m/>
    <m/>
    <m/>
    <m/>
    <m/>
    <m/>
    <m/>
    <m/>
    <m/>
    <m/>
    <n v="0.91"/>
    <m/>
    <m/>
    <m/>
    <m/>
    <m/>
    <m/>
    <m/>
    <m/>
    <n v="0.91"/>
    <m/>
  </r>
  <r>
    <x v="0"/>
    <x v="0"/>
    <s v="Fresh or Not Specified"/>
    <s v="32 organic farms with Holstein Friesian cows"/>
    <m/>
    <s v="Denmark"/>
    <n v="2011"/>
    <s v="Kristensen, Troels_x000a_Mogensen, Lisbeth_x000a_Knudsen, Marie Trydeman_x000a_Hermansen, John E"/>
    <s v="Effect of Production system and farming on commercial dairy farms"/>
    <s v="Peer Reviewed Journal"/>
    <s v="Kristensen, T., Mogensen, L., Knudsen, M. T. and Hermansen, J. E., Effect of production system and farming strategy on greenhouse gas emissions from commercial dairy farms in a life cycle approach. Livestock Science 2011, 140 (1), 136-148."/>
    <s v="Yes"/>
    <s v="No"/>
    <s v="No"/>
    <s v="No"/>
    <s v="No"/>
    <s v="No"/>
    <s v="No"/>
    <s v="No"/>
    <s v="No"/>
    <s v="No"/>
    <s v="No"/>
    <s v="No"/>
    <m/>
    <s v="cradle to farm gate"/>
    <m/>
    <m/>
    <s v="1 kg ECM"/>
    <m/>
    <s v=""/>
    <s v=""/>
    <n v="0.9"/>
    <s v=""/>
    <m/>
    <m/>
    <m/>
    <m/>
    <m/>
    <m/>
    <m/>
    <m/>
    <m/>
    <m/>
    <m/>
    <m/>
    <m/>
    <n v="0.9"/>
    <m/>
    <m/>
    <m/>
    <m/>
    <m/>
    <m/>
    <m/>
    <m/>
    <n v="0.9"/>
    <m/>
  </r>
  <r>
    <x v="1"/>
    <x v="25"/>
    <s v="Fresh or Not Specified"/>
    <s v="35 conventional farms with Holstein Friesian and Jersey cows"/>
    <m/>
    <s v="Denmark"/>
    <n v="2011"/>
    <s v="Kristensen, Troels_x000a_Mogensen, Lisbeth_x000a_Knudsen, Marie Trydeman_x000a_Hermansen, John E"/>
    <s v="Effect of Production system and farming on commercial dairy farms"/>
    <s v="Peer Reviewed Journal"/>
    <s v="Kristensen, T., Mogensen, L., Knudsen, M. T. and Hermansen, J. E., Effect of production system and farming strategy on greenhouse gas emissions from commercial dairy farms in a life cycle approach. Livestock Science 2011, 140 (1), 136-148."/>
    <s v="Yes"/>
    <s v="No"/>
    <s v="No"/>
    <s v="No"/>
    <s v="No"/>
    <s v="No"/>
    <s v="No"/>
    <s v="No"/>
    <s v="No"/>
    <s v="No"/>
    <s v="No"/>
    <s v="No"/>
    <m/>
    <s v="cradle to farm gate"/>
    <m/>
    <m/>
    <s v="1 kg meat"/>
    <m/>
    <s v=""/>
    <s v=""/>
    <n v="6.92"/>
    <s v=""/>
    <m/>
    <m/>
    <m/>
    <m/>
    <m/>
    <m/>
    <m/>
    <m/>
    <m/>
    <m/>
    <m/>
    <m/>
    <m/>
    <n v="6.92"/>
    <m/>
    <m/>
    <m/>
    <m/>
    <m/>
    <m/>
    <m/>
    <m/>
    <n v="6.92"/>
    <m/>
  </r>
  <r>
    <x v="1"/>
    <x v="25"/>
    <s v="Fresh or Not Specified"/>
    <s v="32 organic farms with Holstein Friesian cows"/>
    <m/>
    <s v="Denmark"/>
    <n v="2011"/>
    <s v="Kristensen, Troels_x000a_Mogensen, Lisbeth_x000a_Knudsen, Marie Trydeman_x000a_Hermansen, John E"/>
    <s v="Effect of Production system and farming on commercial dairy farms"/>
    <s v="Peer Reviewed Journal"/>
    <s v="Kristensen, T., Mogensen, L., Knudsen, M. T. and Hermansen, J. E., Effect of production system and farming strategy on greenhouse gas emissions from commercial dairy farms in a life cycle approach. Livestock Science 2011, 140 (1), 136-148."/>
    <s v="Yes"/>
    <s v="No"/>
    <s v="No"/>
    <s v="No"/>
    <s v="No"/>
    <s v="No"/>
    <s v="No"/>
    <s v="No"/>
    <s v="No"/>
    <s v="No"/>
    <s v="No"/>
    <s v="No"/>
    <m/>
    <s v="cradle to farm gate"/>
    <m/>
    <m/>
    <s v="1 kg meat"/>
    <m/>
    <s v=""/>
    <s v=""/>
    <n v="7.33"/>
    <s v=""/>
    <m/>
    <m/>
    <m/>
    <m/>
    <m/>
    <m/>
    <m/>
    <m/>
    <m/>
    <m/>
    <m/>
    <m/>
    <m/>
    <n v="7.33"/>
    <m/>
    <m/>
    <m/>
    <m/>
    <m/>
    <m/>
    <m/>
    <m/>
    <n v="7.33"/>
    <m/>
  </r>
  <r>
    <x v="7"/>
    <x v="110"/>
    <s v="Fresh or Not Specified"/>
    <s v="Carbonated Beverages, Aluminum Packaging, w retail refrigeration"/>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s v=""/>
    <s v=""/>
    <n v="3.8387715930902108E-2"/>
    <n v="4.9904030710172742E-2"/>
    <m/>
    <m/>
    <m/>
    <m/>
    <m/>
    <m/>
    <m/>
    <m/>
    <m/>
    <m/>
    <n v="4.4145873320537419"/>
    <m/>
    <m/>
    <n v="3.8387715930902108E-2"/>
    <m/>
    <n v="1.1516314779270634E-2"/>
    <n v="0.23800383877159309"/>
    <n v="4.7984644913627635E-3"/>
    <n v="0.14875239923224567"/>
    <m/>
    <n v="6.7178502879078695E-3"/>
    <m/>
    <n v="3.8387715930902108E-2"/>
    <n v="0.44817658349328221"/>
  </r>
  <r>
    <x v="7"/>
    <x v="110"/>
    <s v="Fresh or Not Specified"/>
    <s v="Carbonated Beverages, PET 0.5 L Packaging, w retail refrigeration"/>
    <s v="No"/>
    <s v="UK"/>
    <n v="2012"/>
    <s v="David Amienyo; Haruna Gujba; Heinz Stichnothe; Adisa Azapagic"/>
    <m/>
    <s v="Peer Reviewed Journal"/>
    <s v="Amienyo, D., Gujba, H., Stichnothe, H. and Azapagic, A., Life cycle environmental impacts of carbonated soft drinks. The International Journal of Life Cycle Assessment 2012, 18 (1), 77-92."/>
    <s v="Yes"/>
    <s v="No"/>
    <s v="Yes"/>
    <s v="Yes"/>
    <s v="Yes"/>
    <s v="Yes"/>
    <s v="Yes"/>
    <s v="Yes"/>
    <s v="Yes"/>
    <s v="No"/>
    <s v="No"/>
    <s v="No"/>
    <m/>
    <s v="Cradle to Grave"/>
    <s v="No"/>
    <s v="No"/>
    <s v="1 L of carbonated drink"/>
    <s v="reported value / density of soda (1.042 kg/L)"/>
    <s v=""/>
    <s v=""/>
    <n v="3.8387715930902108E-2"/>
    <n v="7.4856046065259113E-2"/>
    <m/>
    <m/>
    <m/>
    <m/>
    <m/>
    <m/>
    <m/>
    <m/>
    <m/>
    <m/>
    <n v="7.0057581573896348"/>
    <m/>
    <m/>
    <n v="3.8387715930902108E-2"/>
    <m/>
    <n v="3.6468330134357005E-2"/>
    <n v="0.16698656429942416"/>
    <n v="5.7581573896353169E-3"/>
    <n v="9.1170825335892505E-2"/>
    <m/>
    <n v="3.358925143953935E-2"/>
    <m/>
    <n v="3.8387715930902108E-2"/>
    <n v="0.37236084452975043"/>
  </r>
  <r>
    <x v="13"/>
    <x v="243"/>
    <m/>
    <m/>
    <m/>
    <m/>
    <m/>
    <m/>
    <m/>
    <m/>
    <m/>
    <m/>
    <m/>
    <m/>
    <m/>
    <m/>
    <m/>
    <m/>
    <m/>
    <m/>
    <m/>
    <m/>
    <m/>
    <m/>
    <m/>
    <m/>
    <m/>
    <m/>
    <m/>
    <m/>
    <m/>
    <m/>
    <m/>
    <m/>
    <m/>
    <m/>
    <m/>
    <m/>
    <m/>
    <m/>
    <m/>
    <m/>
    <m/>
    <m/>
    <m/>
    <m/>
    <m/>
    <m/>
    <m/>
    <m/>
    <m/>
    <m/>
    <m/>
    <m/>
    <m/>
    <m/>
    <m/>
  </r>
  <r>
    <x v="13"/>
    <x v="243"/>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2" applyNumberFormats="0" applyBorderFormats="0" applyFontFormats="0" applyPatternFormats="0" applyAlignmentFormats="0" applyWidthHeightFormats="1" dataCaption="Values" updatedVersion="6" minRefreshableVersion="3" showCalcMbrs="0" useAutoFormatting="1" itemPrintTitles="1" createdVersion="3" indent="0" compact="0" compactData="0" multipleFieldFilters="0">
  <location ref="A3:Q263" firstHeaderRow="1" firstDataRow="2" firstDataCol="2"/>
  <pivotFields count="59">
    <pivotField axis="axisRow" compact="0" outline="0" showAll="0">
      <items count="15">
        <item x="7"/>
        <item x="5"/>
        <item x="0"/>
        <item x="2"/>
        <item x="12"/>
        <item x="4"/>
        <item x="11"/>
        <item x="1"/>
        <item x="6"/>
        <item x="8"/>
        <item x="10"/>
        <item x="9"/>
        <item x="3"/>
        <item x="13"/>
        <item t="default"/>
      </items>
    </pivotField>
    <pivotField axis="axisRow" compact="0" outline="0" showAll="0" sortType="ascending">
      <items count="270">
        <item m="1" x="260"/>
        <item x="82"/>
        <item m="1" x="244"/>
        <item x="66"/>
        <item x="222"/>
        <item x="187"/>
        <item x="139"/>
        <item x="84"/>
        <item x="89"/>
        <item x="20"/>
        <item x="58"/>
        <item m="1" x="246"/>
        <item x="195"/>
        <item m="1" x="268"/>
        <item x="184"/>
        <item x="201"/>
        <item x="77"/>
        <item x="78"/>
        <item x="3"/>
        <item x="25"/>
        <item x="141"/>
        <item x="196"/>
        <item x="212"/>
        <item x="213"/>
        <item x="158"/>
        <item x="79"/>
        <item x="22"/>
        <item x="75"/>
        <item x="7"/>
        <item x="197"/>
        <item x="119"/>
        <item x="113"/>
        <item x="125"/>
        <item x="237"/>
        <item x="110"/>
        <item x="94"/>
        <item x="232"/>
        <item x="116"/>
        <item x="214"/>
        <item x="146"/>
        <item x="95"/>
        <item x="203"/>
        <item x="120"/>
        <item x="42"/>
        <item x="4"/>
        <item x="41"/>
        <item x="164"/>
        <item x="178"/>
        <item x="24"/>
        <item x="208"/>
        <item x="215"/>
        <item x="180"/>
        <item m="1" x="255"/>
        <item x="194"/>
        <item x="114"/>
        <item x="135"/>
        <item x="133"/>
        <item x="134"/>
        <item x="132"/>
        <item x="191"/>
        <item x="216"/>
        <item x="107"/>
        <item x="105"/>
        <item x="106"/>
        <item x="118"/>
        <item x="126"/>
        <item x="192"/>
        <item x="124"/>
        <item x="123"/>
        <item x="224"/>
        <item x="211"/>
        <item x="9"/>
        <item x="188"/>
        <item x="171"/>
        <item x="86"/>
        <item x="143"/>
        <item x="13"/>
        <item x="12"/>
        <item x="185"/>
        <item x="97"/>
        <item x="2"/>
        <item x="60"/>
        <item x="61"/>
        <item x="154"/>
        <item x="153"/>
        <item x="34"/>
        <item x="98"/>
        <item x="96"/>
        <item x="235"/>
        <item x="112"/>
        <item x="102"/>
        <item x="104"/>
        <item x="101"/>
        <item x="111"/>
        <item x="103"/>
        <item m="1" x="257"/>
        <item x="26"/>
        <item x="11"/>
        <item x="14"/>
        <item x="0"/>
        <item x="6"/>
        <item x="29"/>
        <item x="27"/>
        <item x="70"/>
        <item x="69"/>
        <item m="1" x="252"/>
        <item x="71"/>
        <item x="165"/>
        <item x="179"/>
        <item x="28"/>
        <item x="162"/>
        <item x="170"/>
        <item x="87"/>
        <item x="80"/>
        <item x="225"/>
        <item x="175"/>
        <item x="53"/>
        <item x="145"/>
        <item x="182"/>
        <item x="148"/>
        <item x="152"/>
        <item x="151"/>
        <item x="149"/>
        <item x="231"/>
        <item x="52"/>
        <item x="90"/>
        <item x="205"/>
        <item x="198"/>
        <item x="91"/>
        <item x="92"/>
        <item x="173"/>
        <item x="155"/>
        <item x="157"/>
        <item x="207"/>
        <item x="59"/>
        <item x="204"/>
        <item x="57"/>
        <item x="76"/>
        <item m="1" x="265"/>
        <item x="174"/>
        <item x="169"/>
        <item x="159"/>
        <item x="138"/>
        <item x="163"/>
        <item x="226"/>
        <item x="21"/>
        <item x="227"/>
        <item x="36"/>
        <item x="239"/>
        <item x="240"/>
        <item x="176"/>
        <item x="63"/>
        <item x="193"/>
        <item x="140"/>
        <item m="1" x="249"/>
        <item x="73"/>
        <item x="51"/>
        <item m="1" x="253"/>
        <item x="233"/>
        <item x="93"/>
        <item x="136"/>
        <item x="65"/>
        <item x="156"/>
        <item x="46"/>
        <item x="223"/>
        <item x="160"/>
        <item x="189"/>
        <item x="217"/>
        <item x="166"/>
        <item x="137"/>
        <item x="115"/>
        <item x="130"/>
        <item x="50"/>
        <item x="85"/>
        <item x="88"/>
        <item x="221"/>
        <item x="241"/>
        <item x="236"/>
        <item x="43"/>
        <item x="150"/>
        <item x="186"/>
        <item x="181"/>
        <item x="23"/>
        <item x="56"/>
        <item m="1" x="256"/>
        <item x="142"/>
        <item m="1" x="263"/>
        <item x="54"/>
        <item x="44"/>
        <item x="55"/>
        <item m="1" x="250"/>
        <item x="30"/>
        <item x="206"/>
        <item x="234"/>
        <item x="37"/>
        <item x="33"/>
        <item x="45"/>
        <item x="147"/>
        <item m="1" x="259"/>
        <item x="68"/>
        <item x="218"/>
        <item x="122"/>
        <item x="129"/>
        <item x="219"/>
        <item x="220"/>
        <item x="177"/>
        <item x="1"/>
        <item m="1" x="247"/>
        <item x="144"/>
        <item x="10"/>
        <item x="121"/>
        <item x="210"/>
        <item x="47"/>
        <item x="127"/>
        <item x="40"/>
        <item x="100"/>
        <item x="99"/>
        <item x="202"/>
        <item m="1" x="262"/>
        <item x="81"/>
        <item x="168"/>
        <item x="209"/>
        <item x="131"/>
        <item x="49"/>
        <item x="190"/>
        <item x="238"/>
        <item x="109"/>
        <item x="108"/>
        <item x="230"/>
        <item x="38"/>
        <item x="19"/>
        <item x="15"/>
        <item x="18"/>
        <item x="167"/>
        <item x="17"/>
        <item x="16"/>
        <item x="8"/>
        <item x="161"/>
        <item x="72"/>
        <item x="117"/>
        <item x="31"/>
        <item x="172"/>
        <item x="39"/>
        <item x="32"/>
        <item x="35"/>
        <item x="83"/>
        <item m="1" x="251"/>
        <item x="229"/>
        <item x="228"/>
        <item x="199"/>
        <item m="1" x="267"/>
        <item x="128"/>
        <item x="67"/>
        <item m="1" x="264"/>
        <item m="1" x="258"/>
        <item m="1" x="254"/>
        <item m="1" x="266"/>
        <item x="62"/>
        <item m="1" x="248"/>
        <item x="74"/>
        <item x="48"/>
        <item x="64"/>
        <item m="1" x="245"/>
        <item m="1" x="261"/>
        <item x="183"/>
        <item x="5"/>
        <item x="200"/>
        <item x="242"/>
        <item x="24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s>
  <rowFields count="2">
    <field x="0"/>
    <field x="1"/>
  </rowFields>
  <rowItems count="259">
    <i>
      <x/>
      <x v="20"/>
    </i>
    <i r="1">
      <x v="34"/>
    </i>
    <i r="1">
      <x v="61"/>
    </i>
    <i r="1">
      <x v="62"/>
    </i>
    <i r="1">
      <x v="63"/>
    </i>
    <i r="1">
      <x v="114"/>
    </i>
    <i r="1">
      <x v="131"/>
    </i>
    <i r="1">
      <x v="132"/>
    </i>
    <i r="1">
      <x v="140"/>
    </i>
    <i r="1">
      <x v="161"/>
    </i>
    <i r="1">
      <x v="162"/>
    </i>
    <i r="1">
      <x v="214"/>
    </i>
    <i r="1">
      <x v="226"/>
    </i>
    <i r="1">
      <x v="227"/>
    </i>
    <i r="1">
      <x v="247"/>
    </i>
    <i r="1">
      <x v="248"/>
    </i>
    <i t="default">
      <x/>
    </i>
    <i>
      <x v="1"/>
      <x v="10"/>
    </i>
    <i r="1">
      <x v="26"/>
    </i>
    <i r="1">
      <x v="32"/>
    </i>
    <i r="1">
      <x v="42"/>
    </i>
    <i r="1">
      <x v="65"/>
    </i>
    <i r="1">
      <x v="66"/>
    </i>
    <i r="1">
      <x v="67"/>
    </i>
    <i r="1">
      <x v="69"/>
    </i>
    <i r="1">
      <x v="150"/>
    </i>
    <i r="1">
      <x v="152"/>
    </i>
    <i r="1">
      <x v="153"/>
    </i>
    <i r="1">
      <x v="193"/>
    </i>
    <i r="1">
      <x v="196"/>
    </i>
    <i r="1">
      <x v="200"/>
    </i>
    <i r="1">
      <x v="201"/>
    </i>
    <i r="1">
      <x v="202"/>
    </i>
    <i r="1">
      <x v="203"/>
    </i>
    <i r="1">
      <x v="204"/>
    </i>
    <i r="1">
      <x v="251"/>
    </i>
    <i r="1">
      <x v="252"/>
    </i>
    <i t="default">
      <x v="1"/>
    </i>
    <i>
      <x v="2"/>
      <x v="28"/>
    </i>
    <i r="1">
      <x v="43"/>
    </i>
    <i r="1">
      <x v="44"/>
    </i>
    <i r="1">
      <x v="45"/>
    </i>
    <i r="1">
      <x v="71"/>
    </i>
    <i r="1">
      <x v="76"/>
    </i>
    <i r="1">
      <x v="77"/>
    </i>
    <i r="1">
      <x v="96"/>
    </i>
    <i r="1">
      <x v="97"/>
    </i>
    <i r="1">
      <x v="98"/>
    </i>
    <i r="1">
      <x v="99"/>
    </i>
    <i r="1">
      <x v="100"/>
    </i>
    <i r="1">
      <x v="101"/>
    </i>
    <i r="1">
      <x v="102"/>
    </i>
    <i r="1">
      <x v="145"/>
    </i>
    <i r="1">
      <x v="209"/>
    </i>
    <i r="1">
      <x v="265"/>
    </i>
    <i t="default">
      <x v="2"/>
    </i>
    <i>
      <x v="3"/>
      <x v="80"/>
    </i>
    <i t="default">
      <x v="3"/>
    </i>
    <i>
      <x v="4"/>
      <x v="88"/>
    </i>
    <i r="1">
      <x v="89"/>
    </i>
    <i r="1">
      <x v="90"/>
    </i>
    <i r="1">
      <x v="91"/>
    </i>
    <i r="1">
      <x v="92"/>
    </i>
    <i r="1">
      <x v="93"/>
    </i>
    <i r="1">
      <x v="94"/>
    </i>
    <i t="default">
      <x v="4"/>
    </i>
    <i>
      <x v="5"/>
      <x v="3"/>
    </i>
    <i r="1">
      <x v="4"/>
    </i>
    <i r="1">
      <x v="8"/>
    </i>
    <i r="1">
      <x v="9"/>
    </i>
    <i r="1">
      <x v="24"/>
    </i>
    <i r="1">
      <x v="25"/>
    </i>
    <i r="1">
      <x v="46"/>
    </i>
    <i r="1">
      <x v="73"/>
    </i>
    <i r="1">
      <x v="78"/>
    </i>
    <i r="1">
      <x v="103"/>
    </i>
    <i r="1">
      <x v="104"/>
    </i>
    <i r="1">
      <x v="106"/>
    </i>
    <i r="1">
      <x v="110"/>
    </i>
    <i r="1">
      <x v="111"/>
    </i>
    <i r="1">
      <x v="112"/>
    </i>
    <i r="1">
      <x v="113"/>
    </i>
    <i r="1">
      <x v="115"/>
    </i>
    <i r="1">
      <x v="116"/>
    </i>
    <i r="1">
      <x v="118"/>
    </i>
    <i r="1">
      <x v="125"/>
    </i>
    <i r="1">
      <x v="128"/>
    </i>
    <i r="1">
      <x v="130"/>
    </i>
    <i r="1">
      <x v="139"/>
    </i>
    <i r="1">
      <x v="141"/>
    </i>
    <i r="1">
      <x v="142"/>
    </i>
    <i r="1">
      <x v="143"/>
    </i>
    <i r="1">
      <x v="148"/>
    </i>
    <i r="1">
      <x v="149"/>
    </i>
    <i r="1">
      <x v="155"/>
    </i>
    <i r="1">
      <x v="160"/>
    </i>
    <i r="1">
      <x v="164"/>
    </i>
    <i r="1">
      <x v="165"/>
    </i>
    <i r="1">
      <x v="169"/>
    </i>
    <i r="1">
      <x v="173"/>
    </i>
    <i r="1">
      <x v="178"/>
    </i>
    <i r="1">
      <x v="180"/>
    </i>
    <i r="1">
      <x v="181"/>
    </i>
    <i r="1">
      <x v="199"/>
    </i>
    <i r="1">
      <x v="219"/>
    </i>
    <i r="1">
      <x v="220"/>
    </i>
    <i r="1">
      <x v="237"/>
    </i>
    <i r="1">
      <x v="239"/>
    </i>
    <i r="1">
      <x v="249"/>
    </i>
    <i r="1">
      <x v="259"/>
    </i>
    <i r="1">
      <x v="261"/>
    </i>
    <i t="default">
      <x v="5"/>
    </i>
    <i>
      <x v="6"/>
      <x v="1"/>
    </i>
    <i r="1">
      <x v="12"/>
    </i>
    <i r="1">
      <x v="14"/>
    </i>
    <i r="1">
      <x v="15"/>
    </i>
    <i r="1">
      <x v="37"/>
    </i>
    <i r="1">
      <x v="47"/>
    </i>
    <i r="1">
      <x v="49"/>
    </i>
    <i r="1">
      <x v="59"/>
    </i>
    <i r="1">
      <x v="119"/>
    </i>
    <i r="1">
      <x v="120"/>
    </i>
    <i r="1">
      <x v="121"/>
    </i>
    <i r="1">
      <x v="122"/>
    </i>
    <i r="1">
      <x v="133"/>
    </i>
    <i r="1">
      <x v="166"/>
    </i>
    <i r="1">
      <x v="167"/>
    </i>
    <i r="1">
      <x v="170"/>
    </i>
    <i r="1">
      <x v="171"/>
    </i>
    <i r="1">
      <x v="179"/>
    </i>
    <i r="1">
      <x v="205"/>
    </i>
    <i r="1">
      <x v="211"/>
    </i>
    <i r="1">
      <x v="213"/>
    </i>
    <i r="1">
      <x v="224"/>
    </i>
    <i r="1">
      <x v="238"/>
    </i>
    <i r="1">
      <x v="245"/>
    </i>
    <i t="default">
      <x v="6"/>
    </i>
    <i>
      <x v="7"/>
      <x v="18"/>
    </i>
    <i r="1">
      <x v="19"/>
    </i>
    <i r="1">
      <x v="48"/>
    </i>
    <i r="1">
      <x v="109"/>
    </i>
    <i r="1">
      <x v="146"/>
    </i>
    <i r="1">
      <x v="182"/>
    </i>
    <i r="1">
      <x v="191"/>
    </i>
    <i r="1">
      <x v="195"/>
    </i>
    <i r="1">
      <x v="206"/>
    </i>
    <i r="1">
      <x v="208"/>
    </i>
    <i r="1">
      <x v="240"/>
    </i>
    <i r="1">
      <x v="243"/>
    </i>
    <i t="default">
      <x v="7"/>
    </i>
    <i>
      <x v="8"/>
      <x v="85"/>
    </i>
    <i r="1">
      <x v="147"/>
    </i>
    <i r="1">
      <x v="194"/>
    </i>
    <i r="1">
      <x v="210"/>
    </i>
    <i r="1">
      <x v="228"/>
    </i>
    <i r="1">
      <x v="229"/>
    </i>
    <i r="1">
      <x v="242"/>
    </i>
    <i r="1">
      <x v="244"/>
    </i>
    <i t="default">
      <x v="8"/>
    </i>
    <i>
      <x v="9"/>
      <x v="60"/>
    </i>
    <i r="1">
      <x v="68"/>
    </i>
    <i r="1">
      <x v="72"/>
    </i>
    <i r="1">
      <x v="156"/>
    </i>
    <i r="1">
      <x v="163"/>
    </i>
    <i r="1">
      <x v="172"/>
    </i>
    <i r="1">
      <x v="197"/>
    </i>
    <i r="1">
      <x v="212"/>
    </i>
    <i r="1">
      <x v="223"/>
    </i>
    <i r="1">
      <x v="260"/>
    </i>
    <i t="default">
      <x v="9"/>
    </i>
    <i>
      <x v="10"/>
      <x v="30"/>
    </i>
    <i r="1">
      <x v="31"/>
    </i>
    <i r="1">
      <x v="39"/>
    </i>
    <i r="1">
      <x v="51"/>
    </i>
    <i r="1">
      <x v="54"/>
    </i>
    <i r="1">
      <x v="55"/>
    </i>
    <i r="1">
      <x v="56"/>
    </i>
    <i r="1">
      <x v="57"/>
    </i>
    <i r="1">
      <x v="58"/>
    </i>
    <i r="1">
      <x v="64"/>
    </i>
    <i r="1">
      <x v="83"/>
    </i>
    <i r="1">
      <x v="84"/>
    </i>
    <i r="1">
      <x v="108"/>
    </i>
    <i r="1">
      <x v="117"/>
    </i>
    <i r="1">
      <x v="123"/>
    </i>
    <i r="1">
      <x v="126"/>
    </i>
    <i r="1">
      <x v="175"/>
    </i>
    <i r="1">
      <x v="183"/>
    </i>
    <i t="default">
      <x v="10"/>
    </i>
    <i>
      <x v="11"/>
      <x v="22"/>
    </i>
    <i r="1">
      <x v="23"/>
    </i>
    <i r="1">
      <x v="124"/>
    </i>
    <i r="1">
      <x v="144"/>
    </i>
    <i r="1">
      <x v="221"/>
    </i>
    <i r="1">
      <x v="222"/>
    </i>
    <i t="default">
      <x v="11"/>
    </i>
    <i>
      <x v="12"/>
      <x v="5"/>
    </i>
    <i r="1">
      <x v="6"/>
    </i>
    <i r="1">
      <x v="7"/>
    </i>
    <i r="1">
      <x v="16"/>
    </i>
    <i r="1">
      <x v="17"/>
    </i>
    <i r="1">
      <x v="21"/>
    </i>
    <i r="1">
      <x v="27"/>
    </i>
    <i r="1">
      <x v="29"/>
    </i>
    <i r="1">
      <x v="33"/>
    </i>
    <i r="1">
      <x v="35"/>
    </i>
    <i r="1">
      <x v="36"/>
    </i>
    <i r="1">
      <x v="38"/>
    </i>
    <i r="1">
      <x v="40"/>
    </i>
    <i r="1">
      <x v="41"/>
    </i>
    <i r="1">
      <x v="50"/>
    </i>
    <i r="1">
      <x v="53"/>
    </i>
    <i r="1">
      <x v="70"/>
    </i>
    <i r="1">
      <x v="74"/>
    </i>
    <i r="1">
      <x v="75"/>
    </i>
    <i r="1">
      <x v="79"/>
    </i>
    <i r="1">
      <x v="81"/>
    </i>
    <i r="1">
      <x v="82"/>
    </i>
    <i r="1">
      <x v="86"/>
    </i>
    <i r="1">
      <x v="87"/>
    </i>
    <i r="1">
      <x v="107"/>
    </i>
    <i r="1">
      <x v="127"/>
    </i>
    <i r="1">
      <x v="129"/>
    </i>
    <i r="1">
      <x v="134"/>
    </i>
    <i r="1">
      <x v="135"/>
    </i>
    <i r="1">
      <x v="136"/>
    </i>
    <i r="1">
      <x v="137"/>
    </i>
    <i r="1">
      <x v="151"/>
    </i>
    <i r="1">
      <x v="158"/>
    </i>
    <i r="1">
      <x v="159"/>
    </i>
    <i r="1">
      <x v="168"/>
    </i>
    <i r="1">
      <x v="174"/>
    </i>
    <i r="1">
      <x v="176"/>
    </i>
    <i r="1">
      <x v="177"/>
    </i>
    <i r="1">
      <x v="185"/>
    </i>
    <i r="1">
      <x v="187"/>
    </i>
    <i r="1">
      <x v="188"/>
    </i>
    <i r="1">
      <x v="189"/>
    </i>
    <i r="1">
      <x v="192"/>
    </i>
    <i r="1">
      <x v="215"/>
    </i>
    <i r="1">
      <x v="216"/>
    </i>
    <i r="1">
      <x v="217"/>
    </i>
    <i r="1">
      <x v="225"/>
    </i>
    <i r="1">
      <x v="230"/>
    </i>
    <i r="1">
      <x v="231"/>
    </i>
    <i r="1">
      <x v="232"/>
    </i>
    <i r="1">
      <x v="233"/>
    </i>
    <i r="1">
      <x v="234"/>
    </i>
    <i r="1">
      <x v="235"/>
    </i>
    <i r="1">
      <x v="236"/>
    </i>
    <i r="1">
      <x v="241"/>
    </i>
    <i r="1">
      <x v="257"/>
    </i>
    <i r="1">
      <x v="264"/>
    </i>
    <i r="1">
      <x v="266"/>
    </i>
    <i r="1">
      <x v="267"/>
    </i>
    <i t="default">
      <x v="12"/>
    </i>
    <i>
      <x v="13"/>
      <x v="268"/>
    </i>
    <i t="default">
      <x v="13"/>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Count of ACTIVE     GHGE, FARM GATE (kg CO2e/kg)" fld="31" subtotal="countNums" baseField="0" baseItem="0"/>
    <dataField name="Average of ACTIVE     GHGE, FARM GATE (kg CO2e/kg)" fld="31" subtotal="average" baseField="0" baseItem="0"/>
    <dataField name="Min of ACTIVE     GHGE, FARM GATE (kg CO2e/kg)" fld="31" subtotal="min" baseField="0" baseItem="0"/>
    <dataField name="Max of ACTIVE     GHGE, FARM GATE (kg CO2e/kg)" fld="31" subtotal="max" baseField="0" baseItem="0"/>
    <dataField name="StdDev of ACTIVE     GHGE, FARM GATE (kg CO2e/kg)" fld="31" subtotal="stdDev" baseField="0" baseItem="0"/>
    <dataField name="Count of GHGE, processor gate (kg CO2e/kg)" fld="32" subtotal="countNums" baseField="0" baseItem="0"/>
    <dataField name="Average of GHGE, processor gate (kg CO2e/kg)" fld="32" subtotal="average" baseField="0" baseItem="0"/>
    <dataField name="Min of GHGE, processor gate (kg CO2e/kg)" fld="32" subtotal="min" baseField="0" baseItem="0"/>
    <dataField name="Max of GHGE, processor gate (kg CO2e/kg)" fld="32" subtotal="max" baseField="0" baseItem="0"/>
    <dataField name="StdDev of GHGE, processor gate (kg CO2e/kg)" fld="32" subtotal="stdDev" baseField="0" baseItem="0"/>
    <dataField name="Count of GHGE, TOTAL LC (kg CO2e/kg)" fld="56" subtotal="countNums" baseField="0" baseItem="0"/>
    <dataField name="Average of GHGE, TOTAL LC (kg CO2e/kg)" fld="56" subtotal="average" baseField="0" baseItem="0"/>
    <dataField name="Min of GHGE, TOTAL LC (kg CO2e/kg)" fld="56" subtotal="min" baseField="0" baseItem="0"/>
    <dataField name="Max of GHGE, TOTAL LC (kg CO2e/kg)" fld="56" subtotal="max" baseField="0" baseItem="0"/>
    <dataField name="StdDev of GHGE, TOTAL LC (kg CO2e/kg)" fld="56" subtotal="stdDev" baseField="0" baseItem="0"/>
  </dataFields>
  <formats count="43">
    <format dxfId="63">
      <pivotArea outline="0" collapsedLevelsAreSubtotals="1" fieldPosition="0"/>
    </format>
    <format dxfId="62">
      <pivotArea field="-2" type="button" dataOnly="0" labelOnly="1" outline="0" axis="axisCol" fieldPosition="0"/>
    </format>
    <format dxfId="61">
      <pivotArea field="-2" type="button" dataOnly="0" labelOnly="1" outline="0" axis="axisCol" fieldPosition="0"/>
    </format>
    <format dxfId="60">
      <pivotArea field="-2" type="button" dataOnly="0" labelOnly="1" outline="0" axis="axisCol" fieldPosition="0"/>
    </format>
    <format dxfId="59">
      <pivotArea outline="0" collapsedLevelsAreSubtotals="1" fieldPosition="0">
        <references count="1">
          <reference field="0" count="1" selected="0" defaultSubtotal="1">
            <x v="2"/>
          </reference>
        </references>
      </pivotArea>
    </format>
    <format dxfId="58">
      <pivotArea dataOnly="0" labelOnly="1" outline="0" fieldPosition="0">
        <references count="1">
          <reference field="0" count="1" defaultSubtotal="1">
            <x v="2"/>
          </reference>
        </references>
      </pivotArea>
    </format>
    <format dxfId="57">
      <pivotArea outline="0" collapsedLevelsAreSubtotals="1" fieldPosition="0">
        <references count="1">
          <reference field="0" count="1" selected="0" defaultSubtotal="1">
            <x v="1"/>
          </reference>
        </references>
      </pivotArea>
    </format>
    <format dxfId="56">
      <pivotArea dataOnly="0" labelOnly="1" outline="0" fieldPosition="0">
        <references count="1">
          <reference field="0" count="1" defaultSubtotal="1">
            <x v="1"/>
          </reference>
        </references>
      </pivotArea>
    </format>
    <format dxfId="55">
      <pivotArea outline="0" collapsedLevelsAreSubtotals="1" fieldPosition="0">
        <references count="1">
          <reference field="0" count="1" selected="0" defaultSubtotal="1">
            <x v="0"/>
          </reference>
        </references>
      </pivotArea>
    </format>
    <format dxfId="54">
      <pivotArea dataOnly="0" labelOnly="1" outline="0" fieldPosition="0">
        <references count="1">
          <reference field="0" count="1" defaultSubtotal="1">
            <x v="0"/>
          </reference>
        </references>
      </pivotArea>
    </format>
    <format dxfId="53">
      <pivotArea outline="0" collapsedLevelsAreSubtotals="1" fieldPosition="0">
        <references count="1">
          <reference field="0" count="1" selected="0" defaultSubtotal="1">
            <x v="3"/>
          </reference>
        </references>
      </pivotArea>
    </format>
    <format dxfId="52">
      <pivotArea dataOnly="0" labelOnly="1" outline="0" fieldPosition="0">
        <references count="1">
          <reference field="0" count="1" defaultSubtotal="1">
            <x v="3"/>
          </reference>
        </references>
      </pivotArea>
    </format>
    <format dxfId="51">
      <pivotArea outline="0" collapsedLevelsAreSubtotals="1" fieldPosition="0">
        <references count="1">
          <reference field="0" count="1" selected="0" defaultSubtotal="1">
            <x v="4"/>
          </reference>
        </references>
      </pivotArea>
    </format>
    <format dxfId="50">
      <pivotArea dataOnly="0" labelOnly="1" outline="0" fieldPosition="0">
        <references count="1">
          <reference field="0" count="1" defaultSubtotal="1">
            <x v="4"/>
          </reference>
        </references>
      </pivotArea>
    </format>
    <format dxfId="49">
      <pivotArea outline="0" collapsedLevelsAreSubtotals="1" fieldPosition="0">
        <references count="1">
          <reference field="0" count="1" selected="0" defaultSubtotal="1">
            <x v="5"/>
          </reference>
        </references>
      </pivotArea>
    </format>
    <format dxfId="48">
      <pivotArea dataOnly="0" labelOnly="1" outline="0" fieldPosition="0">
        <references count="1">
          <reference field="0" count="1" defaultSubtotal="1">
            <x v="5"/>
          </reference>
        </references>
      </pivotArea>
    </format>
    <format dxfId="47">
      <pivotArea outline="0" collapsedLevelsAreSubtotals="1" fieldPosition="0">
        <references count="1">
          <reference field="0" count="1" selected="0" defaultSubtotal="1">
            <x v="6"/>
          </reference>
        </references>
      </pivotArea>
    </format>
    <format dxfId="46">
      <pivotArea dataOnly="0" labelOnly="1" outline="0" fieldPosition="0">
        <references count="1">
          <reference field="0" count="1" defaultSubtotal="1">
            <x v="6"/>
          </reference>
        </references>
      </pivotArea>
    </format>
    <format dxfId="45">
      <pivotArea outline="0" collapsedLevelsAreSubtotals="1" fieldPosition="0">
        <references count="1">
          <reference field="0" count="1" selected="0" defaultSubtotal="1">
            <x v="7"/>
          </reference>
        </references>
      </pivotArea>
    </format>
    <format dxfId="44">
      <pivotArea dataOnly="0" labelOnly="1" outline="0" fieldPosition="0">
        <references count="1">
          <reference field="0" count="1" defaultSubtotal="1">
            <x v="7"/>
          </reference>
        </references>
      </pivotArea>
    </format>
    <format dxfId="43">
      <pivotArea outline="0" collapsedLevelsAreSubtotals="1" fieldPosition="0">
        <references count="1">
          <reference field="0" count="1" selected="0" defaultSubtotal="1">
            <x v="8"/>
          </reference>
        </references>
      </pivotArea>
    </format>
    <format dxfId="42">
      <pivotArea dataOnly="0" labelOnly="1" outline="0" fieldPosition="0">
        <references count="1">
          <reference field="0" count="1" defaultSubtotal="1">
            <x v="8"/>
          </reference>
        </references>
      </pivotArea>
    </format>
    <format dxfId="41">
      <pivotArea outline="0" collapsedLevelsAreSubtotals="1" fieldPosition="0">
        <references count="1">
          <reference field="0" count="1" selected="0" defaultSubtotal="1">
            <x v="9"/>
          </reference>
        </references>
      </pivotArea>
    </format>
    <format dxfId="40">
      <pivotArea dataOnly="0" labelOnly="1" outline="0" fieldPosition="0">
        <references count="1">
          <reference field="0" count="1" defaultSubtotal="1">
            <x v="9"/>
          </reference>
        </references>
      </pivotArea>
    </format>
    <format dxfId="39">
      <pivotArea outline="0" collapsedLevelsAreSubtotals="1" fieldPosition="0">
        <references count="1">
          <reference field="0" count="1" selected="0" defaultSubtotal="1">
            <x v="10"/>
          </reference>
        </references>
      </pivotArea>
    </format>
    <format dxfId="38">
      <pivotArea dataOnly="0" labelOnly="1" outline="0" fieldPosition="0">
        <references count="1">
          <reference field="0" count="1" defaultSubtotal="1">
            <x v="10"/>
          </reference>
        </references>
      </pivotArea>
    </format>
    <format dxfId="37">
      <pivotArea outline="0" collapsedLevelsAreSubtotals="1" fieldPosition="0">
        <references count="1">
          <reference field="0" count="1" selected="0" defaultSubtotal="1">
            <x v="11"/>
          </reference>
        </references>
      </pivotArea>
    </format>
    <format dxfId="36">
      <pivotArea dataOnly="0" labelOnly="1" outline="0" fieldPosition="0">
        <references count="1">
          <reference field="0" count="1" defaultSubtotal="1">
            <x v="11"/>
          </reference>
        </references>
      </pivotArea>
    </format>
    <format dxfId="35">
      <pivotArea outline="0" collapsedLevelsAreSubtotals="1" fieldPosition="0">
        <references count="1">
          <reference field="0" count="1" selected="0" defaultSubtotal="1">
            <x v="12"/>
          </reference>
        </references>
      </pivotArea>
    </format>
    <format dxfId="34">
      <pivotArea dataOnly="0" labelOnly="1" outline="0" fieldPosition="0">
        <references count="1">
          <reference field="0" count="1" defaultSubtotal="1">
            <x v="12"/>
          </reference>
        </references>
      </pivotArea>
    </format>
    <format dxfId="33">
      <pivotArea type="origin" dataOnly="0" labelOnly="1" outline="0" fieldPosition="0"/>
    </format>
    <format dxfId="32">
      <pivotArea field="0" type="button" dataOnly="0" labelOnly="1" outline="0" axis="axisRow" fieldPosition="0"/>
    </format>
    <format dxfId="31">
      <pivotArea field="1" type="button" dataOnly="0" labelOnly="1" outline="0" axis="axisRow" fieldPosition="1"/>
    </format>
    <format dxfId="30">
      <pivotArea field="-2" type="button" dataOnly="0" labelOnly="1" outline="0" axis="axisCol" fieldPosition="0"/>
    </format>
    <format dxfId="29">
      <pivotArea type="topRight" dataOnly="0" labelOnly="1" outline="0" fieldPosition="0"/>
    </format>
    <format dxfId="28">
      <pivotArea dataOnly="0" labelOnly="1" outline="0" fieldPosition="0">
        <references count="1">
          <reference field="4294967294" count="15">
            <x v="0"/>
            <x v="1"/>
            <x v="2"/>
            <x v="3"/>
            <x v="4"/>
            <x v="5"/>
            <x v="6"/>
            <x v="7"/>
            <x v="8"/>
            <x v="9"/>
            <x v="10"/>
            <x v="11"/>
            <x v="12"/>
            <x v="13"/>
            <x v="14"/>
          </reference>
        </references>
      </pivotArea>
    </format>
    <format dxfId="27">
      <pivotArea field="-2" type="button" dataOnly="0" labelOnly="1" outline="0" axis="axisCol" fieldPosition="0"/>
    </format>
    <format dxfId="26">
      <pivotArea type="topRight" dataOnly="0" labelOnly="1" outline="0" fieldPosition="0"/>
    </format>
    <format dxfId="25">
      <pivotArea dataOnly="0" labelOnly="1" outline="0" fieldPosition="0">
        <references count="1">
          <reference field="4294967294" count="5">
            <x v="0"/>
            <x v="1"/>
            <x v="2"/>
            <x v="3"/>
            <x v="4"/>
          </reference>
        </references>
      </pivotArea>
    </format>
    <format dxfId="24">
      <pivotArea type="topRight" dataOnly="0" labelOnly="1" outline="0" offset="E1:I1" fieldPosition="0"/>
    </format>
    <format dxfId="23">
      <pivotArea dataOnly="0" labelOnly="1" outline="0" fieldPosition="0">
        <references count="1">
          <reference field="4294967294" count="5">
            <x v="5"/>
            <x v="6"/>
            <x v="7"/>
            <x v="8"/>
            <x v="9"/>
          </reference>
        </references>
      </pivotArea>
    </format>
    <format dxfId="22">
      <pivotArea type="topRight" dataOnly="0" labelOnly="1" outline="0" offset="J1:N1" fieldPosition="0"/>
    </format>
    <format dxfId="21">
      <pivotArea dataOnly="0" labelOnly="1" outline="0" fieldPosition="0">
        <references count="1">
          <reference field="4294967294" count="5">
            <x v="10"/>
            <x v="11"/>
            <x v="12"/>
            <x v="13"/>
            <x v="14"/>
          </reference>
        </references>
      </pivotArea>
    </format>
  </formats>
  <pivotTableStyleInfo name="PivotStyleLight16" showRowHeaders="1" showColHeaders="1" showRowStripes="0" showColStripes="1"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3" applyNumberFormats="0" applyBorderFormats="0" applyFontFormats="0" applyPatternFormats="0" applyAlignmentFormats="0" applyWidthHeightFormats="1" dataCaption="Values" showError="1" updatedVersion="6" minRefreshableVersion="3" showCalcMbrs="0" useAutoFormatting="1" rowGrandTotals="0" colGrandTotals="0" itemPrintTitles="1" createdVersion="3" indent="0" compact="0" compactData="0" multipleFieldFilters="0">
  <location ref="A3:Q262" firstHeaderRow="1" firstDataRow="2" firstDataCol="2"/>
  <pivotFields count="57">
    <pivotField axis="axisRow" compact="0" outline="0" showAll="0">
      <items count="15">
        <item x="7"/>
        <item x="5"/>
        <item x="0"/>
        <item x="2"/>
        <item x="12"/>
        <item x="4"/>
        <item x="11"/>
        <item x="1"/>
        <item x="6"/>
        <item x="8"/>
        <item x="10"/>
        <item x="9"/>
        <item x="3"/>
        <item x="13"/>
        <item t="default"/>
      </items>
    </pivotField>
    <pivotField axis="axisRow" compact="0" outline="0" showAll="0" sortType="ascending" defaultSubtotal="0">
      <items count="269">
        <item m="1" x="260"/>
        <item x="82"/>
        <item m="1" x="244"/>
        <item x="66"/>
        <item x="222"/>
        <item x="187"/>
        <item x="139"/>
        <item x="84"/>
        <item x="89"/>
        <item x="20"/>
        <item x="58"/>
        <item m="1" x="246"/>
        <item x="195"/>
        <item m="1" x="268"/>
        <item x="184"/>
        <item x="201"/>
        <item x="77"/>
        <item x="78"/>
        <item x="3"/>
        <item x="25"/>
        <item x="141"/>
        <item x="196"/>
        <item x="212"/>
        <item x="213"/>
        <item x="158"/>
        <item x="79"/>
        <item x="22"/>
        <item x="75"/>
        <item x="7"/>
        <item x="197"/>
        <item x="119"/>
        <item x="113"/>
        <item x="125"/>
        <item x="237"/>
        <item x="110"/>
        <item x="94"/>
        <item x="232"/>
        <item x="116"/>
        <item x="214"/>
        <item x="146"/>
        <item x="95"/>
        <item x="203"/>
        <item x="120"/>
        <item x="42"/>
        <item x="4"/>
        <item x="41"/>
        <item x="164"/>
        <item x="178"/>
        <item x="24"/>
        <item x="208"/>
        <item x="215"/>
        <item x="180"/>
        <item m="1" x="255"/>
        <item x="194"/>
        <item x="114"/>
        <item x="135"/>
        <item x="133"/>
        <item x="134"/>
        <item x="132"/>
        <item x="191"/>
        <item x="216"/>
        <item x="107"/>
        <item x="105"/>
        <item x="106"/>
        <item x="118"/>
        <item x="126"/>
        <item x="192"/>
        <item x="124"/>
        <item x="123"/>
        <item x="224"/>
        <item x="211"/>
        <item x="9"/>
        <item x="188"/>
        <item x="171"/>
        <item x="86"/>
        <item x="143"/>
        <item x="13"/>
        <item x="12"/>
        <item x="185"/>
        <item x="97"/>
        <item x="2"/>
        <item x="60"/>
        <item x="61"/>
        <item x="154"/>
        <item x="153"/>
        <item x="34"/>
        <item x="98"/>
        <item x="96"/>
        <item x="235"/>
        <item x="112"/>
        <item x="102"/>
        <item x="104"/>
        <item x="101"/>
        <item x="111"/>
        <item x="103"/>
        <item m="1" x="257"/>
        <item x="26"/>
        <item x="11"/>
        <item x="14"/>
        <item x="0"/>
        <item x="6"/>
        <item x="29"/>
        <item x="27"/>
        <item x="70"/>
        <item x="69"/>
        <item m="1" x="252"/>
        <item x="71"/>
        <item x="165"/>
        <item x="179"/>
        <item x="28"/>
        <item x="162"/>
        <item x="170"/>
        <item x="87"/>
        <item x="80"/>
        <item x="225"/>
        <item x="175"/>
        <item x="53"/>
        <item x="145"/>
        <item x="182"/>
        <item x="148"/>
        <item x="152"/>
        <item x="151"/>
        <item x="149"/>
        <item x="231"/>
        <item x="52"/>
        <item x="90"/>
        <item x="205"/>
        <item x="198"/>
        <item x="91"/>
        <item x="92"/>
        <item x="173"/>
        <item x="155"/>
        <item x="157"/>
        <item x="207"/>
        <item x="59"/>
        <item x="204"/>
        <item x="57"/>
        <item x="76"/>
        <item m="1" x="265"/>
        <item x="174"/>
        <item x="169"/>
        <item x="159"/>
        <item x="138"/>
        <item x="163"/>
        <item x="226"/>
        <item x="21"/>
        <item x="227"/>
        <item x="36"/>
        <item x="239"/>
        <item x="240"/>
        <item x="176"/>
        <item x="63"/>
        <item x="193"/>
        <item x="140"/>
        <item m="1" x="249"/>
        <item x="73"/>
        <item x="51"/>
        <item m="1" x="253"/>
        <item x="233"/>
        <item x="93"/>
        <item x="136"/>
        <item x="65"/>
        <item x="156"/>
        <item x="46"/>
        <item x="223"/>
        <item x="160"/>
        <item x="189"/>
        <item x="217"/>
        <item x="166"/>
        <item x="137"/>
        <item x="115"/>
        <item x="130"/>
        <item x="50"/>
        <item x="85"/>
        <item x="88"/>
        <item x="221"/>
        <item x="241"/>
        <item x="236"/>
        <item x="43"/>
        <item x="150"/>
        <item x="186"/>
        <item x="181"/>
        <item x="23"/>
        <item x="56"/>
        <item m="1" x="256"/>
        <item x="142"/>
        <item m="1" x="263"/>
        <item x="54"/>
        <item x="44"/>
        <item x="55"/>
        <item m="1" x="250"/>
        <item x="30"/>
        <item x="206"/>
        <item x="234"/>
        <item x="37"/>
        <item x="33"/>
        <item x="45"/>
        <item x="147"/>
        <item m="1" x="259"/>
        <item x="68"/>
        <item x="218"/>
        <item x="122"/>
        <item x="129"/>
        <item x="219"/>
        <item x="220"/>
        <item x="177"/>
        <item x="1"/>
        <item m="1" x="247"/>
        <item x="144"/>
        <item x="10"/>
        <item x="121"/>
        <item x="210"/>
        <item x="47"/>
        <item x="127"/>
        <item x="40"/>
        <item x="100"/>
        <item x="99"/>
        <item x="202"/>
        <item m="1" x="262"/>
        <item x="81"/>
        <item x="168"/>
        <item x="209"/>
        <item x="131"/>
        <item x="49"/>
        <item x="190"/>
        <item x="238"/>
        <item x="109"/>
        <item x="108"/>
        <item x="230"/>
        <item x="38"/>
        <item x="19"/>
        <item x="15"/>
        <item x="18"/>
        <item x="167"/>
        <item x="17"/>
        <item x="16"/>
        <item x="8"/>
        <item x="161"/>
        <item x="72"/>
        <item x="117"/>
        <item x="31"/>
        <item x="172"/>
        <item x="39"/>
        <item x="32"/>
        <item x="35"/>
        <item x="83"/>
        <item m="1" x="251"/>
        <item x="229"/>
        <item x="228"/>
        <item x="199"/>
        <item m="1" x="267"/>
        <item x="128"/>
        <item x="67"/>
        <item m="1" x="264"/>
        <item m="1" x="258"/>
        <item m="1" x="254"/>
        <item m="1" x="266"/>
        <item x="62"/>
        <item m="1" x="248"/>
        <item x="74"/>
        <item x="48"/>
        <item x="64"/>
        <item m="1" x="245"/>
        <item m="1" x="261"/>
        <item x="183"/>
        <item x="5"/>
        <item x="200"/>
        <item x="242"/>
        <item x="24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0"/>
    <field x="1"/>
  </rowFields>
  <rowItems count="258">
    <i>
      <x/>
      <x v="20"/>
    </i>
    <i r="1">
      <x v="34"/>
    </i>
    <i r="1">
      <x v="61"/>
    </i>
    <i r="1">
      <x v="62"/>
    </i>
    <i r="1">
      <x v="63"/>
    </i>
    <i r="1">
      <x v="114"/>
    </i>
    <i r="1">
      <x v="131"/>
    </i>
    <i r="1">
      <x v="132"/>
    </i>
    <i r="1">
      <x v="140"/>
    </i>
    <i r="1">
      <x v="161"/>
    </i>
    <i r="1">
      <x v="162"/>
    </i>
    <i r="1">
      <x v="214"/>
    </i>
    <i r="1">
      <x v="226"/>
    </i>
    <i r="1">
      <x v="227"/>
    </i>
    <i r="1">
      <x v="247"/>
    </i>
    <i r="1">
      <x v="248"/>
    </i>
    <i t="default">
      <x/>
    </i>
    <i>
      <x v="1"/>
      <x v="10"/>
    </i>
    <i r="1">
      <x v="26"/>
    </i>
    <i r="1">
      <x v="32"/>
    </i>
    <i r="1">
      <x v="42"/>
    </i>
    <i r="1">
      <x v="65"/>
    </i>
    <i r="1">
      <x v="66"/>
    </i>
    <i r="1">
      <x v="67"/>
    </i>
    <i r="1">
      <x v="69"/>
    </i>
    <i r="1">
      <x v="150"/>
    </i>
    <i r="1">
      <x v="152"/>
    </i>
    <i r="1">
      <x v="153"/>
    </i>
    <i r="1">
      <x v="193"/>
    </i>
    <i r="1">
      <x v="196"/>
    </i>
    <i r="1">
      <x v="200"/>
    </i>
    <i r="1">
      <x v="201"/>
    </i>
    <i r="1">
      <x v="202"/>
    </i>
    <i r="1">
      <x v="203"/>
    </i>
    <i r="1">
      <x v="204"/>
    </i>
    <i r="1">
      <x v="251"/>
    </i>
    <i r="1">
      <x v="252"/>
    </i>
    <i t="default">
      <x v="1"/>
    </i>
    <i>
      <x v="2"/>
      <x v="28"/>
    </i>
    <i r="1">
      <x v="43"/>
    </i>
    <i r="1">
      <x v="44"/>
    </i>
    <i r="1">
      <x v="45"/>
    </i>
    <i r="1">
      <x v="71"/>
    </i>
    <i r="1">
      <x v="76"/>
    </i>
    <i r="1">
      <x v="77"/>
    </i>
    <i r="1">
      <x v="96"/>
    </i>
    <i r="1">
      <x v="97"/>
    </i>
    <i r="1">
      <x v="98"/>
    </i>
    <i r="1">
      <x v="99"/>
    </i>
    <i r="1">
      <x v="100"/>
    </i>
    <i r="1">
      <x v="101"/>
    </i>
    <i r="1">
      <x v="102"/>
    </i>
    <i r="1">
      <x v="145"/>
    </i>
    <i r="1">
      <x v="209"/>
    </i>
    <i r="1">
      <x v="265"/>
    </i>
    <i t="default">
      <x v="2"/>
    </i>
    <i>
      <x v="3"/>
      <x v="80"/>
    </i>
    <i t="default">
      <x v="3"/>
    </i>
    <i>
      <x v="4"/>
      <x v="88"/>
    </i>
    <i r="1">
      <x v="89"/>
    </i>
    <i r="1">
      <x v="90"/>
    </i>
    <i r="1">
      <x v="91"/>
    </i>
    <i r="1">
      <x v="92"/>
    </i>
    <i r="1">
      <x v="93"/>
    </i>
    <i r="1">
      <x v="94"/>
    </i>
    <i t="default">
      <x v="4"/>
    </i>
    <i>
      <x v="5"/>
      <x v="3"/>
    </i>
    <i r="1">
      <x v="4"/>
    </i>
    <i r="1">
      <x v="8"/>
    </i>
    <i r="1">
      <x v="9"/>
    </i>
    <i r="1">
      <x v="24"/>
    </i>
    <i r="1">
      <x v="25"/>
    </i>
    <i r="1">
      <x v="46"/>
    </i>
    <i r="1">
      <x v="73"/>
    </i>
    <i r="1">
      <x v="78"/>
    </i>
    <i r="1">
      <x v="103"/>
    </i>
    <i r="1">
      <x v="104"/>
    </i>
    <i r="1">
      <x v="106"/>
    </i>
    <i r="1">
      <x v="110"/>
    </i>
    <i r="1">
      <x v="111"/>
    </i>
    <i r="1">
      <x v="112"/>
    </i>
    <i r="1">
      <x v="113"/>
    </i>
    <i r="1">
      <x v="115"/>
    </i>
    <i r="1">
      <x v="116"/>
    </i>
    <i r="1">
      <x v="118"/>
    </i>
    <i r="1">
      <x v="125"/>
    </i>
    <i r="1">
      <x v="128"/>
    </i>
    <i r="1">
      <x v="130"/>
    </i>
    <i r="1">
      <x v="139"/>
    </i>
    <i r="1">
      <x v="141"/>
    </i>
    <i r="1">
      <x v="142"/>
    </i>
    <i r="1">
      <x v="143"/>
    </i>
    <i r="1">
      <x v="148"/>
    </i>
    <i r="1">
      <x v="149"/>
    </i>
    <i r="1">
      <x v="155"/>
    </i>
    <i r="1">
      <x v="160"/>
    </i>
    <i r="1">
      <x v="164"/>
    </i>
    <i r="1">
      <x v="165"/>
    </i>
    <i r="1">
      <x v="169"/>
    </i>
    <i r="1">
      <x v="173"/>
    </i>
    <i r="1">
      <x v="178"/>
    </i>
    <i r="1">
      <x v="180"/>
    </i>
    <i r="1">
      <x v="181"/>
    </i>
    <i r="1">
      <x v="199"/>
    </i>
    <i r="1">
      <x v="219"/>
    </i>
    <i r="1">
      <x v="220"/>
    </i>
    <i r="1">
      <x v="237"/>
    </i>
    <i r="1">
      <x v="239"/>
    </i>
    <i r="1">
      <x v="249"/>
    </i>
    <i r="1">
      <x v="259"/>
    </i>
    <i r="1">
      <x v="261"/>
    </i>
    <i t="default">
      <x v="5"/>
    </i>
    <i>
      <x v="6"/>
      <x v="1"/>
    </i>
    <i r="1">
      <x v="12"/>
    </i>
    <i r="1">
      <x v="14"/>
    </i>
    <i r="1">
      <x v="15"/>
    </i>
    <i r="1">
      <x v="37"/>
    </i>
    <i r="1">
      <x v="47"/>
    </i>
    <i r="1">
      <x v="49"/>
    </i>
    <i r="1">
      <x v="59"/>
    </i>
    <i r="1">
      <x v="119"/>
    </i>
    <i r="1">
      <x v="120"/>
    </i>
    <i r="1">
      <x v="121"/>
    </i>
    <i r="1">
      <x v="122"/>
    </i>
    <i r="1">
      <x v="133"/>
    </i>
    <i r="1">
      <x v="166"/>
    </i>
    <i r="1">
      <x v="167"/>
    </i>
    <i r="1">
      <x v="170"/>
    </i>
    <i r="1">
      <x v="171"/>
    </i>
    <i r="1">
      <x v="179"/>
    </i>
    <i r="1">
      <x v="205"/>
    </i>
    <i r="1">
      <x v="211"/>
    </i>
    <i r="1">
      <x v="213"/>
    </i>
    <i r="1">
      <x v="224"/>
    </i>
    <i r="1">
      <x v="238"/>
    </i>
    <i r="1">
      <x v="245"/>
    </i>
    <i t="default">
      <x v="6"/>
    </i>
    <i>
      <x v="7"/>
      <x v="18"/>
    </i>
    <i r="1">
      <x v="19"/>
    </i>
    <i r="1">
      <x v="48"/>
    </i>
    <i r="1">
      <x v="109"/>
    </i>
    <i r="1">
      <x v="146"/>
    </i>
    <i r="1">
      <x v="182"/>
    </i>
    <i r="1">
      <x v="191"/>
    </i>
    <i r="1">
      <x v="195"/>
    </i>
    <i r="1">
      <x v="206"/>
    </i>
    <i r="1">
      <x v="208"/>
    </i>
    <i r="1">
      <x v="240"/>
    </i>
    <i r="1">
      <x v="243"/>
    </i>
    <i t="default">
      <x v="7"/>
    </i>
    <i>
      <x v="8"/>
      <x v="85"/>
    </i>
    <i r="1">
      <x v="147"/>
    </i>
    <i r="1">
      <x v="194"/>
    </i>
    <i r="1">
      <x v="210"/>
    </i>
    <i r="1">
      <x v="228"/>
    </i>
    <i r="1">
      <x v="229"/>
    </i>
    <i r="1">
      <x v="242"/>
    </i>
    <i r="1">
      <x v="244"/>
    </i>
    <i t="default">
      <x v="8"/>
    </i>
    <i>
      <x v="9"/>
      <x v="60"/>
    </i>
    <i r="1">
      <x v="68"/>
    </i>
    <i r="1">
      <x v="72"/>
    </i>
    <i r="1">
      <x v="156"/>
    </i>
    <i r="1">
      <x v="163"/>
    </i>
    <i r="1">
      <x v="172"/>
    </i>
    <i r="1">
      <x v="197"/>
    </i>
    <i r="1">
      <x v="212"/>
    </i>
    <i r="1">
      <x v="223"/>
    </i>
    <i r="1">
      <x v="260"/>
    </i>
    <i t="default">
      <x v="9"/>
    </i>
    <i>
      <x v="10"/>
      <x v="30"/>
    </i>
    <i r="1">
      <x v="31"/>
    </i>
    <i r="1">
      <x v="39"/>
    </i>
    <i r="1">
      <x v="51"/>
    </i>
    <i r="1">
      <x v="54"/>
    </i>
    <i r="1">
      <x v="55"/>
    </i>
    <i r="1">
      <x v="56"/>
    </i>
    <i r="1">
      <x v="57"/>
    </i>
    <i r="1">
      <x v="58"/>
    </i>
    <i r="1">
      <x v="64"/>
    </i>
    <i r="1">
      <x v="83"/>
    </i>
    <i r="1">
      <x v="84"/>
    </i>
    <i r="1">
      <x v="108"/>
    </i>
    <i r="1">
      <x v="117"/>
    </i>
    <i r="1">
      <x v="123"/>
    </i>
    <i r="1">
      <x v="126"/>
    </i>
    <i r="1">
      <x v="175"/>
    </i>
    <i r="1">
      <x v="183"/>
    </i>
    <i t="default">
      <x v="10"/>
    </i>
    <i>
      <x v="11"/>
      <x v="22"/>
    </i>
    <i r="1">
      <x v="23"/>
    </i>
    <i r="1">
      <x v="124"/>
    </i>
    <i r="1">
      <x v="144"/>
    </i>
    <i r="1">
      <x v="221"/>
    </i>
    <i r="1">
      <x v="222"/>
    </i>
    <i t="default">
      <x v="11"/>
    </i>
    <i>
      <x v="12"/>
      <x v="5"/>
    </i>
    <i r="1">
      <x v="6"/>
    </i>
    <i r="1">
      <x v="7"/>
    </i>
    <i r="1">
      <x v="16"/>
    </i>
    <i r="1">
      <x v="17"/>
    </i>
    <i r="1">
      <x v="21"/>
    </i>
    <i r="1">
      <x v="27"/>
    </i>
    <i r="1">
      <x v="29"/>
    </i>
    <i r="1">
      <x v="33"/>
    </i>
    <i r="1">
      <x v="35"/>
    </i>
    <i r="1">
      <x v="36"/>
    </i>
    <i r="1">
      <x v="38"/>
    </i>
    <i r="1">
      <x v="40"/>
    </i>
    <i r="1">
      <x v="41"/>
    </i>
    <i r="1">
      <x v="50"/>
    </i>
    <i r="1">
      <x v="53"/>
    </i>
    <i r="1">
      <x v="70"/>
    </i>
    <i r="1">
      <x v="74"/>
    </i>
    <i r="1">
      <x v="75"/>
    </i>
    <i r="1">
      <x v="79"/>
    </i>
    <i r="1">
      <x v="81"/>
    </i>
    <i r="1">
      <x v="82"/>
    </i>
    <i r="1">
      <x v="86"/>
    </i>
    <i r="1">
      <x v="87"/>
    </i>
    <i r="1">
      <x v="107"/>
    </i>
    <i r="1">
      <x v="127"/>
    </i>
    <i r="1">
      <x v="129"/>
    </i>
    <i r="1">
      <x v="134"/>
    </i>
    <i r="1">
      <x v="135"/>
    </i>
    <i r="1">
      <x v="136"/>
    </i>
    <i r="1">
      <x v="137"/>
    </i>
    <i r="1">
      <x v="151"/>
    </i>
    <i r="1">
      <x v="158"/>
    </i>
    <i r="1">
      <x v="159"/>
    </i>
    <i r="1">
      <x v="168"/>
    </i>
    <i r="1">
      <x v="174"/>
    </i>
    <i r="1">
      <x v="176"/>
    </i>
    <i r="1">
      <x v="177"/>
    </i>
    <i r="1">
      <x v="185"/>
    </i>
    <i r="1">
      <x v="187"/>
    </i>
    <i r="1">
      <x v="188"/>
    </i>
    <i r="1">
      <x v="189"/>
    </i>
    <i r="1">
      <x v="192"/>
    </i>
    <i r="1">
      <x v="215"/>
    </i>
    <i r="1">
      <x v="216"/>
    </i>
    <i r="1">
      <x v="217"/>
    </i>
    <i r="1">
      <x v="225"/>
    </i>
    <i r="1">
      <x v="230"/>
    </i>
    <i r="1">
      <x v="231"/>
    </i>
    <i r="1">
      <x v="232"/>
    </i>
    <i r="1">
      <x v="233"/>
    </i>
    <i r="1">
      <x v="234"/>
    </i>
    <i r="1">
      <x v="235"/>
    </i>
    <i r="1">
      <x v="236"/>
    </i>
    <i r="1">
      <x v="241"/>
    </i>
    <i r="1">
      <x v="257"/>
    </i>
    <i r="1">
      <x v="264"/>
    </i>
    <i r="1">
      <x v="266"/>
    </i>
    <i r="1">
      <x v="267"/>
    </i>
    <i t="default">
      <x v="12"/>
    </i>
    <i>
      <x v="13"/>
      <x v="268"/>
    </i>
    <i t="default">
      <x v="13"/>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Count of ACTIVE     CED, FARM GATE (MJ/kg)" fld="29" subtotal="countNums" baseField="0" baseItem="0"/>
    <dataField name="Average of ACTIVE     CED, FARM GATE (MJ/kg)" fld="29" subtotal="average" baseField="0" baseItem="0"/>
    <dataField name="Min of ACTIVE     CED, FARM GATE (MJ/kg)" fld="29" subtotal="min" baseField="0" baseItem="0"/>
    <dataField name="Max of ACTIVE     CED, FARM GATE (MJ/kg)" fld="29" subtotal="max" baseField="0" baseItem="0"/>
    <dataField name="StdDev of ACTIVE     CED, FARM GATE (MJ/kg)" fld="29" subtotal="stdDev" baseField="0" baseItem="0"/>
    <dataField name="Count of CED, processor gate (MJ/kg)" fld="30" subtotal="countNums" baseField="0" baseItem="0"/>
    <dataField name="Average of CED, processor gate (MJ/kg)" fld="30" subtotal="average" baseField="0" baseItem="0"/>
    <dataField name="Min of CED, processor gate (MJ/kg)" fld="30" subtotal="min" baseField="0" baseItem="0"/>
    <dataField name="Max of CED, processor gate (MJ/kg)" fld="30" subtotal="max" baseField="0" baseItem="0"/>
    <dataField name="StdDev of CED, processor gate (MJ/kg)" fld="30" subtotal="stdDev" baseField="0" baseItem="0"/>
    <dataField name="Count of Studies CED, TOTAL LC (MJ/kg)" fld="43" subtotal="countNums" baseField="0" baseItem="0"/>
    <dataField name="Average of CED, TOTAL LC (MJ/kg)" fld="43" subtotal="average" baseField="0" baseItem="0"/>
    <dataField name="Min of CED, TOTAL LC (MJ/kg)" fld="43" subtotal="min" baseField="0" baseItem="0"/>
    <dataField name="Max of CED, TOTAL LC (MJ/kg)" fld="43" subtotal="max" baseField="0" baseItem="0"/>
    <dataField name="StdDev of CED, TOTAL LC (MJ/kg)" fld="43" subtotal="stdDev" baseField="0" baseItem="0"/>
  </dataFields>
  <formats count="16">
    <format dxfId="20">
      <pivotArea outline="0" collapsedLevelsAreSubtotals="1" fieldPosition="0"/>
    </format>
    <format dxfId="19">
      <pivotArea field="-2" type="button" dataOnly="0" labelOnly="1" outline="0" axis="axisCol" fieldPosition="0"/>
    </format>
    <format dxfId="18">
      <pivotArea type="topRight" dataOnly="0" labelOnly="1" outline="0" fieldPosition="0"/>
    </format>
    <format dxfId="17">
      <pivotArea field="-2" type="button" dataOnly="0" labelOnly="1" outline="0" axis="axisCol" fieldPosition="0"/>
    </format>
    <format dxfId="16">
      <pivotArea field="-2" type="button" dataOnly="0" labelOnly="1" outline="0" axis="axisCol" fieldPosition="0"/>
    </format>
    <format dxfId="15">
      <pivotArea field="-2" type="button" dataOnly="0" labelOnly="1" outline="0" axis="axisCol" fieldPosition="0"/>
    </format>
    <format dxfId="14">
      <pivotArea field="0" type="button" dataOnly="0" labelOnly="1" outline="0" axis="axisRow" fieldPosition="0"/>
    </format>
    <format dxfId="13">
      <pivotArea field="1" type="button" dataOnly="0" labelOnly="1" outline="0" axis="axisRow" fieldPosition="1"/>
    </format>
    <format dxfId="12">
      <pivotArea dataOnly="0" labelOnly="1" outline="0" fieldPosition="0">
        <references count="1">
          <reference field="4294967294" count="15">
            <x v="0"/>
            <x v="1"/>
            <x v="2"/>
            <x v="3"/>
            <x v="4"/>
            <x v="5"/>
            <x v="6"/>
            <x v="7"/>
            <x v="8"/>
            <x v="9"/>
            <x v="10"/>
            <x v="11"/>
            <x v="12"/>
            <x v="13"/>
            <x v="14"/>
          </reference>
        </references>
      </pivotArea>
    </format>
    <format dxfId="11">
      <pivotArea field="-2" type="button" dataOnly="0" labelOnly="1" outline="0" axis="axisCol" fieldPosition="0"/>
    </format>
    <format dxfId="10">
      <pivotArea type="topRight" dataOnly="0" labelOnly="1" outline="0" fieldPosition="0"/>
    </format>
    <format dxfId="9">
      <pivotArea dataOnly="0" labelOnly="1" outline="0" fieldPosition="0">
        <references count="1">
          <reference field="4294967294" count="5">
            <x v="0"/>
            <x v="1"/>
            <x v="2"/>
            <x v="3"/>
            <x v="4"/>
          </reference>
        </references>
      </pivotArea>
    </format>
    <format dxfId="8">
      <pivotArea type="topRight" dataOnly="0" labelOnly="1" outline="0" offset="E1:I1" fieldPosition="0"/>
    </format>
    <format dxfId="7">
      <pivotArea dataOnly="0" labelOnly="1" outline="0" fieldPosition="0">
        <references count="1">
          <reference field="4294967294" count="5">
            <x v="5"/>
            <x v="6"/>
            <x v="7"/>
            <x v="8"/>
            <x v="9"/>
          </reference>
        </references>
      </pivotArea>
    </format>
    <format dxfId="6">
      <pivotArea type="topRight" dataOnly="0" labelOnly="1" outline="0" offset="J1:N1" fieldPosition="0"/>
    </format>
    <format dxfId="5">
      <pivotArea dataOnly="0" labelOnly="1" outline="0" fieldPosition="0">
        <references count="1">
          <reference field="4294967294" count="5">
            <x v="10"/>
            <x v="11"/>
            <x v="12"/>
            <x v="13"/>
            <x v="14"/>
          </reference>
        </references>
      </pivotArea>
    </format>
  </formats>
  <pivotTableStyleInfo name="PivotStyleLight16" showRowHeaders="1" showColHeaders="1" showRowStripes="0" showColStripes="1"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fcid.foodrisk.org/" TargetMode="External"/><Relationship Id="rId1" Type="http://schemas.openxmlformats.org/officeDocument/2006/relationships/hyperlink" Target="https://doi.org/10.1088/1748-9326/aab0ac"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S18"/>
  <sheetViews>
    <sheetView workbookViewId="0">
      <selection activeCell="A8" sqref="A8"/>
    </sheetView>
  </sheetViews>
  <sheetFormatPr baseColWidth="10" defaultColWidth="8.83203125" defaultRowHeight="16" x14ac:dyDescent="0.2"/>
  <cols>
    <col min="2" max="2" width="15.1640625" customWidth="1"/>
  </cols>
  <sheetData>
    <row r="2" spans="1:19" ht="19" x14ac:dyDescent="0.25">
      <c r="A2" s="187" t="s">
        <v>4435</v>
      </c>
    </row>
    <row r="3" spans="1:19" ht="19" x14ac:dyDescent="0.25">
      <c r="A3" s="187"/>
      <c r="B3" s="26" t="s">
        <v>4419</v>
      </c>
      <c r="S3" s="299" t="s">
        <v>4420</v>
      </c>
    </row>
    <row r="4" spans="1:19" ht="19" x14ac:dyDescent="0.25">
      <c r="A4" s="187"/>
      <c r="B4" s="26" t="s">
        <v>4418</v>
      </c>
    </row>
    <row r="5" spans="1:19" ht="19" x14ac:dyDescent="0.25">
      <c r="A5" s="300" t="s">
        <v>4077</v>
      </c>
    </row>
    <row r="6" spans="1:19" x14ac:dyDescent="0.2">
      <c r="B6" s="26" t="s">
        <v>4080</v>
      </c>
    </row>
    <row r="7" spans="1:19" x14ac:dyDescent="0.2">
      <c r="B7" s="299" t="s">
        <v>4076</v>
      </c>
    </row>
    <row r="8" spans="1:19" x14ac:dyDescent="0.2">
      <c r="A8" s="457" t="s">
        <v>4429</v>
      </c>
      <c r="B8" s="299"/>
    </row>
    <row r="10" spans="1:19" ht="19" x14ac:dyDescent="0.25">
      <c r="A10" s="187" t="s">
        <v>4078</v>
      </c>
    </row>
    <row r="11" spans="1:19" x14ac:dyDescent="0.2">
      <c r="A11" s="26" t="s">
        <v>4417</v>
      </c>
    </row>
    <row r="12" spans="1:19" x14ac:dyDescent="0.2">
      <c r="A12" s="26"/>
    </row>
    <row r="13" spans="1:19" x14ac:dyDescent="0.2">
      <c r="B13" s="26" t="s">
        <v>4079</v>
      </c>
      <c r="C13" s="26" t="s">
        <v>4421</v>
      </c>
    </row>
    <row r="14" spans="1:19" x14ac:dyDescent="0.2">
      <c r="B14" s="26" t="s">
        <v>4089</v>
      </c>
      <c r="C14" s="26" t="s">
        <v>4422</v>
      </c>
    </row>
    <row r="15" spans="1:19" x14ac:dyDescent="0.2">
      <c r="B15" s="26" t="s">
        <v>4081</v>
      </c>
      <c r="C15" s="26" t="s">
        <v>4423</v>
      </c>
    </row>
    <row r="16" spans="1:19" x14ac:dyDescent="0.2">
      <c r="B16" s="26" t="s">
        <v>4082</v>
      </c>
      <c r="C16" s="26" t="s">
        <v>4424</v>
      </c>
    </row>
    <row r="17" spans="2:3" x14ac:dyDescent="0.2">
      <c r="B17" s="26" t="s">
        <v>4083</v>
      </c>
      <c r="C17" s="26" t="s">
        <v>4425</v>
      </c>
    </row>
    <row r="18" spans="2:3" x14ac:dyDescent="0.2">
      <c r="B18" s="26" t="s">
        <v>4427</v>
      </c>
      <c r="C18" s="26" t="s">
        <v>4428</v>
      </c>
    </row>
  </sheetData>
  <hyperlinks>
    <hyperlink ref="B7" r:id="rId1" xr:uid="{00000000-0004-0000-0000-000000000000}"/>
    <hyperlink ref="S3"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F1002"/>
  <sheetViews>
    <sheetView tabSelected="1" zoomScale="178" zoomScaleNormal="110" zoomScalePageLayoutView="150" workbookViewId="0">
      <pane xSplit="2" ySplit="3" topLeftCell="C191" activePane="bottomRight" state="frozen"/>
      <selection pane="topRight" activeCell="C1" sqref="C1"/>
      <selection pane="bottomLeft" activeCell="A4" sqref="A4"/>
      <selection pane="bottomRight" activeCell="I201" sqref="I201"/>
    </sheetView>
  </sheetViews>
  <sheetFormatPr baseColWidth="10" defaultColWidth="8.83203125" defaultRowHeight="16" x14ac:dyDescent="0.2"/>
  <cols>
    <col min="1" max="1" width="11.83203125" style="5" customWidth="1"/>
    <col min="2" max="2" width="31.33203125" style="5" customWidth="1"/>
    <col min="3" max="3" width="15.5" style="5" customWidth="1"/>
    <col min="4" max="4" width="17" style="5" hidden="1" customWidth="1"/>
    <col min="5" max="5" width="8.83203125" style="5" hidden="1" customWidth="1"/>
    <col min="6" max="6" width="14.1640625" style="7" bestFit="1" customWidth="1"/>
    <col min="7" max="7" width="14.83203125" style="7" bestFit="1" customWidth="1"/>
    <col min="8" max="9" width="10.1640625" style="7" customWidth="1"/>
    <col min="10" max="10" width="8.6640625" style="16" customWidth="1"/>
    <col min="11" max="11" width="13.6640625" style="5" customWidth="1"/>
    <col min="12" max="12" width="11.1640625" style="7" customWidth="1"/>
    <col min="13" max="13" width="10.83203125" style="7" bestFit="1" customWidth="1"/>
    <col min="14" max="14" width="10.5" style="7" bestFit="1" customWidth="1"/>
    <col min="15" max="15" width="10.5" style="7" customWidth="1"/>
    <col min="16" max="16" width="11.1640625" style="7" customWidth="1"/>
    <col min="17" max="17" width="10.83203125" style="7" customWidth="1"/>
    <col min="18" max="19" width="10.5" style="7" customWidth="1"/>
    <col min="20" max="20" width="12.6640625" style="27" hidden="1" customWidth="1"/>
    <col min="21" max="21" width="16.6640625" style="27" hidden="1" customWidth="1"/>
    <col min="22" max="22" width="8.83203125" style="5" customWidth="1"/>
    <col min="23" max="23" width="10.5" style="214" customWidth="1"/>
    <col min="24" max="25" width="8.83203125" style="214"/>
    <col min="26" max="26" width="11.33203125" style="214" customWidth="1"/>
    <col min="27" max="27" width="12.83203125" style="214" customWidth="1"/>
    <col min="28" max="30" width="8.83203125" style="215"/>
    <col min="31" max="31" width="10.5" style="215" customWidth="1"/>
    <col min="32" max="32" width="12.5" style="215" customWidth="1"/>
    <col min="33" max="16384" width="8.83203125" style="5"/>
  </cols>
  <sheetData>
    <row r="1" spans="1:32" ht="19.5" customHeight="1" thickBot="1" x14ac:dyDescent="0.25">
      <c r="A1" s="9"/>
      <c r="B1" s="9"/>
      <c r="C1" s="9"/>
      <c r="D1" s="9"/>
      <c r="E1" s="9"/>
      <c r="F1" s="466" t="s">
        <v>4067</v>
      </c>
      <c r="G1" s="467"/>
      <c r="H1" s="12"/>
      <c r="I1" s="69"/>
      <c r="J1" s="481" t="s">
        <v>4087</v>
      </c>
      <c r="K1" s="474" t="s">
        <v>3266</v>
      </c>
      <c r="L1" s="475" t="s">
        <v>1717</v>
      </c>
      <c r="M1" s="476"/>
      <c r="N1" s="476"/>
      <c r="O1" s="477"/>
      <c r="P1" s="478" t="s">
        <v>1718</v>
      </c>
      <c r="Q1" s="479"/>
      <c r="R1" s="479"/>
      <c r="S1" s="480"/>
      <c r="T1" s="461" t="s">
        <v>4436</v>
      </c>
      <c r="U1" s="76"/>
      <c r="W1" s="465" t="s">
        <v>3366</v>
      </c>
      <c r="X1" s="465"/>
      <c r="Y1" s="465"/>
      <c r="Z1" s="465"/>
      <c r="AA1" s="465"/>
      <c r="AB1" s="465"/>
      <c r="AC1" s="465"/>
      <c r="AD1" s="465"/>
      <c r="AE1" s="465"/>
      <c r="AF1" s="465"/>
    </row>
    <row r="2" spans="1:32" s="11" customFormat="1" ht="31" customHeight="1" thickBot="1" x14ac:dyDescent="0.25">
      <c r="A2" s="10"/>
      <c r="B2" s="10"/>
      <c r="C2" s="10"/>
      <c r="D2" s="10"/>
      <c r="E2" s="10" t="s">
        <v>4063</v>
      </c>
      <c r="F2" s="14" t="s">
        <v>2428</v>
      </c>
      <c r="G2" s="15" t="s">
        <v>2429</v>
      </c>
      <c r="H2" s="13"/>
      <c r="I2" s="71"/>
      <c r="J2" s="482"/>
      <c r="K2" s="474"/>
      <c r="L2" s="138" t="s">
        <v>2865</v>
      </c>
      <c r="M2" s="468"/>
      <c r="N2" s="469"/>
      <c r="O2" s="470"/>
      <c r="P2" s="138" t="s">
        <v>2865</v>
      </c>
      <c r="Q2" s="471"/>
      <c r="R2" s="472"/>
      <c r="S2" s="473"/>
      <c r="T2" s="462" t="s">
        <v>2860</v>
      </c>
      <c r="U2" s="462" t="s">
        <v>2861</v>
      </c>
      <c r="W2" s="463" t="s">
        <v>3350</v>
      </c>
      <c r="X2" s="463"/>
      <c r="Y2" s="463"/>
      <c r="Z2" s="463"/>
      <c r="AA2" s="463"/>
      <c r="AB2" s="464" t="s">
        <v>3352</v>
      </c>
      <c r="AC2" s="464"/>
      <c r="AD2" s="464"/>
      <c r="AE2" s="464"/>
      <c r="AF2" s="464"/>
    </row>
    <row r="3" spans="1:32" s="6" customFormat="1" ht="42" customHeight="1" thickBot="1" x14ac:dyDescent="0.25">
      <c r="A3" s="98" t="s">
        <v>1719</v>
      </c>
      <c r="B3" s="99" t="s">
        <v>1720</v>
      </c>
      <c r="C3" s="295" t="s">
        <v>4064</v>
      </c>
      <c r="D3" s="295" t="s">
        <v>4065</v>
      </c>
      <c r="E3" s="99" t="s">
        <v>1722</v>
      </c>
      <c r="F3" s="101" t="s">
        <v>2357</v>
      </c>
      <c r="G3" s="102" t="s">
        <v>2421</v>
      </c>
      <c r="H3" s="297" t="s">
        <v>4066</v>
      </c>
      <c r="I3" s="70" t="s">
        <v>2767</v>
      </c>
      <c r="J3" s="301" t="s">
        <v>4088</v>
      </c>
      <c r="K3" s="100"/>
      <c r="L3" s="134"/>
      <c r="M3" s="207" t="s">
        <v>3349</v>
      </c>
      <c r="N3" s="103" t="s">
        <v>1723</v>
      </c>
      <c r="O3" s="104" t="s">
        <v>1724</v>
      </c>
      <c r="P3" s="134"/>
      <c r="Q3" s="208" t="s">
        <v>3349</v>
      </c>
      <c r="R3" s="105" t="s">
        <v>1723</v>
      </c>
      <c r="S3" s="106" t="s">
        <v>1724</v>
      </c>
      <c r="T3" s="107"/>
      <c r="U3" s="108"/>
      <c r="W3" s="209" t="s">
        <v>3351</v>
      </c>
      <c r="X3" s="209" t="s">
        <v>320</v>
      </c>
      <c r="Y3" s="216" t="s">
        <v>4086</v>
      </c>
      <c r="Z3" s="217" t="s">
        <v>4085</v>
      </c>
      <c r="AA3" s="216" t="s">
        <v>4084</v>
      </c>
      <c r="AB3" s="210" t="s">
        <v>3351</v>
      </c>
      <c r="AC3" s="210" t="s">
        <v>320</v>
      </c>
      <c r="AD3" s="218" t="s">
        <v>4086</v>
      </c>
      <c r="AE3" s="222" t="s">
        <v>4085</v>
      </c>
      <c r="AF3" s="218" t="s">
        <v>4084</v>
      </c>
    </row>
    <row r="4" spans="1:32" s="19" customFormat="1" ht="17" thickBot="1" x14ac:dyDescent="0.25">
      <c r="A4" s="109">
        <v>101050000</v>
      </c>
      <c r="B4" s="110" t="s">
        <v>1822</v>
      </c>
      <c r="C4" s="110" t="s">
        <v>1823</v>
      </c>
      <c r="D4" s="296"/>
      <c r="E4" s="110">
        <v>659</v>
      </c>
      <c r="F4" s="111">
        <f t="shared" ref="F4:F67" ca="1" si="0">N4*H4+T4</f>
        <v>1.2210000000000003</v>
      </c>
      <c r="G4" s="112">
        <f t="shared" ref="G4:G67" ca="1" si="1">R4*H4+U4</f>
        <v>0.19425000000000001</v>
      </c>
      <c r="H4" s="202">
        <v>1.1100000000000001</v>
      </c>
      <c r="I4" s="113" t="s">
        <v>2736</v>
      </c>
      <c r="J4" s="77">
        <v>1</v>
      </c>
      <c r="K4" s="78"/>
      <c r="L4" s="135" t="str">
        <f>IF(ISERROR(GETPIVOTDATA(IF($J4=1,"Count of ACTIVE     CED, FARM GATE (MJ/kg)","Count of CED, processor gate (MJ/kg)"),'Pivot Table_CED'!$A$3,"SUB TYPE",$B4)),"PROXY",IF(GETPIVOTDATA(IF($J4=1,"Count of ACTIVE     CED, FARM GATE (MJ/kg)","Count of CED, processor gate (MJ/kg)"),'Pivot Table_CED'!$A$3,"SUB TYPE",$B4)=0,"PROXY","DB value"))</f>
        <v>DB value</v>
      </c>
      <c r="M4" s="118">
        <f ca="1">IF($L4="PROXY",DCOUNT('literature entries'!$D:$AI,IF($J4=1,"ACTIVE     CED, FARM GATE (MJ/kg)","CED, processor gate (MJ/kg)"),INDIRECT($K4)),GETPIVOTDATA(IF($J4=1,"Count of ACTIVE     CED, FARM GATE (MJ/kg)","Count of CED, processor gate (MJ/kg)"),'Pivot Table_CED'!$A$3,"SUB TYPE",$B4))</f>
        <v>1</v>
      </c>
      <c r="N4" s="119">
        <f ca="1">IF($L4="PROXY",DAVERAGE('literature entries'!$D:$AI,IF($J4=1,"ACTIVE     CED, FARM GATE (MJ/kg)","CED, processor gate (MJ/kg)"),INDIRECT($K4)),GETPIVOTDATA(IF($J4=1,"Average of ACTIVE     CED, FARM GATE (MJ/kg)","Average of CED, processor gate (MJ/kg)"),'Pivot Table_CED'!$A$3,"SUB TYPE",$B4))</f>
        <v>1.1000000000000001</v>
      </c>
      <c r="O4" s="119">
        <f ca="1">IF($L4="PROXY",DSTDEV('literature entries'!D:AF,IF($J4=1,"ACTIVE     CED, FARM GATE (MJ/kg)","CED, processor gate (MJ/kg)"),INDIRECT($K4)),GETPIVOTDATA(IF($J4=1,"StdDev of ACTIVE     CED, FARM GATE (MJ/kg)","StdDev of CED, processor gate (MJ/kg)"),'Pivot Table_CED'!$A$3,"SUB TYPE",$B4))</f>
        <v>0</v>
      </c>
      <c r="P4" s="135" t="str">
        <f>IF(ISERROR(GETPIVOTDATA(IF($J4=1,"Count of ACTIVE     GHGE, FARM GATE (kg CO2e/kg)","Count of GHGE, processor gate (kg CO2e/kg)"),'Pivot Table_GHG'!$A$3,"SUB TYPE",$B4)),"PROXY",IF(GETPIVOTDATA(IF($J4=1,"Count of ACTIVE     GHGE, FARM GATE (kg CO2e/kg)","Count of GHGE, processor gate (kg CO2e/kg)"),'Pivot Table_GHG'!$A$3,"SUB TYPE",$B4)=0,"PROXY","DB value"))</f>
        <v>DB value</v>
      </c>
      <c r="Q4" s="125">
        <f ca="1">IF($P4="PROXY",DCOUNT('literature entries'!$D:$AI,IF($J4=1,"ACTIVE     GHGE, FARM GATE (kg CO2e/kg)","GHGE, processor gate (kg CO2e/kg)"),INDIRECT($K4)),GETPIVOTDATA(IF($J4=1,"ACTIVE     GHGE, FARM GATE (kg CO2e/kg)","Count of GHGE, processor gate (kg CO2e/kg)"),'Pivot Table_GHG'!$A$3,"SUB TYPE",$B4))</f>
        <v>2</v>
      </c>
      <c r="R4" s="190">
        <f ca="1">IF($P4="PROXY",DAVERAGE('literature entries'!$D:$AI,IF($J4=1,"ACTIVE     GHGE, FARM GATE (kg CO2e/kg)","GHGE, processor gate (kg CO2e/kg)"),INDIRECT($K4)),GETPIVOTDATA(IF($J4=1,"Average of ACTIVE     GHGE, FARM GATE (kg CO2e/kg)","Average of GHGE, processor gate (kg CO2e/kg)"),'Pivot Table_GHG'!$A$3,"SUB TYPE",$B4))</f>
        <v>0.17499999999999999</v>
      </c>
      <c r="S4" s="190">
        <f ca="1">IF($P4="PROXY",DSTDEV('literature entries'!$D:$AI,IF($J4=1,"ACTIVE     GHGE, FARM GATE (kg CO2e/kg)","GHGE, processor gate (kg CO2e/kg)"),INDIRECT($K4)),GETPIVOTDATA(IF($J4=1,"StdDev of ACTIVE     GHGE, FARM GATE (kg CO2e/kg)","StdDev of GHGE, processor gate (kg CO2e/kg)"),'Pivot Table_GHG'!$A$3,"SUB TYPE",$B4))</f>
        <v>9.1923881554251213E-2</v>
      </c>
      <c r="T4" s="203"/>
      <c r="U4" s="205"/>
      <c r="W4" s="213" t="s">
        <v>2455</v>
      </c>
      <c r="X4" s="211">
        <f ca="1">IF($W4="DIRECT",M4,DCOUNT('literature entries'!$D:$AI,IF($J4=1,"ACTIVE     CED, FARM GATE (MJ/kg)","CED, processor gate (MJ/kg)"),INDIRECT($W4)))</f>
        <v>14</v>
      </c>
      <c r="Y4" s="211">
        <f ca="1">IF($W4="DIRECT","",DAVERAGE('literature entries'!$D:$AI,IF($J4=1,"ACTIVE     CED, FARM GATE (MJ/kg)","CED, processor gate (MJ/kg)"),INDIRECT($W4)))</f>
        <v>1.4220714285714284</v>
      </c>
      <c r="Z4" s="211">
        <f ca="1">IF($W4="DIRECT",$O4,DSTDEV('literature entries'!$D:$AI,IF($J4=1,"ACTIVE     CED, FARM GATE (MJ/kg)","CED, processor gate (MJ/kg)"),INDIRECT($W4)))</f>
        <v>0.57442043892896122</v>
      </c>
      <c r="AA4" s="211">
        <f t="shared" ref="AA4:AA10" ca="1" si="2">IF($W4="DIRECT",$O4,$Z4/$Y4*$N4)</f>
        <v>0.44432541863006703</v>
      </c>
      <c r="AB4" s="219" t="s">
        <v>2455</v>
      </c>
      <c r="AC4" s="212">
        <f ca="1">IF($AB4="DIRECT",Q4,DCOUNT('literature entries'!$D:$AI,IF($J4=1,"ACTIVE     GHGE, FARM GATE (kg CO2e/kg)","GHGE, processor gate (kg CO2e/kg)"),INDIRECT($AB4)))</f>
        <v>25</v>
      </c>
      <c r="AD4" s="212">
        <f ca="1">IF($AB4="DIRECT","",DAVERAGE('literature entries'!$D:$AI,IF($J4=1,"ACTIVE     GHGE, FARM GATE (kg CO2e/kg)","GHGE, processor gate (kg CO2e/kg)"),INDIRECT($AB4)))</f>
        <v>0.21340000000000003</v>
      </c>
      <c r="AE4" s="212">
        <f ca="1">IF($AB4="DIRECT",$S4,DSTDEV('literature entries'!$D:$AI,IF($J4=1,"ACTIVE     GHGE, FARM GATE (kg CO2e/kg)","GHGE, processor gate (kg CO2e/kg)"),INDIRECT($AB4)))</f>
        <v>0.17992035274902424</v>
      </c>
      <c r="AF4" s="212">
        <f t="shared" ref="AF4:AF10" ca="1" si="3">IF($AB4="DIRECT",$S4,$AE4/$AD4*$R4)</f>
        <v>0.14754480661236755</v>
      </c>
    </row>
    <row r="5" spans="1:32" s="19" customFormat="1" ht="17" thickBot="1" x14ac:dyDescent="0.25">
      <c r="A5" s="114">
        <v>101052000</v>
      </c>
      <c r="B5" s="115" t="s">
        <v>1826</v>
      </c>
      <c r="C5" s="115" t="s">
        <v>1827</v>
      </c>
      <c r="D5" s="115" t="s">
        <v>1828</v>
      </c>
      <c r="E5" s="115">
        <v>49979</v>
      </c>
      <c r="F5" s="111">
        <f t="shared" ca="1" si="0"/>
        <v>4.5742357</v>
      </c>
      <c r="G5" s="112">
        <f t="shared" ca="1" si="1"/>
        <v>0.39078305999999996</v>
      </c>
      <c r="H5" s="116">
        <v>1</v>
      </c>
      <c r="I5" s="117" t="s">
        <v>2724</v>
      </c>
      <c r="J5" s="79">
        <v>2</v>
      </c>
      <c r="K5" s="78"/>
      <c r="L5" s="135" t="str">
        <f>IF(ISERROR(GETPIVOTDATA(IF($J5=1,"Count of ACTIVE     CED, FARM GATE (MJ/kg)","Count of CED, processor gate (MJ/kg)"),'Pivot Table_CED'!$A$3,"SUB TYPE",$B5)),"PROXY",IF(GETPIVOTDATA(IF($J5=1,"Count of ACTIVE     CED, FARM GATE (MJ/kg)","Count of CED, processor gate (MJ/kg)"),'Pivot Table_CED'!$A$3,"SUB TYPE",$B5)=0,"PROXY","DB value"))</f>
        <v>DB value</v>
      </c>
      <c r="M5" s="118">
        <f ca="1">IF($L5="PROXY",DCOUNT('literature entries'!$D:$AI,IF($J5=1,"ACTIVE     CED, FARM GATE (MJ/kg)","CED, processor gate (MJ/kg)"),INDIRECT($K5)),GETPIVOTDATA(IF($J5=1,"Count of ACTIVE     CED, FARM GATE (MJ/kg)","Count of CED, processor gate (MJ/kg)"),'Pivot Table_CED'!$A$3,"SUB TYPE",$B5))</f>
        <v>4</v>
      </c>
      <c r="N5" s="119">
        <f ca="1">IF($L5="PROXY",DAVERAGE('literature entries'!$D:$AI,IF($J5=1,"ACTIVE     CED, FARM GATE (MJ/kg)","CED, processor gate (MJ/kg)"),INDIRECT($K5)),GETPIVOTDATA(IF($J5=1,"Average of ACTIVE     CED, FARM GATE (MJ/kg)","Average of CED, processor gate (MJ/kg)"),'Pivot Table_CED'!$A$3,"SUB TYPE",$B5))</f>
        <v>4.5742357</v>
      </c>
      <c r="O5" s="119">
        <f ca="1">IF($L5="PROXY",DSTDEV('literature entries'!D:AI,IF($J5=1,"ACTIVE     CED, FARM GATE (MJ/kg)","CED, processor gate (MJ/kg)"),INDIRECT($K5)),GETPIVOTDATA(IF($J5=1,"StdDev of ACTIVE     CED, FARM GATE (MJ/kg)","StdDev of CED, processor gate (MJ/kg)"),'Pivot Table_CED'!$A$3,"SUB TYPE",$B5))</f>
        <v>0.6368808101531177</v>
      </c>
      <c r="P5" s="135" t="str">
        <f>IF(ISERROR(GETPIVOTDATA(IF($J5=1,"Count of ACTIVE     GHGE, FARM GATE (kg CO2e/kg)","Count of GHGE, processor gate (kg CO2e/kg)"),'Pivot Table_GHG'!$A$3,"SUB TYPE",$B5)),"PROXY",IF(GETPIVOTDATA(IF($J5=1,"Count of ACTIVE     GHGE, FARM GATE (kg CO2e/kg)","Count of GHGE, processor gate (kg CO2e/kg)"),'Pivot Table_GHG'!$A$3,"SUB TYPE",$B5)=0,"PROXY","DB value"))</f>
        <v>DB value</v>
      </c>
      <c r="Q5" s="125">
        <f ca="1">IF($P5="PROXY",DCOUNT('literature entries'!$D:$AI,IF($J5=1,"ACTIVE     GHGE, FARM GATE (kg CO2e/kg)","GHGE, processor gate (kg CO2e/kg)"),INDIRECT($K5)),GETPIVOTDATA(IF($J5=1,"ACTIVE     GHGE, FARM GATE (kg CO2e/kg)","Count of GHGE, processor gate (kg CO2e/kg)"),'Pivot Table_GHG'!$A$3,"SUB TYPE",$B5))</f>
        <v>4</v>
      </c>
      <c r="R5" s="190">
        <f ca="1">IF($P5="PROXY",DAVERAGE('literature entries'!$D:$AI,IF($J5=1,"ACTIVE     GHGE, FARM GATE (kg CO2e/kg)","GHGE, processor gate (kg CO2e/kg)"),INDIRECT($K5)),GETPIVOTDATA(IF($J5=1,"Average of ACTIVE     GHGE, FARM GATE (kg CO2e/kg)","Average of GHGE, processor gate (kg CO2e/kg)"),'Pivot Table_GHG'!$A$3,"SUB TYPE",$B5))</f>
        <v>0.39078305999999996</v>
      </c>
      <c r="S5" s="190">
        <f ca="1">IF($P5="PROXY",DSTDEV('literature entries'!$D:$AI,IF($J5=1,"ACTIVE     GHGE, FARM GATE (kg CO2e/kg)","GHGE, processor gate (kg CO2e/kg)"),INDIRECT($K5)),GETPIVOTDATA(IF($J5=1,"StdDev of ACTIVE     GHGE, FARM GATE (kg CO2e/kg)","StdDev of GHGE, processor gate (kg CO2e/kg)"),'Pivot Table_GHG'!$A$3,"SUB TYPE",$B5))</f>
        <v>7.6284474512375716E-2</v>
      </c>
      <c r="T5" s="88"/>
      <c r="U5" s="89"/>
      <c r="W5" s="213" t="s">
        <v>3364</v>
      </c>
      <c r="X5" s="211">
        <f ca="1">IF($W5="DIRECT",M5,DCOUNT('literature entries'!$D:$AI,IF($J5=1,"ACTIVE     CED, FARM GATE (MJ/kg)","CED, processor gate (MJ/kg)"),INDIRECT($W5)))</f>
        <v>14</v>
      </c>
      <c r="Y5" s="211">
        <f ca="1">IF($W5="DIRECT","",DAVERAGE('literature entries'!$D:$AI,IF($J5=1,"ACTIVE     CED, FARM GATE (MJ/kg)","CED, processor gate (MJ/kg)"),INDIRECT($W5)))</f>
        <v>8.8453455837076262</v>
      </c>
      <c r="Z5" s="211">
        <f ca="1">IF($W5="DIRECT",$O5,DSTDEV('literature entries'!$D:$AI,IF($J5=1,"ACTIVE     CED, FARM GATE (MJ/kg)","CED, processor gate (MJ/kg)"),INDIRECT($W5)))</f>
        <v>17.468328408482019</v>
      </c>
      <c r="AA5" s="211">
        <f t="shared" ca="1" si="2"/>
        <v>9.0334798871600306</v>
      </c>
      <c r="AB5" s="219" t="s">
        <v>3364</v>
      </c>
      <c r="AC5" s="212">
        <f ca="1">IF($AB5="DIRECT",Q5,DCOUNT('literature entries'!$D:$AI,IF($J5=1,"ACTIVE     GHGE, FARM GATE (kg CO2e/kg)","GHGE, processor gate (kg CO2e/kg)"),INDIRECT($AB5)))</f>
        <v>13</v>
      </c>
      <c r="AD5" s="212">
        <f ca="1">IF($AB5="DIRECT","",DAVERAGE('literature entries'!$D:$AI,IF($J5=1,"ACTIVE     GHGE, FARM GATE (kg CO2e/kg)","GHGE, processor gate (kg CO2e/kg)"),INDIRECT($AB5)))</f>
        <v>1.0611859137782504</v>
      </c>
      <c r="AE5" s="212">
        <f ca="1">IF($AB5="DIRECT",$S5,DSTDEV('literature entries'!$D:$AI,IF($J5=1,"ACTIVE     GHGE, FARM GATE (kg CO2e/kg)","GHGE, processor gate (kg CO2e/kg)"),INDIRECT($AB5)))</f>
        <v>1.8055997061726943</v>
      </c>
      <c r="AF5" s="212">
        <f t="shared" ca="1" si="3"/>
        <v>0.66491438413562542</v>
      </c>
    </row>
    <row r="6" spans="1:32" s="19" customFormat="1" ht="17" thickBot="1" x14ac:dyDescent="0.25">
      <c r="A6" s="114">
        <v>101053000</v>
      </c>
      <c r="B6" s="115" t="s">
        <v>1829</v>
      </c>
      <c r="C6" s="115" t="s">
        <v>1830</v>
      </c>
      <c r="D6" s="115"/>
      <c r="E6" s="115">
        <v>7656</v>
      </c>
      <c r="F6" s="111">
        <f t="shared" ca="1" si="0"/>
        <v>3.4758499999999999</v>
      </c>
      <c r="G6" s="112">
        <f t="shared" ca="1" si="1"/>
        <v>0.28759249999999997</v>
      </c>
      <c r="H6" s="116">
        <v>1</v>
      </c>
      <c r="I6" s="117" t="s">
        <v>2724</v>
      </c>
      <c r="J6" s="79">
        <v>2</v>
      </c>
      <c r="K6" s="78"/>
      <c r="L6" s="135" t="str">
        <f>IF(ISERROR(GETPIVOTDATA(IF($J6=1,"Count of ACTIVE     CED, FARM GATE (MJ/kg)","Count of CED, processor gate (MJ/kg)"),'Pivot Table_CED'!$A$3,"SUB TYPE",$B6)),"PROXY",IF(GETPIVOTDATA(IF($J6=1,"Count of ACTIVE     CED, FARM GATE (MJ/kg)","Count of CED, processor gate (MJ/kg)"),'Pivot Table_CED'!$A$3,"SUB TYPE",$B6)=0,"PROXY","DB value"))</f>
        <v>DB value</v>
      </c>
      <c r="M6" s="118">
        <f ca="1">IF($L6="PROXY",DCOUNT('literature entries'!$D:$AI,IF($J6=1,"ACTIVE     CED, FARM GATE (MJ/kg)","CED, processor gate (MJ/kg)"),INDIRECT($K6)),GETPIVOTDATA(IF($J6=1,"Count of ACTIVE     CED, FARM GATE (MJ/kg)","Count of CED, processor gate (MJ/kg)"),'Pivot Table_CED'!$A$3,"SUB TYPE",$B6))</f>
        <v>4</v>
      </c>
      <c r="N6" s="119">
        <f ca="1">IF($L6="PROXY",DAVERAGE('literature entries'!$D:$AI,IF($J6=1,"ACTIVE     CED, FARM GATE (MJ/kg)","CED, processor gate (MJ/kg)"),INDIRECT($K6)),GETPIVOTDATA(IF($J6=1,"Average of ACTIVE     CED, FARM GATE (MJ/kg)","Average of CED, processor gate (MJ/kg)"),'Pivot Table_CED'!$A$3,"SUB TYPE",$B6))</f>
        <v>3.4758499999999999</v>
      </c>
      <c r="O6" s="119">
        <f ca="1">IF($L6="PROXY",DSTDEV('literature entries'!D:AI,IF($J6=1,"ACTIVE     CED, FARM GATE (MJ/kg)","CED, processor gate (MJ/kg)"),INDIRECT($K6)),GETPIVOTDATA(IF($J6=1,"StdDev of ACTIVE     CED, FARM GATE (MJ/kg)","StdDev of CED, processor gate (MJ/kg)"),'Pivot Table_CED'!$A$3,"SUB TYPE",$B6))</f>
        <v>0.37754739658308933</v>
      </c>
      <c r="P6" s="135" t="str">
        <f>IF(ISERROR(GETPIVOTDATA(IF($J6=1,"Count of ACTIVE     GHGE, FARM GATE (kg CO2e/kg)","Count of GHGE, processor gate (kg CO2e/kg)"),'Pivot Table_GHG'!$A$3,"SUB TYPE",$B6)),"PROXY",IF(GETPIVOTDATA(IF($J6=1,"Count of ACTIVE     GHGE, FARM GATE (kg CO2e/kg)","Count of GHGE, processor gate (kg CO2e/kg)"),'Pivot Table_GHG'!$A$3,"SUB TYPE",$B6)=0,"PROXY","DB value"))</f>
        <v>DB value</v>
      </c>
      <c r="Q6" s="125">
        <f ca="1">IF($P6="PROXY",DCOUNT('literature entries'!$D:$AI,IF($J6=1,"ACTIVE     GHGE, FARM GATE (kg CO2e/kg)","GHGE, processor gate (kg CO2e/kg)"),INDIRECT($K6)),GETPIVOTDATA(IF($J6=1,"ACTIVE     GHGE, FARM GATE (kg CO2e/kg)","Count of GHGE, processor gate (kg CO2e/kg)"),'Pivot Table_GHG'!$A$3,"SUB TYPE",$B6))</f>
        <v>4</v>
      </c>
      <c r="R6" s="190">
        <f ca="1">IF($P6="PROXY",DAVERAGE('literature entries'!$D:$AI,IF($J6=1,"ACTIVE     GHGE, FARM GATE (kg CO2e/kg)","GHGE, processor gate (kg CO2e/kg)"),INDIRECT($K6)),GETPIVOTDATA(IF($J6=1,"Average of ACTIVE     GHGE, FARM GATE (kg CO2e/kg)","Average of GHGE, processor gate (kg CO2e/kg)"),'Pivot Table_GHG'!$A$3,"SUB TYPE",$B6))</f>
        <v>0.28759249999999997</v>
      </c>
      <c r="S6" s="190">
        <f ca="1">IF($P6="PROXY",DSTDEV('literature entries'!$D:$AI,IF($J6=1,"ACTIVE     GHGE, FARM GATE (kg CO2e/kg)","GHGE, processor gate (kg CO2e/kg)"),INDIRECT($K6)),GETPIVOTDATA(IF($J6=1,"StdDev of ACTIVE     GHGE, FARM GATE (kg CO2e/kg)","StdDev of GHGE, processor gate (kg CO2e/kg)"),'Pivot Table_GHG'!$A$3,"SUB TYPE",$B6))</f>
        <v>4.7032511716187927E-2</v>
      </c>
      <c r="T6" s="88"/>
      <c r="U6" s="89"/>
      <c r="W6" s="213" t="s">
        <v>3364</v>
      </c>
      <c r="X6" s="211">
        <f ca="1">IF($W6="DIRECT",M6,DCOUNT('literature entries'!$D:$AI,IF($J6=1,"ACTIVE     CED, FARM GATE (MJ/kg)","CED, processor gate (MJ/kg)"),INDIRECT($W6)))</f>
        <v>14</v>
      </c>
      <c r="Y6" s="211">
        <f ca="1">IF($W6="DIRECT","",DAVERAGE('literature entries'!$D:$AI,IF($J6=1,"ACTIVE     CED, FARM GATE (MJ/kg)","CED, processor gate (MJ/kg)"),INDIRECT($W6)))</f>
        <v>8.8453455837076262</v>
      </c>
      <c r="Z6" s="211">
        <f ca="1">IF($W6="DIRECT",$O6,DSTDEV('literature entries'!$D:$AI,IF($J6=1,"ACTIVE     CED, FARM GATE (MJ/kg)","CED, processor gate (MJ/kg)"),INDIRECT($W6)))</f>
        <v>17.468328408482019</v>
      </c>
      <c r="AA6" s="211">
        <f t="shared" ca="1" si="2"/>
        <v>6.8643207576262828</v>
      </c>
      <c r="AB6" s="219" t="s">
        <v>3364</v>
      </c>
      <c r="AC6" s="212">
        <f ca="1">IF($AB6="DIRECT",Q6,DCOUNT('literature entries'!$D:$AI,IF($J6=1,"ACTIVE     GHGE, FARM GATE (kg CO2e/kg)","GHGE, processor gate (kg CO2e/kg)"),INDIRECT($AB6)))</f>
        <v>13</v>
      </c>
      <c r="AD6" s="212">
        <f ca="1">IF($AB6="DIRECT","",DAVERAGE('literature entries'!$D:$AI,IF($J6=1,"ACTIVE     GHGE, FARM GATE (kg CO2e/kg)","GHGE, processor gate (kg CO2e/kg)"),INDIRECT($AB6)))</f>
        <v>1.0611859137782504</v>
      </c>
      <c r="AE6" s="212">
        <f ca="1">IF($AB6="DIRECT",$S6,DSTDEV('literature entries'!$D:$AI,IF($J6=1,"ACTIVE     GHGE, FARM GATE (kg CO2e/kg)","GHGE, processor gate (kg CO2e/kg)"),INDIRECT($AB6)))</f>
        <v>1.8055997061726943</v>
      </c>
      <c r="AF6" s="212">
        <f t="shared" ca="1" si="3"/>
        <v>0.48933643648607705</v>
      </c>
    </row>
    <row r="7" spans="1:32" s="19" customFormat="1" ht="17" thickBot="1" x14ac:dyDescent="0.25">
      <c r="A7" s="114">
        <v>101067000</v>
      </c>
      <c r="B7" s="115" t="s">
        <v>1850</v>
      </c>
      <c r="C7" s="115" t="s">
        <v>1851</v>
      </c>
      <c r="D7" s="115"/>
      <c r="E7" s="115">
        <v>2</v>
      </c>
      <c r="F7" s="111">
        <f t="shared" ca="1" si="0"/>
        <v>1.8913549999999999</v>
      </c>
      <c r="G7" s="112">
        <f t="shared" ca="1" si="1"/>
        <v>0.28382200000000007</v>
      </c>
      <c r="H7" s="116">
        <v>1.33</v>
      </c>
      <c r="I7" s="117" t="s">
        <v>2737</v>
      </c>
      <c r="J7" s="79">
        <v>1</v>
      </c>
      <c r="K7" s="78" t="s">
        <v>2455</v>
      </c>
      <c r="L7" s="135" t="str">
        <f>IF(ISERROR(GETPIVOTDATA(IF($J7=1,"Count of ACTIVE     CED, FARM GATE (MJ/kg)","Count of CED, processor gate (MJ/kg)"),'Pivot Table_CED'!$A$3,"SUB TYPE",$B7)),"PROXY",IF(GETPIVOTDATA(IF($J7=1,"Count of ACTIVE     CED, FARM GATE (MJ/kg)","Count of CED, processor gate (MJ/kg)"),'Pivot Table_CED'!$A$3,"SUB TYPE",$B7)=0,"PROXY","DB value"))</f>
        <v>PROXY</v>
      </c>
      <c r="M7" s="118">
        <f ca="1">IF($L7="PROXY",DCOUNT('literature entries'!$D:$AI,IF($J7=1,"ACTIVE     CED, FARM GATE (MJ/kg)","CED, processor gate (MJ/kg)"),INDIRECT($K7)),GETPIVOTDATA(IF($J7=1,"Count of ACTIVE     CED, FARM GATE (MJ/kg)","Count of CED, processor gate (MJ/kg)"),'Pivot Table_CED'!$A$3,"SUB TYPE",$B7))</f>
        <v>14</v>
      </c>
      <c r="N7" s="119">
        <f ca="1">IF($L7="PROXY",DAVERAGE('literature entries'!$D:$AI,IF($J7=1,"ACTIVE     CED, FARM GATE (MJ/kg)","CED, processor gate (MJ/kg)"),INDIRECT($K7)),GETPIVOTDATA(IF($J7=1,"Average of ACTIVE     CED, FARM GATE (MJ/kg)","Average of CED, processor gate (MJ/kg)"),'Pivot Table_CED'!$A$3,"SUB TYPE",$B7))</f>
        <v>1.4220714285714284</v>
      </c>
      <c r="O7" s="119">
        <f ca="1">IF($L7="PROXY",DSTDEV('literature entries'!D:AI,IF($J7=1,"ACTIVE     CED, FARM GATE (MJ/kg)","CED, processor gate (MJ/kg)"),INDIRECT($K7)),GETPIVOTDATA(IF($J7=1,"StdDev of ACTIVE     CED, FARM GATE (MJ/kg)","StdDev of CED, processor gate (MJ/kg)"),'Pivot Table_CED'!$A$3,"SUB TYPE",$B7))</f>
        <v>0.57442043892896122</v>
      </c>
      <c r="P7" s="135" t="str">
        <f>IF(ISERROR(GETPIVOTDATA(IF($J7=1,"Count of ACTIVE     GHGE, FARM GATE (kg CO2e/kg)","Count of GHGE, processor gate (kg CO2e/kg)"),'Pivot Table_GHG'!$A$3,"SUB TYPE",$B7)),"PROXY",IF(GETPIVOTDATA(IF($J7=1,"Count of ACTIVE     GHGE, FARM GATE (kg CO2e/kg)","Count of GHGE, processor gate (kg CO2e/kg)"),'Pivot Table_GHG'!$A$3,"SUB TYPE",$B7)=0,"PROXY","DB value"))</f>
        <v>PROXY</v>
      </c>
      <c r="Q7" s="125">
        <f ca="1">IF($P7="PROXY",DCOUNT('literature entries'!$D:$AI,IF($J7=1,"ACTIVE     GHGE, FARM GATE (kg CO2e/kg)","GHGE, processor gate (kg CO2e/kg)"),INDIRECT($K7)),GETPIVOTDATA(IF($J7=1,"ACTIVE     GHGE, FARM GATE (kg CO2e/kg)","Count of GHGE, processor gate (kg CO2e/kg)"),'Pivot Table_GHG'!$A$3,"SUB TYPE",$B7))</f>
        <v>25</v>
      </c>
      <c r="R7" s="190">
        <f ca="1">IF($P7="PROXY",DAVERAGE('literature entries'!$D:$AI,IF($J7=1,"ACTIVE     GHGE, FARM GATE (kg CO2e/kg)","GHGE, processor gate (kg CO2e/kg)"),INDIRECT($K7)),GETPIVOTDATA(IF($J7=1,"Average of ACTIVE     GHGE, FARM GATE (kg CO2e/kg)","Average of GHGE, processor gate (kg CO2e/kg)"),'Pivot Table_GHG'!$A$3,"SUB TYPE",$B7))</f>
        <v>0.21340000000000003</v>
      </c>
      <c r="S7" s="190">
        <f ca="1">IF($P7="PROXY",DSTDEV('literature entries'!$D:$AI,IF($J7=1,"ACTIVE     GHGE, FARM GATE (kg CO2e/kg)","GHGE, processor gate (kg CO2e/kg)"),INDIRECT($K7)),GETPIVOTDATA(IF($J7=1,"StdDev of ACTIVE     GHGE, FARM GATE (kg CO2e/kg)","StdDev of GHGE, processor gate (kg CO2e/kg)"),'Pivot Table_GHG'!$A$3,"SUB TYPE",$B7))</f>
        <v>0.17992035274902424</v>
      </c>
      <c r="T7" s="88"/>
      <c r="U7" s="89"/>
      <c r="W7" s="213" t="str">
        <f ca="1">IF(L7="PROXY",IF(M7&gt;=5,K7,"need group"),IF(M7&gt;=5,"DIRECT","need group"))</f>
        <v>roots</v>
      </c>
      <c r="X7" s="211">
        <f ca="1">IF($W7="DIRECT",M7,DCOUNT('literature entries'!$D:$AI,IF($J7=1,"ACTIVE     CED, FARM GATE (MJ/kg)","CED, processor gate (MJ/kg)"),INDIRECT($W7)))</f>
        <v>14</v>
      </c>
      <c r="Y7" s="211">
        <f ca="1">IF($W7="DIRECT","",DAVERAGE('literature entries'!$D:$AI,IF($J7=1,"ACTIVE     CED, FARM GATE (MJ/kg)","CED, processor gate (MJ/kg)"),INDIRECT($W7)))</f>
        <v>1.4220714285714284</v>
      </c>
      <c r="Z7" s="211">
        <f ca="1">IF($W7="DIRECT",$O7,DSTDEV('literature entries'!$D:$AI,IF($J7=1,"ACTIVE     CED, FARM GATE (MJ/kg)","CED, processor gate (MJ/kg)"),INDIRECT($W7)))</f>
        <v>0.57442043892896122</v>
      </c>
      <c r="AA7" s="211">
        <f t="shared" ca="1" si="2"/>
        <v>0.57442043892896122</v>
      </c>
      <c r="AB7" s="219" t="str">
        <f ca="1">IF(P7="PROXY",IF(Q7&gt;=5,K7,"need group"),IF(Q7&gt;=5,"DIRECT","need group"))</f>
        <v>roots</v>
      </c>
      <c r="AC7" s="212">
        <f ca="1">IF($AB7="DIRECT",Q7,DCOUNT('literature entries'!$D:$AI,IF($J7=1,"ACTIVE     GHGE, FARM GATE (kg CO2e/kg)","GHGE, processor gate (kg CO2e/kg)"),INDIRECT($AB7)))</f>
        <v>25</v>
      </c>
      <c r="AD7" s="212">
        <f ca="1">IF($AB7="DIRECT","",DAVERAGE('literature entries'!$D:$AI,IF($J7=1,"ACTIVE     GHGE, FARM GATE (kg CO2e/kg)","GHGE, processor gate (kg CO2e/kg)"),INDIRECT($AB7)))</f>
        <v>0.21340000000000003</v>
      </c>
      <c r="AE7" s="212">
        <f ca="1">IF($AB7="DIRECT",$S7,DSTDEV('literature entries'!$D:$AI,IF($J7=1,"ACTIVE     GHGE, FARM GATE (kg CO2e/kg)","GHGE, processor gate (kg CO2e/kg)"),INDIRECT($AB7)))</f>
        <v>0.17992035274902424</v>
      </c>
      <c r="AF7" s="212">
        <f t="shared" ca="1" si="3"/>
        <v>0.17992035274902424</v>
      </c>
    </row>
    <row r="8" spans="1:32" s="19" customFormat="1" thickBot="1" x14ac:dyDescent="0.25">
      <c r="A8" s="114">
        <v>101078000</v>
      </c>
      <c r="B8" s="115" t="s">
        <v>1864</v>
      </c>
      <c r="C8" s="115" t="s">
        <v>1865</v>
      </c>
      <c r="D8" s="115"/>
      <c r="E8" s="115">
        <v>14222</v>
      </c>
      <c r="F8" s="111">
        <f t="shared" ca="1" si="0"/>
        <v>1.3258560000000004</v>
      </c>
      <c r="G8" s="112">
        <f t="shared" ca="1" si="1"/>
        <v>9.1616000000000003E-2</v>
      </c>
      <c r="H8" s="116">
        <v>1.1200000000000001</v>
      </c>
      <c r="I8" s="116" t="s">
        <v>2724</v>
      </c>
      <c r="J8" s="79">
        <v>1</v>
      </c>
      <c r="K8" s="78"/>
      <c r="L8" s="135" t="str">
        <f>IF(ISERROR(GETPIVOTDATA(IF($J8=1,"Count of ACTIVE     CED, FARM GATE (MJ/kg)","Count of CED, processor gate (MJ/kg)"),'Pivot Table_CED'!$A$3,"SUB TYPE",$B8)),"PROXY",IF(GETPIVOTDATA(IF($J8=1,"Count of ACTIVE     CED, FARM GATE (MJ/kg)","Count of CED, processor gate (MJ/kg)"),'Pivot Table_CED'!$A$3,"SUB TYPE",$B8)=0,"PROXY","DB value"))</f>
        <v>DB value</v>
      </c>
      <c r="M8" s="118">
        <f ca="1">IF($L8="PROXY",DCOUNT('literature entries'!$D:$AI,IF($J8=1,"ACTIVE     CED, FARM GATE (MJ/kg)","CED, processor gate (MJ/kg)"),INDIRECT($K8)),GETPIVOTDATA(IF($J8=1,"Count of ACTIVE     CED, FARM GATE (MJ/kg)","Count of CED, processor gate (MJ/kg)"),'Pivot Table_CED'!$A$3,"SUB TYPE",$B8))</f>
        <v>5</v>
      </c>
      <c r="N8" s="119">
        <f ca="1">IF($L8="PROXY",DAVERAGE('literature entries'!$D:$AI,IF($J8=1,"ACTIVE     CED, FARM GATE (MJ/kg)","CED, processor gate (MJ/kg)"),INDIRECT($K8)),GETPIVOTDATA(IF($J8=1,"Average of ACTIVE     CED, FARM GATE (MJ/kg)","Average of CED, processor gate (MJ/kg)"),'Pivot Table_CED'!$A$3,"SUB TYPE",$B8))</f>
        <v>1.1838000000000002</v>
      </c>
      <c r="O8" s="119">
        <f ca="1">IF($L8="PROXY",DSTDEV('literature entries'!D:AI,IF($J8=1,"ACTIVE     CED, FARM GATE (MJ/kg)","CED, processor gate (MJ/kg)"),INDIRECT($K8)),GETPIVOTDATA(IF($J8=1,"StdDev of ACTIVE     CED, FARM GATE (MJ/kg)","StdDev of CED, processor gate (MJ/kg)"),'Pivot Table_CED'!$A$3,"SUB TYPE",$B8))</f>
        <v>0.63805814782040027</v>
      </c>
      <c r="P8" s="135" t="str">
        <f>IF(ISERROR(GETPIVOTDATA(IF($J8=1,"Count of ACTIVE     GHGE, FARM GATE (kg CO2e/kg)","Count of GHGE, processor gate (kg CO2e/kg)"),'Pivot Table_GHG'!$A$3,"SUB TYPE",$B8)),"PROXY",IF(GETPIVOTDATA(IF($J8=1,"Count of ACTIVE     GHGE, FARM GATE (kg CO2e/kg)","Count of GHGE, processor gate (kg CO2e/kg)"),'Pivot Table_GHG'!$A$3,"SUB TYPE",$B8)=0,"PROXY","DB value"))</f>
        <v>DB value</v>
      </c>
      <c r="Q8" s="125">
        <f ca="1">IF($P8="PROXY",DCOUNT('literature entries'!$D:$AI,IF($J8=1,"ACTIVE     GHGE, FARM GATE (kg CO2e/kg)","GHGE, processor gate (kg CO2e/kg)"),INDIRECT($K8)),GETPIVOTDATA(IF($J8=1,"ACTIVE     GHGE, FARM GATE (kg CO2e/kg)","Count of GHGE, processor gate (kg CO2e/kg)"),'Pivot Table_GHG'!$A$3,"SUB TYPE",$B8))</f>
        <v>5</v>
      </c>
      <c r="R8" s="190">
        <f ca="1">IF($P8="PROXY",DAVERAGE('literature entries'!$D:$AI,IF($J8=1,"ACTIVE     GHGE, FARM GATE (kg CO2e/kg)","GHGE, processor gate (kg CO2e/kg)"),INDIRECT($K8)),GETPIVOTDATA(IF($J8=1,"Average of ACTIVE     GHGE, FARM GATE (kg CO2e/kg)","Average of GHGE, processor gate (kg CO2e/kg)"),'Pivot Table_GHG'!$A$3,"SUB TYPE",$B8))</f>
        <v>8.1799999999999998E-2</v>
      </c>
      <c r="S8" s="190">
        <f ca="1">IF($P8="PROXY",DSTDEV('literature entries'!$D:$AI,IF($J8=1,"ACTIVE     GHGE, FARM GATE (kg CO2e/kg)","GHGE, processor gate (kg CO2e/kg)"),INDIRECT($K8)),GETPIVOTDATA(IF($J8=1,"StdDev of ACTIVE     GHGE, FARM GATE (kg CO2e/kg)","StdDev of GHGE, processor gate (kg CO2e/kg)"),'Pivot Table_GHG'!$A$3,"SUB TYPE",$B8))</f>
        <v>5.1982689426385009E-2</v>
      </c>
      <c r="T8" s="88"/>
      <c r="U8" s="89"/>
      <c r="W8" s="213" t="str">
        <f ca="1">IF(L8="PROXY",IF(M8&gt;=5,K8,"need group"),IF(M8&gt;=5,"DIRECT","need group"))</f>
        <v>DIRECT</v>
      </c>
      <c r="X8" s="211">
        <f ca="1">IF($W8="DIRECT",M8,DCOUNT('literature entries'!$D:$AI,IF($J8=1,"ACTIVE     CED, FARM GATE (MJ/kg)","CED, processor gate (MJ/kg)"),INDIRECT($W8)))</f>
        <v>5</v>
      </c>
      <c r="Y8" s="211" t="str">
        <f ca="1">IF($W8="DIRECT","",DAVERAGE('literature entries'!$D:$AI,IF($J8=1,"ACTIVE     CED, FARM GATE (MJ/kg)","CED, processor gate (MJ/kg)"),INDIRECT($W8)))</f>
        <v/>
      </c>
      <c r="Z8" s="211">
        <f ca="1">IF($W8="DIRECT",$O8,DSTDEV('literature entries'!$D:$AI,IF($J8=1,"ACTIVE     CED, FARM GATE (MJ/kg)","CED, processor gate (MJ/kg)"),INDIRECT($W8)))</f>
        <v>0.63805814782040027</v>
      </c>
      <c r="AA8" s="211">
        <f t="shared" ca="1" si="2"/>
        <v>0.63805814782040027</v>
      </c>
      <c r="AB8" s="219" t="str">
        <f ca="1">IF(P8="PROXY",IF(Q8&gt;=5,K8,"need group"),IF(Q8&gt;=5,"DIRECT","need group"))</f>
        <v>DIRECT</v>
      </c>
      <c r="AC8" s="212">
        <f ca="1">IF($AB8="DIRECT",Q8,DCOUNT('literature entries'!$D:$AI,IF($J8=1,"ACTIVE     GHGE, FARM GATE (kg CO2e/kg)","GHGE, processor gate (kg CO2e/kg)"),INDIRECT($AB8)))</f>
        <v>5</v>
      </c>
      <c r="AD8" s="212" t="str">
        <f ca="1">IF($AB8="DIRECT","",DAVERAGE('literature entries'!$D:$AI,IF($J8=1,"ACTIVE     GHGE, FARM GATE (kg CO2e/kg)","GHGE, processor gate (kg CO2e/kg)"),INDIRECT($AB8)))</f>
        <v/>
      </c>
      <c r="AE8" s="212">
        <f ca="1">IF($AB8="DIRECT",$S8,DSTDEV('literature entries'!$D:$AI,IF($J8=1,"ACTIVE     GHGE, FARM GATE (kg CO2e/kg)","GHGE, processor gate (kg CO2e/kg)"),INDIRECT($AB8)))</f>
        <v>5.1982689426385009E-2</v>
      </c>
      <c r="AF8" s="212">
        <f t="shared" ca="1" si="3"/>
        <v>5.1982689426385009E-2</v>
      </c>
    </row>
    <row r="9" spans="1:32" s="19" customFormat="1" ht="17" thickBot="1" x14ac:dyDescent="0.25">
      <c r="A9" s="114">
        <v>101079000</v>
      </c>
      <c r="B9" s="115" t="s">
        <v>1866</v>
      </c>
      <c r="C9" s="115" t="s">
        <v>1742</v>
      </c>
      <c r="D9" s="115"/>
      <c r="E9" s="115">
        <v>630</v>
      </c>
      <c r="F9" s="111">
        <f t="shared" ca="1" si="0"/>
        <v>6.607856</v>
      </c>
      <c r="G9" s="112">
        <f t="shared" ca="1" si="1"/>
        <v>1.0706951260799999</v>
      </c>
      <c r="H9" s="116">
        <v>1.1200000000000001</v>
      </c>
      <c r="I9" s="117" t="s">
        <v>2724</v>
      </c>
      <c r="J9" s="79">
        <v>1</v>
      </c>
      <c r="K9" s="78" t="s">
        <v>874</v>
      </c>
      <c r="L9" s="135" t="str">
        <f>IF(ISERROR(GETPIVOTDATA(IF($J9=1,"Count of ACTIVE     CED, FARM GATE (MJ/kg)","Count of CED, processor gate (MJ/kg)"),'Pivot Table_CED'!$A$3,"SUB TYPE",$B9)),"PROXY",IF(GETPIVOTDATA(IF($J9=1,"Count of ACTIVE     CED, FARM GATE (MJ/kg)","Count of CED, processor gate (MJ/kg)"),'Pivot Table_CED'!$A$3,"SUB TYPE",$B9)=0,"PROXY","DB value"))</f>
        <v>PROXY</v>
      </c>
      <c r="M9" s="118">
        <f ca="1">IF($L9="PROXY",DCOUNT('literature entries'!$D:$AI,IF($J9=1,"ACTIVE     CED, FARM GATE (MJ/kg)","CED, processor gate (MJ/kg)"),INDIRECT($K9)),GETPIVOTDATA(IF($J9=1,"Count of ACTIVE     CED, FARM GATE (MJ/kg)","Count of CED, processor gate (MJ/kg)"),'Pivot Table_CED'!$A$3,"SUB TYPE",$B9))</f>
        <v>5</v>
      </c>
      <c r="N9" s="119">
        <f ca="1">IF($L9="PROXY",DAVERAGE('literature entries'!$D:$AI,IF($J9=1,"ACTIVE     CED, FARM GATE (MJ/kg)","CED, processor gate (MJ/kg)"),INDIRECT($K9)),GETPIVOTDATA(IF($J9=1,"Average of ACTIVE     CED, FARM GATE (MJ/kg)","Average of CED, processor gate (MJ/kg)"),'Pivot Table_CED'!$A$3,"SUB TYPE",$B9))</f>
        <v>1.1838000000000002</v>
      </c>
      <c r="O9" s="119">
        <f ca="1">IF($L9="PROXY",DSTDEV('literature entries'!D:AI,IF($J9=1,"ACTIVE     CED, FARM GATE (MJ/kg)","CED, processor gate (MJ/kg)"),INDIRECT($K9)),GETPIVOTDATA(IF($J9=1,"StdDev of ACTIVE     CED, FARM GATE (MJ/kg)","StdDev of CED, processor gate (MJ/kg)"),'Pivot Table_CED'!$A$3,"SUB TYPE",$B9))</f>
        <v>0.63805814782040027</v>
      </c>
      <c r="P9" s="135" t="str">
        <f>IF(ISERROR(GETPIVOTDATA(IF($J9=1,"Count of ACTIVE     GHGE, FARM GATE (kg CO2e/kg)","Count of GHGE, processor gate (kg CO2e/kg)"),'Pivot Table_GHG'!$A$3,"SUB TYPE",$B9)),"PROXY",IF(GETPIVOTDATA(IF($J9=1,"Count of ACTIVE     GHGE, FARM GATE (kg CO2e/kg)","Count of GHGE, processor gate (kg CO2e/kg)"),'Pivot Table_GHG'!$A$3,"SUB TYPE",$B9)=0,"PROXY","DB value"))</f>
        <v>PROXY</v>
      </c>
      <c r="Q9" s="125">
        <f ca="1">IF($P9="PROXY",DCOUNT('literature entries'!$D:$AI,IF($J9=1,"ACTIVE     GHGE, FARM GATE (kg CO2e/kg)","GHGE, processor gate (kg CO2e/kg)"),INDIRECT($K9)),GETPIVOTDATA(IF($J9=1,"ACTIVE     GHGE, FARM GATE (kg CO2e/kg)","Count of GHGE, processor gate (kg CO2e/kg)"),'Pivot Table_GHG'!$A$3,"SUB TYPE",$B9))</f>
        <v>5</v>
      </c>
      <c r="R9" s="190">
        <f ca="1">IF($P9="PROXY",DAVERAGE('literature entries'!$D:$AI,IF($J9=1,"ACTIVE     GHGE, FARM GATE (kg CO2e/kg)","GHGE, processor gate (kg CO2e/kg)"),INDIRECT($K9)),GETPIVOTDATA(IF($J9=1,"Average of ACTIVE     GHGE, FARM GATE (kg CO2e/kg)","Average of GHGE, processor gate (kg CO2e/kg)"),'Pivot Table_GHG'!$A$3,"SUB TYPE",$B9))</f>
        <v>8.1799999999999998E-2</v>
      </c>
      <c r="S9" s="190">
        <f ca="1">IF($P9="PROXY",DSTDEV('literature entries'!$D:$AI,IF($J9=1,"ACTIVE     GHGE, FARM GATE (kg CO2e/kg)","GHGE, processor gate (kg CO2e/kg)"),INDIRECT($K9)),GETPIVOTDATA(IF($J9=1,"StdDev of ACTIVE     GHGE, FARM GATE (kg CO2e/kg)","StdDev of GHGE, processor gate (kg CO2e/kg)"),'Pivot Table_GHG'!$A$3,"SUB TYPE",$B9))</f>
        <v>5.1982689426385009E-2</v>
      </c>
      <c r="T9" s="86">
        <v>5.282</v>
      </c>
      <c r="U9" s="87">
        <v>0.97907912607999992</v>
      </c>
      <c r="W9" s="213" t="s">
        <v>2455</v>
      </c>
      <c r="X9" s="211">
        <f ca="1">IF($W9="DIRECT",M9,DCOUNT('literature entries'!$D:$AI,IF($J9=1,"ACTIVE     CED, FARM GATE (MJ/kg)","CED, processor gate (MJ/kg)"),INDIRECT($W9)))</f>
        <v>14</v>
      </c>
      <c r="Y9" s="211">
        <f ca="1">IF($W9="DIRECT","",DAVERAGE('literature entries'!$D:$AI,IF($J9=1,"ACTIVE     CED, FARM GATE (MJ/kg)","CED, processor gate (MJ/kg)"),INDIRECT($W9)))</f>
        <v>1.4220714285714284</v>
      </c>
      <c r="Z9" s="211">
        <f ca="1">IF($W9="DIRECT",$O9,DSTDEV('literature entries'!$D:$AI,IF($J9=1,"ACTIVE     CED, FARM GATE (MJ/kg)","CED, processor gate (MJ/kg)"),INDIRECT($W9)))</f>
        <v>0.57442043892896122</v>
      </c>
      <c r="AA9" s="211">
        <f t="shared" ca="1" si="2"/>
        <v>0.47817493688570306</v>
      </c>
      <c r="AB9" s="219" t="s">
        <v>2455</v>
      </c>
      <c r="AC9" s="212">
        <f ca="1">IF($AB9="DIRECT",Q9,DCOUNT('literature entries'!$D:$AI,IF($J9=1,"ACTIVE     GHGE, FARM GATE (kg CO2e/kg)","GHGE, processor gate (kg CO2e/kg)"),INDIRECT($AB9)))</f>
        <v>25</v>
      </c>
      <c r="AD9" s="212">
        <f ca="1">IF($AB9="DIRECT","",DAVERAGE('literature entries'!$D:$AI,IF($J9=1,"ACTIVE     GHGE, FARM GATE (kg CO2e/kg)","GHGE, processor gate (kg CO2e/kg)"),INDIRECT($AB9)))</f>
        <v>0.21340000000000003</v>
      </c>
      <c r="AE9" s="212">
        <f ca="1">IF($AB9="DIRECT",$S9,DSTDEV('literature entries'!$D:$AI,IF($J9=1,"ACTIVE     GHGE, FARM GATE (kg CO2e/kg)","GHGE, processor gate (kg CO2e/kg)"),INDIRECT($AB9)))</f>
        <v>0.17992035274902424</v>
      </c>
      <c r="AF9" s="212">
        <f t="shared" ca="1" si="3"/>
        <v>6.8966658176523796E-2</v>
      </c>
    </row>
    <row r="10" spans="1:32" s="19" customFormat="1" ht="17" thickBot="1" x14ac:dyDescent="0.25">
      <c r="A10" s="114">
        <v>101100000</v>
      </c>
      <c r="B10" s="115" t="s">
        <v>1898</v>
      </c>
      <c r="C10" s="115" t="s">
        <v>1851</v>
      </c>
      <c r="D10" s="115"/>
      <c r="E10" s="115">
        <v>75</v>
      </c>
      <c r="F10" s="111">
        <f t="shared" ca="1" si="0"/>
        <v>0.15440000000000001</v>
      </c>
      <c r="G10" s="112">
        <f t="shared" ca="1" si="1"/>
        <v>5.0446000000000005E-2</v>
      </c>
      <c r="H10" s="117">
        <v>1</v>
      </c>
      <c r="I10" s="117" t="s">
        <v>594</v>
      </c>
      <c r="J10" s="79">
        <v>1</v>
      </c>
      <c r="K10" s="78"/>
      <c r="L10" s="135" t="str">
        <f>IF(ISERROR(GETPIVOTDATA(IF($J10=1,"Count of ACTIVE     CED, FARM GATE (MJ/kg)","Count of CED, processor gate (MJ/kg)"),'Pivot Table_CED'!$A$3,"SUB TYPE",$B10)),"PROXY",IF(GETPIVOTDATA(IF($J10=1,"Count of ACTIVE     CED, FARM GATE (MJ/kg)","Count of CED, processor gate (MJ/kg)"),'Pivot Table_CED'!$A$3,"SUB TYPE",$B10)=0,"PROXY","DB value"))</f>
        <v>DB value</v>
      </c>
      <c r="M10" s="118">
        <f ca="1">IF($L10="PROXY",DCOUNT('literature entries'!$D:$AI,IF($J10=1,"ACTIVE     CED, FARM GATE (MJ/kg)","CED, processor gate (MJ/kg)"),INDIRECT($K10)),GETPIVOTDATA(IF($J10=1,"Count of ACTIVE     CED, FARM GATE (MJ/kg)","Count of CED, processor gate (MJ/kg)"),'Pivot Table_CED'!$A$3,"SUB TYPE",$B10))</f>
        <v>2</v>
      </c>
      <c r="N10" s="119">
        <f ca="1">IF($L10="PROXY",DAVERAGE('literature entries'!$D:$AI,IF($J10=1,"ACTIVE     CED, FARM GATE (MJ/kg)","CED, processor gate (MJ/kg)"),INDIRECT($K10)),GETPIVOTDATA(IF($J10=1,"Average of ACTIVE     CED, FARM GATE (MJ/kg)","Average of CED, processor gate (MJ/kg)"),'Pivot Table_CED'!$A$3,"SUB TYPE",$B10))</f>
        <v>0.15440000000000001</v>
      </c>
      <c r="O10" s="119">
        <f ca="1">IF($L10="PROXY",DSTDEV('literature entries'!D:AI,IF($J10=1,"ACTIVE     CED, FARM GATE (MJ/kg)","CED, processor gate (MJ/kg)"),INDIRECT($K10)),GETPIVOTDATA(IF($J10=1,"StdDev of ACTIVE     CED, FARM GATE (MJ/kg)","StdDev of CED, processor gate (MJ/kg)"),'Pivot Table_CED'!$A$3,"SUB TYPE",$B10))</f>
        <v>1.3576450198781776E-2</v>
      </c>
      <c r="P10" s="135" t="str">
        <f>IF(ISERROR(GETPIVOTDATA(IF($J10=1,"Count of ACTIVE     GHGE, FARM GATE (kg CO2e/kg)","Count of GHGE, processor gate (kg CO2e/kg)"),'Pivot Table_GHG'!$A$3,"SUB TYPE",$B10)),"PROXY",IF(GETPIVOTDATA(IF($J10=1,"Count of ACTIVE     GHGE, FARM GATE (kg CO2e/kg)","Count of GHGE, processor gate (kg CO2e/kg)"),'Pivot Table_GHG'!$A$3,"SUB TYPE",$B10)=0,"PROXY","DB value"))</f>
        <v>DB value</v>
      </c>
      <c r="Q10" s="125">
        <f ca="1">IF($P10="PROXY",DCOUNT('literature entries'!$D:$AI,IF($J10=1,"ACTIVE     GHGE, FARM GATE (kg CO2e/kg)","GHGE, processor gate (kg CO2e/kg)"),INDIRECT($K10)),GETPIVOTDATA(IF($J10=1,"ACTIVE     GHGE, FARM GATE (kg CO2e/kg)","Count of GHGE, processor gate (kg CO2e/kg)"),'Pivot Table_GHG'!$A$3,"SUB TYPE",$B10))</f>
        <v>2</v>
      </c>
      <c r="R10" s="190">
        <f ca="1">IF($P10="PROXY",DAVERAGE('literature entries'!$D:$AI,IF($J10=1,"ACTIVE     GHGE, FARM GATE (kg CO2e/kg)","GHGE, processor gate (kg CO2e/kg)"),INDIRECT($K10)),GETPIVOTDATA(IF($J10=1,"Average of ACTIVE     GHGE, FARM GATE (kg CO2e/kg)","Average of GHGE, processor gate (kg CO2e/kg)"),'Pivot Table_GHG'!$A$3,"SUB TYPE",$B10))</f>
        <v>5.0446000000000005E-2</v>
      </c>
      <c r="S10" s="190">
        <f ca="1">IF($P10="PROXY",DSTDEV('literature entries'!$D:$AI,IF($J10=1,"ACTIVE     GHGE, FARM GATE (kg CO2e/kg)","GHGE, processor gate (kg CO2e/kg)"),INDIRECT($K10)),GETPIVOTDATA(IF($J10=1,"StdDev of ACTIVE     GHGE, FARM GATE (kg CO2e/kg)","StdDev of GHGE, processor gate (kg CO2e/kg)"),'Pivot Table_GHG'!$A$3,"SUB TYPE",$B10))</f>
        <v>9.0240967415026966E-3</v>
      </c>
      <c r="T10" s="88"/>
      <c r="U10" s="89"/>
      <c r="W10" s="213" t="s">
        <v>2455</v>
      </c>
      <c r="X10" s="211">
        <f ca="1">IF($W10="DIRECT",M10,DCOUNT('literature entries'!$D:$AI,IF($J10=1,"ACTIVE     CED, FARM GATE (MJ/kg)","CED, processor gate (MJ/kg)"),INDIRECT($W10)))</f>
        <v>14</v>
      </c>
      <c r="Y10" s="211">
        <f ca="1">IF($W10="DIRECT","",DAVERAGE('literature entries'!$D:$AI,IF($J10=1,"ACTIVE     CED, FARM GATE (MJ/kg)","CED, processor gate (MJ/kg)"),INDIRECT($W10)))</f>
        <v>1.4220714285714284</v>
      </c>
      <c r="Z10" s="211">
        <f ca="1">IF($W10="DIRECT",$O10,DSTDEV('literature entries'!$D:$AI,IF($J10=1,"ACTIVE     CED, FARM GATE (MJ/kg)","CED, processor gate (MJ/kg)"),INDIRECT($W10)))</f>
        <v>0.57442043892896122</v>
      </c>
      <c r="AA10" s="211">
        <f t="shared" ca="1" si="2"/>
        <v>6.2367131487711225E-2</v>
      </c>
      <c r="AB10" s="219" t="s">
        <v>2455</v>
      </c>
      <c r="AC10" s="212">
        <f ca="1">IF($AB10="DIRECT",Q10,DCOUNT('literature entries'!$D:$AI,IF($J10=1,"ACTIVE     GHGE, FARM GATE (kg CO2e/kg)","GHGE, processor gate (kg CO2e/kg)"),INDIRECT($AB10)))</f>
        <v>25</v>
      </c>
      <c r="AD10" s="212">
        <f ca="1">IF($AB10="DIRECT","",DAVERAGE('literature entries'!$D:$AI,IF($J10=1,"ACTIVE     GHGE, FARM GATE (kg CO2e/kg)","GHGE, processor gate (kg CO2e/kg)"),INDIRECT($AB10)))</f>
        <v>0.21340000000000003</v>
      </c>
      <c r="AE10" s="212">
        <f ca="1">IF($AB10="DIRECT",$S10,DSTDEV('literature entries'!$D:$AI,IF($J10=1,"ACTIVE     GHGE, FARM GATE (kg CO2e/kg)","GHGE, processor gate (kg CO2e/kg)"),INDIRECT($AB10)))</f>
        <v>0.17992035274902424</v>
      </c>
      <c r="AF10" s="212">
        <f t="shared" ca="1" si="3"/>
        <v>4.2531687510671393E-2</v>
      </c>
    </row>
    <row r="11" spans="1:32" s="19" customFormat="1" ht="17" thickBot="1" x14ac:dyDescent="0.25">
      <c r="A11" s="114">
        <v>101168000</v>
      </c>
      <c r="B11" s="115" t="s">
        <v>2002</v>
      </c>
      <c r="C11" s="115" t="s">
        <v>2003</v>
      </c>
      <c r="D11" s="115"/>
      <c r="E11" s="115">
        <v>1</v>
      </c>
      <c r="F11" s="111">
        <f t="shared" ca="1" si="0"/>
        <v>0</v>
      </c>
      <c r="G11" s="112">
        <f t="shared" ca="1" si="1"/>
        <v>0.87</v>
      </c>
      <c r="H11" s="116">
        <v>1</v>
      </c>
      <c r="I11" s="117" t="s">
        <v>594</v>
      </c>
      <c r="J11" s="79">
        <v>1</v>
      </c>
      <c r="K11" s="78" t="s">
        <v>2465</v>
      </c>
      <c r="L11" s="135" t="str">
        <f>IF(ISERROR(GETPIVOTDATA(IF($J11=1,"Count of ACTIVE     CED, FARM GATE (MJ/kg)","Count of CED, processor gate (MJ/kg)"),'Pivot Table_CED'!$A$3,"SUB TYPE",$B11)),"PROXY",IF(GETPIVOTDATA(IF($J11=1,"Count of ACTIVE     CED, FARM GATE (MJ/kg)","Count of CED, processor gate (MJ/kg)"),'Pivot Table_CED'!$A$3,"SUB TYPE",$B11)=0,"PROXY","DB value"))</f>
        <v>PROXY</v>
      </c>
      <c r="M11" s="118">
        <f ca="1">IF($L11="PROXY",DCOUNT('literature entries'!$D:$AI,IF($J11=1,"ACTIVE     CED, FARM GATE (MJ/kg)","CED, processor gate (MJ/kg)"),INDIRECT($K11)),GETPIVOTDATA(IF($J11=1,"Count of ACTIVE     CED, FARM GATE (MJ/kg)","Count of CED, processor gate (MJ/kg)"),'Pivot Table_CED'!$A$3,"SUB TYPE",$B11))</f>
        <v>1</v>
      </c>
      <c r="N11" s="119">
        <f ca="1">IF($L11="PROXY",DAVERAGE('literature entries'!$D:$AI,IF($J11=1,"ACTIVE     CED, FARM GATE (MJ/kg)","CED, processor gate (MJ/kg)"),INDIRECT($K11)),GETPIVOTDATA(IF($J11=1,"Average of ACTIVE     CED, FARM GATE (MJ/kg)","Average of CED, processor gate (MJ/kg)"),'Pivot Table_CED'!$A$3,"SUB TYPE",$B11))</f>
        <v>0</v>
      </c>
      <c r="O11" s="119" t="e">
        <f ca="1">IF($L11="PROXY",DSTDEV('literature entries'!D:AI,IF($J11=1,"ACTIVE     CED, FARM GATE (MJ/kg)","CED, processor gate (MJ/kg)"),INDIRECT($K11)),GETPIVOTDATA(IF($J11=1,"StdDev of ACTIVE     CED, FARM GATE (MJ/kg)","StdDev of CED, processor gate (MJ/kg)"),'Pivot Table_CED'!$A$3,"SUB TYPE",$B11))</f>
        <v>#DIV/0!</v>
      </c>
      <c r="P11" s="135" t="str">
        <f>IF(ISERROR(GETPIVOTDATA(IF($J11=1,"Count of ACTIVE     GHGE, FARM GATE (kg CO2e/kg)","Count of GHGE, processor gate (kg CO2e/kg)"),'Pivot Table_GHG'!$A$3,"SUB TYPE",$B11)),"PROXY",IF(GETPIVOTDATA(IF($J11=1,"Count of ACTIVE     GHGE, FARM GATE (kg CO2e/kg)","Count of GHGE, processor gate (kg CO2e/kg)"),'Pivot Table_GHG'!$A$3,"SUB TYPE",$B11)=0,"PROXY","DB value"))</f>
        <v>PROXY</v>
      </c>
      <c r="Q11" s="125">
        <f ca="1">IF($P11="PROXY",DCOUNT('literature entries'!$D:$AI,IF($J11=1,"ACTIVE     GHGE, FARM GATE (kg CO2e/kg)","GHGE, processor gate (kg CO2e/kg)"),INDIRECT($K11)),GETPIVOTDATA(IF($J11=1,"ACTIVE     GHGE, FARM GATE (kg CO2e/kg)","Count of GHGE, processor gate (kg CO2e/kg)"),'Pivot Table_GHG'!$A$3,"SUB TYPE",$B11))</f>
        <v>2</v>
      </c>
      <c r="R11" s="190">
        <f ca="1">IF($P11="PROXY",DAVERAGE('literature entries'!$D:$AI,IF($J11=1,"ACTIVE     GHGE, FARM GATE (kg CO2e/kg)","GHGE, processor gate (kg CO2e/kg)"),INDIRECT($K11)),GETPIVOTDATA(IF($J11=1,"Average of ACTIVE     GHGE, FARM GATE (kg CO2e/kg)","Average of GHGE, processor gate (kg CO2e/kg)"),'Pivot Table_GHG'!$A$3,"SUB TYPE",$B11))</f>
        <v>0.87</v>
      </c>
      <c r="S11" s="190">
        <f ca="1">IF($P11="PROXY",DSTDEV('literature entries'!$D:$AI,IF($J11=1,"ACTIVE     GHGE, FARM GATE (kg CO2e/kg)","GHGE, processor gate (kg CO2e/kg)"),INDIRECT($K11)),GETPIVOTDATA(IF($J11=1,"StdDev of ACTIVE     GHGE, FARM GATE (kg CO2e/kg)","StdDev of GHGE, processor gate (kg CO2e/kg)"),'Pivot Table_GHG'!$A$3,"SUB TYPE",$B11))</f>
        <v>0</v>
      </c>
      <c r="T11" s="88"/>
      <c r="U11" s="89"/>
      <c r="W11" s="221" t="s">
        <v>3367</v>
      </c>
      <c r="X11" s="211"/>
      <c r="Y11" s="211"/>
      <c r="Z11" s="211">
        <v>0</v>
      </c>
      <c r="AA11" s="211">
        <v>0</v>
      </c>
      <c r="AB11" s="219" t="s">
        <v>3367</v>
      </c>
      <c r="AC11" s="212"/>
      <c r="AD11" s="212"/>
      <c r="AE11" s="212">
        <v>0</v>
      </c>
      <c r="AF11" s="212">
        <v>0</v>
      </c>
    </row>
    <row r="12" spans="1:32" s="19" customFormat="1" ht="17" thickBot="1" x14ac:dyDescent="0.25">
      <c r="A12" s="114">
        <v>101190000</v>
      </c>
      <c r="B12" s="115" t="s">
        <v>2037</v>
      </c>
      <c r="C12" s="115" t="s">
        <v>2038</v>
      </c>
      <c r="D12" s="115"/>
      <c r="E12" s="115">
        <v>364</v>
      </c>
      <c r="F12" s="111">
        <f t="shared" ca="1" si="0"/>
        <v>1.4220714285714284</v>
      </c>
      <c r="G12" s="112">
        <f t="shared" ca="1" si="1"/>
        <v>0.21340000000000003</v>
      </c>
      <c r="H12" s="116">
        <v>1</v>
      </c>
      <c r="I12" s="117" t="s">
        <v>594</v>
      </c>
      <c r="J12" s="79">
        <v>1</v>
      </c>
      <c r="K12" s="78" t="s">
        <v>2455</v>
      </c>
      <c r="L12" s="135" t="str">
        <f>IF(ISERROR(GETPIVOTDATA(IF($J12=1,"Count of ACTIVE     CED, FARM GATE (MJ/kg)","Count of CED, processor gate (MJ/kg)"),'Pivot Table_CED'!$A$3,"SUB TYPE",$B12)),"PROXY",IF(GETPIVOTDATA(IF($J12=1,"Count of ACTIVE     CED, FARM GATE (MJ/kg)","Count of CED, processor gate (MJ/kg)"),'Pivot Table_CED'!$A$3,"SUB TYPE",$B12)=0,"PROXY","DB value"))</f>
        <v>PROXY</v>
      </c>
      <c r="M12" s="118">
        <f ca="1">IF($L12="PROXY",DCOUNT('literature entries'!$D:$AI,IF($J12=1,"ACTIVE     CED, FARM GATE (MJ/kg)","CED, processor gate (MJ/kg)"),INDIRECT($K12)),GETPIVOTDATA(IF($J12=1,"Count of ACTIVE     CED, FARM GATE (MJ/kg)","Count of CED, processor gate (MJ/kg)"),'Pivot Table_CED'!$A$3,"SUB TYPE",$B12))</f>
        <v>14</v>
      </c>
      <c r="N12" s="119">
        <f ca="1">IF($L12="PROXY",DAVERAGE('literature entries'!$D:$AI,IF($J12=1,"ACTIVE     CED, FARM GATE (MJ/kg)","CED, processor gate (MJ/kg)"),INDIRECT($K12)),GETPIVOTDATA(IF($J12=1,"Average of ACTIVE     CED, FARM GATE (MJ/kg)","Average of CED, processor gate (MJ/kg)"),'Pivot Table_CED'!$A$3,"SUB TYPE",$B12))</f>
        <v>1.4220714285714284</v>
      </c>
      <c r="O12" s="119">
        <f ca="1">IF($L12="PROXY",DSTDEV('literature entries'!D:AI,IF($J12=1,"ACTIVE     CED, FARM GATE (MJ/kg)","CED, processor gate (MJ/kg)"),INDIRECT($K12)),GETPIVOTDATA(IF($J12=1,"StdDev of ACTIVE     CED, FARM GATE (MJ/kg)","StdDev of CED, processor gate (MJ/kg)"),'Pivot Table_CED'!$A$3,"SUB TYPE",$B12))</f>
        <v>0.57442043892896122</v>
      </c>
      <c r="P12" s="135" t="str">
        <f>IF(ISERROR(GETPIVOTDATA(IF($J12=1,"Count of ACTIVE     GHGE, FARM GATE (kg CO2e/kg)","Count of GHGE, processor gate (kg CO2e/kg)"),'Pivot Table_GHG'!$A$3,"SUB TYPE",$B12)),"PROXY",IF(GETPIVOTDATA(IF($J12=1,"Count of ACTIVE     GHGE, FARM GATE (kg CO2e/kg)","Count of GHGE, processor gate (kg CO2e/kg)"),'Pivot Table_GHG'!$A$3,"SUB TYPE",$B12)=0,"PROXY","DB value"))</f>
        <v>PROXY</v>
      </c>
      <c r="Q12" s="125">
        <f ca="1">IF($P12="PROXY",DCOUNT('literature entries'!$D:$AI,IF($J12=1,"ACTIVE     GHGE, FARM GATE (kg CO2e/kg)","GHGE, processor gate (kg CO2e/kg)"),INDIRECT($K12)),GETPIVOTDATA(IF($J12=1,"ACTIVE     GHGE, FARM GATE (kg CO2e/kg)","Count of GHGE, processor gate (kg CO2e/kg)"),'Pivot Table_GHG'!$A$3,"SUB TYPE",$B12))</f>
        <v>25</v>
      </c>
      <c r="R12" s="190">
        <f ca="1">IF($P12="PROXY",DAVERAGE('literature entries'!$D:$AI,IF($J12=1,"ACTIVE     GHGE, FARM GATE (kg CO2e/kg)","GHGE, processor gate (kg CO2e/kg)"),INDIRECT($K12)),GETPIVOTDATA(IF($J12=1,"Average of ACTIVE     GHGE, FARM GATE (kg CO2e/kg)","Average of GHGE, processor gate (kg CO2e/kg)"),'Pivot Table_GHG'!$A$3,"SUB TYPE",$B12))</f>
        <v>0.21340000000000003</v>
      </c>
      <c r="S12" s="190">
        <f ca="1">IF($P12="PROXY",DSTDEV('literature entries'!$D:$AI,IF($J12=1,"ACTIVE     GHGE, FARM GATE (kg CO2e/kg)","GHGE, processor gate (kg CO2e/kg)"),INDIRECT($K12)),GETPIVOTDATA(IF($J12=1,"StdDev of ACTIVE     GHGE, FARM GATE (kg CO2e/kg)","StdDev of GHGE, processor gate (kg CO2e/kg)"),'Pivot Table_GHG'!$A$3,"SUB TYPE",$B12))</f>
        <v>0.17992035274902424</v>
      </c>
      <c r="T12" s="88"/>
      <c r="U12" s="89"/>
      <c r="W12" s="213" t="str">
        <f t="shared" ref="W12:W17" ca="1" si="4">IF(L12="PROXY",IF(M12&gt;=5,K12,"need group"),IF(M12&gt;=5,"DIRECT","need group"))</f>
        <v>roots</v>
      </c>
      <c r="X12" s="211">
        <f ca="1">IF($W12="DIRECT",M12,DCOUNT('literature entries'!$D:$AI,IF($J12=1,"ACTIVE     CED, FARM GATE (MJ/kg)","CED, processor gate (MJ/kg)"),INDIRECT($W12)))</f>
        <v>14</v>
      </c>
      <c r="Y12" s="211">
        <f ca="1">IF($W12="DIRECT","",DAVERAGE('literature entries'!$D:$AI,IF($J12=1,"ACTIVE     CED, FARM GATE (MJ/kg)","CED, processor gate (MJ/kg)"),INDIRECT($W12)))</f>
        <v>1.4220714285714284</v>
      </c>
      <c r="Z12" s="211">
        <f ca="1">IF($W12="DIRECT",$O12,DSTDEV('literature entries'!$D:$AI,IF($J12=1,"ACTIVE     CED, FARM GATE (MJ/kg)","CED, processor gate (MJ/kg)"),INDIRECT($W12)))</f>
        <v>0.57442043892896122</v>
      </c>
      <c r="AA12" s="211">
        <f t="shared" ref="AA12:AA43" ca="1" si="5">IF($W12="DIRECT",$O12,$Z12/$Y12*$N12)</f>
        <v>0.57442043892896122</v>
      </c>
      <c r="AB12" s="219" t="str">
        <f ca="1">IF(P12="PROXY",IF(Q12&gt;=5,K12,"need group"),IF(Q12&gt;=5,"DIRECT","need group"))</f>
        <v>roots</v>
      </c>
      <c r="AC12" s="212">
        <f ca="1">IF($AB12="DIRECT",Q12,DCOUNT('literature entries'!$D:$AI,IF($J12=1,"ACTIVE     GHGE, FARM GATE (kg CO2e/kg)","GHGE, processor gate (kg CO2e/kg)"),INDIRECT($AB12)))</f>
        <v>25</v>
      </c>
      <c r="AD12" s="212">
        <f ca="1">IF($AB12="DIRECT","",DAVERAGE('literature entries'!$D:$AI,IF($J12=1,"ACTIVE     GHGE, FARM GATE (kg CO2e/kg)","GHGE, processor gate (kg CO2e/kg)"),INDIRECT($AB12)))</f>
        <v>0.21340000000000003</v>
      </c>
      <c r="AE12" s="212">
        <f ca="1">IF($AB12="DIRECT",$S12,DSTDEV('literature entries'!$D:$AI,IF($J12=1,"ACTIVE     GHGE, FARM GATE (kg CO2e/kg)","GHGE, processor gate (kg CO2e/kg)"),INDIRECT($AB12)))</f>
        <v>0.17992035274902424</v>
      </c>
      <c r="AF12" s="212">
        <f t="shared" ref="AF12:AF43" ca="1" si="6">IF($AB12="DIRECT",$S12,$AE12/$AD12*$R12)</f>
        <v>0.17992035274902424</v>
      </c>
    </row>
    <row r="13" spans="1:32" s="19" customFormat="1" ht="17" thickBot="1" x14ac:dyDescent="0.25">
      <c r="A13" s="114">
        <v>101251000</v>
      </c>
      <c r="B13" s="115" t="s">
        <v>2122</v>
      </c>
      <c r="C13" s="115" t="s">
        <v>2123</v>
      </c>
      <c r="D13" s="115"/>
      <c r="E13" s="115">
        <v>54</v>
      </c>
      <c r="F13" s="111">
        <f t="shared" ca="1" si="0"/>
        <v>1.6211614285714282</v>
      </c>
      <c r="G13" s="112">
        <f t="shared" ca="1" si="1"/>
        <v>0.24327600000000002</v>
      </c>
      <c r="H13" s="116">
        <v>1.1399999999999999</v>
      </c>
      <c r="I13" s="117" t="s">
        <v>2724</v>
      </c>
      <c r="J13" s="79">
        <v>1</v>
      </c>
      <c r="K13" s="78" t="s">
        <v>2455</v>
      </c>
      <c r="L13" s="135" t="str">
        <f>IF(ISERROR(GETPIVOTDATA(IF($J13=1,"Count of ACTIVE     CED, FARM GATE (MJ/kg)","Count of CED, processor gate (MJ/kg)"),'Pivot Table_CED'!$A$3,"SUB TYPE",$B13)),"PROXY",IF(GETPIVOTDATA(IF($J13=1,"Count of ACTIVE     CED, FARM GATE (MJ/kg)","Count of CED, processor gate (MJ/kg)"),'Pivot Table_CED'!$A$3,"SUB TYPE",$B13)=0,"PROXY","DB value"))</f>
        <v>PROXY</v>
      </c>
      <c r="M13" s="118">
        <f ca="1">IF($L13="PROXY",DCOUNT('literature entries'!$D:$AI,IF($J13=1,"ACTIVE     CED, FARM GATE (MJ/kg)","CED, processor gate (MJ/kg)"),INDIRECT($K13)),GETPIVOTDATA(IF($J13=1,"Count of ACTIVE     CED, FARM GATE (MJ/kg)","Count of CED, processor gate (MJ/kg)"),'Pivot Table_CED'!$A$3,"SUB TYPE",$B13))</f>
        <v>14</v>
      </c>
      <c r="N13" s="119">
        <f ca="1">IF($L13="PROXY",DAVERAGE('literature entries'!$D:$AI,IF($J13=1,"ACTIVE     CED, FARM GATE (MJ/kg)","CED, processor gate (MJ/kg)"),INDIRECT($K13)),GETPIVOTDATA(IF($J13=1,"Average of ACTIVE     CED, FARM GATE (MJ/kg)","Average of CED, processor gate (MJ/kg)"),'Pivot Table_CED'!$A$3,"SUB TYPE",$B13))</f>
        <v>1.4220714285714284</v>
      </c>
      <c r="O13" s="119">
        <f ca="1">IF($L13="PROXY",DSTDEV('literature entries'!D:AI,IF($J13=1,"ACTIVE     CED, FARM GATE (MJ/kg)","CED, processor gate (MJ/kg)"),INDIRECT($K13)),GETPIVOTDATA(IF($J13=1,"StdDev of ACTIVE     CED, FARM GATE (MJ/kg)","StdDev of CED, processor gate (MJ/kg)"),'Pivot Table_CED'!$A$3,"SUB TYPE",$B13))</f>
        <v>0.57442043892896122</v>
      </c>
      <c r="P13" s="135" t="str">
        <f>IF(ISERROR(GETPIVOTDATA(IF($J13=1,"Count of ACTIVE     GHGE, FARM GATE (kg CO2e/kg)","Count of GHGE, processor gate (kg CO2e/kg)"),'Pivot Table_GHG'!$A$3,"SUB TYPE",$B13)),"PROXY",IF(GETPIVOTDATA(IF($J13=1,"Count of ACTIVE     GHGE, FARM GATE (kg CO2e/kg)","Count of GHGE, processor gate (kg CO2e/kg)"),'Pivot Table_GHG'!$A$3,"SUB TYPE",$B13)=0,"PROXY","DB value"))</f>
        <v>PROXY</v>
      </c>
      <c r="Q13" s="125">
        <f ca="1">IF($P13="PROXY",DCOUNT('literature entries'!$D:$AI,IF($J13=1,"ACTIVE     GHGE, FARM GATE (kg CO2e/kg)","GHGE, processor gate (kg CO2e/kg)"),INDIRECT($K13)),GETPIVOTDATA(IF($J13=1,"ACTIVE     GHGE, FARM GATE (kg CO2e/kg)","Count of GHGE, processor gate (kg CO2e/kg)"),'Pivot Table_GHG'!$A$3,"SUB TYPE",$B13))</f>
        <v>25</v>
      </c>
      <c r="R13" s="190">
        <f ca="1">IF($P13="PROXY",DAVERAGE('literature entries'!$D:$AI,IF($J13=1,"ACTIVE     GHGE, FARM GATE (kg CO2e/kg)","GHGE, processor gate (kg CO2e/kg)"),INDIRECT($K13)),GETPIVOTDATA(IF($J13=1,"Average of ACTIVE     GHGE, FARM GATE (kg CO2e/kg)","Average of GHGE, processor gate (kg CO2e/kg)"),'Pivot Table_GHG'!$A$3,"SUB TYPE",$B13))</f>
        <v>0.21340000000000003</v>
      </c>
      <c r="S13" s="190">
        <f ca="1">IF($P13="PROXY",DSTDEV('literature entries'!$D:$AI,IF($J13=1,"ACTIVE     GHGE, FARM GATE (kg CO2e/kg)","GHGE, processor gate (kg CO2e/kg)"),INDIRECT($K13)),GETPIVOTDATA(IF($J13=1,"StdDev of ACTIVE     GHGE, FARM GATE (kg CO2e/kg)","StdDev of GHGE, processor gate (kg CO2e/kg)"),'Pivot Table_GHG'!$A$3,"SUB TYPE",$B13))</f>
        <v>0.17992035274902424</v>
      </c>
      <c r="T13" s="88"/>
      <c r="U13" s="89"/>
      <c r="W13" s="213" t="str">
        <f t="shared" ca="1" si="4"/>
        <v>roots</v>
      </c>
      <c r="X13" s="211">
        <f ca="1">IF($W13="DIRECT",M13,DCOUNT('literature entries'!$D:$AI,IF($J13=1,"ACTIVE     CED, FARM GATE (MJ/kg)","CED, processor gate (MJ/kg)"),INDIRECT($W13)))</f>
        <v>14</v>
      </c>
      <c r="Y13" s="211">
        <f ca="1">IF($W13="DIRECT","",DAVERAGE('literature entries'!$D:$AI,IF($J13=1,"ACTIVE     CED, FARM GATE (MJ/kg)","CED, processor gate (MJ/kg)"),INDIRECT($W13)))</f>
        <v>1.4220714285714284</v>
      </c>
      <c r="Z13" s="211">
        <f ca="1">IF($W13="DIRECT",$O13,DSTDEV('literature entries'!$D:$AI,IF($J13=1,"ACTIVE     CED, FARM GATE (MJ/kg)","CED, processor gate (MJ/kg)"),INDIRECT($W13)))</f>
        <v>0.57442043892896122</v>
      </c>
      <c r="AA13" s="211">
        <f t="shared" ca="1" si="5"/>
        <v>0.57442043892896122</v>
      </c>
      <c r="AB13" s="219" t="str">
        <f ca="1">IF(P13="PROXY",IF(Q13&gt;=5,K13,"need group"),IF(Q13&gt;=5,"DIRECT","need group"))</f>
        <v>roots</v>
      </c>
      <c r="AC13" s="212">
        <f ca="1">IF($AB13="DIRECT",Q13,DCOUNT('literature entries'!$D:$AI,IF($J13=1,"ACTIVE     GHGE, FARM GATE (kg CO2e/kg)","GHGE, processor gate (kg CO2e/kg)"),INDIRECT($AB13)))</f>
        <v>25</v>
      </c>
      <c r="AD13" s="212">
        <f ca="1">IF($AB13="DIRECT","",DAVERAGE('literature entries'!$D:$AI,IF($J13=1,"ACTIVE     GHGE, FARM GATE (kg CO2e/kg)","GHGE, processor gate (kg CO2e/kg)"),INDIRECT($AB13)))</f>
        <v>0.21340000000000003</v>
      </c>
      <c r="AE13" s="212">
        <f ca="1">IF($AB13="DIRECT",$S13,DSTDEV('literature entries'!$D:$AI,IF($J13=1,"ACTIVE     GHGE, FARM GATE (kg CO2e/kg)","GHGE, processor gate (kg CO2e/kg)"),INDIRECT($AB13)))</f>
        <v>0.17992035274902424</v>
      </c>
      <c r="AF13" s="212">
        <f t="shared" ca="1" si="6"/>
        <v>0.17992035274902424</v>
      </c>
    </row>
    <row r="14" spans="1:32" s="19" customFormat="1" thickBot="1" x14ac:dyDescent="0.25">
      <c r="A14" s="114">
        <v>101314000</v>
      </c>
      <c r="B14" s="115" t="s">
        <v>2227</v>
      </c>
      <c r="C14" s="115" t="s">
        <v>1851</v>
      </c>
      <c r="D14" s="115"/>
      <c r="E14" s="115">
        <v>503</v>
      </c>
      <c r="F14" s="111">
        <f t="shared" ca="1" si="0"/>
        <v>1.5784992857142857</v>
      </c>
      <c r="G14" s="112">
        <f t="shared" ca="1" si="1"/>
        <v>0.23687400000000006</v>
      </c>
      <c r="H14" s="116">
        <v>1.1100000000000001</v>
      </c>
      <c r="I14" s="116" t="s">
        <v>2724</v>
      </c>
      <c r="J14" s="79">
        <v>1</v>
      </c>
      <c r="K14" s="78" t="s">
        <v>2455</v>
      </c>
      <c r="L14" s="135" t="str">
        <f>IF(ISERROR(GETPIVOTDATA(IF($J14=1,"Count of ACTIVE     CED, FARM GATE (MJ/kg)","Count of CED, processor gate (MJ/kg)"),'Pivot Table_CED'!$A$3,"SUB TYPE",$B14)),"PROXY",IF(GETPIVOTDATA(IF($J14=1,"Count of ACTIVE     CED, FARM GATE (MJ/kg)","Count of CED, processor gate (MJ/kg)"),'Pivot Table_CED'!$A$3,"SUB TYPE",$B14)=0,"PROXY","DB value"))</f>
        <v>PROXY</v>
      </c>
      <c r="M14" s="118">
        <f ca="1">IF($L14="PROXY",DCOUNT('literature entries'!$D:$AI,IF($J14=1,"ACTIVE     CED, FARM GATE (MJ/kg)","CED, processor gate (MJ/kg)"),INDIRECT($K14)),GETPIVOTDATA(IF($J14=1,"Count of ACTIVE     CED, FARM GATE (MJ/kg)","Count of CED, processor gate (MJ/kg)"),'Pivot Table_CED'!$A$3,"SUB TYPE",$B14))</f>
        <v>14</v>
      </c>
      <c r="N14" s="119">
        <f ca="1">IF($L14="PROXY",DAVERAGE('literature entries'!$D:$AI,IF($J14=1,"ACTIVE     CED, FARM GATE (MJ/kg)","CED, processor gate (MJ/kg)"),INDIRECT($K14)),GETPIVOTDATA(IF($J14=1,"Average of ACTIVE     CED, FARM GATE (MJ/kg)","Average of CED, processor gate (MJ/kg)"),'Pivot Table_CED'!$A$3,"SUB TYPE",$B14))</f>
        <v>1.4220714285714284</v>
      </c>
      <c r="O14" s="119">
        <f ca="1">IF($L14="PROXY",DSTDEV('literature entries'!D:AI,IF($J14=1,"ACTIVE     CED, FARM GATE (MJ/kg)","CED, processor gate (MJ/kg)"),INDIRECT($K14)),GETPIVOTDATA(IF($J14=1,"StdDev of ACTIVE     CED, FARM GATE (MJ/kg)","StdDev of CED, processor gate (MJ/kg)"),'Pivot Table_CED'!$A$3,"SUB TYPE",$B14))</f>
        <v>0.57442043892896122</v>
      </c>
      <c r="P14" s="135" t="str">
        <f>IF(ISERROR(GETPIVOTDATA(IF($J14=1,"Count of ACTIVE     GHGE, FARM GATE (kg CO2e/kg)","Count of GHGE, processor gate (kg CO2e/kg)"),'Pivot Table_GHG'!$A$3,"SUB TYPE",$B14)),"PROXY",IF(GETPIVOTDATA(IF($J14=1,"Count of ACTIVE     GHGE, FARM GATE (kg CO2e/kg)","Count of GHGE, processor gate (kg CO2e/kg)"),'Pivot Table_GHG'!$A$3,"SUB TYPE",$B14)=0,"PROXY","DB value"))</f>
        <v>PROXY</v>
      </c>
      <c r="Q14" s="125">
        <f ca="1">IF($P14="PROXY",DCOUNT('literature entries'!$D:$AI,IF($J14=1,"ACTIVE     GHGE, FARM GATE (kg CO2e/kg)","GHGE, processor gate (kg CO2e/kg)"),INDIRECT($K14)),GETPIVOTDATA(IF($J14=1,"ACTIVE     GHGE, FARM GATE (kg CO2e/kg)","Count of GHGE, processor gate (kg CO2e/kg)"),'Pivot Table_GHG'!$A$3,"SUB TYPE",$B14))</f>
        <v>25</v>
      </c>
      <c r="R14" s="190">
        <f ca="1">IF($P14="PROXY",DAVERAGE('literature entries'!$D:$AI,IF($J14=1,"ACTIVE     GHGE, FARM GATE (kg CO2e/kg)","GHGE, processor gate (kg CO2e/kg)"),INDIRECT($K14)),GETPIVOTDATA(IF($J14=1,"Average of ACTIVE     GHGE, FARM GATE (kg CO2e/kg)","Average of GHGE, processor gate (kg CO2e/kg)"),'Pivot Table_GHG'!$A$3,"SUB TYPE",$B14))</f>
        <v>0.21340000000000003</v>
      </c>
      <c r="S14" s="190">
        <f ca="1">IF($P14="PROXY",DSTDEV('literature entries'!$D:$AI,IF($J14=1,"ACTIVE     GHGE, FARM GATE (kg CO2e/kg)","GHGE, processor gate (kg CO2e/kg)"),INDIRECT($K14)),GETPIVOTDATA(IF($J14=1,"StdDev of ACTIVE     GHGE, FARM GATE (kg CO2e/kg)","StdDev of GHGE, processor gate (kg CO2e/kg)"),'Pivot Table_GHG'!$A$3,"SUB TYPE",$B14))</f>
        <v>0.17992035274902424</v>
      </c>
      <c r="T14" s="88"/>
      <c r="U14" s="89"/>
      <c r="W14" s="213" t="str">
        <f t="shared" ca="1" si="4"/>
        <v>roots</v>
      </c>
      <c r="X14" s="211">
        <f ca="1">IF($W14="DIRECT",M14,DCOUNT('literature entries'!$D:$AI,IF($J14=1,"ACTIVE     CED, FARM GATE (MJ/kg)","CED, processor gate (MJ/kg)"),INDIRECT($W14)))</f>
        <v>14</v>
      </c>
      <c r="Y14" s="211">
        <f ca="1">IF($W14="DIRECT","",DAVERAGE('literature entries'!$D:$AI,IF($J14=1,"ACTIVE     CED, FARM GATE (MJ/kg)","CED, processor gate (MJ/kg)"),INDIRECT($W14)))</f>
        <v>1.4220714285714284</v>
      </c>
      <c r="Z14" s="211">
        <f ca="1">IF($W14="DIRECT",$O14,DSTDEV('literature entries'!$D:$AI,IF($J14=1,"ACTIVE     CED, FARM GATE (MJ/kg)","CED, processor gate (MJ/kg)"),INDIRECT($W14)))</f>
        <v>0.57442043892896122</v>
      </c>
      <c r="AA14" s="211">
        <f t="shared" ca="1" si="5"/>
        <v>0.57442043892896122</v>
      </c>
      <c r="AB14" s="219" t="str">
        <f ca="1">IF(P14="PROXY",IF(Q14&gt;=5,K14,"need group"),IF(Q14&gt;=5,"DIRECT","need group"))</f>
        <v>roots</v>
      </c>
      <c r="AC14" s="212">
        <f ca="1">IF($AB14="DIRECT",Q14,DCOUNT('literature entries'!$D:$AI,IF($J14=1,"ACTIVE     GHGE, FARM GATE (kg CO2e/kg)","GHGE, processor gate (kg CO2e/kg)"),INDIRECT($AB14)))</f>
        <v>25</v>
      </c>
      <c r="AD14" s="212">
        <f ca="1">IF($AB14="DIRECT","",DAVERAGE('literature entries'!$D:$AI,IF($J14=1,"ACTIVE     GHGE, FARM GATE (kg CO2e/kg)","GHGE, processor gate (kg CO2e/kg)"),INDIRECT($AB14)))</f>
        <v>0.21340000000000003</v>
      </c>
      <c r="AE14" s="212">
        <f ca="1">IF($AB14="DIRECT",$S14,DSTDEV('literature entries'!$D:$AI,IF($J14=1,"ACTIVE     GHGE, FARM GATE (kg CO2e/kg)","GHGE, processor gate (kg CO2e/kg)"),INDIRECT($AB14)))</f>
        <v>0.17992035274902424</v>
      </c>
      <c r="AF14" s="212">
        <f t="shared" ca="1" si="6"/>
        <v>0.17992035274902424</v>
      </c>
    </row>
    <row r="15" spans="1:32" s="19" customFormat="1" ht="17" thickBot="1" x14ac:dyDescent="0.25">
      <c r="A15" s="114">
        <v>101316000</v>
      </c>
      <c r="B15" s="115" t="s">
        <v>2226</v>
      </c>
      <c r="C15" s="115" t="s">
        <v>1851</v>
      </c>
      <c r="D15" s="115"/>
      <c r="E15" s="115">
        <v>7</v>
      </c>
      <c r="F15" s="111">
        <f t="shared" ca="1" si="0"/>
        <v>1.8060307142857142</v>
      </c>
      <c r="G15" s="112">
        <f t="shared" ca="1" si="1"/>
        <v>0.27101800000000004</v>
      </c>
      <c r="H15" s="116">
        <v>1.27</v>
      </c>
      <c r="I15" s="117" t="s">
        <v>2724</v>
      </c>
      <c r="J15" s="79">
        <v>1</v>
      </c>
      <c r="K15" s="78" t="s">
        <v>2455</v>
      </c>
      <c r="L15" s="135" t="str">
        <f>IF(ISERROR(GETPIVOTDATA(IF($J15=1,"Count of ACTIVE     CED, FARM GATE (MJ/kg)","Count of CED, processor gate (MJ/kg)"),'Pivot Table_CED'!$A$3,"SUB TYPE",$B15)),"PROXY",IF(GETPIVOTDATA(IF($J15=1,"Count of ACTIVE     CED, FARM GATE (MJ/kg)","Count of CED, processor gate (MJ/kg)"),'Pivot Table_CED'!$A$3,"SUB TYPE",$B15)=0,"PROXY","DB value"))</f>
        <v>PROXY</v>
      </c>
      <c r="M15" s="118">
        <f ca="1">IF($L15="PROXY",DCOUNT('literature entries'!$D:$AI,IF($J15=1,"ACTIVE     CED, FARM GATE (MJ/kg)","CED, processor gate (MJ/kg)"),INDIRECT($K15)),GETPIVOTDATA(IF($J15=1,"Count of ACTIVE     CED, FARM GATE (MJ/kg)","Count of CED, processor gate (MJ/kg)"),'Pivot Table_CED'!$A$3,"SUB TYPE",$B15))</f>
        <v>14</v>
      </c>
      <c r="N15" s="119">
        <f ca="1">IF($L15="PROXY",DAVERAGE('literature entries'!$D:$AI,IF($J15=1,"ACTIVE     CED, FARM GATE (MJ/kg)","CED, processor gate (MJ/kg)"),INDIRECT($K15)),GETPIVOTDATA(IF($J15=1,"Average of ACTIVE     CED, FARM GATE (MJ/kg)","Average of CED, processor gate (MJ/kg)"),'Pivot Table_CED'!$A$3,"SUB TYPE",$B15))</f>
        <v>1.4220714285714284</v>
      </c>
      <c r="O15" s="119">
        <f ca="1">IF($L15="PROXY",DSTDEV('literature entries'!D:AI,IF($J15=1,"ACTIVE     CED, FARM GATE (MJ/kg)","CED, processor gate (MJ/kg)"),INDIRECT($K15)),GETPIVOTDATA(IF($J15=1,"StdDev of ACTIVE     CED, FARM GATE (MJ/kg)","StdDev of CED, processor gate (MJ/kg)"),'Pivot Table_CED'!$A$3,"SUB TYPE",$B15))</f>
        <v>0.57442043892896122</v>
      </c>
      <c r="P15" s="135" t="str">
        <f>IF(ISERROR(GETPIVOTDATA(IF($J15=1,"Count of ACTIVE     GHGE, FARM GATE (kg CO2e/kg)","Count of GHGE, processor gate (kg CO2e/kg)"),'Pivot Table_GHG'!$A$3,"SUB TYPE",$B15)),"PROXY",IF(GETPIVOTDATA(IF($J15=1,"Count of ACTIVE     GHGE, FARM GATE (kg CO2e/kg)","Count of GHGE, processor gate (kg CO2e/kg)"),'Pivot Table_GHG'!$A$3,"SUB TYPE",$B15)=0,"PROXY","DB value"))</f>
        <v>PROXY</v>
      </c>
      <c r="Q15" s="125">
        <f ca="1">IF($P15="PROXY",DCOUNT('literature entries'!$D:$AI,IF($J15=1,"ACTIVE     GHGE, FARM GATE (kg CO2e/kg)","GHGE, processor gate (kg CO2e/kg)"),INDIRECT($K15)),GETPIVOTDATA(IF($J15=1,"ACTIVE     GHGE, FARM GATE (kg CO2e/kg)","Count of GHGE, processor gate (kg CO2e/kg)"),'Pivot Table_GHG'!$A$3,"SUB TYPE",$B15))</f>
        <v>25</v>
      </c>
      <c r="R15" s="190">
        <f ca="1">IF($P15="PROXY",DAVERAGE('literature entries'!$D:$AI,IF($J15=1,"ACTIVE     GHGE, FARM GATE (kg CO2e/kg)","GHGE, processor gate (kg CO2e/kg)"),INDIRECT($K15)),GETPIVOTDATA(IF($J15=1,"Average of ACTIVE     GHGE, FARM GATE (kg CO2e/kg)","Average of GHGE, processor gate (kg CO2e/kg)"),'Pivot Table_GHG'!$A$3,"SUB TYPE",$B15))</f>
        <v>0.21340000000000003</v>
      </c>
      <c r="S15" s="190">
        <f ca="1">IF($P15="PROXY",DSTDEV('literature entries'!$D:$AI,IF($J15=1,"ACTIVE     GHGE, FARM GATE (kg CO2e/kg)","GHGE, processor gate (kg CO2e/kg)"),INDIRECT($K15)),GETPIVOTDATA(IF($J15=1,"StdDev of ACTIVE     GHGE, FARM GATE (kg CO2e/kg)","StdDev of GHGE, processor gate (kg CO2e/kg)"),'Pivot Table_GHG'!$A$3,"SUB TYPE",$B15))</f>
        <v>0.17992035274902424</v>
      </c>
      <c r="T15" s="88"/>
      <c r="U15" s="89"/>
      <c r="W15" s="213" t="str">
        <f t="shared" ca="1" si="4"/>
        <v>roots</v>
      </c>
      <c r="X15" s="211">
        <f ca="1">IF($W15="DIRECT",M15,DCOUNT('literature entries'!$D:$AI,IF($J15=1,"ACTIVE     CED, FARM GATE (MJ/kg)","CED, processor gate (MJ/kg)"),INDIRECT($W15)))</f>
        <v>14</v>
      </c>
      <c r="Y15" s="211">
        <f ca="1">IF($W15="DIRECT","",DAVERAGE('literature entries'!$D:$AI,IF($J15=1,"ACTIVE     CED, FARM GATE (MJ/kg)","CED, processor gate (MJ/kg)"),INDIRECT($W15)))</f>
        <v>1.4220714285714284</v>
      </c>
      <c r="Z15" s="211">
        <f ca="1">IF($W15="DIRECT",$O15,DSTDEV('literature entries'!$D:$AI,IF($J15=1,"ACTIVE     CED, FARM GATE (MJ/kg)","CED, processor gate (MJ/kg)"),INDIRECT($W15)))</f>
        <v>0.57442043892896122</v>
      </c>
      <c r="AA15" s="211">
        <f t="shared" ca="1" si="5"/>
        <v>0.57442043892896122</v>
      </c>
      <c r="AB15" s="219" t="str">
        <f ca="1">IF(P15="PROXY",IF(Q15&gt;=5,K15,"need group"),IF(Q15&gt;=5,"DIRECT","need group"))</f>
        <v>roots</v>
      </c>
      <c r="AC15" s="212">
        <f ca="1">IF($AB15="DIRECT",Q15,DCOUNT('literature entries'!$D:$AI,IF($J15=1,"ACTIVE     GHGE, FARM GATE (kg CO2e/kg)","GHGE, processor gate (kg CO2e/kg)"),INDIRECT($AB15)))</f>
        <v>25</v>
      </c>
      <c r="AD15" s="212">
        <f ca="1">IF($AB15="DIRECT","",DAVERAGE('literature entries'!$D:$AI,IF($J15=1,"ACTIVE     GHGE, FARM GATE (kg CO2e/kg)","GHGE, processor gate (kg CO2e/kg)"),INDIRECT($AB15)))</f>
        <v>0.21340000000000003</v>
      </c>
      <c r="AE15" s="212">
        <f ca="1">IF($AB15="DIRECT",$S15,DSTDEV('literature entries'!$D:$AI,IF($J15=1,"ACTIVE     GHGE, FARM GATE (kg CO2e/kg)","GHGE, processor gate (kg CO2e/kg)"),INDIRECT($AB15)))</f>
        <v>0.17992035274902424</v>
      </c>
      <c r="AF15" s="212">
        <f t="shared" ca="1" si="6"/>
        <v>0.17992035274902424</v>
      </c>
    </row>
    <row r="16" spans="1:32" s="19" customFormat="1" ht="17" thickBot="1" x14ac:dyDescent="0.25">
      <c r="A16" s="114">
        <v>101327000</v>
      </c>
      <c r="B16" s="115" t="s">
        <v>2240</v>
      </c>
      <c r="C16" s="115" t="s">
        <v>2241</v>
      </c>
      <c r="D16" s="115"/>
      <c r="E16" s="115">
        <v>265</v>
      </c>
      <c r="F16" s="111">
        <f t="shared" ca="1" si="0"/>
        <v>1.6780442857142854</v>
      </c>
      <c r="G16" s="112">
        <f t="shared" ca="1" si="1"/>
        <v>0.25181200000000004</v>
      </c>
      <c r="H16" s="116">
        <v>1.18</v>
      </c>
      <c r="I16" s="117" t="s">
        <v>2724</v>
      </c>
      <c r="J16" s="79">
        <v>1</v>
      </c>
      <c r="K16" s="78" t="s">
        <v>2455</v>
      </c>
      <c r="L16" s="135" t="str">
        <f>IF(ISERROR(GETPIVOTDATA(IF($J16=1,"Count of ACTIVE     CED, FARM GATE (MJ/kg)","Count of CED, processor gate (MJ/kg)"),'Pivot Table_CED'!$A$3,"SUB TYPE",$B16)),"PROXY",IF(GETPIVOTDATA(IF($J16=1,"Count of ACTIVE     CED, FARM GATE (MJ/kg)","Count of CED, processor gate (MJ/kg)"),'Pivot Table_CED'!$A$3,"SUB TYPE",$B16)=0,"PROXY","DB value"))</f>
        <v>PROXY</v>
      </c>
      <c r="M16" s="118">
        <f ca="1">IF($L16="PROXY",DCOUNT('literature entries'!$D:$AI,IF($J16=1,"ACTIVE     CED, FARM GATE (MJ/kg)","CED, processor gate (MJ/kg)"),INDIRECT($K16)),GETPIVOTDATA(IF($J16=1,"Count of ACTIVE     CED, FARM GATE (MJ/kg)","Count of CED, processor gate (MJ/kg)"),'Pivot Table_CED'!$A$3,"SUB TYPE",$B16))</f>
        <v>14</v>
      </c>
      <c r="N16" s="119">
        <f ca="1">IF($L16="PROXY",DAVERAGE('literature entries'!$D:$AI,IF($J16=1,"ACTIVE     CED, FARM GATE (MJ/kg)","CED, processor gate (MJ/kg)"),INDIRECT($K16)),GETPIVOTDATA(IF($J16=1,"Average of ACTIVE     CED, FARM GATE (MJ/kg)","Average of CED, processor gate (MJ/kg)"),'Pivot Table_CED'!$A$3,"SUB TYPE",$B16))</f>
        <v>1.4220714285714284</v>
      </c>
      <c r="O16" s="119">
        <f ca="1">IF($L16="PROXY",DSTDEV('literature entries'!D:AI,IF($J16=1,"ACTIVE     CED, FARM GATE (MJ/kg)","CED, processor gate (MJ/kg)"),INDIRECT($K16)),GETPIVOTDATA(IF($J16=1,"StdDev of ACTIVE     CED, FARM GATE (MJ/kg)","StdDev of CED, processor gate (MJ/kg)"),'Pivot Table_CED'!$A$3,"SUB TYPE",$B16))</f>
        <v>0.57442043892896122</v>
      </c>
      <c r="P16" s="135" t="str">
        <f>IF(ISERROR(GETPIVOTDATA(IF($J16=1,"Count of ACTIVE     GHGE, FARM GATE (kg CO2e/kg)","Count of GHGE, processor gate (kg CO2e/kg)"),'Pivot Table_GHG'!$A$3,"SUB TYPE",$B16)),"PROXY",IF(GETPIVOTDATA(IF($J16=1,"Count of ACTIVE     GHGE, FARM GATE (kg CO2e/kg)","Count of GHGE, processor gate (kg CO2e/kg)"),'Pivot Table_GHG'!$A$3,"SUB TYPE",$B16)=0,"PROXY","DB value"))</f>
        <v>PROXY</v>
      </c>
      <c r="Q16" s="125">
        <f ca="1">IF($P16="PROXY",DCOUNT('literature entries'!$D:$AI,IF($J16=1,"ACTIVE     GHGE, FARM GATE (kg CO2e/kg)","GHGE, processor gate (kg CO2e/kg)"),INDIRECT($K16)),GETPIVOTDATA(IF($J16=1,"ACTIVE     GHGE, FARM GATE (kg CO2e/kg)","Count of GHGE, processor gate (kg CO2e/kg)"),'Pivot Table_GHG'!$A$3,"SUB TYPE",$B16))</f>
        <v>25</v>
      </c>
      <c r="R16" s="190">
        <f ca="1">IF($P16="PROXY",DAVERAGE('literature entries'!$D:$AI,IF($J16=1,"ACTIVE     GHGE, FARM GATE (kg CO2e/kg)","GHGE, processor gate (kg CO2e/kg)"),INDIRECT($K16)),GETPIVOTDATA(IF($J16=1,"Average of ACTIVE     GHGE, FARM GATE (kg CO2e/kg)","Average of GHGE, processor gate (kg CO2e/kg)"),'Pivot Table_GHG'!$A$3,"SUB TYPE",$B16))</f>
        <v>0.21340000000000003</v>
      </c>
      <c r="S16" s="190">
        <f ca="1">IF($P16="PROXY",DSTDEV('literature entries'!$D:$AI,IF($J16=1,"ACTIVE     GHGE, FARM GATE (kg CO2e/kg)","GHGE, processor gate (kg CO2e/kg)"),INDIRECT($K16)),GETPIVOTDATA(IF($J16=1,"StdDev of ACTIVE     GHGE, FARM GATE (kg CO2e/kg)","StdDev of GHGE, processor gate (kg CO2e/kg)"),'Pivot Table_GHG'!$A$3,"SUB TYPE",$B16))</f>
        <v>0.17992035274902424</v>
      </c>
      <c r="T16" s="88"/>
      <c r="U16" s="89"/>
      <c r="W16" s="213" t="str">
        <f t="shared" ca="1" si="4"/>
        <v>roots</v>
      </c>
      <c r="X16" s="211">
        <f ca="1">IF($W16="DIRECT",M16,DCOUNT('literature entries'!$D:$AI,IF($J16=1,"ACTIVE     CED, FARM GATE (MJ/kg)","CED, processor gate (MJ/kg)"),INDIRECT($W16)))</f>
        <v>14</v>
      </c>
      <c r="Y16" s="211">
        <f ca="1">IF($W16="DIRECT","",DAVERAGE('literature entries'!$D:$AI,IF($J16=1,"ACTIVE     CED, FARM GATE (MJ/kg)","CED, processor gate (MJ/kg)"),INDIRECT($W16)))</f>
        <v>1.4220714285714284</v>
      </c>
      <c r="Z16" s="211">
        <f ca="1">IF($W16="DIRECT",$O16,DSTDEV('literature entries'!$D:$AI,IF($J16=1,"ACTIVE     CED, FARM GATE (MJ/kg)","CED, processor gate (MJ/kg)"),INDIRECT($W16)))</f>
        <v>0.57442043892896122</v>
      </c>
      <c r="AA16" s="211">
        <f t="shared" ca="1" si="5"/>
        <v>0.57442043892896122</v>
      </c>
      <c r="AB16" s="219" t="str">
        <f ca="1">IF(P16="PROXY",IF(Q16&gt;=5,K16,"need group"),IF(Q16&gt;=5,"DIRECT","need group"))</f>
        <v>roots</v>
      </c>
      <c r="AC16" s="212">
        <f ca="1">IF($AB16="DIRECT",Q16,DCOUNT('literature entries'!$D:$AI,IF($J16=1,"ACTIVE     GHGE, FARM GATE (kg CO2e/kg)","GHGE, processor gate (kg CO2e/kg)"),INDIRECT($AB16)))</f>
        <v>25</v>
      </c>
      <c r="AD16" s="212">
        <f ca="1">IF($AB16="DIRECT","",DAVERAGE('literature entries'!$D:$AI,IF($J16=1,"ACTIVE     GHGE, FARM GATE (kg CO2e/kg)","GHGE, processor gate (kg CO2e/kg)"),INDIRECT($AB16)))</f>
        <v>0.21340000000000003</v>
      </c>
      <c r="AE16" s="212">
        <f ca="1">IF($AB16="DIRECT",$S16,DSTDEV('literature entries'!$D:$AI,IF($J16=1,"ACTIVE     GHGE, FARM GATE (kg CO2e/kg)","GHGE, processor gate (kg CO2e/kg)"),INDIRECT($AB16)))</f>
        <v>0.17992035274902424</v>
      </c>
      <c r="AF16" s="212">
        <f t="shared" ca="1" si="6"/>
        <v>0.17992035274902424</v>
      </c>
    </row>
    <row r="17" spans="1:32" s="19" customFormat="1" ht="17" thickBot="1" x14ac:dyDescent="0.25">
      <c r="A17" s="114">
        <v>101388000</v>
      </c>
      <c r="B17" s="115" t="s">
        <v>2332</v>
      </c>
      <c r="C17" s="115" t="s">
        <v>1851</v>
      </c>
      <c r="D17" s="115"/>
      <c r="E17" s="115">
        <v>59</v>
      </c>
      <c r="F17" s="111">
        <f t="shared" ca="1" si="0"/>
        <v>1.7491478571428569</v>
      </c>
      <c r="G17" s="112">
        <f t="shared" ca="1" si="1"/>
        <v>0.49815000000000004</v>
      </c>
      <c r="H17" s="116">
        <v>1.23</v>
      </c>
      <c r="I17" s="117" t="s">
        <v>2724</v>
      </c>
      <c r="J17" s="79">
        <v>1</v>
      </c>
      <c r="K17" s="78" t="s">
        <v>2455</v>
      </c>
      <c r="L17" s="135" t="str">
        <f>IF(ISERROR(GETPIVOTDATA(IF($J17=1,"Count of ACTIVE     CED, FARM GATE (MJ/kg)","Count of CED, processor gate (MJ/kg)"),'Pivot Table_CED'!$A$3,"SUB TYPE",$B17)),"PROXY",IF(GETPIVOTDATA(IF($J17=1,"Count of ACTIVE     CED, FARM GATE (MJ/kg)","Count of CED, processor gate (MJ/kg)"),'Pivot Table_CED'!$A$3,"SUB TYPE",$B17)=0,"PROXY","DB value"))</f>
        <v>PROXY</v>
      </c>
      <c r="M17" s="118">
        <f ca="1">IF($L17="PROXY",DCOUNT('literature entries'!$D:$AI,IF($J17=1,"ACTIVE     CED, FARM GATE (MJ/kg)","CED, processor gate (MJ/kg)"),INDIRECT($K17)),GETPIVOTDATA(IF($J17=1,"Count of ACTIVE     CED, FARM GATE (MJ/kg)","Count of CED, processor gate (MJ/kg)"),'Pivot Table_CED'!$A$3,"SUB TYPE",$B17))</f>
        <v>14</v>
      </c>
      <c r="N17" s="119">
        <f ca="1">IF($L17="PROXY",DAVERAGE('literature entries'!$D:$AI,IF($J17=1,"ACTIVE     CED, FARM GATE (MJ/kg)","CED, processor gate (MJ/kg)"),INDIRECT($K17)),GETPIVOTDATA(IF($J17=1,"Average of ACTIVE     CED, FARM GATE (MJ/kg)","Average of CED, processor gate (MJ/kg)"),'Pivot Table_CED'!$A$3,"SUB TYPE",$B17))</f>
        <v>1.4220714285714284</v>
      </c>
      <c r="O17" s="119">
        <f ca="1">IF($L17="PROXY",DSTDEV('literature entries'!D:AI,IF($J17=1,"ACTIVE     CED, FARM GATE (MJ/kg)","CED, processor gate (MJ/kg)"),INDIRECT($K17)),GETPIVOTDATA(IF($J17=1,"StdDev of ACTIVE     CED, FARM GATE (MJ/kg)","StdDev of CED, processor gate (MJ/kg)"),'Pivot Table_CED'!$A$3,"SUB TYPE",$B17))</f>
        <v>0.57442043892896122</v>
      </c>
      <c r="P17" s="135" t="str">
        <f>IF(ISERROR(GETPIVOTDATA(IF($J17=1,"Count of ACTIVE     GHGE, FARM GATE (kg CO2e/kg)","Count of GHGE, processor gate (kg CO2e/kg)"),'Pivot Table_GHG'!$A$3,"SUB TYPE",$B17)),"PROXY",IF(GETPIVOTDATA(IF($J17=1,"Count of ACTIVE     GHGE, FARM GATE (kg CO2e/kg)","Count of GHGE, processor gate (kg CO2e/kg)"),'Pivot Table_GHG'!$A$3,"SUB TYPE",$B17)=0,"PROXY","DB value"))</f>
        <v>DB value</v>
      </c>
      <c r="Q17" s="125">
        <f ca="1">IF($P17="PROXY",DCOUNT('literature entries'!$D:$AI,IF($J17=1,"ACTIVE     GHGE, FARM GATE (kg CO2e/kg)","GHGE, processor gate (kg CO2e/kg)"),INDIRECT($K17)),GETPIVOTDATA(IF($J17=1,"ACTIVE     GHGE, FARM GATE (kg CO2e/kg)","Count of GHGE, processor gate (kg CO2e/kg)"),'Pivot Table_GHG'!$A$3,"SUB TYPE",$B17))</f>
        <v>2</v>
      </c>
      <c r="R17" s="190">
        <f ca="1">IF($P17="PROXY",DAVERAGE('literature entries'!$D:$AI,IF($J17=1,"ACTIVE     GHGE, FARM GATE (kg CO2e/kg)","GHGE, processor gate (kg CO2e/kg)"),INDIRECT($K17)),GETPIVOTDATA(IF($J17=1,"Average of ACTIVE     GHGE, FARM GATE (kg CO2e/kg)","Average of GHGE, processor gate (kg CO2e/kg)"),'Pivot Table_GHG'!$A$3,"SUB TYPE",$B17))</f>
        <v>0.40500000000000003</v>
      </c>
      <c r="S17" s="190">
        <f ca="1">IF($P17="PROXY",DSTDEV('literature entries'!$D:$AI,IF($J17=1,"ACTIVE     GHGE, FARM GATE (kg CO2e/kg)","GHGE, processor gate (kg CO2e/kg)"),INDIRECT($K17)),GETPIVOTDATA(IF($J17=1,"StdDev of ACTIVE     GHGE, FARM GATE (kg CO2e/kg)","StdDev of GHGE, processor gate (kg CO2e/kg)"),'Pivot Table_GHG'!$A$3,"SUB TYPE",$B17))</f>
        <v>7.7781745930519869E-2</v>
      </c>
      <c r="T17" s="88"/>
      <c r="U17" s="89"/>
      <c r="W17" s="213" t="str">
        <f t="shared" ca="1" si="4"/>
        <v>roots</v>
      </c>
      <c r="X17" s="211">
        <f ca="1">IF($W17="DIRECT",M17,DCOUNT('literature entries'!$D:$AI,IF($J17=1,"ACTIVE     CED, FARM GATE (MJ/kg)","CED, processor gate (MJ/kg)"),INDIRECT($W17)))</f>
        <v>14</v>
      </c>
      <c r="Y17" s="211">
        <f ca="1">IF($W17="DIRECT","",DAVERAGE('literature entries'!$D:$AI,IF($J17=1,"ACTIVE     CED, FARM GATE (MJ/kg)","CED, processor gate (MJ/kg)"),INDIRECT($W17)))</f>
        <v>1.4220714285714284</v>
      </c>
      <c r="Z17" s="211">
        <f ca="1">IF($W17="DIRECT",$O17,DSTDEV('literature entries'!$D:$AI,IF($J17=1,"ACTIVE     CED, FARM GATE (MJ/kg)","CED, processor gate (MJ/kg)"),INDIRECT($W17)))</f>
        <v>0.57442043892896122</v>
      </c>
      <c r="AA17" s="211">
        <f t="shared" ca="1" si="5"/>
        <v>0.57442043892896122</v>
      </c>
      <c r="AB17" s="219" t="s">
        <v>2455</v>
      </c>
      <c r="AC17" s="212">
        <f ca="1">IF($AB17="DIRECT",Q17,DCOUNT('literature entries'!$D:$AI,IF($J17=1,"ACTIVE     GHGE, FARM GATE (kg CO2e/kg)","GHGE, processor gate (kg CO2e/kg)"),INDIRECT($AB17)))</f>
        <v>25</v>
      </c>
      <c r="AD17" s="212">
        <f ca="1">IF($AB17="DIRECT","",DAVERAGE('literature entries'!$D:$AI,IF($J17=1,"ACTIVE     GHGE, FARM GATE (kg CO2e/kg)","GHGE, processor gate (kg CO2e/kg)"),INDIRECT($AB17)))</f>
        <v>0.21340000000000003</v>
      </c>
      <c r="AE17" s="212">
        <f ca="1">IF($AB17="DIRECT",$S17,DSTDEV('literature entries'!$D:$AI,IF($J17=1,"ACTIVE     GHGE, FARM GATE (kg CO2e/kg)","GHGE, processor gate (kg CO2e/kg)"),INDIRECT($AB17)))</f>
        <v>0.17992035274902424</v>
      </c>
      <c r="AF17" s="212">
        <f t="shared" ca="1" si="6"/>
        <v>0.34146083816005063</v>
      </c>
    </row>
    <row r="18" spans="1:32" s="19" customFormat="1" ht="17" thickBot="1" x14ac:dyDescent="0.25">
      <c r="A18" s="114">
        <v>103015000</v>
      </c>
      <c r="B18" s="115" t="s">
        <v>1753</v>
      </c>
      <c r="C18" s="115" t="s">
        <v>1754</v>
      </c>
      <c r="D18" s="115"/>
      <c r="E18" s="115">
        <v>987</v>
      </c>
      <c r="F18" s="111">
        <f t="shared" ca="1" si="0"/>
        <v>0.625</v>
      </c>
      <c r="G18" s="112">
        <f t="shared" ca="1" si="1"/>
        <v>7.8799999999999995E-2</v>
      </c>
      <c r="H18" s="117">
        <v>1</v>
      </c>
      <c r="I18" s="117" t="s">
        <v>594</v>
      </c>
      <c r="J18" s="79">
        <v>1</v>
      </c>
      <c r="K18" s="78" t="s">
        <v>2744</v>
      </c>
      <c r="L18" s="135" t="str">
        <f>IF(ISERROR(GETPIVOTDATA(IF($J18=1,"Count of ACTIVE     CED, FARM GATE (MJ/kg)","Count of CED, processor gate (MJ/kg)"),'Pivot Table_CED'!$A$3,"SUB TYPE",$B18)),"PROXY",IF(GETPIVOTDATA(IF($J18=1,"Count of ACTIVE     CED, FARM GATE (MJ/kg)","Count of CED, processor gate (MJ/kg)"),'Pivot Table_CED'!$A$3,"SUB TYPE",$B18)=0,"PROXY","DB value"))</f>
        <v>PROXY</v>
      </c>
      <c r="M18" s="118">
        <f ca="1">IF($L18="PROXY",DCOUNT('literature entries'!$D:$AI,IF($J18=1,"ACTIVE     CED, FARM GATE (MJ/kg)","CED, processor gate (MJ/kg)"),INDIRECT($K18)),GETPIVOTDATA(IF($J18=1,"Count of ACTIVE     CED, FARM GATE (MJ/kg)","Count of CED, processor gate (MJ/kg)"),'Pivot Table_CED'!$A$3,"SUB TYPE",$B18))</f>
        <v>1</v>
      </c>
      <c r="N18" s="119">
        <f ca="1">IF($L18="PROXY",DAVERAGE('literature entries'!$D:$AI,IF($J18=1,"ACTIVE     CED, FARM GATE (MJ/kg)","CED, processor gate (MJ/kg)"),INDIRECT($K18)),GETPIVOTDATA(IF($J18=1,"Average of ACTIVE     CED, FARM GATE (MJ/kg)","Average of CED, processor gate (MJ/kg)"),'Pivot Table_CED'!$A$3,"SUB TYPE",$B18))</f>
        <v>0.625</v>
      </c>
      <c r="O18" s="119" t="e">
        <f ca="1">IF($L18="PROXY",DSTDEV('literature entries'!D:AI,IF($J18=1,"ACTIVE     CED, FARM GATE (MJ/kg)","CED, processor gate (MJ/kg)"),INDIRECT($K18)),GETPIVOTDATA(IF($J18=1,"StdDev of ACTIVE     CED, FARM GATE (MJ/kg)","StdDev of CED, processor gate (MJ/kg)"),'Pivot Table_CED'!$A$3,"SUB TYPE",$B18))</f>
        <v>#DIV/0!</v>
      </c>
      <c r="P18" s="135" t="str">
        <f>IF(ISERROR(GETPIVOTDATA(IF($J18=1,"Count of ACTIVE     GHGE, FARM GATE (kg CO2e/kg)","Count of GHGE, processor gate (kg CO2e/kg)"),'Pivot Table_GHG'!$A$3,"SUB TYPE",$B18)),"PROXY",IF(GETPIVOTDATA(IF($J18=1,"Count of ACTIVE     GHGE, FARM GATE (kg CO2e/kg)","Count of GHGE, processor gate (kg CO2e/kg)"),'Pivot Table_GHG'!$A$3,"SUB TYPE",$B18)=0,"PROXY","DB value"))</f>
        <v>PROXY</v>
      </c>
      <c r="Q18" s="125">
        <f ca="1">IF($P18="PROXY",DCOUNT('literature entries'!$D:$AI,IF($J18=1,"ACTIVE     GHGE, FARM GATE (kg CO2e/kg)","GHGE, processor gate (kg CO2e/kg)"),INDIRECT($K18)),GETPIVOTDATA(IF($J18=1,"ACTIVE     GHGE, FARM GATE (kg CO2e/kg)","Count of GHGE, processor gate (kg CO2e/kg)"),'Pivot Table_GHG'!$A$3,"SUB TYPE",$B18))</f>
        <v>1</v>
      </c>
      <c r="R18" s="190">
        <f ca="1">IF($P18="PROXY",DAVERAGE('literature entries'!$D:$AI,IF($J18=1,"ACTIVE     GHGE, FARM GATE (kg CO2e/kg)","GHGE, processor gate (kg CO2e/kg)"),INDIRECT($K18)),GETPIVOTDATA(IF($J18=1,"Average of ACTIVE     GHGE, FARM GATE (kg CO2e/kg)","Average of GHGE, processor gate (kg CO2e/kg)"),'Pivot Table_GHG'!$A$3,"SUB TYPE",$B18))</f>
        <v>7.8799999999999995E-2</v>
      </c>
      <c r="S18" s="190" t="e">
        <f ca="1">IF($P18="PROXY",DSTDEV('literature entries'!$D:$AI,IF($J18=1,"ACTIVE     GHGE, FARM GATE (kg CO2e/kg)","GHGE, processor gate (kg CO2e/kg)"),INDIRECT($K18)),GETPIVOTDATA(IF($J18=1,"StdDev of ACTIVE     GHGE, FARM GATE (kg CO2e/kg)","StdDev of GHGE, processor gate (kg CO2e/kg)"),'Pivot Table_GHG'!$A$3,"SUB TYPE",$B18))</f>
        <v>#DIV/0!</v>
      </c>
      <c r="T18" s="88"/>
      <c r="U18" s="89"/>
      <c r="W18" s="223" t="s">
        <v>3358</v>
      </c>
      <c r="X18" s="211">
        <f ca="1">IF($W18="DIRECT",M18,DCOUNT('literature entries'!$D:$AI,"CED, processor gate (MJ/kg)",INDIRECT($W18)))</f>
        <v>9</v>
      </c>
      <c r="Y18" s="211">
        <f ca="1">IF($W18="DIRECT","",DAVERAGE('literature entries'!$D:$AI,"CED, processor gate (MJ/kg)",INDIRECT($W18)))</f>
        <v>3.7933851999999999</v>
      </c>
      <c r="Z18" s="211">
        <f ca="1">IF($W18="DIRECT",$O18,DSTDEV('literature entries'!$D:$AI,"CED, processor gate (MJ/kg)",INDIRECT($W18)))</f>
        <v>1.2312612173276687</v>
      </c>
      <c r="AA18" s="211">
        <f t="shared" ca="1" si="5"/>
        <v>0.20286320008571579</v>
      </c>
      <c r="AB18" s="223" t="s">
        <v>3358</v>
      </c>
      <c r="AC18" s="212">
        <f ca="1">IF($AB18="DIRECT",Q18,DCOUNT('literature entries'!$D:$AI,"GHGE, processor gate (kg CO2e/kg)",INDIRECT($AB18)))</f>
        <v>9</v>
      </c>
      <c r="AD18" s="212">
        <f ca="1">IF($AB18="DIRECT","",DAVERAGE('literature entries'!$D:$AI,"GHGE, processor gate (kg CO2e/kg)",INDIRECT($AB18)))</f>
        <v>0.43042331</v>
      </c>
      <c r="AE18" s="212">
        <f ca="1">IF($AB18="DIRECT",$S18,DSTDEV('literature entries'!$D:$AI,"GHGE, processor gate (kg CO2e/kg)",INDIRECT($AB18)))</f>
        <v>7.2682317360146784E-2</v>
      </c>
      <c r="AF18" s="212">
        <f t="shared" ca="1" si="6"/>
        <v>1.3306357892140104E-2</v>
      </c>
    </row>
    <row r="19" spans="1:32" s="19" customFormat="1" thickBot="1" x14ac:dyDescent="0.25">
      <c r="A19" s="114">
        <v>103017000</v>
      </c>
      <c r="B19" s="115" t="s">
        <v>1757</v>
      </c>
      <c r="C19" s="115" t="s">
        <v>1758</v>
      </c>
      <c r="D19" s="115"/>
      <c r="E19" s="115">
        <v>1</v>
      </c>
      <c r="F19" s="111">
        <f t="shared" ca="1" si="0"/>
        <v>4.0281250000000002</v>
      </c>
      <c r="G19" s="112">
        <f t="shared" ca="1" si="1"/>
        <v>0.54352941176470593</v>
      </c>
      <c r="H19" s="116">
        <v>2.5</v>
      </c>
      <c r="I19" s="116" t="s">
        <v>2724</v>
      </c>
      <c r="J19" s="79">
        <v>1</v>
      </c>
      <c r="K19" s="78" t="s">
        <v>857</v>
      </c>
      <c r="L19" s="135" t="str">
        <f>IF(ISERROR(GETPIVOTDATA(IF($J19=1,"Count of ACTIVE     CED, FARM GATE (MJ/kg)","Count of CED, processor gate (MJ/kg)"),'Pivot Table_CED'!$A$3,"SUB TYPE",$B19)),"PROXY",IF(GETPIVOTDATA(IF($J19=1,"Count of ACTIVE     CED, FARM GATE (MJ/kg)","Count of CED, processor gate (MJ/kg)"),'Pivot Table_CED'!$A$3,"SUB TYPE",$B19)=0,"PROXY","DB value"))</f>
        <v>PROXY</v>
      </c>
      <c r="M19" s="118">
        <f ca="1">IF($L19="PROXY",DCOUNT('literature entries'!$D:$AI,IF($J19=1,"ACTIVE     CED, FARM GATE (MJ/kg)","CED, processor gate (MJ/kg)"),INDIRECT($K19)),GETPIVOTDATA(IF($J19=1,"Count of ACTIVE     CED, FARM GATE (MJ/kg)","Count of CED, processor gate (MJ/kg)"),'Pivot Table_CED'!$A$3,"SUB TYPE",$B19))</f>
        <v>8</v>
      </c>
      <c r="N19" s="119">
        <f ca="1">IF($L19="PROXY",DAVERAGE('literature entries'!$D:$AI,IF($J19=1,"ACTIVE     CED, FARM GATE (MJ/kg)","CED, processor gate (MJ/kg)"),INDIRECT($K19)),GETPIVOTDATA(IF($J19=1,"Average of ACTIVE     CED, FARM GATE (MJ/kg)","Average of CED, processor gate (MJ/kg)"),'Pivot Table_CED'!$A$3,"SUB TYPE",$B19))</f>
        <v>1.6112500000000001</v>
      </c>
      <c r="O19" s="119">
        <f ca="1">IF($L19="PROXY",DSTDEV('literature entries'!D:AI,IF($J19=1,"ACTIVE     CED, FARM GATE (MJ/kg)","CED, processor gate (MJ/kg)"),INDIRECT($K19)),GETPIVOTDATA(IF($J19=1,"StdDev of ACTIVE     CED, FARM GATE (MJ/kg)","StdDev of CED, processor gate (MJ/kg)"),'Pivot Table_CED'!$A$3,"SUB TYPE",$B19))</f>
        <v>0.53279418433119463</v>
      </c>
      <c r="P19" s="135" t="str">
        <f>IF(ISERROR(GETPIVOTDATA(IF($J19=1,"Count of ACTIVE     GHGE, FARM GATE (kg CO2e/kg)","Count of GHGE, processor gate (kg CO2e/kg)"),'Pivot Table_GHG'!$A$3,"SUB TYPE",$B19)),"PROXY",IF(GETPIVOTDATA(IF($J19=1,"Count of ACTIVE     GHGE, FARM GATE (kg CO2e/kg)","Count of GHGE, processor gate (kg CO2e/kg)"),'Pivot Table_GHG'!$A$3,"SUB TYPE",$B19)=0,"PROXY","DB value"))</f>
        <v>PROXY</v>
      </c>
      <c r="Q19" s="125">
        <f ca="1">IF($P19="PROXY",DCOUNT('literature entries'!$D:$AI,IF($J19=1,"ACTIVE     GHGE, FARM GATE (kg CO2e/kg)","GHGE, processor gate (kg CO2e/kg)"),INDIRECT($K19)),GETPIVOTDATA(IF($J19=1,"ACTIVE     GHGE, FARM GATE (kg CO2e/kg)","Count of GHGE, processor gate (kg CO2e/kg)"),'Pivot Table_GHG'!$A$3,"SUB TYPE",$B19))</f>
        <v>17</v>
      </c>
      <c r="R19" s="190">
        <f ca="1">IF($P19="PROXY",DAVERAGE('literature entries'!$D:$AI,IF($J19=1,"ACTIVE     GHGE, FARM GATE (kg CO2e/kg)","GHGE, processor gate (kg CO2e/kg)"),INDIRECT($K19)),GETPIVOTDATA(IF($J19=1,"Average of ACTIVE     GHGE, FARM GATE (kg CO2e/kg)","Average of GHGE, processor gate (kg CO2e/kg)"),'Pivot Table_GHG'!$A$3,"SUB TYPE",$B19))</f>
        <v>0.21741176470588239</v>
      </c>
      <c r="S19" s="190">
        <f ca="1">IF($P19="PROXY",DSTDEV('literature entries'!$D:$AI,IF($J19=1,"ACTIVE     GHGE, FARM GATE (kg CO2e/kg)","GHGE, processor gate (kg CO2e/kg)"),INDIRECT($K19)),GETPIVOTDATA(IF($J19=1,"StdDev of ACTIVE     GHGE, FARM GATE (kg CO2e/kg)","StdDev of GHGE, processor gate (kg CO2e/kg)"),'Pivot Table_GHG'!$A$3,"SUB TYPE",$B19))</f>
        <v>0.11818473824035466</v>
      </c>
      <c r="T19" s="88"/>
      <c r="U19" s="89"/>
      <c r="W19" s="213" t="s">
        <v>2455</v>
      </c>
      <c r="X19" s="211">
        <f ca="1">IF($W19="DIRECT",M19,DCOUNT('literature entries'!$D:$AI,IF($J19=1,"ACTIVE     CED, FARM GATE (MJ/kg)","CED, processor gate (MJ/kg)"),INDIRECT($W19)))</f>
        <v>14</v>
      </c>
      <c r="Y19" s="211">
        <f ca="1">IF($W19="DIRECT","",DAVERAGE('literature entries'!$D:$AI,IF($J19=1,"ACTIVE     CED, FARM GATE (MJ/kg)","CED, processor gate (MJ/kg)"),INDIRECT($W19)))</f>
        <v>1.4220714285714284</v>
      </c>
      <c r="Z19" s="211">
        <f ca="1">IF($W19="DIRECT",$O19,DSTDEV('literature entries'!$D:$AI,IF($J19=1,"ACTIVE     CED, FARM GATE (MJ/kg)","CED, processor gate (MJ/kg)"),INDIRECT($W19)))</f>
        <v>0.57442043892896122</v>
      </c>
      <c r="AA19" s="211">
        <f t="shared" ca="1" si="5"/>
        <v>0.65083575524335946</v>
      </c>
      <c r="AB19" s="219" t="s">
        <v>2455</v>
      </c>
      <c r="AC19" s="212">
        <f ca="1">IF($AB19="DIRECT",Q19,DCOUNT('literature entries'!$D:$AI,IF($J19=1,"ACTIVE     GHGE, FARM GATE (kg CO2e/kg)","GHGE, processor gate (kg CO2e/kg)"),INDIRECT($AB19)))</f>
        <v>25</v>
      </c>
      <c r="AD19" s="212">
        <f ca="1">IF($AB19="DIRECT","",DAVERAGE('literature entries'!$D:$AI,IF($J19=1,"ACTIVE     GHGE, FARM GATE (kg CO2e/kg)","GHGE, processor gate (kg CO2e/kg)"),INDIRECT($AB19)))</f>
        <v>0.21340000000000003</v>
      </c>
      <c r="AE19" s="212">
        <f ca="1">IF($AB19="DIRECT",$S19,DSTDEV('literature entries'!$D:$AI,IF($J19=1,"ACTIVE     GHGE, FARM GATE (kg CO2e/kg)","GHGE, processor gate (kg CO2e/kg)"),INDIRECT($AB19)))</f>
        <v>0.17992035274902424</v>
      </c>
      <c r="AF19" s="212">
        <f t="shared" ca="1" si="6"/>
        <v>0.18330272445018841</v>
      </c>
    </row>
    <row r="20" spans="1:32" s="19" customFormat="1" ht="17" thickBot="1" x14ac:dyDescent="0.25">
      <c r="A20" s="121">
        <v>103082000</v>
      </c>
      <c r="B20" s="115" t="s">
        <v>1868</v>
      </c>
      <c r="C20" s="122" t="s">
        <v>1869</v>
      </c>
      <c r="D20" s="115" t="s">
        <v>1870</v>
      </c>
      <c r="E20" s="115">
        <v>26995</v>
      </c>
      <c r="F20" s="111">
        <f t="shared" ca="1" si="0"/>
        <v>0.625</v>
      </c>
      <c r="G20" s="112">
        <f t="shared" ca="1" si="1"/>
        <v>7.8799999999999995E-2</v>
      </c>
      <c r="H20" s="116">
        <v>1</v>
      </c>
      <c r="I20" s="117" t="s">
        <v>594</v>
      </c>
      <c r="J20" s="79">
        <v>1</v>
      </c>
      <c r="K20" s="78"/>
      <c r="L20" s="135" t="str">
        <f>IF(ISERROR(GETPIVOTDATA(IF($J20=1,"Count of ACTIVE     CED, FARM GATE (MJ/kg)","Count of CED, processor gate (MJ/kg)"),'Pivot Table_CED'!$A$3,"SUB TYPE",$B20)),"PROXY",IF(GETPIVOTDATA(IF($J20=1,"Count of ACTIVE     CED, FARM GATE (MJ/kg)","Count of CED, processor gate (MJ/kg)"),'Pivot Table_CED'!$A$3,"SUB TYPE",$B20)=0,"PROXY","DB value"))</f>
        <v>DB value</v>
      </c>
      <c r="M20" s="118">
        <f ca="1">IF($L20="PROXY",DCOUNT('literature entries'!$D:$AI,IF($J20=1,"ACTIVE     CED, FARM GATE (MJ/kg)","CED, processor gate (MJ/kg)"),INDIRECT($K20)),GETPIVOTDATA(IF($J20=1,"Count of ACTIVE     CED, FARM GATE (MJ/kg)","Count of CED, processor gate (MJ/kg)"),'Pivot Table_CED'!$A$3,"SUB TYPE",$B20))</f>
        <v>1</v>
      </c>
      <c r="N20" s="119">
        <f ca="1">IF($L20="PROXY",DAVERAGE('literature entries'!$D:$AI,IF($J20=1,"ACTIVE     CED, FARM GATE (MJ/kg)","CED, processor gate (MJ/kg)"),INDIRECT($K20)),GETPIVOTDATA(IF($J20=1,"Average of ACTIVE     CED, FARM GATE (MJ/kg)","Average of CED, processor gate (MJ/kg)"),'Pivot Table_CED'!$A$3,"SUB TYPE",$B20))</f>
        <v>0.625</v>
      </c>
      <c r="O20" s="119">
        <f ca="1">IF($L20="PROXY",DSTDEV('literature entries'!D:AI,IF($J20=1,"ACTIVE     CED, FARM GATE (MJ/kg)","CED, processor gate (MJ/kg)"),INDIRECT($K20)),GETPIVOTDATA(IF($J20=1,"StdDev of ACTIVE     CED, FARM GATE (MJ/kg)","StdDev of CED, processor gate (MJ/kg)"),'Pivot Table_CED'!$A$3,"SUB TYPE",$B20))</f>
        <v>0</v>
      </c>
      <c r="P20" s="135" t="str">
        <f>IF(ISERROR(GETPIVOTDATA(IF($J20=1,"Count of ACTIVE     GHGE, FARM GATE (kg CO2e/kg)","Count of GHGE, processor gate (kg CO2e/kg)"),'Pivot Table_GHG'!$A$3,"SUB TYPE",$B20)),"PROXY",IF(GETPIVOTDATA(IF($J20=1,"Count of ACTIVE     GHGE, FARM GATE (kg CO2e/kg)","Count of GHGE, processor gate (kg CO2e/kg)"),'Pivot Table_GHG'!$A$3,"SUB TYPE",$B20)=0,"PROXY","DB value"))</f>
        <v>DB value</v>
      </c>
      <c r="Q20" s="125">
        <f ca="1">IF($P20="PROXY",DCOUNT('literature entries'!$D:$AI,IF($J20=1,"ACTIVE     GHGE, FARM GATE (kg CO2e/kg)","GHGE, processor gate (kg CO2e/kg)"),INDIRECT($K20)),GETPIVOTDATA(IF($J20=1,"ACTIVE     GHGE, FARM GATE (kg CO2e/kg)","Count of GHGE, processor gate (kg CO2e/kg)"),'Pivot Table_GHG'!$A$3,"SUB TYPE",$B20))</f>
        <v>1</v>
      </c>
      <c r="R20" s="190">
        <f ca="1">IF($P20="PROXY",DAVERAGE('literature entries'!$D:$AI,IF($J20=1,"ACTIVE     GHGE, FARM GATE (kg CO2e/kg)","GHGE, processor gate (kg CO2e/kg)"),INDIRECT($K20)),GETPIVOTDATA(IF($J20=1,"Average of ACTIVE     GHGE, FARM GATE (kg CO2e/kg)","Average of GHGE, processor gate (kg CO2e/kg)"),'Pivot Table_GHG'!$A$3,"SUB TYPE",$B20))</f>
        <v>7.8799999999999995E-2</v>
      </c>
      <c r="S20" s="190" t="e">
        <f ca="1">IF($P20="PROXY",DSTDEV('literature entries'!$D:$AI,IF($J20=1,"ACTIVE     GHGE, FARM GATE (kg CO2e/kg)","GHGE, processor gate (kg CO2e/kg)"),INDIRECT($K20)),GETPIVOTDATA(IF($J20=1,"StdDev of ACTIVE     GHGE, FARM GATE (kg CO2e/kg)","StdDev of GHGE, processor gate (kg CO2e/kg)"),'Pivot Table_GHG'!$A$3,"SUB TYPE",$B20))</f>
        <v>#DIV/0!</v>
      </c>
      <c r="T20" s="88"/>
      <c r="U20" s="89"/>
      <c r="W20" s="213" t="s">
        <v>2455</v>
      </c>
      <c r="X20" s="211">
        <f ca="1">IF($W20="DIRECT",M20,DCOUNT('literature entries'!$D:$AI,IF($J20=1,"ACTIVE     CED, FARM GATE (MJ/kg)","CED, processor gate (MJ/kg)"),INDIRECT($W20)))</f>
        <v>14</v>
      </c>
      <c r="Y20" s="211">
        <f ca="1">IF($W20="DIRECT","",DAVERAGE('literature entries'!$D:$AI,IF($J20=1,"ACTIVE     CED, FARM GATE (MJ/kg)","CED, processor gate (MJ/kg)"),INDIRECT($W20)))</f>
        <v>1.4220714285714284</v>
      </c>
      <c r="Z20" s="211">
        <f ca="1">IF($W20="DIRECT",$O20,DSTDEV('literature entries'!$D:$AI,IF($J20=1,"ACTIVE     CED, FARM GATE (MJ/kg)","CED, processor gate (MJ/kg)"),INDIRECT($W20)))</f>
        <v>0.57442043892896122</v>
      </c>
      <c r="AA20" s="211">
        <f t="shared" ca="1" si="5"/>
        <v>0.25245762422162898</v>
      </c>
      <c r="AB20" s="219" t="s">
        <v>2455</v>
      </c>
      <c r="AC20" s="212">
        <f ca="1">IF($AB20="DIRECT",Q20,DCOUNT('literature entries'!$D:$AI,IF($J20=1,"ACTIVE     GHGE, FARM GATE (kg CO2e/kg)","GHGE, processor gate (kg CO2e/kg)"),INDIRECT($AB20)))</f>
        <v>25</v>
      </c>
      <c r="AD20" s="212">
        <f ca="1">IF($AB20="DIRECT","",DAVERAGE('literature entries'!$D:$AI,IF($J20=1,"ACTIVE     GHGE, FARM GATE (kg CO2e/kg)","GHGE, processor gate (kg CO2e/kg)"),INDIRECT($AB20)))</f>
        <v>0.21340000000000003</v>
      </c>
      <c r="AE20" s="212">
        <f ca="1">IF($AB20="DIRECT",$S20,DSTDEV('literature entries'!$D:$AI,IF($J20=1,"ACTIVE     GHGE, FARM GATE (kg CO2e/kg)","GHGE, processor gate (kg CO2e/kg)"),INDIRECT($AB20)))</f>
        <v>0.17992035274902424</v>
      </c>
      <c r="AF20" s="212">
        <f t="shared" ca="1" si="6"/>
        <v>6.6437318634597495E-2</v>
      </c>
    </row>
    <row r="21" spans="1:32" s="19" customFormat="1" ht="17" thickBot="1" x14ac:dyDescent="0.25">
      <c r="A21" s="114">
        <v>103139000</v>
      </c>
      <c r="B21" s="115" t="s">
        <v>1957</v>
      </c>
      <c r="C21" s="115" t="s">
        <v>1958</v>
      </c>
      <c r="D21" s="115" t="s">
        <v>1959</v>
      </c>
      <c r="E21" s="115">
        <v>68</v>
      </c>
      <c r="F21" s="111">
        <f t="shared" ca="1" si="0"/>
        <v>1.4220714285714284</v>
      </c>
      <c r="G21" s="112">
        <f t="shared" ca="1" si="1"/>
        <v>0.21340000000000003</v>
      </c>
      <c r="H21" s="116">
        <v>1</v>
      </c>
      <c r="I21" s="117" t="s">
        <v>594</v>
      </c>
      <c r="J21" s="79">
        <v>1</v>
      </c>
      <c r="K21" s="78" t="s">
        <v>2455</v>
      </c>
      <c r="L21" s="135" t="str">
        <f>IF(ISERROR(GETPIVOTDATA(IF($J21=1,"Count of ACTIVE     CED, FARM GATE (MJ/kg)","Count of CED, processor gate (MJ/kg)"),'Pivot Table_CED'!$A$3,"SUB TYPE",$B21)),"PROXY",IF(GETPIVOTDATA(IF($J21=1,"Count of ACTIVE     CED, FARM GATE (MJ/kg)","Count of CED, processor gate (MJ/kg)"),'Pivot Table_CED'!$A$3,"SUB TYPE",$B21)=0,"PROXY","DB value"))</f>
        <v>PROXY</v>
      </c>
      <c r="M21" s="118">
        <f ca="1">IF($L21="PROXY",DCOUNT('literature entries'!$D:$AI,IF($J21=1,"ACTIVE     CED, FARM GATE (MJ/kg)","CED, processor gate (MJ/kg)"),INDIRECT($K21)),GETPIVOTDATA(IF($J21=1,"Count of ACTIVE     CED, FARM GATE (MJ/kg)","Count of CED, processor gate (MJ/kg)"),'Pivot Table_CED'!$A$3,"SUB TYPE",$B21))</f>
        <v>14</v>
      </c>
      <c r="N21" s="119">
        <f ca="1">IF($L21="PROXY",DAVERAGE('literature entries'!$D:$AI,IF($J21=1,"ACTIVE     CED, FARM GATE (MJ/kg)","CED, processor gate (MJ/kg)"),INDIRECT($K21)),GETPIVOTDATA(IF($J21=1,"Average of ACTIVE     CED, FARM GATE (MJ/kg)","Average of CED, processor gate (MJ/kg)"),'Pivot Table_CED'!$A$3,"SUB TYPE",$B21))</f>
        <v>1.4220714285714284</v>
      </c>
      <c r="O21" s="119">
        <f ca="1">IF($L21="PROXY",DSTDEV('literature entries'!D:AI,IF($J21=1,"ACTIVE     CED, FARM GATE (MJ/kg)","CED, processor gate (MJ/kg)"),INDIRECT($K21)),GETPIVOTDATA(IF($J21=1,"StdDev of ACTIVE     CED, FARM GATE (MJ/kg)","StdDev of CED, processor gate (MJ/kg)"),'Pivot Table_CED'!$A$3,"SUB TYPE",$B21))</f>
        <v>0.57442043892896122</v>
      </c>
      <c r="P21" s="135" t="str">
        <f>IF(ISERROR(GETPIVOTDATA(IF($J21=1,"Count of ACTIVE     GHGE, FARM GATE (kg CO2e/kg)","Count of GHGE, processor gate (kg CO2e/kg)"),'Pivot Table_GHG'!$A$3,"SUB TYPE",$B21)),"PROXY",IF(GETPIVOTDATA(IF($J21=1,"Count of ACTIVE     GHGE, FARM GATE (kg CO2e/kg)","Count of GHGE, processor gate (kg CO2e/kg)"),'Pivot Table_GHG'!$A$3,"SUB TYPE",$B21)=0,"PROXY","DB value"))</f>
        <v>PROXY</v>
      </c>
      <c r="Q21" s="125">
        <f ca="1">IF($P21="PROXY",DCOUNT('literature entries'!$D:$AI,IF($J21=1,"ACTIVE     GHGE, FARM GATE (kg CO2e/kg)","GHGE, processor gate (kg CO2e/kg)"),INDIRECT($K21)),GETPIVOTDATA(IF($J21=1,"ACTIVE     GHGE, FARM GATE (kg CO2e/kg)","Count of GHGE, processor gate (kg CO2e/kg)"),'Pivot Table_GHG'!$A$3,"SUB TYPE",$B21))</f>
        <v>25</v>
      </c>
      <c r="R21" s="190">
        <f ca="1">IF($P21="PROXY",DAVERAGE('literature entries'!$D:$AI,IF($J21=1,"ACTIVE     GHGE, FARM GATE (kg CO2e/kg)","GHGE, processor gate (kg CO2e/kg)"),INDIRECT($K21)),GETPIVOTDATA(IF($J21=1,"Average of ACTIVE     GHGE, FARM GATE (kg CO2e/kg)","Average of GHGE, processor gate (kg CO2e/kg)"),'Pivot Table_GHG'!$A$3,"SUB TYPE",$B21))</f>
        <v>0.21340000000000003</v>
      </c>
      <c r="S21" s="190">
        <f ca="1">IF($P21="PROXY",DSTDEV('literature entries'!$D:$AI,IF($J21=1,"ACTIVE     GHGE, FARM GATE (kg CO2e/kg)","GHGE, processor gate (kg CO2e/kg)"),INDIRECT($K21)),GETPIVOTDATA(IF($J21=1,"StdDev of ACTIVE     GHGE, FARM GATE (kg CO2e/kg)","StdDev of GHGE, processor gate (kg CO2e/kg)"),'Pivot Table_GHG'!$A$3,"SUB TYPE",$B21))</f>
        <v>0.17992035274902424</v>
      </c>
      <c r="T21" s="88"/>
      <c r="U21" s="89"/>
      <c r="W21" s="213" t="str">
        <f ca="1">IF(L21="PROXY",IF(M21&gt;=5,K21,"need group"),IF(M21&gt;=5,"DIRECT","need group"))</f>
        <v>roots</v>
      </c>
      <c r="X21" s="211">
        <f ca="1">IF($W21="DIRECT",M21,DCOUNT('literature entries'!$D:$AI,IF($J21=1,"ACTIVE     CED, FARM GATE (MJ/kg)","CED, processor gate (MJ/kg)"),INDIRECT($W21)))</f>
        <v>14</v>
      </c>
      <c r="Y21" s="211">
        <f ca="1">IF($W21="DIRECT","",DAVERAGE('literature entries'!$D:$AI,IF($J21=1,"ACTIVE     CED, FARM GATE (MJ/kg)","CED, processor gate (MJ/kg)"),INDIRECT($W21)))</f>
        <v>1.4220714285714284</v>
      </c>
      <c r="Z21" s="211">
        <f ca="1">IF($W21="DIRECT",$O21,DSTDEV('literature entries'!$D:$AI,IF($J21=1,"ACTIVE     CED, FARM GATE (MJ/kg)","CED, processor gate (MJ/kg)"),INDIRECT($W21)))</f>
        <v>0.57442043892896122</v>
      </c>
      <c r="AA21" s="211">
        <f t="shared" ca="1" si="5"/>
        <v>0.57442043892896122</v>
      </c>
      <c r="AB21" s="219" t="str">
        <f ca="1">IF(P21="PROXY",IF(Q21&gt;=5,K21,"need group"),IF(Q21&gt;=5,"DIRECT","need group"))</f>
        <v>roots</v>
      </c>
      <c r="AC21" s="212">
        <f ca="1">IF($AB21="DIRECT",Q21,DCOUNT('literature entries'!$D:$AI,IF($J21=1,"ACTIVE     GHGE, FARM GATE (kg CO2e/kg)","GHGE, processor gate (kg CO2e/kg)"),INDIRECT($AB21)))</f>
        <v>25</v>
      </c>
      <c r="AD21" s="212">
        <f ca="1">IF($AB21="DIRECT","",DAVERAGE('literature entries'!$D:$AI,IF($J21=1,"ACTIVE     GHGE, FARM GATE (kg CO2e/kg)","GHGE, processor gate (kg CO2e/kg)"),INDIRECT($AB21)))</f>
        <v>0.21340000000000003</v>
      </c>
      <c r="AE21" s="212">
        <f ca="1">IF($AB21="DIRECT",$S21,DSTDEV('literature entries'!$D:$AI,IF($J21=1,"ACTIVE     GHGE, FARM GATE (kg CO2e/kg)","GHGE, processor gate (kg CO2e/kg)"),INDIRECT($AB21)))</f>
        <v>0.17992035274902424</v>
      </c>
      <c r="AF21" s="212">
        <f t="shared" ca="1" si="6"/>
        <v>0.17992035274902424</v>
      </c>
    </row>
    <row r="22" spans="1:32" s="19" customFormat="1" ht="17" thickBot="1" x14ac:dyDescent="0.25">
      <c r="A22" s="114">
        <v>103166000</v>
      </c>
      <c r="B22" s="115" t="s">
        <v>1998</v>
      </c>
      <c r="C22" s="115" t="s">
        <v>1999</v>
      </c>
      <c r="D22" s="115"/>
      <c r="E22" s="115">
        <v>4399</v>
      </c>
      <c r="F22" s="111">
        <f t="shared" ca="1" si="0"/>
        <v>1.5358371428571429</v>
      </c>
      <c r="G22" s="112">
        <f t="shared" ca="1" si="1"/>
        <v>0.95040000000000002</v>
      </c>
      <c r="H22" s="116">
        <v>1.08</v>
      </c>
      <c r="I22" s="117" t="s">
        <v>2737</v>
      </c>
      <c r="J22" s="79">
        <v>1</v>
      </c>
      <c r="K22" s="78" t="s">
        <v>2455</v>
      </c>
      <c r="L22" s="135" t="str">
        <f>IF(ISERROR(GETPIVOTDATA(IF($J22=1,"Count of ACTIVE     CED, FARM GATE (MJ/kg)","Count of CED, processor gate (MJ/kg)"),'Pivot Table_CED'!$A$3,"SUB TYPE",$B22)),"PROXY",IF(GETPIVOTDATA(IF($J22=1,"Count of ACTIVE     CED, FARM GATE (MJ/kg)","Count of CED, processor gate (MJ/kg)"),'Pivot Table_CED'!$A$3,"SUB TYPE",$B22)=0,"PROXY","DB value"))</f>
        <v>PROXY</v>
      </c>
      <c r="M22" s="118">
        <f ca="1">IF($L22="PROXY",DCOUNT('literature entries'!$D:$AI,IF($J22=1,"ACTIVE     CED, FARM GATE (MJ/kg)","CED, processor gate (MJ/kg)"),INDIRECT($K22)),GETPIVOTDATA(IF($J22=1,"Count of ACTIVE     CED, FARM GATE (MJ/kg)","Count of CED, processor gate (MJ/kg)"),'Pivot Table_CED'!$A$3,"SUB TYPE",$B22))</f>
        <v>14</v>
      </c>
      <c r="N22" s="119">
        <f ca="1">IF($L22="PROXY",DAVERAGE('literature entries'!$D:$AI,IF($J22=1,"ACTIVE     CED, FARM GATE (MJ/kg)","CED, processor gate (MJ/kg)"),INDIRECT($K22)),GETPIVOTDATA(IF($J22=1,"Average of ACTIVE     CED, FARM GATE (MJ/kg)","Average of CED, processor gate (MJ/kg)"),'Pivot Table_CED'!$A$3,"SUB TYPE",$B22))</f>
        <v>1.4220714285714284</v>
      </c>
      <c r="O22" s="119">
        <f ca="1">IF($L22="PROXY",DSTDEV('literature entries'!D:AI,IF($J22=1,"ACTIVE     CED, FARM GATE (MJ/kg)","CED, processor gate (MJ/kg)"),INDIRECT($K22)),GETPIVOTDATA(IF($J22=1,"StdDev of ACTIVE     CED, FARM GATE (MJ/kg)","StdDev of CED, processor gate (MJ/kg)"),'Pivot Table_CED'!$A$3,"SUB TYPE",$B22))</f>
        <v>0.57442043892896122</v>
      </c>
      <c r="P22" s="135" t="str">
        <f>IF(ISERROR(GETPIVOTDATA(IF($J22=1,"Count of ACTIVE     GHGE, FARM GATE (kg CO2e/kg)","Count of GHGE, processor gate (kg CO2e/kg)"),'Pivot Table_GHG'!$A$3,"SUB TYPE",$B22)),"PROXY",IF(GETPIVOTDATA(IF($J22=1,"Count of ACTIVE     GHGE, FARM GATE (kg CO2e/kg)","Count of GHGE, processor gate (kg CO2e/kg)"),'Pivot Table_GHG'!$A$3,"SUB TYPE",$B22)=0,"PROXY","DB value"))</f>
        <v>DB value</v>
      </c>
      <c r="Q22" s="125">
        <f ca="1">IF($P22="PROXY",DCOUNT('literature entries'!$D:$AI,IF($J22=1,"ACTIVE     GHGE, FARM GATE (kg CO2e/kg)","GHGE, processor gate (kg CO2e/kg)"),INDIRECT($K22)),GETPIVOTDATA(IF($J22=1,"ACTIVE     GHGE, FARM GATE (kg CO2e/kg)","Count of GHGE, processor gate (kg CO2e/kg)"),'Pivot Table_GHG'!$A$3,"SUB TYPE",$B22))</f>
        <v>1</v>
      </c>
      <c r="R22" s="190">
        <f ca="1">IF($P22="PROXY",DAVERAGE('literature entries'!$D:$AI,IF($J22=1,"ACTIVE     GHGE, FARM GATE (kg CO2e/kg)","GHGE, processor gate (kg CO2e/kg)"),INDIRECT($K22)),GETPIVOTDATA(IF($J22=1,"Average of ACTIVE     GHGE, FARM GATE (kg CO2e/kg)","Average of GHGE, processor gate (kg CO2e/kg)"),'Pivot Table_GHG'!$A$3,"SUB TYPE",$B22))</f>
        <v>0.88</v>
      </c>
      <c r="S22" s="190" t="e">
        <f ca="1">IF($P22="PROXY",DSTDEV('literature entries'!$D:$AI,IF($J22=1,"ACTIVE     GHGE, FARM GATE (kg CO2e/kg)","GHGE, processor gate (kg CO2e/kg)"),INDIRECT($K22)),GETPIVOTDATA(IF($J22=1,"StdDev of ACTIVE     GHGE, FARM GATE (kg CO2e/kg)","StdDev of GHGE, processor gate (kg CO2e/kg)"),'Pivot Table_GHG'!$A$3,"SUB TYPE",$B22))</f>
        <v>#DIV/0!</v>
      </c>
      <c r="T22" s="88"/>
      <c r="U22" s="89"/>
      <c r="W22" s="213" t="str">
        <f ca="1">IF(L22="PROXY",IF(M22&gt;=5,K22,"need group"),IF(M22&gt;=5,"DIRECT","need group"))</f>
        <v>roots</v>
      </c>
      <c r="X22" s="211">
        <f ca="1">IF($W22="DIRECT",M22,DCOUNT('literature entries'!$D:$AI,IF($J22=1,"ACTIVE     CED, FARM GATE (MJ/kg)","CED, processor gate (MJ/kg)"),INDIRECT($W22)))</f>
        <v>14</v>
      </c>
      <c r="Y22" s="211">
        <f ca="1">IF($W22="DIRECT","",DAVERAGE('literature entries'!$D:$AI,IF($J22=1,"ACTIVE     CED, FARM GATE (MJ/kg)","CED, processor gate (MJ/kg)"),INDIRECT($W22)))</f>
        <v>1.4220714285714284</v>
      </c>
      <c r="Z22" s="211">
        <f ca="1">IF($W22="DIRECT",$O22,DSTDEV('literature entries'!$D:$AI,IF($J22=1,"ACTIVE     CED, FARM GATE (MJ/kg)","CED, processor gate (MJ/kg)"),INDIRECT($W22)))</f>
        <v>0.57442043892896122</v>
      </c>
      <c r="AA22" s="211">
        <f t="shared" ca="1" si="5"/>
        <v>0.57442043892896122</v>
      </c>
      <c r="AB22" s="219" t="s">
        <v>2455</v>
      </c>
      <c r="AC22" s="212">
        <f ca="1">IF($AB22="DIRECT",Q22,DCOUNT('literature entries'!$D:$AI,IF($J22=1,"ACTIVE     GHGE, FARM GATE (kg CO2e/kg)","GHGE, processor gate (kg CO2e/kg)"),INDIRECT($AB22)))</f>
        <v>25</v>
      </c>
      <c r="AD22" s="212">
        <f ca="1">IF($AB22="DIRECT","",DAVERAGE('literature entries'!$D:$AI,IF($J22=1,"ACTIVE     GHGE, FARM GATE (kg CO2e/kg)","GHGE, processor gate (kg CO2e/kg)"),INDIRECT($AB22)))</f>
        <v>0.21340000000000003</v>
      </c>
      <c r="AE22" s="212">
        <f ca="1">IF($AB22="DIRECT",$S22,DSTDEV('literature entries'!$D:$AI,IF($J22=1,"ACTIVE     GHGE, FARM GATE (kg CO2e/kg)","GHGE, processor gate (kg CO2e/kg)"),INDIRECT($AB22)))</f>
        <v>0.17992035274902424</v>
      </c>
      <c r="AF22" s="212">
        <f t="shared" ca="1" si="6"/>
        <v>0.74193959896504824</v>
      </c>
    </row>
    <row r="23" spans="1:32" s="19" customFormat="1" ht="17" thickBot="1" x14ac:dyDescent="0.25">
      <c r="A23" s="114">
        <v>103167000</v>
      </c>
      <c r="B23" s="115" t="s">
        <v>2000</v>
      </c>
      <c r="C23" s="115" t="s">
        <v>2001</v>
      </c>
      <c r="D23" s="115"/>
      <c r="E23" s="115">
        <v>19546</v>
      </c>
      <c r="F23" s="111">
        <f t="shared" ca="1" si="0"/>
        <v>6.5130871428571426</v>
      </c>
      <c r="G23" s="112">
        <f t="shared" ca="1" si="1"/>
        <v>0.97737200000000013</v>
      </c>
      <c r="H23" s="116">
        <v>4.58</v>
      </c>
      <c r="I23" s="117" t="s">
        <v>2737</v>
      </c>
      <c r="J23" s="90">
        <v>1</v>
      </c>
      <c r="K23" s="78" t="s">
        <v>2455</v>
      </c>
      <c r="L23" s="135" t="str">
        <f>IF(ISERROR(GETPIVOTDATA(IF($J23=1,"Count of ACTIVE     CED, FARM GATE (MJ/kg)","Count of CED, processor gate (MJ/kg)"),'Pivot Table_CED'!$A$3,"SUB TYPE",$B23)),"PROXY",IF(GETPIVOTDATA(IF($J23=1,"Count of ACTIVE     CED, FARM GATE (MJ/kg)","Count of CED, processor gate (MJ/kg)"),'Pivot Table_CED'!$A$3,"SUB TYPE",$B23)=0,"PROXY","DB value"))</f>
        <v>PROXY</v>
      </c>
      <c r="M23" s="118">
        <f ca="1">IF($L23="PROXY",DCOUNT('literature entries'!$D:$AI,IF($J23=1,"ACTIVE     CED, FARM GATE (MJ/kg)","CED, processor gate (MJ/kg)"),INDIRECT($K23)),GETPIVOTDATA(IF($J23=1,"Count of ACTIVE     CED, FARM GATE (MJ/kg)","Count of CED, processor gate (MJ/kg)"),'Pivot Table_CED'!$A$3,"SUB TYPE",$B23))</f>
        <v>14</v>
      </c>
      <c r="N23" s="119">
        <f ca="1">IF($L23="PROXY",DAVERAGE('literature entries'!$D:$AI,IF($J23=1,"ACTIVE     CED, FARM GATE (MJ/kg)","CED, processor gate (MJ/kg)"),INDIRECT($K23)),GETPIVOTDATA(IF($J23=1,"Average of ACTIVE     CED, FARM GATE (MJ/kg)","Average of CED, processor gate (MJ/kg)"),'Pivot Table_CED'!$A$3,"SUB TYPE",$B23))</f>
        <v>1.4220714285714284</v>
      </c>
      <c r="O23" s="119">
        <f ca="1">IF($L23="PROXY",DSTDEV('literature entries'!D:AI,IF($J23=1,"ACTIVE     CED, FARM GATE (MJ/kg)","CED, processor gate (MJ/kg)"),INDIRECT($K23)),GETPIVOTDATA(IF($J23=1,"StdDev of ACTIVE     CED, FARM GATE (MJ/kg)","StdDev of CED, processor gate (MJ/kg)"),'Pivot Table_CED'!$A$3,"SUB TYPE",$B23))</f>
        <v>0.57442043892896122</v>
      </c>
      <c r="P23" s="135" t="str">
        <f>IF(ISERROR(GETPIVOTDATA(IF($J23=1,"Count of ACTIVE     GHGE, FARM GATE (kg CO2e/kg)","Count of GHGE, processor gate (kg CO2e/kg)"),'Pivot Table_GHG'!$A$3,"SUB TYPE",$B23)),"PROXY",IF(GETPIVOTDATA(IF($J23=1,"Count of ACTIVE     GHGE, FARM GATE (kg CO2e/kg)","Count of GHGE, processor gate (kg CO2e/kg)"),'Pivot Table_GHG'!$A$3,"SUB TYPE",$B23)=0,"PROXY","DB value"))</f>
        <v>PROXY</v>
      </c>
      <c r="Q23" s="125">
        <f ca="1">IF($P23="PROXY",DCOUNT('literature entries'!$D:$AI,IF($J23=1,"ACTIVE     GHGE, FARM GATE (kg CO2e/kg)","GHGE, processor gate (kg CO2e/kg)"),INDIRECT($K23)),GETPIVOTDATA(IF($J23=1,"ACTIVE     GHGE, FARM GATE (kg CO2e/kg)","Count of GHGE, processor gate (kg CO2e/kg)"),'Pivot Table_GHG'!$A$3,"SUB TYPE",$B23))</f>
        <v>25</v>
      </c>
      <c r="R23" s="190">
        <f ca="1">IF($P23="PROXY",DAVERAGE('literature entries'!$D:$AI,IF($J23=1,"ACTIVE     GHGE, FARM GATE (kg CO2e/kg)","GHGE, processor gate (kg CO2e/kg)"),INDIRECT($K23)),GETPIVOTDATA(IF($J23=1,"Average of ACTIVE     GHGE, FARM GATE (kg CO2e/kg)","Average of GHGE, processor gate (kg CO2e/kg)"),'Pivot Table_GHG'!$A$3,"SUB TYPE",$B23))</f>
        <v>0.21340000000000003</v>
      </c>
      <c r="S23" s="190">
        <f ca="1">IF($P23="PROXY",DSTDEV('literature entries'!$D:$AI,IF($J23=1,"ACTIVE     GHGE, FARM GATE (kg CO2e/kg)","GHGE, processor gate (kg CO2e/kg)"),INDIRECT($K23)),GETPIVOTDATA(IF($J23=1,"StdDev of ACTIVE     GHGE, FARM GATE (kg CO2e/kg)","StdDev of GHGE, processor gate (kg CO2e/kg)"),'Pivot Table_GHG'!$A$3,"SUB TYPE",$B23))</f>
        <v>0.17992035274902424</v>
      </c>
      <c r="T23" s="88"/>
      <c r="U23" s="89"/>
      <c r="W23" s="213" t="str">
        <f ca="1">IF(L23="PROXY",IF(M23&gt;=5,K23,"need group"),IF(M23&gt;=5,"DIRECT","need group"))</f>
        <v>roots</v>
      </c>
      <c r="X23" s="211">
        <f ca="1">IF($W23="DIRECT",M23,DCOUNT('literature entries'!$D:$AI,IF($J23=1,"ACTIVE     CED, FARM GATE (MJ/kg)","CED, processor gate (MJ/kg)"),INDIRECT($W23)))</f>
        <v>14</v>
      </c>
      <c r="Y23" s="211">
        <f ca="1">IF($W23="DIRECT","",DAVERAGE('literature entries'!$D:$AI,IF($J23=1,"ACTIVE     CED, FARM GATE (MJ/kg)","CED, processor gate (MJ/kg)"),INDIRECT($W23)))</f>
        <v>1.4220714285714284</v>
      </c>
      <c r="Z23" s="211">
        <f ca="1">IF($W23="DIRECT",$O23,DSTDEV('literature entries'!$D:$AI,IF($J23=1,"ACTIVE     CED, FARM GATE (MJ/kg)","CED, processor gate (MJ/kg)"),INDIRECT($W23)))</f>
        <v>0.57442043892896122</v>
      </c>
      <c r="AA23" s="211">
        <f t="shared" ca="1" si="5"/>
        <v>0.57442043892896122</v>
      </c>
      <c r="AB23" s="219" t="str">
        <f ca="1">IF(P23="PROXY",IF(Q23&gt;=5,K23,"need group"),IF(Q23&gt;=5,"DIRECT","need group"))</f>
        <v>roots</v>
      </c>
      <c r="AC23" s="212">
        <f ca="1">IF($AB23="DIRECT",Q23,DCOUNT('literature entries'!$D:$AI,IF($J23=1,"ACTIVE     GHGE, FARM GATE (kg CO2e/kg)","GHGE, processor gate (kg CO2e/kg)"),INDIRECT($AB23)))</f>
        <v>25</v>
      </c>
      <c r="AD23" s="212">
        <f ca="1">IF($AB23="DIRECT","",DAVERAGE('literature entries'!$D:$AI,IF($J23=1,"ACTIVE     GHGE, FARM GATE (kg CO2e/kg)","GHGE, processor gate (kg CO2e/kg)"),INDIRECT($AB23)))</f>
        <v>0.21340000000000003</v>
      </c>
      <c r="AE23" s="212">
        <f ca="1">IF($AB23="DIRECT",$S23,DSTDEV('literature entries'!$D:$AI,IF($J23=1,"ACTIVE     GHGE, FARM GATE (kg CO2e/kg)","GHGE, processor gate (kg CO2e/kg)"),INDIRECT($AB23)))</f>
        <v>0.17992035274902424</v>
      </c>
      <c r="AF23" s="212">
        <f t="shared" ca="1" si="6"/>
        <v>0.17992035274902424</v>
      </c>
    </row>
    <row r="24" spans="1:32" s="19" customFormat="1" ht="14" customHeight="1" thickBot="1" x14ac:dyDescent="0.25">
      <c r="A24" s="114">
        <v>103296000</v>
      </c>
      <c r="B24" s="115" t="s">
        <v>2198</v>
      </c>
      <c r="C24" s="126" t="s">
        <v>2199</v>
      </c>
      <c r="D24" s="115"/>
      <c r="E24" s="115">
        <v>5284</v>
      </c>
      <c r="F24" s="111">
        <f t="shared" ca="1" si="0"/>
        <v>19.75</v>
      </c>
      <c r="G24" s="112">
        <f t="shared" ca="1" si="1"/>
        <v>1.5449999999999999</v>
      </c>
      <c r="H24" s="116">
        <v>1</v>
      </c>
      <c r="I24" s="117" t="s">
        <v>628</v>
      </c>
      <c r="J24" s="79">
        <v>2</v>
      </c>
      <c r="K24" s="78"/>
      <c r="L24" s="135" t="str">
        <f>IF(ISERROR(GETPIVOTDATA(IF($J24=1,"Count of ACTIVE     CED, FARM GATE (MJ/kg)","Count of CED, processor gate (MJ/kg)"),'Pivot Table_CED'!$A$3,"SUB TYPE",$B24)),"PROXY",IF(GETPIVOTDATA(IF($J24=1,"Count of ACTIVE     CED, FARM GATE (MJ/kg)","Count of CED, processor gate (MJ/kg)"),'Pivot Table_CED'!$A$3,"SUB TYPE",$B24)=0,"PROXY","DB value"))</f>
        <v>DB value</v>
      </c>
      <c r="M24" s="118">
        <f ca="1">IF($L24="PROXY",DCOUNT('literature entries'!$D:$AI,IF($J24=1,"ACTIVE     CED, FARM GATE (MJ/kg)","CED, processor gate (MJ/kg)"),INDIRECT($K24)),GETPIVOTDATA(IF($J24=1,"Count of ACTIVE     CED, FARM GATE (MJ/kg)","Count of CED, processor gate (MJ/kg)"),'Pivot Table_CED'!$A$3,"SUB TYPE",$B24))</f>
        <v>1</v>
      </c>
      <c r="N24" s="119">
        <f ca="1">IF($L24="PROXY",DAVERAGE('literature entries'!$D:$AI,IF($J24=1,"ACTIVE     CED, FARM GATE (MJ/kg)","CED, processor gate (MJ/kg)"),INDIRECT($K24)),GETPIVOTDATA(IF($J24=1,"Average of ACTIVE     CED, FARM GATE (MJ/kg)","Average of CED, processor gate (MJ/kg)"),'Pivot Table_CED'!$A$3,"SUB TYPE",$B24))</f>
        <v>19.75</v>
      </c>
      <c r="O24" s="119">
        <f ca="1">IF($L24="PROXY",DSTDEV('literature entries'!D:AI,IF($J24=1,"ACTIVE     CED, FARM GATE (MJ/kg)","CED, processor gate (MJ/kg)"),INDIRECT($K24)),GETPIVOTDATA(IF($J24=1,"StdDev of ACTIVE     CED, FARM GATE (MJ/kg)","StdDev of CED, processor gate (MJ/kg)"),'Pivot Table_CED'!$A$3,"SUB TYPE",$B24))</f>
        <v>0</v>
      </c>
      <c r="P24" s="135" t="str">
        <f>IF(ISERROR(GETPIVOTDATA(IF($J24=1,"Count of ACTIVE     GHGE, FARM GATE (kg CO2e/kg)","Count of GHGE, processor gate (kg CO2e/kg)"),'Pivot Table_GHG'!$A$3,"SUB TYPE",$B24)),"PROXY",IF(GETPIVOTDATA(IF($J24=1,"Count of ACTIVE     GHGE, FARM GATE (kg CO2e/kg)","Count of GHGE, processor gate (kg CO2e/kg)"),'Pivot Table_GHG'!$A$3,"SUB TYPE",$B24)=0,"PROXY","DB value"))</f>
        <v>DB value</v>
      </c>
      <c r="Q24" s="125">
        <f ca="1">IF($P24="PROXY",DCOUNT('literature entries'!$D:$AI,IF($J24=1,"ACTIVE     GHGE, FARM GATE (kg CO2e/kg)","GHGE, processor gate (kg CO2e/kg)"),INDIRECT($K24)),GETPIVOTDATA(IF($J24=1,"ACTIVE     GHGE, FARM GATE (kg CO2e/kg)","Count of GHGE, processor gate (kg CO2e/kg)"),'Pivot Table_GHG'!$A$3,"SUB TYPE",$B24))</f>
        <v>3</v>
      </c>
      <c r="R24" s="190">
        <f ca="1">IF($P24="PROXY",DAVERAGE('literature entries'!$D:$AI,IF($J24=1,"ACTIVE     GHGE, FARM GATE (kg CO2e/kg)","GHGE, processor gate (kg CO2e/kg)"),INDIRECT($K24)),GETPIVOTDATA(IF($J24=1,"Average of ACTIVE     GHGE, FARM GATE (kg CO2e/kg)","Average of GHGE, processor gate (kg CO2e/kg)"),'Pivot Table_GHG'!$A$3,"SUB TYPE",$B24))</f>
        <v>1.5449999999999999</v>
      </c>
      <c r="S24" s="190">
        <f ca="1">IF($P24="PROXY",DSTDEV('literature entries'!$D:$AI,IF($J24=1,"ACTIVE     GHGE, FARM GATE (kg CO2e/kg)","GHGE, processor gate (kg CO2e/kg)"),INDIRECT($K24)),GETPIVOTDATA(IF($J24=1,"StdDev of ACTIVE     GHGE, FARM GATE (kg CO2e/kg)","StdDev of GHGE, processor gate (kg CO2e/kg)"),'Pivot Table_GHG'!$A$3,"SUB TYPE",$B24))</f>
        <v>0.54883968515405301</v>
      </c>
      <c r="T24" s="88"/>
      <c r="U24" s="89"/>
      <c r="W24" s="223" t="s">
        <v>2455</v>
      </c>
      <c r="X24" s="211">
        <f ca="1">IF($W24="DIRECT",M24,DCOUNT('literature entries'!$D:$AI,"ACTIVE     CED, FARM GATE (MJ/kg)",INDIRECT($W24)))</f>
        <v>14</v>
      </c>
      <c r="Y24" s="211">
        <f ca="1">IF($W24="DIRECT","",DAVERAGE('literature entries'!$D:$AI,"ACTIVE     CED, FARM GATE (MJ/kg)",INDIRECT($W24)))</f>
        <v>1.4220714285714284</v>
      </c>
      <c r="Z24" s="211">
        <f ca="1">IF($W24="DIRECT",$O24,DSTDEV('literature entries'!$D:$AI,"ACTIVE     CED, FARM GATE (MJ/kg)",INDIRECT($W24)))</f>
        <v>0.57442043892896122</v>
      </c>
      <c r="AA24" s="211">
        <f t="shared" ca="1" si="5"/>
        <v>7.9776609254034749</v>
      </c>
      <c r="AB24" s="223" t="s">
        <v>857</v>
      </c>
      <c r="AC24" s="212">
        <f ca="1">IF($AB24="DIRECT",Q24,DCOUNT('literature entries'!$D:$AI,"ACTIVE     GHGE, FARM GATE (kg CO2e/kg)",INDIRECT($AB24)))</f>
        <v>17</v>
      </c>
      <c r="AD24" s="212">
        <f ca="1">IF($AB24="DIRECT","",DAVERAGE('literature entries'!$D:$AI,"ACTIVE     GHGE, FARM GATE (kg CO2e/kg)",INDIRECT($AB24)))</f>
        <v>0.21741176470588239</v>
      </c>
      <c r="AE24" s="212">
        <f ca="1">IF($AB24="DIRECT",$S24,DSTDEV('literature entries'!$D:$AI,"ACTIVE     GHGE, FARM GATE (kg CO2e/kg)",INDIRECT($AB24)))</f>
        <v>0.11818473824035466</v>
      </c>
      <c r="AF24" s="212">
        <f t="shared" ca="1" si="6"/>
        <v>0.83985988903758513</v>
      </c>
    </row>
    <row r="25" spans="1:32" s="19" customFormat="1" ht="17" thickBot="1" x14ac:dyDescent="0.25">
      <c r="A25" s="114">
        <v>103297000</v>
      </c>
      <c r="B25" s="115" t="s">
        <v>2200</v>
      </c>
      <c r="C25" s="115" t="s">
        <v>2201</v>
      </c>
      <c r="D25" s="115"/>
      <c r="E25" s="115">
        <v>2131</v>
      </c>
      <c r="F25" s="111">
        <f t="shared" ca="1" si="0"/>
        <v>9.699724999999999</v>
      </c>
      <c r="G25" s="112">
        <f t="shared" ca="1" si="1"/>
        <v>1.3088188235294118</v>
      </c>
      <c r="H25" s="116">
        <v>6.02</v>
      </c>
      <c r="I25" s="117" t="s">
        <v>2724</v>
      </c>
      <c r="J25" s="79">
        <v>1</v>
      </c>
      <c r="K25" s="78" t="s">
        <v>857</v>
      </c>
      <c r="L25" s="135" t="str">
        <f>IF(ISERROR(GETPIVOTDATA(IF($J25=1,"Count of ACTIVE     CED, FARM GATE (MJ/kg)","Count of CED, processor gate (MJ/kg)"),'Pivot Table_CED'!$A$3,"SUB TYPE",$B25)),"PROXY",IF(GETPIVOTDATA(IF($J25=1,"Count of ACTIVE     CED, FARM GATE (MJ/kg)","Count of CED, processor gate (MJ/kg)"),'Pivot Table_CED'!$A$3,"SUB TYPE",$B25)=0,"PROXY","DB value"))</f>
        <v>PROXY</v>
      </c>
      <c r="M25" s="118">
        <f ca="1">IF($L25="PROXY",DCOUNT('literature entries'!$D:$AI,IF($J25=1,"ACTIVE     CED, FARM GATE (MJ/kg)","CED, processor gate (MJ/kg)"),INDIRECT($K25)),GETPIVOTDATA(IF($J25=1,"Count of ACTIVE     CED, FARM GATE (MJ/kg)","Count of CED, processor gate (MJ/kg)"),'Pivot Table_CED'!$A$3,"SUB TYPE",$B25))</f>
        <v>8</v>
      </c>
      <c r="N25" s="119">
        <f ca="1">IF($L25="PROXY",DAVERAGE('literature entries'!$D:$AI,IF($J25=1,"ACTIVE     CED, FARM GATE (MJ/kg)","CED, processor gate (MJ/kg)"),INDIRECT($K25)),GETPIVOTDATA(IF($J25=1,"Average of ACTIVE     CED, FARM GATE (MJ/kg)","Average of CED, processor gate (MJ/kg)"),'Pivot Table_CED'!$A$3,"SUB TYPE",$B25))</f>
        <v>1.6112500000000001</v>
      </c>
      <c r="O25" s="119">
        <f ca="1">IF($L25="PROXY",DSTDEV('literature entries'!D:AI,IF($J25=1,"ACTIVE     CED, FARM GATE (MJ/kg)","CED, processor gate (MJ/kg)"),INDIRECT($K25)),GETPIVOTDATA(IF($J25=1,"StdDev of ACTIVE     CED, FARM GATE (MJ/kg)","StdDev of CED, processor gate (MJ/kg)"),'Pivot Table_CED'!$A$3,"SUB TYPE",$B25))</f>
        <v>0.53279418433119463</v>
      </c>
      <c r="P25" s="135" t="str">
        <f>IF(ISERROR(GETPIVOTDATA(IF($J25=1,"Count of ACTIVE     GHGE, FARM GATE (kg CO2e/kg)","Count of GHGE, processor gate (kg CO2e/kg)"),'Pivot Table_GHG'!$A$3,"SUB TYPE",$B25)),"PROXY",IF(GETPIVOTDATA(IF($J25=1,"Count of ACTIVE     GHGE, FARM GATE (kg CO2e/kg)","Count of GHGE, processor gate (kg CO2e/kg)"),'Pivot Table_GHG'!$A$3,"SUB TYPE",$B25)=0,"PROXY","DB value"))</f>
        <v>PROXY</v>
      </c>
      <c r="Q25" s="125">
        <f ca="1">IF($P25="PROXY",DCOUNT('literature entries'!$D:$AI,IF($J25=1,"ACTIVE     GHGE, FARM GATE (kg CO2e/kg)","GHGE, processor gate (kg CO2e/kg)"),INDIRECT($K25)),GETPIVOTDATA(IF($J25=1,"ACTIVE     GHGE, FARM GATE (kg CO2e/kg)","Count of GHGE, processor gate (kg CO2e/kg)"),'Pivot Table_GHG'!$A$3,"SUB TYPE",$B25))</f>
        <v>17</v>
      </c>
      <c r="R25" s="190">
        <f ca="1">IF($P25="PROXY",DAVERAGE('literature entries'!$D:$AI,IF($J25=1,"ACTIVE     GHGE, FARM GATE (kg CO2e/kg)","GHGE, processor gate (kg CO2e/kg)"),INDIRECT($K25)),GETPIVOTDATA(IF($J25=1,"Average of ACTIVE     GHGE, FARM GATE (kg CO2e/kg)","Average of GHGE, processor gate (kg CO2e/kg)"),'Pivot Table_GHG'!$A$3,"SUB TYPE",$B25))</f>
        <v>0.21741176470588239</v>
      </c>
      <c r="S25" s="190">
        <f ca="1">IF($P25="PROXY",DSTDEV('literature entries'!$D:$AI,IF($J25=1,"ACTIVE     GHGE, FARM GATE (kg CO2e/kg)","GHGE, processor gate (kg CO2e/kg)"),INDIRECT($K25)),GETPIVOTDATA(IF($J25=1,"StdDev of ACTIVE     GHGE, FARM GATE (kg CO2e/kg)","StdDev of GHGE, processor gate (kg CO2e/kg)"),'Pivot Table_GHG'!$A$3,"SUB TYPE",$B25))</f>
        <v>0.11818473824035466</v>
      </c>
      <c r="T25" s="88"/>
      <c r="U25" s="89"/>
      <c r="W25" s="213" t="s">
        <v>2455</v>
      </c>
      <c r="X25" s="211">
        <f ca="1">IF($W25="DIRECT",M25,DCOUNT('literature entries'!$D:$AI,IF($J25=1,"ACTIVE     CED, FARM GATE (MJ/kg)","CED, processor gate (MJ/kg)"),INDIRECT($W25)))</f>
        <v>14</v>
      </c>
      <c r="Y25" s="211">
        <f ca="1">IF($W25="DIRECT","",DAVERAGE('literature entries'!$D:$AI,IF($J25=1,"ACTIVE     CED, FARM GATE (MJ/kg)","CED, processor gate (MJ/kg)"),INDIRECT($W25)))</f>
        <v>1.4220714285714284</v>
      </c>
      <c r="Z25" s="211">
        <f ca="1">IF($W25="DIRECT",$O25,DSTDEV('literature entries'!$D:$AI,IF($J25=1,"ACTIVE     CED, FARM GATE (MJ/kg)","CED, processor gate (MJ/kg)"),INDIRECT($W25)))</f>
        <v>0.57442043892896122</v>
      </c>
      <c r="AA25" s="211">
        <f t="shared" ca="1" si="5"/>
        <v>0.65083575524335946</v>
      </c>
      <c r="AB25" s="219" t="str">
        <f ca="1">IF(P25="PROXY",IF(Q25&gt;=5,K25,"need group"),IF(Q25&gt;=5,"DIRECT","need group"))</f>
        <v>potato</v>
      </c>
      <c r="AC25" s="212">
        <f ca="1">IF($AB25="DIRECT",Q25,DCOUNT('literature entries'!$D:$AI,IF($J25=1,"ACTIVE     GHGE, FARM GATE (kg CO2e/kg)","GHGE, processor gate (kg CO2e/kg)"),INDIRECT($AB25)))</f>
        <v>17</v>
      </c>
      <c r="AD25" s="212">
        <f ca="1">IF($AB25="DIRECT","",DAVERAGE('literature entries'!$D:$AI,IF($J25=1,"ACTIVE     GHGE, FARM GATE (kg CO2e/kg)","GHGE, processor gate (kg CO2e/kg)"),INDIRECT($AB25)))</f>
        <v>0.21741176470588239</v>
      </c>
      <c r="AE25" s="212">
        <f ca="1">IF($AB25="DIRECT",$S25,DSTDEV('literature entries'!$D:$AI,IF($J25=1,"ACTIVE     GHGE, FARM GATE (kg CO2e/kg)","GHGE, processor gate (kg CO2e/kg)"),INDIRECT($AB25)))</f>
        <v>0.11818473824035466</v>
      </c>
      <c r="AF25" s="212">
        <f t="shared" ca="1" si="6"/>
        <v>0.11818473824035466</v>
      </c>
    </row>
    <row r="26" spans="1:32" s="19" customFormat="1" ht="17" thickBot="1" x14ac:dyDescent="0.25">
      <c r="A26" s="114">
        <v>103298000</v>
      </c>
      <c r="B26" s="115" t="s">
        <v>2202</v>
      </c>
      <c r="C26" s="115" t="s">
        <v>2203</v>
      </c>
      <c r="D26" s="115"/>
      <c r="E26" s="115">
        <v>27032</v>
      </c>
      <c r="F26" s="111">
        <f t="shared" ca="1" si="0"/>
        <v>6.6309645499999998</v>
      </c>
      <c r="G26" s="112">
        <f t="shared" ca="1" si="1"/>
        <v>0.95251464499999994</v>
      </c>
      <c r="H26" s="116">
        <v>1</v>
      </c>
      <c r="I26" s="117" t="s">
        <v>628</v>
      </c>
      <c r="J26" s="79">
        <v>2</v>
      </c>
      <c r="K26" s="78"/>
      <c r="L26" s="135" t="str">
        <f>IF(ISERROR(GETPIVOTDATA(IF($J26=1,"Count of ACTIVE     CED, FARM GATE (MJ/kg)","Count of CED, processor gate (MJ/kg)"),'Pivot Table_CED'!$A$3,"SUB TYPE",$B26)),"PROXY",IF(GETPIVOTDATA(IF($J26=1,"Count of ACTIVE     CED, FARM GATE (MJ/kg)","Count of CED, processor gate (MJ/kg)"),'Pivot Table_CED'!$A$3,"SUB TYPE",$B26)=0,"PROXY","DB value"))</f>
        <v>DB value</v>
      </c>
      <c r="M26" s="118">
        <f ca="1">IF($L26="PROXY",DCOUNT('literature entries'!$D:$AI,IF($J26=1,"ACTIVE     CED, FARM GATE (MJ/kg)","CED, processor gate (MJ/kg)"),INDIRECT($K26)),GETPIVOTDATA(IF($J26=1,"Count of ACTIVE     CED, FARM GATE (MJ/kg)","Count of CED, processor gate (MJ/kg)"),'Pivot Table_CED'!$A$3,"SUB TYPE",$B26))</f>
        <v>2</v>
      </c>
      <c r="N26" s="119">
        <f ca="1">IF($L26="PROXY",DAVERAGE('literature entries'!$D:$AI,IF($J26=1,"ACTIVE     CED, FARM GATE (MJ/kg)","CED, processor gate (MJ/kg)"),INDIRECT($K26)),GETPIVOTDATA(IF($J26=1,"Average of ACTIVE     CED, FARM GATE (MJ/kg)","Average of CED, processor gate (MJ/kg)"),'Pivot Table_CED'!$A$3,"SUB TYPE",$B26))</f>
        <v>6.6309645499999998</v>
      </c>
      <c r="O26" s="119">
        <f ca="1">IF($L26="PROXY",DSTDEV('literature entries'!D:AI,IF($J26=1,"ACTIVE     CED, FARM GATE (MJ/kg)","CED, processor gate (MJ/kg)"),INDIRECT($K26)),GETPIVOTDATA(IF($J26=1,"StdDev of ACTIVE     CED, FARM GATE (MJ/kg)","StdDev of CED, processor gate (MJ/kg)"),'Pivot Table_CED'!$A$3,"SUB TYPE",$B26))</f>
        <v>0.21616487646111129</v>
      </c>
      <c r="P26" s="135" t="str">
        <f>IF(ISERROR(GETPIVOTDATA(IF($J26=1,"Count of ACTIVE     GHGE, FARM GATE (kg CO2e/kg)","Count of GHGE, processor gate (kg CO2e/kg)"),'Pivot Table_GHG'!$A$3,"SUB TYPE",$B26)),"PROXY",IF(GETPIVOTDATA(IF($J26=1,"Count of ACTIVE     GHGE, FARM GATE (kg CO2e/kg)","Count of GHGE, processor gate (kg CO2e/kg)"),'Pivot Table_GHG'!$A$3,"SUB TYPE",$B26)=0,"PROXY","DB value"))</f>
        <v>DB value</v>
      </c>
      <c r="Q26" s="125">
        <f ca="1">IF($P26="PROXY",DCOUNT('literature entries'!$D:$AI,IF($J26=1,"ACTIVE     GHGE, FARM GATE (kg CO2e/kg)","GHGE, processor gate (kg CO2e/kg)"),INDIRECT($K26)),GETPIVOTDATA(IF($J26=1,"ACTIVE     GHGE, FARM GATE (kg CO2e/kg)","Count of GHGE, processor gate (kg CO2e/kg)"),'Pivot Table_GHG'!$A$3,"SUB TYPE",$B26))</f>
        <v>2</v>
      </c>
      <c r="R26" s="190">
        <f ca="1">IF($P26="PROXY",DAVERAGE('literature entries'!$D:$AI,IF($J26=1,"ACTIVE     GHGE, FARM GATE (kg CO2e/kg)","GHGE, processor gate (kg CO2e/kg)"),INDIRECT($K26)),GETPIVOTDATA(IF($J26=1,"Average of ACTIVE     GHGE, FARM GATE (kg CO2e/kg)","Average of GHGE, processor gate (kg CO2e/kg)"),'Pivot Table_GHG'!$A$3,"SUB TYPE",$B26))</f>
        <v>0.95251464499999994</v>
      </c>
      <c r="S26" s="190">
        <f ca="1">IF($P26="PROXY",DSTDEV('literature entries'!$D:$AI,IF($J26=1,"ACTIVE     GHGE, FARM GATE (kg CO2e/kg)","GHGE, processor gate (kg CO2e/kg)"),INDIRECT($K26)),GETPIVOTDATA(IF($J26=1,"StdDev of ACTIVE     GHGE, FARM GATE (kg CO2e/kg)","StdDev of GHGE, processor gate (kg CO2e/kg)"),'Pivot Table_GHG'!$A$3,"SUB TYPE",$B26))</f>
        <v>2.771251177526626E-2</v>
      </c>
      <c r="T26" s="88"/>
      <c r="U26" s="89"/>
      <c r="W26" s="223" t="s">
        <v>2455</v>
      </c>
      <c r="X26" s="211">
        <f ca="1">IF($W26="DIRECT",M26,DCOUNT('literature entries'!$D:$AI,"ACTIVE     CED, FARM GATE (MJ/kg)",INDIRECT($W26)))</f>
        <v>14</v>
      </c>
      <c r="Y26" s="211">
        <f ca="1">IF($W26="DIRECT","",DAVERAGE('literature entries'!$D:$AI,"ACTIVE     CED, FARM GATE (MJ/kg)",INDIRECT($W26)))</f>
        <v>1.4220714285714284</v>
      </c>
      <c r="Z26" s="211">
        <f ca="1">IF($W26="DIRECT",$O26,DSTDEV('literature entries'!$D:$AI,"ACTIVE     CED, FARM GATE (MJ/kg)",INDIRECT($W26)))</f>
        <v>0.57442043892896122</v>
      </c>
      <c r="AA26" s="211">
        <f t="shared" ca="1" si="5"/>
        <v>2.6784600905453488</v>
      </c>
      <c r="AB26" s="223" t="s">
        <v>857</v>
      </c>
      <c r="AC26" s="212">
        <f ca="1">IF($AB26="DIRECT",Q26,DCOUNT('literature entries'!$D:$AI,"ACTIVE     GHGE, FARM GATE (kg CO2e/kg)",INDIRECT($AB26)))</f>
        <v>17</v>
      </c>
      <c r="AD26" s="212">
        <f ca="1">IF($AB26="DIRECT","",DAVERAGE('literature entries'!$D:$AI,"ACTIVE     GHGE, FARM GATE (kg CO2e/kg)",INDIRECT($AB26)))</f>
        <v>0.21741176470588239</v>
      </c>
      <c r="AE26" s="212">
        <f ca="1">IF($AB26="DIRECT",$S26,DSTDEV('literature entries'!$D:$AI,"ACTIVE     GHGE, FARM GATE (kg CO2e/kg)",INDIRECT($AB26)))</f>
        <v>0.11818473824035466</v>
      </c>
      <c r="AF26" s="212">
        <f t="shared" ca="1" si="6"/>
        <v>0.51778565958341416</v>
      </c>
    </row>
    <row r="27" spans="1:32" s="19" customFormat="1" ht="17" thickBot="1" x14ac:dyDescent="0.25">
      <c r="A27" s="114">
        <v>103299000</v>
      </c>
      <c r="B27" s="115" t="s">
        <v>2206</v>
      </c>
      <c r="C27" s="115" t="s">
        <v>2207</v>
      </c>
      <c r="D27" s="115"/>
      <c r="E27" s="115">
        <v>2630</v>
      </c>
      <c r="F27" s="111">
        <f t="shared" ca="1" si="0"/>
        <v>1.6112500000000001</v>
      </c>
      <c r="G27" s="112">
        <f t="shared" ca="1" si="1"/>
        <v>0.21741176470588239</v>
      </c>
      <c r="H27" s="116">
        <v>1</v>
      </c>
      <c r="I27" s="117" t="s">
        <v>628</v>
      </c>
      <c r="J27" s="79">
        <v>1</v>
      </c>
      <c r="K27" s="78"/>
      <c r="L27" s="135" t="str">
        <f>IF(ISERROR(GETPIVOTDATA(IF($J27=1,"Count of ACTIVE     CED, FARM GATE (MJ/kg)","Count of CED, processor gate (MJ/kg)"),'Pivot Table_CED'!$A$3,"SUB TYPE",$B27)),"PROXY",IF(GETPIVOTDATA(IF($J27=1,"Count of ACTIVE     CED, FARM GATE (MJ/kg)","Count of CED, processor gate (MJ/kg)"),'Pivot Table_CED'!$A$3,"SUB TYPE",$B27)=0,"PROXY","DB value"))</f>
        <v>DB value</v>
      </c>
      <c r="M27" s="118">
        <f ca="1">IF($L27="PROXY",DCOUNT('literature entries'!$D:$AI,IF($J27=1,"ACTIVE     CED, FARM GATE (MJ/kg)","CED, processor gate (MJ/kg)"),INDIRECT($K27)),GETPIVOTDATA(IF($J27=1,"Count of ACTIVE     CED, FARM GATE (MJ/kg)","Count of CED, processor gate (MJ/kg)"),'Pivot Table_CED'!$A$3,"SUB TYPE",$B27))</f>
        <v>8</v>
      </c>
      <c r="N27" s="119">
        <f ca="1">IF($L27="PROXY",DAVERAGE('literature entries'!$D:$AI,IF($J27=1,"ACTIVE     CED, FARM GATE (MJ/kg)","CED, processor gate (MJ/kg)"),INDIRECT($K27)),GETPIVOTDATA(IF($J27=1,"Average of ACTIVE     CED, FARM GATE (MJ/kg)","Average of CED, processor gate (MJ/kg)"),'Pivot Table_CED'!$A$3,"SUB TYPE",$B27))</f>
        <v>1.6112500000000001</v>
      </c>
      <c r="O27" s="119">
        <f ca="1">IF($L27="PROXY",DSTDEV('literature entries'!D:AI,IF($J27=1,"ACTIVE     CED, FARM GATE (MJ/kg)","CED, processor gate (MJ/kg)"),INDIRECT($K27)),GETPIVOTDATA(IF($J27=1,"StdDev of ACTIVE     CED, FARM GATE (MJ/kg)","StdDev of CED, processor gate (MJ/kg)"),'Pivot Table_CED'!$A$3,"SUB TYPE",$B27))</f>
        <v>0.53279418433119463</v>
      </c>
      <c r="P27" s="135" t="str">
        <f>IF(ISERROR(GETPIVOTDATA(IF($J27=1,"Count of ACTIVE     GHGE, FARM GATE (kg CO2e/kg)","Count of GHGE, processor gate (kg CO2e/kg)"),'Pivot Table_GHG'!$A$3,"SUB TYPE",$B27)),"PROXY",IF(GETPIVOTDATA(IF($J27=1,"Count of ACTIVE     GHGE, FARM GATE (kg CO2e/kg)","Count of GHGE, processor gate (kg CO2e/kg)"),'Pivot Table_GHG'!$A$3,"SUB TYPE",$B27)=0,"PROXY","DB value"))</f>
        <v>DB value</v>
      </c>
      <c r="Q27" s="125">
        <f ca="1">IF($P27="PROXY",DCOUNT('literature entries'!$D:$AI,IF($J27=1,"ACTIVE     GHGE, FARM GATE (kg CO2e/kg)","GHGE, processor gate (kg CO2e/kg)"),INDIRECT($K27)),GETPIVOTDATA(IF($J27=1,"ACTIVE     GHGE, FARM GATE (kg CO2e/kg)","Count of GHGE, processor gate (kg CO2e/kg)"),'Pivot Table_GHG'!$A$3,"SUB TYPE",$B27))</f>
        <v>17</v>
      </c>
      <c r="R27" s="190">
        <f ca="1">IF($P27="PROXY",DAVERAGE('literature entries'!$D:$AI,IF($J27=1,"ACTIVE     GHGE, FARM GATE (kg CO2e/kg)","GHGE, processor gate (kg CO2e/kg)"),INDIRECT($K27)),GETPIVOTDATA(IF($J27=1,"Average of ACTIVE     GHGE, FARM GATE (kg CO2e/kg)","Average of GHGE, processor gate (kg CO2e/kg)"),'Pivot Table_GHG'!$A$3,"SUB TYPE",$B27))</f>
        <v>0.21741176470588239</v>
      </c>
      <c r="S27" s="190">
        <f ca="1">IF($P27="PROXY",DSTDEV('literature entries'!$D:$AI,IF($J27=1,"ACTIVE     GHGE, FARM GATE (kg CO2e/kg)","GHGE, processor gate (kg CO2e/kg)"),INDIRECT($K27)),GETPIVOTDATA(IF($J27=1,"StdDev of ACTIVE     GHGE, FARM GATE (kg CO2e/kg)","StdDev of GHGE, processor gate (kg CO2e/kg)"),'Pivot Table_GHG'!$A$3,"SUB TYPE",$B27))</f>
        <v>0.11818473824035466</v>
      </c>
      <c r="T27" s="88"/>
      <c r="U27" s="89"/>
      <c r="W27" s="213" t="str">
        <f ca="1">IF(L27="PROXY",IF(M27&gt;=5,K27,"need group"),IF(M27&gt;=5,"DIRECT","need group"))</f>
        <v>DIRECT</v>
      </c>
      <c r="X27" s="211">
        <f ca="1">IF($W27="DIRECT",M27,DCOUNT('literature entries'!$D:$AI,IF($J27=1,"ACTIVE     CED, FARM GATE (MJ/kg)","CED, processor gate (MJ/kg)"),INDIRECT($W27)))</f>
        <v>8</v>
      </c>
      <c r="Y27" s="211" t="str">
        <f ca="1">IF($W27="DIRECT","",DAVERAGE('literature entries'!$D:$AI,IF($J27=1,"ACTIVE     CED, FARM GATE (MJ/kg)","CED, processor gate (MJ/kg)"),INDIRECT($W27)))</f>
        <v/>
      </c>
      <c r="Z27" s="211">
        <f ca="1">IF($W27="DIRECT",$O27,DSTDEV('literature entries'!$D:$AI,IF($J27=1,"ACTIVE     CED, FARM GATE (MJ/kg)","CED, processor gate (MJ/kg)"),INDIRECT($W27)))</f>
        <v>0.53279418433119463</v>
      </c>
      <c r="AA27" s="211">
        <f t="shared" ca="1" si="5"/>
        <v>0.53279418433119463</v>
      </c>
      <c r="AB27" s="219" t="str">
        <f ca="1">IF(P27="PROXY",IF(Q27&gt;=5,K27,"need group"),IF(Q27&gt;=5,"DIRECT","need group"))</f>
        <v>DIRECT</v>
      </c>
      <c r="AC27" s="212">
        <f ca="1">IF($AB27="DIRECT",Q27,DCOUNT('literature entries'!$D:$AI,IF($J27=1,"ACTIVE     GHGE, FARM GATE (kg CO2e/kg)","GHGE, processor gate (kg CO2e/kg)"),INDIRECT($AB27)))</f>
        <v>17</v>
      </c>
      <c r="AD27" s="212" t="str">
        <f ca="1">IF($AB27="DIRECT","",DAVERAGE('literature entries'!$D:$AI,IF($J27=1,"ACTIVE     GHGE, FARM GATE (kg CO2e/kg)","GHGE, processor gate (kg CO2e/kg)"),INDIRECT($AB27)))</f>
        <v/>
      </c>
      <c r="AE27" s="212">
        <f ca="1">IF($AB27="DIRECT",$S27,DSTDEV('literature entries'!$D:$AI,IF($J27=1,"ACTIVE     GHGE, FARM GATE (kg CO2e/kg)","GHGE, processor gate (kg CO2e/kg)"),INDIRECT($AB27)))</f>
        <v>0.11818473824035466</v>
      </c>
      <c r="AF27" s="212">
        <f t="shared" ca="1" si="6"/>
        <v>0.11818473824035466</v>
      </c>
    </row>
    <row r="28" spans="1:32" s="19" customFormat="1" ht="17" thickBot="1" x14ac:dyDescent="0.25">
      <c r="A28" s="114">
        <v>103300000</v>
      </c>
      <c r="B28" s="115" t="s">
        <v>2204</v>
      </c>
      <c r="C28" s="115" t="s">
        <v>2205</v>
      </c>
      <c r="D28" s="115"/>
      <c r="E28" s="115">
        <v>15758</v>
      </c>
      <c r="F28" s="111">
        <f t="shared" ca="1" si="0"/>
        <v>2.1429625000000003</v>
      </c>
      <c r="G28" s="112">
        <f t="shared" ca="1" si="1"/>
        <v>0.21612499999999998</v>
      </c>
      <c r="H28" s="116">
        <v>1.33</v>
      </c>
      <c r="I28" s="117" t="s">
        <v>2724</v>
      </c>
      <c r="J28" s="79">
        <v>1</v>
      </c>
      <c r="K28" s="78" t="s">
        <v>857</v>
      </c>
      <c r="L28" s="135" t="str">
        <f>IF(ISERROR(GETPIVOTDATA(IF($J28=1,"Count of ACTIVE     CED, FARM GATE (MJ/kg)","Count of CED, processor gate (MJ/kg)"),'Pivot Table_CED'!$A$3,"SUB TYPE",$B28)),"PROXY",IF(GETPIVOTDATA(IF($J28=1,"Count of ACTIVE     CED, FARM GATE (MJ/kg)","Count of CED, processor gate (MJ/kg)"),'Pivot Table_CED'!$A$3,"SUB TYPE",$B28)=0,"PROXY","DB value"))</f>
        <v>PROXY</v>
      </c>
      <c r="M28" s="118">
        <f ca="1">IF($L28="PROXY",DCOUNT('literature entries'!$D:$AI,IF($J28=1,"ACTIVE     CED, FARM GATE (MJ/kg)","CED, processor gate (MJ/kg)"),INDIRECT($K28)),GETPIVOTDATA(IF($J28=1,"Count of ACTIVE     CED, FARM GATE (MJ/kg)","Count of CED, processor gate (MJ/kg)"),'Pivot Table_CED'!$A$3,"SUB TYPE",$B28))</f>
        <v>8</v>
      </c>
      <c r="N28" s="119">
        <f ca="1">IF($L28="PROXY",DAVERAGE('literature entries'!$D:$AI,IF($J28=1,"ACTIVE     CED, FARM GATE (MJ/kg)","CED, processor gate (MJ/kg)"),INDIRECT($K28)),GETPIVOTDATA(IF($J28=1,"Average of ACTIVE     CED, FARM GATE (MJ/kg)","Average of CED, processor gate (MJ/kg)"),'Pivot Table_CED'!$A$3,"SUB TYPE",$B28))</f>
        <v>1.6112500000000001</v>
      </c>
      <c r="O28" s="119">
        <f ca="1">IF($L28="PROXY",DSTDEV('literature entries'!D:AI,IF($J28=1,"ACTIVE     CED, FARM GATE (MJ/kg)","CED, processor gate (MJ/kg)"),INDIRECT($K28)),GETPIVOTDATA(IF($J28=1,"StdDev of ACTIVE     CED, FARM GATE (MJ/kg)","StdDev of CED, processor gate (MJ/kg)"),'Pivot Table_CED'!$A$3,"SUB TYPE",$B28))</f>
        <v>0.53279418433119463</v>
      </c>
      <c r="P28" s="135" t="str">
        <f>IF(ISERROR(GETPIVOTDATA(IF($J28=1,"Count of ACTIVE     GHGE, FARM GATE (kg CO2e/kg)","Count of GHGE, processor gate (kg CO2e/kg)"),'Pivot Table_GHG'!$A$3,"SUB TYPE",$B28)),"PROXY",IF(GETPIVOTDATA(IF($J28=1,"Count of ACTIVE     GHGE, FARM GATE (kg CO2e/kg)","Count of GHGE, processor gate (kg CO2e/kg)"),'Pivot Table_GHG'!$A$3,"SUB TYPE",$B28)=0,"PROXY","DB value"))</f>
        <v>DB value</v>
      </c>
      <c r="Q28" s="125">
        <f ca="1">IF($P28="PROXY",DCOUNT('literature entries'!$D:$AI,IF($J28=1,"ACTIVE     GHGE, FARM GATE (kg CO2e/kg)","GHGE, processor gate (kg CO2e/kg)"),INDIRECT($K28)),GETPIVOTDATA(IF($J28=1,"ACTIVE     GHGE, FARM GATE (kg CO2e/kg)","Count of GHGE, processor gate (kg CO2e/kg)"),'Pivot Table_GHG'!$A$3,"SUB TYPE",$B28))</f>
        <v>2</v>
      </c>
      <c r="R28" s="190">
        <f ca="1">IF($P28="PROXY",DAVERAGE('literature entries'!$D:$AI,IF($J28=1,"ACTIVE     GHGE, FARM GATE (kg CO2e/kg)","GHGE, processor gate (kg CO2e/kg)"),INDIRECT($K28)),GETPIVOTDATA(IF($J28=1,"Average of ACTIVE     GHGE, FARM GATE (kg CO2e/kg)","Average of GHGE, processor gate (kg CO2e/kg)"),'Pivot Table_GHG'!$A$3,"SUB TYPE",$B28))</f>
        <v>0.16249999999999998</v>
      </c>
      <c r="S28" s="190">
        <f ca="1">IF($P28="PROXY",DSTDEV('literature entries'!$D:$AI,IF($J28=1,"ACTIVE     GHGE, FARM GATE (kg CO2e/kg)","GHGE, processor gate (kg CO2e/kg)"),INDIRECT($K28)),GETPIVOTDATA(IF($J28=1,"StdDev of ACTIVE     GHGE, FARM GATE (kg CO2e/kg)","StdDev of GHGE, processor gate (kg CO2e/kg)"),'Pivot Table_GHG'!$A$3,"SUB TYPE",$B28))</f>
        <v>1.6263455967291045E-2</v>
      </c>
      <c r="T28" s="88"/>
      <c r="U28" s="89"/>
      <c r="W28" s="213" t="str">
        <f ca="1">IF(L28="PROXY",IF(M28&gt;=5,K28,"need group"),IF(M28&gt;=5,"DIRECT","need group"))</f>
        <v>potato</v>
      </c>
      <c r="X28" s="211">
        <f ca="1">IF($W28="DIRECT",M28,DCOUNT('literature entries'!$D:$AI,IF($J28=1,"ACTIVE     CED, FARM GATE (MJ/kg)","CED, processor gate (MJ/kg)"),INDIRECT($W28)))</f>
        <v>8</v>
      </c>
      <c r="Y28" s="211">
        <f ca="1">IF($W28="DIRECT","",DAVERAGE('literature entries'!$D:$AI,IF($J28=1,"ACTIVE     CED, FARM GATE (MJ/kg)","CED, processor gate (MJ/kg)"),INDIRECT($W28)))</f>
        <v>1.6112500000000001</v>
      </c>
      <c r="Z28" s="211">
        <f ca="1">IF($W28="DIRECT",$O28,DSTDEV('literature entries'!$D:$AI,IF($J28=1,"ACTIVE     CED, FARM GATE (MJ/kg)","CED, processor gate (MJ/kg)"),INDIRECT($W28)))</f>
        <v>0.53279418433119463</v>
      </c>
      <c r="AA28" s="211">
        <f t="shared" ca="1" si="5"/>
        <v>0.53279418433119463</v>
      </c>
      <c r="AB28" s="219" t="s">
        <v>857</v>
      </c>
      <c r="AC28" s="212">
        <f ca="1">IF($AB28="DIRECT",Q28,DCOUNT('literature entries'!$D:$AI,IF($J28=1,"ACTIVE     GHGE, FARM GATE (kg CO2e/kg)","GHGE, processor gate (kg CO2e/kg)"),INDIRECT($AB28)))</f>
        <v>17</v>
      </c>
      <c r="AD28" s="212">
        <f ca="1">IF($AB28="DIRECT","",DAVERAGE('literature entries'!$D:$AI,IF($J28=1,"ACTIVE     GHGE, FARM GATE (kg CO2e/kg)","GHGE, processor gate (kg CO2e/kg)"),INDIRECT($AB28)))</f>
        <v>0.21741176470588239</v>
      </c>
      <c r="AE28" s="212">
        <f ca="1">IF($AB28="DIRECT",$S28,DSTDEV('literature entries'!$D:$AI,IF($J28=1,"ACTIVE     GHGE, FARM GATE (kg CO2e/kg)","GHGE, processor gate (kg CO2e/kg)"),INDIRECT($AB28)))</f>
        <v>0.11818473824035466</v>
      </c>
      <c r="AF28" s="212">
        <f t="shared" ca="1" si="6"/>
        <v>8.8334777973208781E-2</v>
      </c>
    </row>
    <row r="29" spans="1:32" s="19" customFormat="1" thickBot="1" x14ac:dyDescent="0.25">
      <c r="A29" s="114">
        <v>103366000</v>
      </c>
      <c r="B29" s="115" t="s">
        <v>2292</v>
      </c>
      <c r="C29" s="115" t="s">
        <v>2293</v>
      </c>
      <c r="D29" s="115"/>
      <c r="E29" s="115">
        <v>825</v>
      </c>
      <c r="F29" s="111">
        <f t="shared" ca="1" si="0"/>
        <v>2.2396374999999997</v>
      </c>
      <c r="G29" s="112">
        <f t="shared" ca="1" si="1"/>
        <v>0.30220235294117648</v>
      </c>
      <c r="H29" s="116">
        <v>1.39</v>
      </c>
      <c r="I29" s="116" t="s">
        <v>2724</v>
      </c>
      <c r="J29" s="79">
        <v>1</v>
      </c>
      <c r="K29" s="78" t="s">
        <v>857</v>
      </c>
      <c r="L29" s="135" t="str">
        <f>IF(ISERROR(GETPIVOTDATA(IF($J29=1,"Count of ACTIVE     CED, FARM GATE (MJ/kg)","Count of CED, processor gate (MJ/kg)"),'Pivot Table_CED'!$A$3,"SUB TYPE",$B29)),"PROXY",IF(GETPIVOTDATA(IF($J29=1,"Count of ACTIVE     CED, FARM GATE (MJ/kg)","Count of CED, processor gate (MJ/kg)"),'Pivot Table_CED'!$A$3,"SUB TYPE",$B29)=0,"PROXY","DB value"))</f>
        <v>PROXY</v>
      </c>
      <c r="M29" s="118">
        <f ca="1">IF($L29="PROXY",DCOUNT('literature entries'!$D:$AI,IF($J29=1,"ACTIVE     CED, FARM GATE (MJ/kg)","CED, processor gate (MJ/kg)"),INDIRECT($K29)),GETPIVOTDATA(IF($J29=1,"Count of ACTIVE     CED, FARM GATE (MJ/kg)","Count of CED, processor gate (MJ/kg)"),'Pivot Table_CED'!$A$3,"SUB TYPE",$B29))</f>
        <v>8</v>
      </c>
      <c r="N29" s="119">
        <f ca="1">IF($L29="PROXY",DAVERAGE('literature entries'!$D:$AI,IF($J29=1,"ACTIVE     CED, FARM GATE (MJ/kg)","CED, processor gate (MJ/kg)"),INDIRECT($K29)),GETPIVOTDATA(IF($J29=1,"Average of ACTIVE     CED, FARM GATE (MJ/kg)","Average of CED, processor gate (MJ/kg)"),'Pivot Table_CED'!$A$3,"SUB TYPE",$B29))</f>
        <v>1.6112500000000001</v>
      </c>
      <c r="O29" s="119">
        <f ca="1">IF($L29="PROXY",DSTDEV('literature entries'!D:AI,IF($J29=1,"ACTIVE     CED, FARM GATE (MJ/kg)","CED, processor gate (MJ/kg)"),INDIRECT($K29)),GETPIVOTDATA(IF($J29=1,"StdDev of ACTIVE     CED, FARM GATE (MJ/kg)","StdDev of CED, processor gate (MJ/kg)"),'Pivot Table_CED'!$A$3,"SUB TYPE",$B29))</f>
        <v>0.53279418433119463</v>
      </c>
      <c r="P29" s="135" t="str">
        <f>IF(ISERROR(GETPIVOTDATA(IF($J29=1,"Count of ACTIVE     GHGE, FARM GATE (kg CO2e/kg)","Count of GHGE, processor gate (kg CO2e/kg)"),'Pivot Table_GHG'!$A$3,"SUB TYPE",$B29)),"PROXY",IF(GETPIVOTDATA(IF($J29=1,"Count of ACTIVE     GHGE, FARM GATE (kg CO2e/kg)","Count of GHGE, processor gate (kg CO2e/kg)"),'Pivot Table_GHG'!$A$3,"SUB TYPE",$B29)=0,"PROXY","DB value"))</f>
        <v>PROXY</v>
      </c>
      <c r="Q29" s="125">
        <f ca="1">IF($P29="PROXY",DCOUNT('literature entries'!$D:$AI,IF($J29=1,"ACTIVE     GHGE, FARM GATE (kg CO2e/kg)","GHGE, processor gate (kg CO2e/kg)"),INDIRECT($K29)),GETPIVOTDATA(IF($J29=1,"ACTIVE     GHGE, FARM GATE (kg CO2e/kg)","Count of GHGE, processor gate (kg CO2e/kg)"),'Pivot Table_GHG'!$A$3,"SUB TYPE",$B29))</f>
        <v>17</v>
      </c>
      <c r="R29" s="190">
        <f ca="1">IF($P29="PROXY",DAVERAGE('literature entries'!$D:$AI,IF($J29=1,"ACTIVE     GHGE, FARM GATE (kg CO2e/kg)","GHGE, processor gate (kg CO2e/kg)"),INDIRECT($K29)),GETPIVOTDATA(IF($J29=1,"Average of ACTIVE     GHGE, FARM GATE (kg CO2e/kg)","Average of GHGE, processor gate (kg CO2e/kg)"),'Pivot Table_GHG'!$A$3,"SUB TYPE",$B29))</f>
        <v>0.21741176470588239</v>
      </c>
      <c r="S29" s="190">
        <f ca="1">IF($P29="PROXY",DSTDEV('literature entries'!$D:$AI,IF($J29=1,"ACTIVE     GHGE, FARM GATE (kg CO2e/kg)","GHGE, processor gate (kg CO2e/kg)"),INDIRECT($K29)),GETPIVOTDATA(IF($J29=1,"StdDev of ACTIVE     GHGE, FARM GATE (kg CO2e/kg)","StdDev of GHGE, processor gate (kg CO2e/kg)"),'Pivot Table_GHG'!$A$3,"SUB TYPE",$B29))</f>
        <v>0.11818473824035466</v>
      </c>
      <c r="T29" s="88"/>
      <c r="U29" s="89"/>
      <c r="W29" s="213" t="str">
        <f ca="1">IF(L29="PROXY",IF(M29&gt;=5,K29,"need group"),IF(M29&gt;=5,"DIRECT","need group"))</f>
        <v>potato</v>
      </c>
      <c r="X29" s="211">
        <f ca="1">IF($W29="DIRECT",M29,DCOUNT('literature entries'!$D:$AI,IF($J29=1,"ACTIVE     CED, FARM GATE (MJ/kg)","CED, processor gate (MJ/kg)"),INDIRECT($W29)))</f>
        <v>8</v>
      </c>
      <c r="Y29" s="211">
        <f ca="1">IF($W29="DIRECT","",DAVERAGE('literature entries'!$D:$AI,IF($J29=1,"ACTIVE     CED, FARM GATE (MJ/kg)","CED, processor gate (MJ/kg)"),INDIRECT($W29)))</f>
        <v>1.6112500000000001</v>
      </c>
      <c r="Z29" s="211">
        <f ca="1">IF($W29="DIRECT",$O29,DSTDEV('literature entries'!$D:$AI,IF($J29=1,"ACTIVE     CED, FARM GATE (MJ/kg)","CED, processor gate (MJ/kg)"),INDIRECT($W29)))</f>
        <v>0.53279418433119463</v>
      </c>
      <c r="AA29" s="211">
        <f t="shared" ca="1" si="5"/>
        <v>0.53279418433119463</v>
      </c>
      <c r="AB29" s="219" t="str">
        <f ca="1">IF(P29="PROXY",IF(Q29&gt;=5,K29,"need group"),IF(Q29&gt;=5,"DIRECT","need group"))</f>
        <v>potato</v>
      </c>
      <c r="AC29" s="212">
        <f ca="1">IF($AB29="DIRECT",Q29,DCOUNT('literature entries'!$D:$AI,IF($J29=1,"ACTIVE     GHGE, FARM GATE (kg CO2e/kg)","GHGE, processor gate (kg CO2e/kg)"),INDIRECT($AB29)))</f>
        <v>17</v>
      </c>
      <c r="AD29" s="212">
        <f ca="1">IF($AB29="DIRECT","",DAVERAGE('literature entries'!$D:$AI,IF($J29=1,"ACTIVE     GHGE, FARM GATE (kg CO2e/kg)","GHGE, processor gate (kg CO2e/kg)"),INDIRECT($AB29)))</f>
        <v>0.21741176470588239</v>
      </c>
      <c r="AE29" s="212">
        <f ca="1">IF($AB29="DIRECT",$S29,DSTDEV('literature entries'!$D:$AI,IF($J29=1,"ACTIVE     GHGE, FARM GATE (kg CO2e/kg)","GHGE, processor gate (kg CO2e/kg)"),INDIRECT($AB29)))</f>
        <v>0.11818473824035466</v>
      </c>
      <c r="AF29" s="212">
        <f t="shared" ca="1" si="6"/>
        <v>0.11818473824035466</v>
      </c>
    </row>
    <row r="30" spans="1:32" s="19" customFormat="1" ht="17" thickBot="1" x14ac:dyDescent="0.25">
      <c r="A30" s="114">
        <v>103371000</v>
      </c>
      <c r="B30" s="115" t="s">
        <v>2302</v>
      </c>
      <c r="C30" s="115" t="s">
        <v>2303</v>
      </c>
      <c r="D30" s="115" t="s">
        <v>2304</v>
      </c>
      <c r="E30" s="115">
        <v>8</v>
      </c>
      <c r="F30" s="111">
        <f t="shared" ca="1" si="0"/>
        <v>1.4220714285714284</v>
      </c>
      <c r="G30" s="112">
        <f t="shared" ca="1" si="1"/>
        <v>0.21340000000000003</v>
      </c>
      <c r="H30" s="116">
        <v>1</v>
      </c>
      <c r="I30" s="117" t="s">
        <v>594</v>
      </c>
      <c r="J30" s="79">
        <v>1</v>
      </c>
      <c r="K30" s="78" t="s">
        <v>2455</v>
      </c>
      <c r="L30" s="135" t="str">
        <f>IF(ISERROR(GETPIVOTDATA(IF($J30=1,"Count of ACTIVE     CED, FARM GATE (MJ/kg)","Count of CED, processor gate (MJ/kg)"),'Pivot Table_CED'!$A$3,"SUB TYPE",$B30)),"PROXY",IF(GETPIVOTDATA(IF($J30=1,"Count of ACTIVE     CED, FARM GATE (MJ/kg)","Count of CED, processor gate (MJ/kg)"),'Pivot Table_CED'!$A$3,"SUB TYPE",$B30)=0,"PROXY","DB value"))</f>
        <v>PROXY</v>
      </c>
      <c r="M30" s="118">
        <f ca="1">IF($L30="PROXY",DCOUNT('literature entries'!$D:$AI,IF($J30=1,"ACTIVE     CED, FARM GATE (MJ/kg)","CED, processor gate (MJ/kg)"),INDIRECT($K30)),GETPIVOTDATA(IF($J30=1,"Count of ACTIVE     CED, FARM GATE (MJ/kg)","Count of CED, processor gate (MJ/kg)"),'Pivot Table_CED'!$A$3,"SUB TYPE",$B30))</f>
        <v>14</v>
      </c>
      <c r="N30" s="119">
        <f ca="1">IF($L30="PROXY",DAVERAGE('literature entries'!$D:$AI,IF($J30=1,"ACTIVE     CED, FARM GATE (MJ/kg)","CED, processor gate (MJ/kg)"),INDIRECT($K30)),GETPIVOTDATA(IF($J30=1,"Average of ACTIVE     CED, FARM GATE (MJ/kg)","Average of CED, processor gate (MJ/kg)"),'Pivot Table_CED'!$A$3,"SUB TYPE",$B30))</f>
        <v>1.4220714285714284</v>
      </c>
      <c r="O30" s="119">
        <f ca="1">IF($L30="PROXY",DSTDEV('literature entries'!D:AI,IF($J30=1,"ACTIVE     CED, FARM GATE (MJ/kg)","CED, processor gate (MJ/kg)"),INDIRECT($K30)),GETPIVOTDATA(IF($J30=1,"StdDev of ACTIVE     CED, FARM GATE (MJ/kg)","StdDev of CED, processor gate (MJ/kg)"),'Pivot Table_CED'!$A$3,"SUB TYPE",$B30))</f>
        <v>0.57442043892896122</v>
      </c>
      <c r="P30" s="135" t="str">
        <f>IF(ISERROR(GETPIVOTDATA(IF($J30=1,"Count of ACTIVE     GHGE, FARM GATE (kg CO2e/kg)","Count of GHGE, processor gate (kg CO2e/kg)"),'Pivot Table_GHG'!$A$3,"SUB TYPE",$B30)),"PROXY",IF(GETPIVOTDATA(IF($J30=1,"Count of ACTIVE     GHGE, FARM GATE (kg CO2e/kg)","Count of GHGE, processor gate (kg CO2e/kg)"),'Pivot Table_GHG'!$A$3,"SUB TYPE",$B30)=0,"PROXY","DB value"))</f>
        <v>PROXY</v>
      </c>
      <c r="Q30" s="125">
        <f ca="1">IF($P30="PROXY",DCOUNT('literature entries'!$D:$AI,IF($J30=1,"ACTIVE     GHGE, FARM GATE (kg CO2e/kg)","GHGE, processor gate (kg CO2e/kg)"),INDIRECT($K30)),GETPIVOTDATA(IF($J30=1,"ACTIVE     GHGE, FARM GATE (kg CO2e/kg)","Count of GHGE, processor gate (kg CO2e/kg)"),'Pivot Table_GHG'!$A$3,"SUB TYPE",$B30))</f>
        <v>25</v>
      </c>
      <c r="R30" s="190">
        <f ca="1">IF($P30="PROXY",DAVERAGE('literature entries'!$D:$AI,IF($J30=1,"ACTIVE     GHGE, FARM GATE (kg CO2e/kg)","GHGE, processor gate (kg CO2e/kg)"),INDIRECT($K30)),GETPIVOTDATA(IF($J30=1,"Average of ACTIVE     GHGE, FARM GATE (kg CO2e/kg)","Average of GHGE, processor gate (kg CO2e/kg)"),'Pivot Table_GHG'!$A$3,"SUB TYPE",$B30))</f>
        <v>0.21340000000000003</v>
      </c>
      <c r="S30" s="190">
        <f ca="1">IF($P30="PROXY",DSTDEV('literature entries'!$D:$AI,IF($J30=1,"ACTIVE     GHGE, FARM GATE (kg CO2e/kg)","GHGE, processor gate (kg CO2e/kg)"),INDIRECT($K30)),GETPIVOTDATA(IF($J30=1,"StdDev of ACTIVE     GHGE, FARM GATE (kg CO2e/kg)","StdDev of GHGE, processor gate (kg CO2e/kg)"),'Pivot Table_GHG'!$A$3,"SUB TYPE",$B30))</f>
        <v>0.17992035274902424</v>
      </c>
      <c r="T30" s="88"/>
      <c r="U30" s="89"/>
      <c r="W30" s="213" t="str">
        <f ca="1">IF(L30="PROXY",IF(M30&gt;=5,K30,"need group"),IF(M30&gt;=5,"DIRECT","need group"))</f>
        <v>roots</v>
      </c>
      <c r="X30" s="211">
        <f ca="1">IF($W30="DIRECT",M30,DCOUNT('literature entries'!$D:$AI,IF($J30=1,"ACTIVE     CED, FARM GATE (MJ/kg)","CED, processor gate (MJ/kg)"),INDIRECT($W30)))</f>
        <v>14</v>
      </c>
      <c r="Y30" s="211">
        <f ca="1">IF($W30="DIRECT","",DAVERAGE('literature entries'!$D:$AI,IF($J30=1,"ACTIVE     CED, FARM GATE (MJ/kg)","CED, processor gate (MJ/kg)"),INDIRECT($W30)))</f>
        <v>1.4220714285714284</v>
      </c>
      <c r="Z30" s="211">
        <f ca="1">IF($W30="DIRECT",$O30,DSTDEV('literature entries'!$D:$AI,IF($J30=1,"ACTIVE     CED, FARM GATE (MJ/kg)","CED, processor gate (MJ/kg)"),INDIRECT($W30)))</f>
        <v>0.57442043892896122</v>
      </c>
      <c r="AA30" s="211">
        <f t="shared" ca="1" si="5"/>
        <v>0.57442043892896122</v>
      </c>
      <c r="AB30" s="219" t="str">
        <f ca="1">IF(P30="PROXY",IF(Q30&gt;=5,K30,"need group"),IF(Q30&gt;=5,"DIRECT","need group"))</f>
        <v>roots</v>
      </c>
      <c r="AC30" s="212">
        <f ca="1">IF($AB30="DIRECT",Q30,DCOUNT('literature entries'!$D:$AI,IF($J30=1,"ACTIVE     GHGE, FARM GATE (kg CO2e/kg)","GHGE, processor gate (kg CO2e/kg)"),INDIRECT($AB30)))</f>
        <v>25</v>
      </c>
      <c r="AD30" s="212">
        <f ca="1">IF($AB30="DIRECT","",DAVERAGE('literature entries'!$D:$AI,IF($J30=1,"ACTIVE     GHGE, FARM GATE (kg CO2e/kg)","GHGE, processor gate (kg CO2e/kg)"),INDIRECT($AB30)))</f>
        <v>0.21340000000000003</v>
      </c>
      <c r="AE30" s="212">
        <f ca="1">IF($AB30="DIRECT",$S30,DSTDEV('literature entries'!$D:$AI,IF($J30=1,"ACTIVE     GHGE, FARM GATE (kg CO2e/kg)","GHGE, processor gate (kg CO2e/kg)"),INDIRECT($AB30)))</f>
        <v>0.17992035274902424</v>
      </c>
      <c r="AF30" s="212">
        <f t="shared" ca="1" si="6"/>
        <v>0.17992035274902424</v>
      </c>
    </row>
    <row r="31" spans="1:32" s="19" customFormat="1" ht="17" thickBot="1" x14ac:dyDescent="0.25">
      <c r="A31" s="114">
        <v>103387000</v>
      </c>
      <c r="B31" s="115" t="s">
        <v>2330</v>
      </c>
      <c r="C31" s="115" t="s">
        <v>1851</v>
      </c>
      <c r="D31" s="115"/>
      <c r="E31" s="115">
        <v>7304</v>
      </c>
      <c r="F31" s="111">
        <f t="shared" ca="1" si="0"/>
        <v>1.4220714285714284</v>
      </c>
      <c r="G31" s="112">
        <f t="shared" ca="1" si="1"/>
        <v>0.21340000000000003</v>
      </c>
      <c r="H31" s="116">
        <v>1</v>
      </c>
      <c r="I31" s="117" t="s">
        <v>594</v>
      </c>
      <c r="J31" s="79">
        <v>1</v>
      </c>
      <c r="K31" s="78" t="s">
        <v>2455</v>
      </c>
      <c r="L31" s="135" t="str">
        <f>IF(ISERROR(GETPIVOTDATA(IF($J31=1,"Count of ACTIVE     CED, FARM GATE (MJ/kg)","Count of CED, processor gate (MJ/kg)"),'Pivot Table_CED'!$A$3,"SUB TYPE",$B31)),"PROXY",IF(GETPIVOTDATA(IF($J31=1,"Count of ACTIVE     CED, FARM GATE (MJ/kg)","Count of CED, processor gate (MJ/kg)"),'Pivot Table_CED'!$A$3,"SUB TYPE",$B31)=0,"PROXY","DB value"))</f>
        <v>PROXY</v>
      </c>
      <c r="M31" s="118">
        <f ca="1">IF($L31="PROXY",DCOUNT('literature entries'!$D:$AI,IF($J31=1,"ACTIVE     CED, FARM GATE (MJ/kg)","CED, processor gate (MJ/kg)"),INDIRECT($K31)),GETPIVOTDATA(IF($J31=1,"Count of ACTIVE     CED, FARM GATE (MJ/kg)","Count of CED, processor gate (MJ/kg)"),'Pivot Table_CED'!$A$3,"SUB TYPE",$B31))</f>
        <v>14</v>
      </c>
      <c r="N31" s="119">
        <f ca="1">IF($L31="PROXY",DAVERAGE('literature entries'!$D:$AI,IF($J31=1,"ACTIVE     CED, FARM GATE (MJ/kg)","CED, processor gate (MJ/kg)"),INDIRECT($K31)),GETPIVOTDATA(IF($J31=1,"Average of ACTIVE     CED, FARM GATE (MJ/kg)","Average of CED, processor gate (MJ/kg)"),'Pivot Table_CED'!$A$3,"SUB TYPE",$B31))</f>
        <v>1.4220714285714284</v>
      </c>
      <c r="O31" s="119">
        <f ca="1">IF($L31="PROXY",DSTDEV('literature entries'!D:AI,IF($J31=1,"ACTIVE     CED, FARM GATE (MJ/kg)","CED, processor gate (MJ/kg)"),INDIRECT($K31)),GETPIVOTDATA(IF($J31=1,"StdDev of ACTIVE     CED, FARM GATE (MJ/kg)","StdDev of CED, processor gate (MJ/kg)"),'Pivot Table_CED'!$A$3,"SUB TYPE",$B31))</f>
        <v>0.57442043892896122</v>
      </c>
      <c r="P31" s="135" t="str">
        <f>IF(ISERROR(GETPIVOTDATA(IF($J31=1,"Count of ACTIVE     GHGE, FARM GATE (kg CO2e/kg)","Count of GHGE, processor gate (kg CO2e/kg)"),'Pivot Table_GHG'!$A$3,"SUB TYPE",$B31)),"PROXY",IF(GETPIVOTDATA(IF($J31=1,"Count of ACTIVE     GHGE, FARM GATE (kg CO2e/kg)","Count of GHGE, processor gate (kg CO2e/kg)"),'Pivot Table_GHG'!$A$3,"SUB TYPE",$B31)=0,"PROXY","DB value"))</f>
        <v>PROXY</v>
      </c>
      <c r="Q31" s="125">
        <f ca="1">IF($P31="PROXY",DCOUNT('literature entries'!$D:$AI,IF($J31=1,"ACTIVE     GHGE, FARM GATE (kg CO2e/kg)","GHGE, processor gate (kg CO2e/kg)"),INDIRECT($K31)),GETPIVOTDATA(IF($J31=1,"ACTIVE     GHGE, FARM GATE (kg CO2e/kg)","Count of GHGE, processor gate (kg CO2e/kg)"),'Pivot Table_GHG'!$A$3,"SUB TYPE",$B31))</f>
        <v>25</v>
      </c>
      <c r="R31" s="190">
        <f ca="1">IF($P31="PROXY",DAVERAGE('literature entries'!$D:$AI,IF($J31=1,"ACTIVE     GHGE, FARM GATE (kg CO2e/kg)","GHGE, processor gate (kg CO2e/kg)"),INDIRECT($K31)),GETPIVOTDATA(IF($J31=1,"Average of ACTIVE     GHGE, FARM GATE (kg CO2e/kg)","Average of GHGE, processor gate (kg CO2e/kg)"),'Pivot Table_GHG'!$A$3,"SUB TYPE",$B31))</f>
        <v>0.21340000000000003</v>
      </c>
      <c r="S31" s="190">
        <f ca="1">IF($P31="PROXY",DSTDEV('literature entries'!$D:$AI,IF($J31=1,"ACTIVE     GHGE, FARM GATE (kg CO2e/kg)","GHGE, processor gate (kg CO2e/kg)"),INDIRECT($K31)),GETPIVOTDATA(IF($J31=1,"StdDev of ACTIVE     GHGE, FARM GATE (kg CO2e/kg)","StdDev of GHGE, processor gate (kg CO2e/kg)"),'Pivot Table_GHG'!$A$3,"SUB TYPE",$B31))</f>
        <v>0.17992035274902424</v>
      </c>
      <c r="T31" s="88"/>
      <c r="U31" s="89"/>
      <c r="W31" s="213" t="str">
        <f ca="1">IF(L31="PROXY",IF(M31&gt;=5,K31,"need group"),IF(M31&gt;=5,"DIRECT","need group"))</f>
        <v>roots</v>
      </c>
      <c r="X31" s="211">
        <f ca="1">IF($W31="DIRECT",M31,DCOUNT('literature entries'!$D:$AI,IF($J31=1,"ACTIVE     CED, FARM GATE (MJ/kg)","CED, processor gate (MJ/kg)"),INDIRECT($W31)))</f>
        <v>14</v>
      </c>
      <c r="Y31" s="211">
        <f ca="1">IF($W31="DIRECT","",DAVERAGE('literature entries'!$D:$AI,IF($J31=1,"ACTIVE     CED, FARM GATE (MJ/kg)","CED, processor gate (MJ/kg)"),INDIRECT($W31)))</f>
        <v>1.4220714285714284</v>
      </c>
      <c r="Z31" s="211">
        <f ca="1">IF($W31="DIRECT",$O31,DSTDEV('literature entries'!$D:$AI,IF($J31=1,"ACTIVE     CED, FARM GATE (MJ/kg)","CED, processor gate (MJ/kg)"),INDIRECT($W31)))</f>
        <v>0.57442043892896122</v>
      </c>
      <c r="AA31" s="211">
        <f t="shared" ca="1" si="5"/>
        <v>0.57442043892896122</v>
      </c>
      <c r="AB31" s="219" t="str">
        <f ca="1">IF(P31="PROXY",IF(Q31&gt;=5,K31,"need group"),IF(Q31&gt;=5,"DIRECT","need group"))</f>
        <v>roots</v>
      </c>
      <c r="AC31" s="212">
        <f ca="1">IF($AB31="DIRECT",Q31,DCOUNT('literature entries'!$D:$AI,IF($J31=1,"ACTIVE     GHGE, FARM GATE (kg CO2e/kg)","GHGE, processor gate (kg CO2e/kg)"),INDIRECT($AB31)))</f>
        <v>25</v>
      </c>
      <c r="AD31" s="212">
        <f ca="1">IF($AB31="DIRECT","",DAVERAGE('literature entries'!$D:$AI,IF($J31=1,"ACTIVE     GHGE, FARM GATE (kg CO2e/kg)","GHGE, processor gate (kg CO2e/kg)"),INDIRECT($AB31)))</f>
        <v>0.21340000000000003</v>
      </c>
      <c r="AE31" s="212">
        <f ca="1">IF($AB31="DIRECT",$S31,DSTDEV('literature entries'!$D:$AI,IF($J31=1,"ACTIVE     GHGE, FARM GATE (kg CO2e/kg)","GHGE, processor gate (kg CO2e/kg)"),INDIRECT($AB31)))</f>
        <v>0.17992035274902424</v>
      </c>
      <c r="AF31" s="212">
        <f t="shared" ca="1" si="6"/>
        <v>0.17992035274902424</v>
      </c>
    </row>
    <row r="32" spans="1:32" s="19" customFormat="1" ht="17" thickBot="1" x14ac:dyDescent="0.25">
      <c r="A32" s="114">
        <v>103406000</v>
      </c>
      <c r="B32" s="115" t="s">
        <v>2356</v>
      </c>
      <c r="C32" s="115" t="s">
        <v>1851</v>
      </c>
      <c r="D32" s="115"/>
      <c r="E32" s="115">
        <v>24</v>
      </c>
      <c r="F32" s="111">
        <f t="shared" ca="1" si="0"/>
        <v>1.8690499999999999</v>
      </c>
      <c r="G32" s="112">
        <f t="shared" ca="1" si="1"/>
        <v>1.0207999999999999</v>
      </c>
      <c r="H32" s="116">
        <v>1.1599999999999999</v>
      </c>
      <c r="I32" s="117" t="s">
        <v>2724</v>
      </c>
      <c r="J32" s="79">
        <v>1</v>
      </c>
      <c r="K32" s="78" t="s">
        <v>857</v>
      </c>
      <c r="L32" s="135" t="str">
        <f>IF(ISERROR(GETPIVOTDATA(IF($J32=1,"Count of ACTIVE     CED, FARM GATE (MJ/kg)","Count of CED, processor gate (MJ/kg)"),'Pivot Table_CED'!$A$3,"SUB TYPE",$B32)),"PROXY",IF(GETPIVOTDATA(IF($J32=1,"Count of ACTIVE     CED, FARM GATE (MJ/kg)","Count of CED, processor gate (MJ/kg)"),'Pivot Table_CED'!$A$3,"SUB TYPE",$B32)=0,"PROXY","DB value"))</f>
        <v>PROXY</v>
      </c>
      <c r="M32" s="118">
        <f ca="1">IF($L32="PROXY",DCOUNT('literature entries'!$D:$AI,IF($J32=1,"ACTIVE     CED, FARM GATE (MJ/kg)","CED, processor gate (MJ/kg)"),INDIRECT($K32)),GETPIVOTDATA(IF($J32=1,"Count of ACTIVE     CED, FARM GATE (MJ/kg)","Count of CED, processor gate (MJ/kg)"),'Pivot Table_CED'!$A$3,"SUB TYPE",$B32))</f>
        <v>8</v>
      </c>
      <c r="N32" s="119">
        <f ca="1">IF($L32="PROXY",DAVERAGE('literature entries'!$D:$AI,IF($J32=1,"ACTIVE     CED, FARM GATE (MJ/kg)","CED, processor gate (MJ/kg)"),INDIRECT($K32)),GETPIVOTDATA(IF($J32=1,"Average of ACTIVE     CED, FARM GATE (MJ/kg)","Average of CED, processor gate (MJ/kg)"),'Pivot Table_CED'!$A$3,"SUB TYPE",$B32))</f>
        <v>1.6112500000000001</v>
      </c>
      <c r="O32" s="119">
        <f ca="1">IF($L32="PROXY",DSTDEV('literature entries'!D:AI,IF($J32=1,"ACTIVE     CED, FARM GATE (MJ/kg)","CED, processor gate (MJ/kg)"),INDIRECT($K32)),GETPIVOTDATA(IF($J32=1,"StdDev of ACTIVE     CED, FARM GATE (MJ/kg)","StdDev of CED, processor gate (MJ/kg)"),'Pivot Table_CED'!$A$3,"SUB TYPE",$B32))</f>
        <v>0.53279418433119463</v>
      </c>
      <c r="P32" s="135" t="str">
        <f>IF(ISERROR(GETPIVOTDATA(IF($J32=1,"Count of ACTIVE     GHGE, FARM GATE (kg CO2e/kg)","Count of GHGE, processor gate (kg CO2e/kg)"),'Pivot Table_GHG'!$A$3,"SUB TYPE",$B32)),"PROXY",IF(GETPIVOTDATA(IF($J32=1,"Count of ACTIVE     GHGE, FARM GATE (kg CO2e/kg)","Count of GHGE, processor gate (kg CO2e/kg)"),'Pivot Table_GHG'!$A$3,"SUB TYPE",$B32)=0,"PROXY","DB value"))</f>
        <v>DB value</v>
      </c>
      <c r="Q32" s="125">
        <f ca="1">IF($P32="PROXY",DCOUNT('literature entries'!$D:$AI,IF($J32=1,"ACTIVE     GHGE, FARM GATE (kg CO2e/kg)","GHGE, processor gate (kg CO2e/kg)"),INDIRECT($K32)),GETPIVOTDATA(IF($J32=1,"ACTIVE     GHGE, FARM GATE (kg CO2e/kg)","Count of GHGE, processor gate (kg CO2e/kg)"),'Pivot Table_GHG'!$A$3,"SUB TYPE",$B32))</f>
        <v>1</v>
      </c>
      <c r="R32" s="190">
        <f ca="1">IF($P32="PROXY",DAVERAGE('literature entries'!$D:$AI,IF($J32=1,"ACTIVE     GHGE, FARM GATE (kg CO2e/kg)","GHGE, processor gate (kg CO2e/kg)"),INDIRECT($K32)),GETPIVOTDATA(IF($J32=1,"Average of ACTIVE     GHGE, FARM GATE (kg CO2e/kg)","Average of GHGE, processor gate (kg CO2e/kg)"),'Pivot Table_GHG'!$A$3,"SUB TYPE",$B32))</f>
        <v>0.88</v>
      </c>
      <c r="S32" s="190" t="e">
        <f ca="1">IF($P32="PROXY",DSTDEV('literature entries'!$D:$AI,IF($J32=1,"ACTIVE     GHGE, FARM GATE (kg CO2e/kg)","GHGE, processor gate (kg CO2e/kg)"),INDIRECT($K32)),GETPIVOTDATA(IF($J32=1,"StdDev of ACTIVE     GHGE, FARM GATE (kg CO2e/kg)","StdDev of GHGE, processor gate (kg CO2e/kg)"),'Pivot Table_GHG'!$A$3,"SUB TYPE",$B32))</f>
        <v>#DIV/0!</v>
      </c>
      <c r="T32" s="88"/>
      <c r="U32" s="89"/>
      <c r="W32" s="213" t="s">
        <v>2455</v>
      </c>
      <c r="X32" s="211">
        <f ca="1">IF($W32="DIRECT",M32,DCOUNT('literature entries'!$D:$AI,IF($J32=1,"ACTIVE     CED, FARM GATE (MJ/kg)","CED, processor gate (MJ/kg)"),INDIRECT($W32)))</f>
        <v>14</v>
      </c>
      <c r="Y32" s="211">
        <f ca="1">IF($W32="DIRECT","",DAVERAGE('literature entries'!$D:$AI,IF($J32=1,"ACTIVE     CED, FARM GATE (MJ/kg)","CED, processor gate (MJ/kg)"),INDIRECT($W32)))</f>
        <v>1.4220714285714284</v>
      </c>
      <c r="Z32" s="211">
        <f ca="1">IF($W32="DIRECT",$O32,DSTDEV('literature entries'!$D:$AI,IF($J32=1,"ACTIVE     CED, FARM GATE (MJ/kg)","CED, processor gate (MJ/kg)"),INDIRECT($W32)))</f>
        <v>0.57442043892896122</v>
      </c>
      <c r="AA32" s="211">
        <f t="shared" ca="1" si="5"/>
        <v>0.65083575524335946</v>
      </c>
      <c r="AB32" s="219" t="s">
        <v>2455</v>
      </c>
      <c r="AC32" s="212">
        <f ca="1">IF($AB32="DIRECT",Q32,DCOUNT('literature entries'!$D:$AI,IF($J32=1,"ACTIVE     GHGE, FARM GATE (kg CO2e/kg)","GHGE, processor gate (kg CO2e/kg)"),INDIRECT($AB32)))</f>
        <v>25</v>
      </c>
      <c r="AD32" s="212">
        <f ca="1">IF($AB32="DIRECT","",DAVERAGE('literature entries'!$D:$AI,IF($J32=1,"ACTIVE     GHGE, FARM GATE (kg CO2e/kg)","GHGE, processor gate (kg CO2e/kg)"),INDIRECT($AB32)))</f>
        <v>0.21340000000000003</v>
      </c>
      <c r="AE32" s="212">
        <f ca="1">IF($AB32="DIRECT",$S32,DSTDEV('literature entries'!$D:$AI,IF($J32=1,"ACTIVE     GHGE, FARM GATE (kg CO2e/kg)","GHGE, processor gate (kg CO2e/kg)"),INDIRECT($AB32)))</f>
        <v>0.17992035274902424</v>
      </c>
      <c r="AF32" s="212">
        <f t="shared" ca="1" si="6"/>
        <v>0.74193959896504824</v>
      </c>
    </row>
    <row r="33" spans="1:32" s="19" customFormat="1" ht="17" thickBot="1" x14ac:dyDescent="0.25">
      <c r="A33" s="114">
        <v>103407000</v>
      </c>
      <c r="B33" s="115" t="s">
        <v>2354</v>
      </c>
      <c r="C33" s="115" t="s">
        <v>1851</v>
      </c>
      <c r="D33" s="115" t="s">
        <v>2355</v>
      </c>
      <c r="E33" s="115">
        <v>62</v>
      </c>
      <c r="F33" s="111">
        <f t="shared" ca="1" si="0"/>
        <v>1.7562625000000003</v>
      </c>
      <c r="G33" s="112">
        <f t="shared" ca="1" si="1"/>
        <v>0.23697882352941183</v>
      </c>
      <c r="H33" s="116">
        <v>1.0900000000000001</v>
      </c>
      <c r="I33" s="117" t="s">
        <v>2724</v>
      </c>
      <c r="J33" s="79">
        <v>1</v>
      </c>
      <c r="K33" s="78" t="s">
        <v>857</v>
      </c>
      <c r="L33" s="135" t="str">
        <f>IF(ISERROR(GETPIVOTDATA(IF($J33=1,"Count of ACTIVE     CED, FARM GATE (MJ/kg)","Count of CED, processor gate (MJ/kg)"),'Pivot Table_CED'!$A$3,"SUB TYPE",$B33)),"PROXY",IF(GETPIVOTDATA(IF($J33=1,"Count of ACTIVE     CED, FARM GATE (MJ/kg)","Count of CED, processor gate (MJ/kg)"),'Pivot Table_CED'!$A$3,"SUB TYPE",$B33)=0,"PROXY","DB value"))</f>
        <v>PROXY</v>
      </c>
      <c r="M33" s="118">
        <f ca="1">IF($L33="PROXY",DCOUNT('literature entries'!$D:$AI,IF($J33=1,"ACTIVE     CED, FARM GATE (MJ/kg)","CED, processor gate (MJ/kg)"),INDIRECT($K33)),GETPIVOTDATA(IF($J33=1,"Count of ACTIVE     CED, FARM GATE (MJ/kg)","Count of CED, processor gate (MJ/kg)"),'Pivot Table_CED'!$A$3,"SUB TYPE",$B33))</f>
        <v>8</v>
      </c>
      <c r="N33" s="119">
        <f ca="1">IF($L33="PROXY",DAVERAGE('literature entries'!$D:$AI,IF($J33=1,"ACTIVE     CED, FARM GATE (MJ/kg)","CED, processor gate (MJ/kg)"),INDIRECT($K33)),GETPIVOTDATA(IF($J33=1,"Average of ACTIVE     CED, FARM GATE (MJ/kg)","Average of CED, processor gate (MJ/kg)"),'Pivot Table_CED'!$A$3,"SUB TYPE",$B33))</f>
        <v>1.6112500000000001</v>
      </c>
      <c r="O33" s="119">
        <f ca="1">IF($L33="PROXY",DSTDEV('literature entries'!D:AI,IF($J33=1,"ACTIVE     CED, FARM GATE (MJ/kg)","CED, processor gate (MJ/kg)"),INDIRECT($K33)),GETPIVOTDATA(IF($J33=1,"StdDev of ACTIVE     CED, FARM GATE (MJ/kg)","StdDev of CED, processor gate (MJ/kg)"),'Pivot Table_CED'!$A$3,"SUB TYPE",$B33))</f>
        <v>0.53279418433119463</v>
      </c>
      <c r="P33" s="135" t="str">
        <f>IF(ISERROR(GETPIVOTDATA(IF($J33=1,"Count of ACTIVE     GHGE, FARM GATE (kg CO2e/kg)","Count of GHGE, processor gate (kg CO2e/kg)"),'Pivot Table_GHG'!$A$3,"SUB TYPE",$B33)),"PROXY",IF(GETPIVOTDATA(IF($J33=1,"Count of ACTIVE     GHGE, FARM GATE (kg CO2e/kg)","Count of GHGE, processor gate (kg CO2e/kg)"),'Pivot Table_GHG'!$A$3,"SUB TYPE",$B33)=0,"PROXY","DB value"))</f>
        <v>PROXY</v>
      </c>
      <c r="Q33" s="125">
        <f ca="1">IF($P33="PROXY",DCOUNT('literature entries'!$D:$AI,IF($J33=1,"ACTIVE     GHGE, FARM GATE (kg CO2e/kg)","GHGE, processor gate (kg CO2e/kg)"),INDIRECT($K33)),GETPIVOTDATA(IF($J33=1,"ACTIVE     GHGE, FARM GATE (kg CO2e/kg)","Count of GHGE, processor gate (kg CO2e/kg)"),'Pivot Table_GHG'!$A$3,"SUB TYPE",$B33))</f>
        <v>17</v>
      </c>
      <c r="R33" s="190">
        <f ca="1">IF($P33="PROXY",DAVERAGE('literature entries'!$D:$AI,IF($J33=1,"ACTIVE     GHGE, FARM GATE (kg CO2e/kg)","GHGE, processor gate (kg CO2e/kg)"),INDIRECT($K33)),GETPIVOTDATA(IF($J33=1,"Average of ACTIVE     GHGE, FARM GATE (kg CO2e/kg)","Average of GHGE, processor gate (kg CO2e/kg)"),'Pivot Table_GHG'!$A$3,"SUB TYPE",$B33))</f>
        <v>0.21741176470588239</v>
      </c>
      <c r="S33" s="190">
        <f ca="1">IF($P33="PROXY",DSTDEV('literature entries'!$D:$AI,IF($J33=1,"ACTIVE     GHGE, FARM GATE (kg CO2e/kg)","GHGE, processor gate (kg CO2e/kg)"),INDIRECT($K33)),GETPIVOTDATA(IF($J33=1,"StdDev of ACTIVE     GHGE, FARM GATE (kg CO2e/kg)","StdDev of GHGE, processor gate (kg CO2e/kg)"),'Pivot Table_GHG'!$A$3,"SUB TYPE",$B33))</f>
        <v>0.11818473824035466</v>
      </c>
      <c r="T33" s="88"/>
      <c r="U33" s="89"/>
      <c r="W33" s="213" t="s">
        <v>2455</v>
      </c>
      <c r="X33" s="211">
        <f ca="1">IF($W33="DIRECT",M33,DCOUNT('literature entries'!$D:$AI,IF($J33=1,"ACTIVE     CED, FARM GATE (MJ/kg)","CED, processor gate (MJ/kg)"),INDIRECT($W33)))</f>
        <v>14</v>
      </c>
      <c r="Y33" s="211">
        <f ca="1">IF($W33="DIRECT","",DAVERAGE('literature entries'!$D:$AI,IF($J33=1,"ACTIVE     CED, FARM GATE (MJ/kg)","CED, processor gate (MJ/kg)"),INDIRECT($W33)))</f>
        <v>1.4220714285714284</v>
      </c>
      <c r="Z33" s="211">
        <f ca="1">IF($W33="DIRECT",$O33,DSTDEV('literature entries'!$D:$AI,IF($J33=1,"ACTIVE     CED, FARM GATE (MJ/kg)","CED, processor gate (MJ/kg)"),INDIRECT($W33)))</f>
        <v>0.57442043892896122</v>
      </c>
      <c r="AA33" s="211">
        <f t="shared" ca="1" si="5"/>
        <v>0.65083575524335946</v>
      </c>
      <c r="AB33" s="219" t="str">
        <f ca="1">IF(P33="PROXY",IF(Q33&gt;=5,K33,"need group"),IF(Q33&gt;=5,"DIRECT","need group"))</f>
        <v>potato</v>
      </c>
      <c r="AC33" s="212">
        <f ca="1">IF($AB33="DIRECT",Q33,DCOUNT('literature entries'!$D:$AI,IF($J33=1,"ACTIVE     GHGE, FARM GATE (kg CO2e/kg)","GHGE, processor gate (kg CO2e/kg)"),INDIRECT($AB33)))</f>
        <v>17</v>
      </c>
      <c r="AD33" s="212">
        <f ca="1">IF($AB33="DIRECT","",DAVERAGE('literature entries'!$D:$AI,IF($J33=1,"ACTIVE     GHGE, FARM GATE (kg CO2e/kg)","GHGE, processor gate (kg CO2e/kg)"),INDIRECT($AB33)))</f>
        <v>0.21741176470588239</v>
      </c>
      <c r="AE33" s="212">
        <f ca="1">IF($AB33="DIRECT",$S33,DSTDEV('literature entries'!$D:$AI,IF($J33=1,"ACTIVE     GHGE, FARM GATE (kg CO2e/kg)","GHGE, processor gate (kg CO2e/kg)"),INDIRECT($AB33)))</f>
        <v>0.11818473824035466</v>
      </c>
      <c r="AF33" s="212">
        <f t="shared" ca="1" si="6"/>
        <v>0.11818473824035466</v>
      </c>
    </row>
    <row r="34" spans="1:32" s="19" customFormat="1" ht="17" thickBot="1" x14ac:dyDescent="0.25">
      <c r="A34" s="114">
        <v>200051000</v>
      </c>
      <c r="B34" s="115" t="s">
        <v>1824</v>
      </c>
      <c r="C34" s="115" t="s">
        <v>1760</v>
      </c>
      <c r="D34" s="126" t="s">
        <v>1825</v>
      </c>
      <c r="E34" s="115">
        <v>15</v>
      </c>
      <c r="F34" s="111">
        <f t="shared" ca="1" si="0"/>
        <v>4.5926521713000001</v>
      </c>
      <c r="G34" s="112">
        <f t="shared" ca="1" si="1"/>
        <v>0.33225933704090904</v>
      </c>
      <c r="H34" s="116">
        <v>1.79</v>
      </c>
      <c r="I34" s="117" t="s">
        <v>2724</v>
      </c>
      <c r="J34" s="79">
        <v>1</v>
      </c>
      <c r="K34" s="78" t="s">
        <v>2457</v>
      </c>
      <c r="L34" s="135" t="str">
        <f>IF(ISERROR(GETPIVOTDATA(IF($J34=1,"Count of ACTIVE     CED, FARM GATE (MJ/kg)","Count of CED, processor gate (MJ/kg)"),'Pivot Table_CED'!$A$3,"SUB TYPE",$B34)),"PROXY",IF(GETPIVOTDATA(IF($J34=1,"Count of ACTIVE     CED, FARM GATE (MJ/kg)","Count of CED, processor gate (MJ/kg)"),'Pivot Table_CED'!$A$3,"SUB TYPE",$B34)=0,"PROXY","DB value"))</f>
        <v>PROXY</v>
      </c>
      <c r="M34" s="118">
        <f ca="1">IF($L34="PROXY",DCOUNT('literature entries'!$D:$AI,IF($J34=1,"ACTIVE     CED, FARM GATE (MJ/kg)","CED, processor gate (MJ/kg)"),INDIRECT($K34)),GETPIVOTDATA(IF($J34=1,"Count of ACTIVE     CED, FARM GATE (MJ/kg)","Count of CED, processor gate (MJ/kg)"),'Pivot Table_CED'!$A$3,"SUB TYPE",$B34))</f>
        <v>10</v>
      </c>
      <c r="N34" s="119">
        <f ca="1">IF($L34="PROXY",DAVERAGE('literature entries'!$D:$AI,IF($J34=1,"ACTIVE     CED, FARM GATE (MJ/kg)","CED, processor gate (MJ/kg)"),INDIRECT($K34)),GETPIVOTDATA(IF($J34=1,"Average of ACTIVE     CED, FARM GATE (MJ/kg)","Average of CED, processor gate (MJ/kg)"),'Pivot Table_CED'!$A$3,"SUB TYPE",$B34))</f>
        <v>2.5657274700000001</v>
      </c>
      <c r="O34" s="119">
        <f ca="1">IF($L34="PROXY",DSTDEV('literature entries'!D:AI,IF($J34=1,"ACTIVE     CED, FARM GATE (MJ/kg)","CED, processor gate (MJ/kg)"),INDIRECT($K34)),GETPIVOTDATA(IF($J34=1,"StdDev of ACTIVE     CED, FARM GATE (MJ/kg)","StdDev of CED, processor gate (MJ/kg)"),'Pivot Table_CED'!$A$3,"SUB TYPE",$B34))</f>
        <v>1.5197673074222315</v>
      </c>
      <c r="P34" s="135" t="str">
        <f>IF(ISERROR(GETPIVOTDATA(IF($J34=1,"Count of ACTIVE     GHGE, FARM GATE (kg CO2e/kg)","Count of GHGE, processor gate (kg CO2e/kg)"),'Pivot Table_GHG'!$A$3,"SUB TYPE",$B34)),"PROXY",IF(GETPIVOTDATA(IF($J34=1,"Count of ACTIVE     GHGE, FARM GATE (kg CO2e/kg)","Count of GHGE, processor gate (kg CO2e/kg)"),'Pivot Table_GHG'!$A$3,"SUB TYPE",$B34)=0,"PROXY","DB value"))</f>
        <v>PROXY</v>
      </c>
      <c r="Q34" s="125">
        <f ca="1">IF($P34="PROXY",DCOUNT('literature entries'!$D:$AI,IF($J34=1,"ACTIVE     GHGE, FARM GATE (kg CO2e/kg)","GHGE, processor gate (kg CO2e/kg)"),INDIRECT($K34)),GETPIVOTDATA(IF($J34=1,"ACTIVE     GHGE, FARM GATE (kg CO2e/kg)","Count of GHGE, processor gate (kg CO2e/kg)"),'Pivot Table_GHG'!$A$3,"SUB TYPE",$B34))</f>
        <v>22</v>
      </c>
      <c r="R34" s="190">
        <f ca="1">IF($P34="PROXY",DAVERAGE('literature entries'!$D:$AI,IF($J34=1,"ACTIVE     GHGE, FARM GATE (kg CO2e/kg)","GHGE, processor gate (kg CO2e/kg)"),INDIRECT($K34)),GETPIVOTDATA(IF($J34=1,"Average of ACTIVE     GHGE, FARM GATE (kg CO2e/kg)","Average of GHGE, processor gate (kg CO2e/kg)"),'Pivot Table_GHG'!$A$3,"SUB TYPE",$B34))</f>
        <v>0.18561974136363635</v>
      </c>
      <c r="S34" s="190">
        <f ca="1">IF($P34="PROXY",DSTDEV('literature entries'!$D:$AI,IF($J34=1,"ACTIVE     GHGE, FARM GATE (kg CO2e/kg)","GHGE, processor gate (kg CO2e/kg)"),INDIRECT($K34)),GETPIVOTDATA(IF($J34=1,"StdDev of ACTIVE     GHGE, FARM GATE (kg CO2e/kg)","StdDev of GHGE, processor gate (kg CO2e/kg)"),'Pivot Table_GHG'!$A$3,"SUB TYPE",$B34))</f>
        <v>9.7833632177637575E-2</v>
      </c>
      <c r="T34" s="88"/>
      <c r="U34" s="89"/>
      <c r="W34" s="213" t="str">
        <f ca="1">IF(L34="PROXY",IF(M34&gt;=5,K34,"need group"),IF(M34&gt;=5,"DIRECT","need group"))</f>
        <v>greens</v>
      </c>
      <c r="X34" s="211">
        <f ca="1">IF($W34="DIRECT",M34,DCOUNT('literature entries'!$D:$AI,IF($J34=1,"ACTIVE     CED, FARM GATE (MJ/kg)","CED, processor gate (MJ/kg)"),INDIRECT($W34)))</f>
        <v>10</v>
      </c>
      <c r="Y34" s="211">
        <f ca="1">IF($W34="DIRECT","",DAVERAGE('literature entries'!$D:$AI,IF($J34=1,"ACTIVE     CED, FARM GATE (MJ/kg)","CED, processor gate (MJ/kg)"),INDIRECT($W34)))</f>
        <v>2.5657274700000001</v>
      </c>
      <c r="Z34" s="211">
        <f ca="1">IF($W34="DIRECT",$O34,DSTDEV('literature entries'!$D:$AI,IF($J34=1,"ACTIVE     CED, FARM GATE (MJ/kg)","CED, processor gate (MJ/kg)"),INDIRECT($W34)))</f>
        <v>1.5197673074222315</v>
      </c>
      <c r="AA34" s="211">
        <f t="shared" ca="1" si="5"/>
        <v>1.5197673074222315</v>
      </c>
      <c r="AB34" s="219" t="str">
        <f ca="1">IF(P34="PROXY",IF(Q34&gt;=5,K34,"need group"),IF(Q34&gt;=5,"DIRECT","need group"))</f>
        <v>greens</v>
      </c>
      <c r="AC34" s="212">
        <f ca="1">IF($AB34="DIRECT",Q34,DCOUNT('literature entries'!$D:$AI,IF($J34=1,"ACTIVE     GHGE, FARM GATE (kg CO2e/kg)","GHGE, processor gate (kg CO2e/kg)"),INDIRECT($AB34)))</f>
        <v>22</v>
      </c>
      <c r="AD34" s="212">
        <f ca="1">IF($AB34="DIRECT","",DAVERAGE('literature entries'!$D:$AI,IF($J34=1,"ACTIVE     GHGE, FARM GATE (kg CO2e/kg)","GHGE, processor gate (kg CO2e/kg)"),INDIRECT($AB34)))</f>
        <v>0.18561974136363635</v>
      </c>
      <c r="AE34" s="212">
        <f ca="1">IF($AB34="DIRECT",$S34,DSTDEV('literature entries'!$D:$AI,IF($J34=1,"ACTIVE     GHGE, FARM GATE (kg CO2e/kg)","GHGE, processor gate (kg CO2e/kg)"),INDIRECT($AB34)))</f>
        <v>9.7833632177637575E-2</v>
      </c>
      <c r="AF34" s="212">
        <f t="shared" ca="1" si="6"/>
        <v>9.7833632177637575E-2</v>
      </c>
    </row>
    <row r="35" spans="1:32" s="19" customFormat="1" ht="17" thickBot="1" x14ac:dyDescent="0.25">
      <c r="A35" s="114">
        <v>200101000</v>
      </c>
      <c r="B35" s="115" t="s">
        <v>1899</v>
      </c>
      <c r="C35" s="115" t="s">
        <v>1760</v>
      </c>
      <c r="D35" s="115"/>
      <c r="E35" s="115">
        <v>1557</v>
      </c>
      <c r="F35" s="111">
        <f t="shared" ca="1" si="0"/>
        <v>1.2147600000000001</v>
      </c>
      <c r="G35" s="112">
        <f t="shared" ca="1" si="1"/>
        <v>6.379399999999999E-2</v>
      </c>
      <c r="H35" s="116">
        <v>1.1459999999999999</v>
      </c>
      <c r="I35" s="117" t="s">
        <v>2724</v>
      </c>
      <c r="J35" s="79">
        <v>1</v>
      </c>
      <c r="K35" s="78" t="s">
        <v>659</v>
      </c>
      <c r="L35" s="135" t="str">
        <f>IF(ISERROR(GETPIVOTDATA(IF($J35=1,"Count of ACTIVE     CED, FARM GATE (MJ/kg)","Count of CED, processor gate (MJ/kg)"),'Pivot Table_CED'!$A$3,"SUB TYPE",$B35)),"PROXY",IF(GETPIVOTDATA(IF($J35=1,"Count of ACTIVE     CED, FARM GATE (MJ/kg)","Count of CED, processor gate (MJ/kg)"),'Pivot Table_CED'!$A$3,"SUB TYPE",$B35)=0,"PROXY","DB value"))</f>
        <v>PROXY</v>
      </c>
      <c r="M35" s="118">
        <f ca="1">IF($L35="PROXY",DCOUNT('literature entries'!$D:$AI,IF($J35=1,"ACTIVE     CED, FARM GATE (MJ/kg)","CED, processor gate (MJ/kg)"),INDIRECT($K35)),GETPIVOTDATA(IF($J35=1,"Count of ACTIVE     CED, FARM GATE (MJ/kg)","Count of CED, processor gate (MJ/kg)"),'Pivot Table_CED'!$A$3,"SUB TYPE",$B35))</f>
        <v>3</v>
      </c>
      <c r="N35" s="119">
        <f ca="1">IF($L35="PROXY",DAVERAGE('literature entries'!$D:$AI,IF($J35=1,"ACTIVE     CED, FARM GATE (MJ/kg)","CED, processor gate (MJ/kg)"),INDIRECT($K35)),GETPIVOTDATA(IF($J35=1,"Average of ACTIVE     CED, FARM GATE (MJ/kg)","Average of CED, processor gate (MJ/kg)"),'Pivot Table_CED'!$A$3,"SUB TYPE",$B35))</f>
        <v>1.06</v>
      </c>
      <c r="O35" s="119">
        <f ca="1">IF($L35="PROXY",DSTDEV('literature entries'!D:AI,IF($J35=1,"ACTIVE     CED, FARM GATE (MJ/kg)","CED, processor gate (MJ/kg)"),INDIRECT($K35)),GETPIVOTDATA(IF($J35=1,"StdDev of ACTIVE     CED, FARM GATE (MJ/kg)","StdDev of CED, processor gate (MJ/kg)"),'Pivot Table_CED'!$A$3,"SUB TYPE",$B35))</f>
        <v>0.28583211855912843</v>
      </c>
      <c r="P35" s="135" t="str">
        <f>IF(ISERROR(GETPIVOTDATA(IF($J35=1,"Count of ACTIVE     GHGE, FARM GATE (kg CO2e/kg)","Count of GHGE, processor gate (kg CO2e/kg)"),'Pivot Table_GHG'!$A$3,"SUB TYPE",$B35)),"PROXY",IF(GETPIVOTDATA(IF($J35=1,"Count of ACTIVE     GHGE, FARM GATE (kg CO2e/kg)","Count of GHGE, processor gate (kg CO2e/kg)"),'Pivot Table_GHG'!$A$3,"SUB TYPE",$B35)=0,"PROXY","DB value"))</f>
        <v>PROXY</v>
      </c>
      <c r="Q35" s="125">
        <f ca="1">IF($P35="PROXY",DCOUNT('literature entries'!$D:$AI,IF($J35=1,"ACTIVE     GHGE, FARM GATE (kg CO2e/kg)","GHGE, processor gate (kg CO2e/kg)"),INDIRECT($K35)),GETPIVOTDATA(IF($J35=1,"ACTIVE     GHGE, FARM GATE (kg CO2e/kg)","Count of GHGE, processor gate (kg CO2e/kg)"),'Pivot Table_GHG'!$A$3,"SUB TYPE",$B35))</f>
        <v>3</v>
      </c>
      <c r="R35" s="190">
        <f ca="1">IF($P35="PROXY",DAVERAGE('literature entries'!$D:$AI,IF($J35=1,"ACTIVE     GHGE, FARM GATE (kg CO2e/kg)","GHGE, processor gate (kg CO2e/kg)"),INDIRECT($K35)),GETPIVOTDATA(IF($J35=1,"Average of ACTIVE     GHGE, FARM GATE (kg CO2e/kg)","Average of GHGE, processor gate (kg CO2e/kg)"),'Pivot Table_GHG'!$A$3,"SUB TYPE",$B35))</f>
        <v>5.5666666666666663E-2</v>
      </c>
      <c r="S35" s="190">
        <f ca="1">IF($P35="PROXY",DSTDEV('literature entries'!$D:$AI,IF($J35=1,"ACTIVE     GHGE, FARM GATE (kg CO2e/kg)","GHGE, processor gate (kg CO2e/kg)"),INDIRECT($K35)),GETPIVOTDATA(IF($J35=1,"StdDev of ACTIVE     GHGE, FARM GATE (kg CO2e/kg)","StdDev of GHGE, processor gate (kg CO2e/kg)"),'Pivot Table_GHG'!$A$3,"SUB TYPE",$B35))</f>
        <v>3.7287173844813334E-3</v>
      </c>
      <c r="T35" s="88"/>
      <c r="U35" s="89"/>
      <c r="W35" s="213" t="s">
        <v>2457</v>
      </c>
      <c r="X35" s="211">
        <f ca="1">IF($W35="DIRECT",M35,DCOUNT('literature entries'!$D:$AI,IF($J35=1,"ACTIVE     CED, FARM GATE (MJ/kg)","CED, processor gate (MJ/kg)"),INDIRECT($W35)))</f>
        <v>10</v>
      </c>
      <c r="Y35" s="211">
        <f ca="1">IF($W35="DIRECT","",DAVERAGE('literature entries'!$D:$AI,IF($J35=1,"ACTIVE     CED, FARM GATE (MJ/kg)","CED, processor gate (MJ/kg)"),INDIRECT($W35)))</f>
        <v>2.5657274700000001</v>
      </c>
      <c r="Z35" s="211">
        <f ca="1">IF($W35="DIRECT",$O35,DSTDEV('literature entries'!$D:$AI,IF($J35=1,"ACTIVE     CED, FARM GATE (MJ/kg)","CED, processor gate (MJ/kg)"),INDIRECT($W35)))</f>
        <v>1.5197673074222315</v>
      </c>
      <c r="AA35" s="211">
        <f t="shared" ca="1" si="5"/>
        <v>0.62787391283906135</v>
      </c>
      <c r="AB35" s="219" t="s">
        <v>2457</v>
      </c>
      <c r="AC35" s="212">
        <f ca="1">IF($AB35="DIRECT",Q35,DCOUNT('literature entries'!$D:$AI,IF($J35=1,"ACTIVE     GHGE, FARM GATE (kg CO2e/kg)","GHGE, processor gate (kg CO2e/kg)"),INDIRECT($AB35)))</f>
        <v>22</v>
      </c>
      <c r="AD35" s="212">
        <f ca="1">IF($AB35="DIRECT","",DAVERAGE('literature entries'!$D:$AI,IF($J35=1,"ACTIVE     GHGE, FARM GATE (kg CO2e/kg)","GHGE, processor gate (kg CO2e/kg)"),INDIRECT($AB35)))</f>
        <v>0.18561974136363635</v>
      </c>
      <c r="AE35" s="212">
        <f ca="1">IF($AB35="DIRECT",$S35,DSTDEV('literature entries'!$D:$AI,IF($J35=1,"ACTIVE     GHGE, FARM GATE (kg CO2e/kg)","GHGE, processor gate (kg CO2e/kg)"),INDIRECT($AB35)))</f>
        <v>9.7833632177637575E-2</v>
      </c>
      <c r="AF35" s="212">
        <f t="shared" ca="1" si="6"/>
        <v>2.9339940629228418E-2</v>
      </c>
    </row>
    <row r="36" spans="1:32" s="19" customFormat="1" ht="17" thickBot="1" x14ac:dyDescent="0.25">
      <c r="A36" s="114">
        <v>200140000</v>
      </c>
      <c r="B36" s="115" t="s">
        <v>1960</v>
      </c>
      <c r="C36" s="115" t="s">
        <v>1961</v>
      </c>
      <c r="D36" s="115" t="s">
        <v>1959</v>
      </c>
      <c r="E36" s="115">
        <v>3</v>
      </c>
      <c r="F36" s="111">
        <f t="shared" ca="1" si="0"/>
        <v>2.5657274700000001</v>
      </c>
      <c r="G36" s="112">
        <f t="shared" ca="1" si="1"/>
        <v>0.18561974136363635</v>
      </c>
      <c r="H36" s="116">
        <v>1</v>
      </c>
      <c r="I36" s="117" t="s">
        <v>594</v>
      </c>
      <c r="J36" s="79">
        <v>1</v>
      </c>
      <c r="K36" s="78" t="s">
        <v>2457</v>
      </c>
      <c r="L36" s="135" t="str">
        <f>IF(ISERROR(GETPIVOTDATA(IF($J36=1,"Count of ACTIVE     CED, FARM GATE (MJ/kg)","Count of CED, processor gate (MJ/kg)"),'Pivot Table_CED'!$A$3,"SUB TYPE",$B36)),"PROXY",IF(GETPIVOTDATA(IF($J36=1,"Count of ACTIVE     CED, FARM GATE (MJ/kg)","Count of CED, processor gate (MJ/kg)"),'Pivot Table_CED'!$A$3,"SUB TYPE",$B36)=0,"PROXY","DB value"))</f>
        <v>PROXY</v>
      </c>
      <c r="M36" s="118">
        <f ca="1">IF($L36="PROXY",DCOUNT('literature entries'!$D:$AI,IF($J36=1,"ACTIVE     CED, FARM GATE (MJ/kg)","CED, processor gate (MJ/kg)"),INDIRECT($K36)),GETPIVOTDATA(IF($J36=1,"Count of ACTIVE     CED, FARM GATE (MJ/kg)","Count of CED, processor gate (MJ/kg)"),'Pivot Table_CED'!$A$3,"SUB TYPE",$B36))</f>
        <v>10</v>
      </c>
      <c r="N36" s="119">
        <f ca="1">IF($L36="PROXY",DAVERAGE('literature entries'!$D:$AI,IF($J36=1,"ACTIVE     CED, FARM GATE (MJ/kg)","CED, processor gate (MJ/kg)"),INDIRECT($K36)),GETPIVOTDATA(IF($J36=1,"Average of ACTIVE     CED, FARM GATE (MJ/kg)","Average of CED, processor gate (MJ/kg)"),'Pivot Table_CED'!$A$3,"SUB TYPE",$B36))</f>
        <v>2.5657274700000001</v>
      </c>
      <c r="O36" s="119">
        <f ca="1">IF($L36="PROXY",DSTDEV('literature entries'!D:AI,IF($J36=1,"ACTIVE     CED, FARM GATE (MJ/kg)","CED, processor gate (MJ/kg)"),INDIRECT($K36)),GETPIVOTDATA(IF($J36=1,"StdDev of ACTIVE     CED, FARM GATE (MJ/kg)","StdDev of CED, processor gate (MJ/kg)"),'Pivot Table_CED'!$A$3,"SUB TYPE",$B36))</f>
        <v>1.5197673074222315</v>
      </c>
      <c r="P36" s="135" t="str">
        <f>IF(ISERROR(GETPIVOTDATA(IF($J36=1,"Count of ACTIVE     GHGE, FARM GATE (kg CO2e/kg)","Count of GHGE, processor gate (kg CO2e/kg)"),'Pivot Table_GHG'!$A$3,"SUB TYPE",$B36)),"PROXY",IF(GETPIVOTDATA(IF($J36=1,"Count of ACTIVE     GHGE, FARM GATE (kg CO2e/kg)","Count of GHGE, processor gate (kg CO2e/kg)"),'Pivot Table_GHG'!$A$3,"SUB TYPE",$B36)=0,"PROXY","DB value"))</f>
        <v>PROXY</v>
      </c>
      <c r="Q36" s="125">
        <f ca="1">IF($P36="PROXY",DCOUNT('literature entries'!$D:$AI,IF($J36=1,"ACTIVE     GHGE, FARM GATE (kg CO2e/kg)","GHGE, processor gate (kg CO2e/kg)"),INDIRECT($K36)),GETPIVOTDATA(IF($J36=1,"ACTIVE     GHGE, FARM GATE (kg CO2e/kg)","Count of GHGE, processor gate (kg CO2e/kg)"),'Pivot Table_GHG'!$A$3,"SUB TYPE",$B36))</f>
        <v>22</v>
      </c>
      <c r="R36" s="190">
        <f ca="1">IF($P36="PROXY",DAVERAGE('literature entries'!$D:$AI,IF($J36=1,"ACTIVE     GHGE, FARM GATE (kg CO2e/kg)","GHGE, processor gate (kg CO2e/kg)"),INDIRECT($K36)),GETPIVOTDATA(IF($J36=1,"Average of ACTIVE     GHGE, FARM GATE (kg CO2e/kg)","Average of GHGE, processor gate (kg CO2e/kg)"),'Pivot Table_GHG'!$A$3,"SUB TYPE",$B36))</f>
        <v>0.18561974136363635</v>
      </c>
      <c r="S36" s="190">
        <f ca="1">IF($P36="PROXY",DSTDEV('literature entries'!$D:$AI,IF($J36=1,"ACTIVE     GHGE, FARM GATE (kg CO2e/kg)","GHGE, processor gate (kg CO2e/kg)"),INDIRECT($K36)),GETPIVOTDATA(IF($J36=1,"StdDev of ACTIVE     GHGE, FARM GATE (kg CO2e/kg)","StdDev of GHGE, processor gate (kg CO2e/kg)"),'Pivot Table_GHG'!$A$3,"SUB TYPE",$B36))</f>
        <v>9.7833632177637575E-2</v>
      </c>
      <c r="T36" s="88"/>
      <c r="U36" s="89"/>
      <c r="W36" s="213" t="str">
        <f ca="1">IF(L36="PROXY",IF(M36&gt;=5,K36,"need group"),IF(M36&gt;=5,"DIRECT","need group"))</f>
        <v>greens</v>
      </c>
      <c r="X36" s="211">
        <f ca="1">IF($W36="DIRECT",M36,DCOUNT('literature entries'!$D:$AI,IF($J36=1,"ACTIVE     CED, FARM GATE (MJ/kg)","CED, processor gate (MJ/kg)"),INDIRECT($W36)))</f>
        <v>10</v>
      </c>
      <c r="Y36" s="211">
        <f ca="1">IF($W36="DIRECT","",DAVERAGE('literature entries'!$D:$AI,IF($J36=1,"ACTIVE     CED, FARM GATE (MJ/kg)","CED, processor gate (MJ/kg)"),INDIRECT($W36)))</f>
        <v>2.5657274700000001</v>
      </c>
      <c r="Z36" s="211">
        <f ca="1">IF($W36="DIRECT",$O36,DSTDEV('literature entries'!$D:$AI,IF($J36=1,"ACTIVE     CED, FARM GATE (MJ/kg)","CED, processor gate (MJ/kg)"),INDIRECT($W36)))</f>
        <v>1.5197673074222315</v>
      </c>
      <c r="AA36" s="211">
        <f t="shared" ca="1" si="5"/>
        <v>1.5197673074222315</v>
      </c>
      <c r="AB36" s="219" t="str">
        <f ca="1">IF(P36="PROXY",IF(Q36&gt;=5,K36,"need group"),IF(Q36&gt;=5,"DIRECT","need group"))</f>
        <v>greens</v>
      </c>
      <c r="AC36" s="212">
        <f ca="1">IF($AB36="DIRECT",Q36,DCOUNT('literature entries'!$D:$AI,IF($J36=1,"ACTIVE     GHGE, FARM GATE (kg CO2e/kg)","GHGE, processor gate (kg CO2e/kg)"),INDIRECT($AB36)))</f>
        <v>22</v>
      </c>
      <c r="AD36" s="212">
        <f ca="1">IF($AB36="DIRECT","",DAVERAGE('literature entries'!$D:$AI,IF($J36=1,"ACTIVE     GHGE, FARM GATE (kg CO2e/kg)","GHGE, processor gate (kg CO2e/kg)"),INDIRECT($AB36)))</f>
        <v>0.18561974136363635</v>
      </c>
      <c r="AE36" s="212">
        <f ca="1">IF($AB36="DIRECT",$S36,DSTDEV('literature entries'!$D:$AI,IF($J36=1,"ACTIVE     GHGE, FARM GATE (kg CO2e/kg)","GHGE, processor gate (kg CO2e/kg)"),INDIRECT($AB36)))</f>
        <v>9.7833632177637575E-2</v>
      </c>
      <c r="AF36" s="212">
        <f t="shared" ca="1" si="6"/>
        <v>9.7833632177637575E-2</v>
      </c>
    </row>
    <row r="37" spans="1:32" s="19" customFormat="1" thickBot="1" x14ac:dyDescent="0.25">
      <c r="A37" s="114">
        <v>301165000</v>
      </c>
      <c r="B37" s="115" t="s">
        <v>1995</v>
      </c>
      <c r="C37" s="115" t="s">
        <v>1996</v>
      </c>
      <c r="D37" s="115" t="s">
        <v>1997</v>
      </c>
      <c r="E37" s="115">
        <v>33951</v>
      </c>
      <c r="F37" s="111">
        <f t="shared" ca="1" si="0"/>
        <v>2.9321299364728568</v>
      </c>
      <c r="G37" s="112">
        <f t="shared" ca="1" si="1"/>
        <v>0.74251666666666671</v>
      </c>
      <c r="H37" s="116">
        <v>1.1499999999999999</v>
      </c>
      <c r="I37" s="116" t="s">
        <v>2724</v>
      </c>
      <c r="J37" s="79">
        <v>1</v>
      </c>
      <c r="K37" s="78" t="s">
        <v>3271</v>
      </c>
      <c r="L37" s="135" t="str">
        <f>IF(ISERROR(GETPIVOTDATA(IF($J37=1,"Count of ACTIVE     CED, FARM GATE (MJ/kg)","Count of CED, processor gate (MJ/kg)"),'Pivot Table_CED'!$A$3,"SUB TYPE",$B37)),"PROXY",IF(GETPIVOTDATA(IF($J37=1,"Count of ACTIVE     CED, FARM GATE (MJ/kg)","Count of CED, processor gate (MJ/kg)"),'Pivot Table_CED'!$A$3,"SUB TYPE",$B37)=0,"PROXY","DB value"))</f>
        <v>PROXY</v>
      </c>
      <c r="M37" s="118">
        <f ca="1">IF($L37="PROXY",DCOUNT('literature entries'!$D:$AI,IF($J37=1,"ACTIVE     CED, FARM GATE (MJ/kg)","CED, processor gate (MJ/kg)"),INDIRECT($K37)),GETPIVOTDATA(IF($J37=1,"Count of ACTIVE     CED, FARM GATE (MJ/kg)","Count of CED, processor gate (MJ/kg)"),'Pivot Table_CED'!$A$3,"SUB TYPE",$B37))</f>
        <v>7</v>
      </c>
      <c r="N37" s="119">
        <f ca="1">IF($L37="PROXY",DAVERAGE('literature entries'!$D:$AI,IF($J37=1,"ACTIVE     CED, FARM GATE (MJ/kg)","CED, processor gate (MJ/kg)"),INDIRECT($K37)),GETPIVOTDATA(IF($J37=1,"Average of ACTIVE     CED, FARM GATE (MJ/kg)","Average of CED, processor gate (MJ/kg)"),'Pivot Table_CED'!$A$3,"SUB TYPE",$B37))</f>
        <v>2.5496782056285712</v>
      </c>
      <c r="O37" s="119">
        <f ca="1">IF($L37="PROXY",DSTDEV('literature entries'!D:AI,IF($J37=1,"ACTIVE     CED, FARM GATE (MJ/kg)","CED, processor gate (MJ/kg)"),INDIRECT($K37)),GETPIVOTDATA(IF($J37=1,"StdDev of ACTIVE     CED, FARM GATE (MJ/kg)","StdDev of CED, processor gate (MJ/kg)"),'Pivot Table_CED'!$A$3,"SUB TYPE",$B37))</f>
        <v>1.6075250593394621</v>
      </c>
      <c r="P37" s="135" t="str">
        <f>IF(ISERROR(GETPIVOTDATA(IF($J37=1,"Count of ACTIVE     GHGE, FARM GATE (kg CO2e/kg)","Count of GHGE, processor gate (kg CO2e/kg)"),'Pivot Table_GHG'!$A$3,"SUB TYPE",$B37)),"PROXY",IF(GETPIVOTDATA(IF($J37=1,"Count of ACTIVE     GHGE, FARM GATE (kg CO2e/kg)","Count of GHGE, processor gate (kg CO2e/kg)"),'Pivot Table_GHG'!$A$3,"SUB TYPE",$B37)=0,"PROXY","DB value"))</f>
        <v>DB value</v>
      </c>
      <c r="Q37" s="125">
        <f ca="1">IF($P37="PROXY",DCOUNT('literature entries'!$D:$AI,IF($J37=1,"ACTIVE     GHGE, FARM GATE (kg CO2e/kg)","GHGE, processor gate (kg CO2e/kg)"),INDIRECT($K37)),GETPIVOTDATA(IF($J37=1,"ACTIVE     GHGE, FARM GATE (kg CO2e/kg)","Count of GHGE, processor gate (kg CO2e/kg)"),'Pivot Table_GHG'!$A$3,"SUB TYPE",$B37))</f>
        <v>3</v>
      </c>
      <c r="R37" s="190">
        <f ca="1">IF($P37="PROXY",DAVERAGE('literature entries'!$D:$AI,IF($J37=1,"ACTIVE     GHGE, FARM GATE (kg CO2e/kg)","GHGE, processor gate (kg CO2e/kg)"),INDIRECT($K37)),GETPIVOTDATA(IF($J37=1,"Average of ACTIVE     GHGE, FARM GATE (kg CO2e/kg)","Average of GHGE, processor gate (kg CO2e/kg)"),'Pivot Table_GHG'!$A$3,"SUB TYPE",$B37))</f>
        <v>0.64566666666666672</v>
      </c>
      <c r="S37" s="190">
        <f ca="1">IF($P37="PROXY",DSTDEV('literature entries'!$D:$AI,IF($J37=1,"ACTIVE     GHGE, FARM GATE (kg CO2e/kg)","GHGE, processor gate (kg CO2e/kg)"),INDIRECT($K37)),GETPIVOTDATA(IF($J37=1,"StdDev of ACTIVE     GHGE, FARM GATE (kg CO2e/kg)","StdDev of GHGE, processor gate (kg CO2e/kg)"),'Pivot Table_GHG'!$A$3,"SUB TYPE",$B37))</f>
        <v>6.562265868839369E-2</v>
      </c>
      <c r="T37" s="88"/>
      <c r="U37" s="89"/>
      <c r="W37" s="213" t="str">
        <f ca="1">IF(L37="PROXY",IF(M37&gt;=5,K37,"need group"),IF(M37&gt;=5,"DIRECT","need group"))</f>
        <v>onion_bulb</v>
      </c>
      <c r="X37" s="211">
        <f ca="1">IF($W37="DIRECT",M37,DCOUNT('literature entries'!$D:$AI,IF($J37=1,"ACTIVE     CED, FARM GATE (MJ/kg)","CED, processor gate (MJ/kg)"),INDIRECT($W37)))</f>
        <v>7</v>
      </c>
      <c r="Y37" s="211">
        <f ca="1">IF($W37="DIRECT","",DAVERAGE('literature entries'!$D:$AI,IF($J37=1,"ACTIVE     CED, FARM GATE (MJ/kg)","CED, processor gate (MJ/kg)"),INDIRECT($W37)))</f>
        <v>2.5496782056285712</v>
      </c>
      <c r="Z37" s="211">
        <f ca="1">IF($W37="DIRECT",$O37,DSTDEV('literature entries'!$D:$AI,IF($J37=1,"ACTIVE     CED, FARM GATE (MJ/kg)","CED, processor gate (MJ/kg)"),INDIRECT($W37)))</f>
        <v>1.6075250593394621</v>
      </c>
      <c r="AA37" s="211">
        <f t="shared" ca="1" si="5"/>
        <v>1.6075250593394619</v>
      </c>
      <c r="AB37" s="219" t="s">
        <v>3271</v>
      </c>
      <c r="AC37" s="212">
        <f ca="1">IF($AB37="DIRECT",Q37,DCOUNT('literature entries'!$D:$AI,IF($J37=1,"ACTIVE     GHGE, FARM GATE (kg CO2e/kg)","GHGE, processor gate (kg CO2e/kg)"),INDIRECT($AB37)))</f>
        <v>7</v>
      </c>
      <c r="AD37" s="212">
        <f ca="1">IF($AB37="DIRECT","",DAVERAGE('literature entries'!$D:$AI,IF($J37=1,"ACTIVE     GHGE, FARM GATE (kg CO2e/kg)","GHGE, processor gate (kg CO2e/kg)"),INDIRECT($AB37)))</f>
        <v>0.24193688857142856</v>
      </c>
      <c r="AE37" s="212">
        <f ca="1">IF($AB37="DIRECT",$S37,DSTDEV('literature entries'!$D:$AI,IF($J37=1,"ACTIVE     GHGE, FARM GATE (kg CO2e/kg)","GHGE, processor gate (kg CO2e/kg)"),INDIRECT($AB37)))</f>
        <v>0.15546099980427586</v>
      </c>
      <c r="AF37" s="212">
        <f t="shared" ca="1" si="6"/>
        <v>0.41488499803807094</v>
      </c>
    </row>
    <row r="38" spans="1:32" s="19" customFormat="1" thickBot="1" x14ac:dyDescent="0.25">
      <c r="A38" s="114">
        <v>301237000</v>
      </c>
      <c r="B38" s="115" t="s">
        <v>2101</v>
      </c>
      <c r="C38" s="115" t="s">
        <v>2102</v>
      </c>
      <c r="D38" s="115" t="s">
        <v>2103</v>
      </c>
      <c r="E38" s="115">
        <v>33634</v>
      </c>
      <c r="F38" s="111">
        <f t="shared" ca="1" si="0"/>
        <v>2.8301428082477145</v>
      </c>
      <c r="G38" s="112">
        <f t="shared" ca="1" si="1"/>
        <v>0.26854994631428575</v>
      </c>
      <c r="H38" s="116">
        <v>1.1100000000000001</v>
      </c>
      <c r="I38" s="116" t="s">
        <v>2724</v>
      </c>
      <c r="J38" s="79">
        <v>1</v>
      </c>
      <c r="K38" s="78"/>
      <c r="L38" s="135" t="str">
        <f>IF(ISERROR(GETPIVOTDATA(IF($J38=1,"Count of ACTIVE     CED, FARM GATE (MJ/kg)","Count of CED, processor gate (MJ/kg)"),'Pivot Table_CED'!$A$3,"SUB TYPE",$B38)),"PROXY",IF(GETPIVOTDATA(IF($J38=1,"Count of ACTIVE     CED, FARM GATE (MJ/kg)","Count of CED, processor gate (MJ/kg)"),'Pivot Table_CED'!$A$3,"SUB TYPE",$B38)=0,"PROXY","DB value"))</f>
        <v>DB value</v>
      </c>
      <c r="M38" s="118">
        <f ca="1">IF($L38="PROXY",DCOUNT('literature entries'!$D:$AI,IF($J38=1,"ACTIVE     CED, FARM GATE (MJ/kg)","CED, processor gate (MJ/kg)"),INDIRECT($K38)),GETPIVOTDATA(IF($J38=1,"Count of ACTIVE     CED, FARM GATE (MJ/kg)","Count of CED, processor gate (MJ/kg)"),'Pivot Table_CED'!$A$3,"SUB TYPE",$B38))</f>
        <v>7</v>
      </c>
      <c r="N38" s="119">
        <f ca="1">IF($L38="PROXY",DAVERAGE('literature entries'!$D:$AI,IF($J38=1,"ACTIVE     CED, FARM GATE (MJ/kg)","CED, processor gate (MJ/kg)"),INDIRECT($K38)),GETPIVOTDATA(IF($J38=1,"Average of ACTIVE     CED, FARM GATE (MJ/kg)","Average of CED, processor gate (MJ/kg)"),'Pivot Table_CED'!$A$3,"SUB TYPE",$B38))</f>
        <v>2.5496782056285712</v>
      </c>
      <c r="O38" s="119">
        <f ca="1">IF($L38="PROXY",DSTDEV('literature entries'!D:AI,IF($J38=1,"ACTIVE     CED, FARM GATE (MJ/kg)","CED, processor gate (MJ/kg)"),INDIRECT($K38)),GETPIVOTDATA(IF($J38=1,"StdDev of ACTIVE     CED, FARM GATE (MJ/kg)","StdDev of CED, processor gate (MJ/kg)"),'Pivot Table_CED'!$A$3,"SUB TYPE",$B38))</f>
        <v>1.6075250593394621</v>
      </c>
      <c r="P38" s="135" t="str">
        <f>IF(ISERROR(GETPIVOTDATA(IF($J38=1,"Count of ACTIVE     GHGE, FARM GATE (kg CO2e/kg)","Count of GHGE, processor gate (kg CO2e/kg)"),'Pivot Table_GHG'!$A$3,"SUB TYPE",$B38)),"PROXY",IF(GETPIVOTDATA(IF($J38=1,"Count of ACTIVE     GHGE, FARM GATE (kg CO2e/kg)","Count of GHGE, processor gate (kg CO2e/kg)"),'Pivot Table_GHG'!$A$3,"SUB TYPE",$B38)=0,"PROXY","DB value"))</f>
        <v>DB value</v>
      </c>
      <c r="Q38" s="125">
        <f ca="1">IF($P38="PROXY",DCOUNT('literature entries'!$D:$AI,IF($J38=1,"ACTIVE     GHGE, FARM GATE (kg CO2e/kg)","GHGE, processor gate (kg CO2e/kg)"),INDIRECT($K38)),GETPIVOTDATA(IF($J38=1,"ACTIVE     GHGE, FARM GATE (kg CO2e/kg)","Count of GHGE, processor gate (kg CO2e/kg)"),'Pivot Table_GHG'!$A$3,"SUB TYPE",$B38))</f>
        <v>7</v>
      </c>
      <c r="R38" s="190">
        <f ca="1">IF($P38="PROXY",DAVERAGE('literature entries'!$D:$AI,IF($J38=1,"ACTIVE     GHGE, FARM GATE (kg CO2e/kg)","GHGE, processor gate (kg CO2e/kg)"),INDIRECT($K38)),GETPIVOTDATA(IF($J38=1,"Average of ACTIVE     GHGE, FARM GATE (kg CO2e/kg)","Average of GHGE, processor gate (kg CO2e/kg)"),'Pivot Table_GHG'!$A$3,"SUB TYPE",$B38))</f>
        <v>0.24193688857142856</v>
      </c>
      <c r="S38" s="190">
        <f ca="1">IF($P38="PROXY",DSTDEV('literature entries'!$D:$AI,IF($J38=1,"ACTIVE     GHGE, FARM GATE (kg CO2e/kg)","GHGE, processor gate (kg CO2e/kg)"),INDIRECT($K38)),GETPIVOTDATA(IF($J38=1,"StdDev of ACTIVE     GHGE, FARM GATE (kg CO2e/kg)","StdDev of GHGE, processor gate (kg CO2e/kg)"),'Pivot Table_GHG'!$A$3,"SUB TYPE",$B38))</f>
        <v>0.15546099980427586</v>
      </c>
      <c r="T38" s="88"/>
      <c r="U38" s="89"/>
      <c r="W38" s="213" t="str">
        <f ca="1">IF(L38="PROXY",IF(M38&gt;=5,K38,"need group"),IF(M38&gt;=5,"DIRECT","need group"))</f>
        <v>DIRECT</v>
      </c>
      <c r="X38" s="211">
        <f ca="1">IF($W38="DIRECT",M38,DCOUNT('literature entries'!$D:$AI,IF($J38=1,"ACTIVE     CED, FARM GATE (MJ/kg)","CED, processor gate (MJ/kg)"),INDIRECT($W38)))</f>
        <v>7</v>
      </c>
      <c r="Y38" s="211" t="str">
        <f ca="1">IF($W38="DIRECT","",DAVERAGE('literature entries'!$D:$AI,IF($J38=1,"ACTIVE     CED, FARM GATE (MJ/kg)","CED, processor gate (MJ/kg)"),INDIRECT($W38)))</f>
        <v/>
      </c>
      <c r="Z38" s="211">
        <f ca="1">IF($W38="DIRECT",$O38,DSTDEV('literature entries'!$D:$AI,IF($J38=1,"ACTIVE     CED, FARM GATE (MJ/kg)","CED, processor gate (MJ/kg)"),INDIRECT($W38)))</f>
        <v>1.6075250593394621</v>
      </c>
      <c r="AA38" s="211">
        <f t="shared" ca="1" si="5"/>
        <v>1.6075250593394621</v>
      </c>
      <c r="AB38" s="219" t="str">
        <f ca="1">IF(P38="PROXY",IF(Q38&gt;=5,K38,"need group"),IF(Q38&gt;=5,"DIRECT","need group"))</f>
        <v>DIRECT</v>
      </c>
      <c r="AC38" s="212">
        <f ca="1">IF($AB38="DIRECT",Q38,DCOUNT('literature entries'!$D:$AI,IF($J38=1,"ACTIVE     GHGE, FARM GATE (kg CO2e/kg)","GHGE, processor gate (kg CO2e/kg)"),INDIRECT($AB38)))</f>
        <v>7</v>
      </c>
      <c r="AD38" s="212" t="str">
        <f ca="1">IF($AB38="DIRECT","",DAVERAGE('literature entries'!$D:$AI,IF($J38=1,"ACTIVE     GHGE, FARM GATE (kg CO2e/kg)","GHGE, processor gate (kg CO2e/kg)"),INDIRECT($AB38)))</f>
        <v/>
      </c>
      <c r="AE38" s="212">
        <f ca="1">IF($AB38="DIRECT",$S38,DSTDEV('literature entries'!$D:$AI,IF($J38=1,"ACTIVE     GHGE, FARM GATE (kg CO2e/kg)","GHGE, processor gate (kg CO2e/kg)"),INDIRECT($AB38)))</f>
        <v>0.15546099980427586</v>
      </c>
      <c r="AF38" s="212">
        <f t="shared" ca="1" si="6"/>
        <v>0.15546099980427586</v>
      </c>
    </row>
    <row r="39" spans="1:32" s="19" customFormat="1" ht="17" thickBot="1" x14ac:dyDescent="0.25">
      <c r="A39" s="114">
        <v>301238000</v>
      </c>
      <c r="B39" s="115" t="s">
        <v>2104</v>
      </c>
      <c r="C39" s="115" t="s">
        <v>2105</v>
      </c>
      <c r="D39" s="115" t="s">
        <v>2103</v>
      </c>
      <c r="E39" s="115">
        <v>30475</v>
      </c>
      <c r="F39" s="111">
        <f t="shared" ca="1" si="0"/>
        <v>22.151604250501027</v>
      </c>
      <c r="G39" s="112">
        <f t="shared" ca="1" si="1"/>
        <v>2.1019476879085714</v>
      </c>
      <c r="H39" s="120">
        <v>8.6880000000000006</v>
      </c>
      <c r="I39" s="117" t="s">
        <v>2737</v>
      </c>
      <c r="J39" s="90">
        <v>1</v>
      </c>
      <c r="K39" s="78" t="s">
        <v>3271</v>
      </c>
      <c r="L39" s="135" t="str">
        <f>IF(ISERROR(GETPIVOTDATA(IF($J39=1,"Count of ACTIVE     CED, FARM GATE (MJ/kg)","Count of CED, processor gate (MJ/kg)"),'Pivot Table_CED'!$A$3,"SUB TYPE",$B39)),"PROXY",IF(GETPIVOTDATA(IF($J39=1,"Count of ACTIVE     CED, FARM GATE (MJ/kg)","Count of CED, processor gate (MJ/kg)"),'Pivot Table_CED'!$A$3,"SUB TYPE",$B39)=0,"PROXY","DB value"))</f>
        <v>PROXY</v>
      </c>
      <c r="M39" s="118">
        <f ca="1">IF($L39="PROXY",DCOUNT('literature entries'!$D:$AI,IF($J39=1,"ACTIVE     CED, FARM GATE (MJ/kg)","CED, processor gate (MJ/kg)"),INDIRECT($K39)),GETPIVOTDATA(IF($J39=1,"Count of ACTIVE     CED, FARM GATE (MJ/kg)","Count of CED, processor gate (MJ/kg)"),'Pivot Table_CED'!$A$3,"SUB TYPE",$B39))</f>
        <v>7</v>
      </c>
      <c r="N39" s="119">
        <f ca="1">IF($L39="PROXY",DAVERAGE('literature entries'!$D:$AI,IF($J39=1,"ACTIVE     CED, FARM GATE (MJ/kg)","CED, processor gate (MJ/kg)"),INDIRECT($K39)),GETPIVOTDATA(IF($J39=1,"Average of ACTIVE     CED, FARM GATE (MJ/kg)","Average of CED, processor gate (MJ/kg)"),'Pivot Table_CED'!$A$3,"SUB TYPE",$B39))</f>
        <v>2.5496782056285712</v>
      </c>
      <c r="O39" s="119">
        <f ca="1">IF($L39="PROXY",DSTDEV('literature entries'!D:AI,IF($J39=1,"ACTIVE     CED, FARM GATE (MJ/kg)","CED, processor gate (MJ/kg)"),INDIRECT($K39)),GETPIVOTDATA(IF($J39=1,"StdDev of ACTIVE     CED, FARM GATE (MJ/kg)","StdDev of CED, processor gate (MJ/kg)"),'Pivot Table_CED'!$A$3,"SUB TYPE",$B39))</f>
        <v>1.6075250593394621</v>
      </c>
      <c r="P39" s="135" t="str">
        <f>IF(ISERROR(GETPIVOTDATA(IF($J39=1,"Count of ACTIVE     GHGE, FARM GATE (kg CO2e/kg)","Count of GHGE, processor gate (kg CO2e/kg)"),'Pivot Table_GHG'!$A$3,"SUB TYPE",$B39)),"PROXY",IF(GETPIVOTDATA(IF($J39=1,"Count of ACTIVE     GHGE, FARM GATE (kg CO2e/kg)","Count of GHGE, processor gate (kg CO2e/kg)"),'Pivot Table_GHG'!$A$3,"SUB TYPE",$B39)=0,"PROXY","DB value"))</f>
        <v>PROXY</v>
      </c>
      <c r="Q39" s="125">
        <f ca="1">IF($P39="PROXY",DCOUNT('literature entries'!$D:$AI,IF($J39=1,"ACTIVE     GHGE, FARM GATE (kg CO2e/kg)","GHGE, processor gate (kg CO2e/kg)"),INDIRECT($K39)),GETPIVOTDATA(IF($J39=1,"ACTIVE     GHGE, FARM GATE (kg CO2e/kg)","Count of GHGE, processor gate (kg CO2e/kg)"),'Pivot Table_GHG'!$A$3,"SUB TYPE",$B39))</f>
        <v>7</v>
      </c>
      <c r="R39" s="190">
        <f ca="1">IF($P39="PROXY",DAVERAGE('literature entries'!$D:$AI,IF($J39=1,"ACTIVE     GHGE, FARM GATE (kg CO2e/kg)","GHGE, processor gate (kg CO2e/kg)"),INDIRECT($K39)),GETPIVOTDATA(IF($J39=1,"Average of ACTIVE     GHGE, FARM GATE (kg CO2e/kg)","Average of GHGE, processor gate (kg CO2e/kg)"),'Pivot Table_GHG'!$A$3,"SUB TYPE",$B39))</f>
        <v>0.24193688857142856</v>
      </c>
      <c r="S39" s="190">
        <f ca="1">IF($P39="PROXY",DSTDEV('literature entries'!$D:$AI,IF($J39=1,"ACTIVE     GHGE, FARM GATE (kg CO2e/kg)","GHGE, processor gate (kg CO2e/kg)"),INDIRECT($K39)),GETPIVOTDATA(IF($J39=1,"StdDev of ACTIVE     GHGE, FARM GATE (kg CO2e/kg)","StdDev of GHGE, processor gate (kg CO2e/kg)"),'Pivot Table_GHG'!$A$3,"SUB TYPE",$B39))</f>
        <v>0.15546099980427586</v>
      </c>
      <c r="T39" s="88"/>
      <c r="U39" s="89"/>
      <c r="W39" s="213" t="str">
        <f ca="1">IF(L39="PROXY",IF(M39&gt;=5,K39,"need group"),IF(M39&gt;=5,"DIRECT","need group"))</f>
        <v>onion_bulb</v>
      </c>
      <c r="X39" s="211">
        <f ca="1">IF($W39="DIRECT",M39,DCOUNT('literature entries'!$D:$AI,IF($J39=1,"ACTIVE     CED, FARM GATE (MJ/kg)","CED, processor gate (MJ/kg)"),INDIRECT($W39)))</f>
        <v>7</v>
      </c>
      <c r="Y39" s="211">
        <f ca="1">IF($W39="DIRECT","",DAVERAGE('literature entries'!$D:$AI,IF($J39=1,"ACTIVE     CED, FARM GATE (MJ/kg)","CED, processor gate (MJ/kg)"),INDIRECT($W39)))</f>
        <v>2.5496782056285712</v>
      </c>
      <c r="Z39" s="211">
        <f ca="1">IF($W39="DIRECT",$O39,DSTDEV('literature entries'!$D:$AI,IF($J39=1,"ACTIVE     CED, FARM GATE (MJ/kg)","CED, processor gate (MJ/kg)"),INDIRECT($W39)))</f>
        <v>1.6075250593394621</v>
      </c>
      <c r="AA39" s="211">
        <f t="shared" ca="1" si="5"/>
        <v>1.6075250593394619</v>
      </c>
      <c r="AB39" s="219" t="str">
        <f ca="1">IF(P39="PROXY",IF(Q39&gt;=5,K39,"need group"),IF(Q39&gt;=5,"DIRECT","need group"))</f>
        <v>onion_bulb</v>
      </c>
      <c r="AC39" s="212">
        <f ca="1">IF($AB39="DIRECT",Q39,DCOUNT('literature entries'!$D:$AI,IF($J39=1,"ACTIVE     GHGE, FARM GATE (kg CO2e/kg)","GHGE, processor gate (kg CO2e/kg)"),INDIRECT($AB39)))</f>
        <v>7</v>
      </c>
      <c r="AD39" s="212">
        <f ca="1">IF($AB39="DIRECT","",DAVERAGE('literature entries'!$D:$AI,IF($J39=1,"ACTIVE     GHGE, FARM GATE (kg CO2e/kg)","GHGE, processor gate (kg CO2e/kg)"),INDIRECT($AB39)))</f>
        <v>0.24193688857142856</v>
      </c>
      <c r="AE39" s="212">
        <f ca="1">IF($AB39="DIRECT",$S39,DSTDEV('literature entries'!$D:$AI,IF($J39=1,"ACTIVE     GHGE, FARM GATE (kg CO2e/kg)","GHGE, processor gate (kg CO2e/kg)"),INDIRECT($AB39)))</f>
        <v>0.15546099980427586</v>
      </c>
      <c r="AF39" s="212">
        <f t="shared" ca="1" si="6"/>
        <v>0.15546099980427586</v>
      </c>
    </row>
    <row r="40" spans="1:32" s="19" customFormat="1" ht="17" thickBot="1" x14ac:dyDescent="0.25">
      <c r="A40" s="114">
        <v>301338000</v>
      </c>
      <c r="B40" s="115" t="s">
        <v>2254</v>
      </c>
      <c r="C40" s="115" t="s">
        <v>2255</v>
      </c>
      <c r="D40" s="115"/>
      <c r="E40" s="115">
        <v>6</v>
      </c>
      <c r="F40" s="111">
        <f t="shared" ca="1" si="0"/>
        <v>2.8964344415940566</v>
      </c>
      <c r="G40" s="112">
        <f t="shared" ca="1" si="1"/>
        <v>0.27484030541714283</v>
      </c>
      <c r="H40" s="116">
        <v>1.1359999999999999</v>
      </c>
      <c r="I40" s="117" t="s">
        <v>2737</v>
      </c>
      <c r="J40" s="79">
        <v>1</v>
      </c>
      <c r="K40" s="78" t="s">
        <v>3271</v>
      </c>
      <c r="L40" s="135" t="str">
        <f>IF(ISERROR(GETPIVOTDATA(IF($J40=1,"Count of ACTIVE     CED, FARM GATE (MJ/kg)","Count of CED, processor gate (MJ/kg)"),'Pivot Table_CED'!$A$3,"SUB TYPE",$B40)),"PROXY",IF(GETPIVOTDATA(IF($J40=1,"Count of ACTIVE     CED, FARM GATE (MJ/kg)","Count of CED, processor gate (MJ/kg)"),'Pivot Table_CED'!$A$3,"SUB TYPE",$B40)=0,"PROXY","DB value"))</f>
        <v>PROXY</v>
      </c>
      <c r="M40" s="118">
        <f ca="1">IF($L40="PROXY",DCOUNT('literature entries'!$D:$AI,IF($J40=1,"ACTIVE     CED, FARM GATE (MJ/kg)","CED, processor gate (MJ/kg)"),INDIRECT($K40)),GETPIVOTDATA(IF($J40=1,"Count of ACTIVE     CED, FARM GATE (MJ/kg)","Count of CED, processor gate (MJ/kg)"),'Pivot Table_CED'!$A$3,"SUB TYPE",$B40))</f>
        <v>7</v>
      </c>
      <c r="N40" s="119">
        <f ca="1">IF($L40="PROXY",DAVERAGE('literature entries'!$D:$AI,IF($J40=1,"ACTIVE     CED, FARM GATE (MJ/kg)","CED, processor gate (MJ/kg)"),INDIRECT($K40)),GETPIVOTDATA(IF($J40=1,"Average of ACTIVE     CED, FARM GATE (MJ/kg)","Average of CED, processor gate (MJ/kg)"),'Pivot Table_CED'!$A$3,"SUB TYPE",$B40))</f>
        <v>2.5496782056285712</v>
      </c>
      <c r="O40" s="119">
        <f ca="1">IF($L40="PROXY",DSTDEV('literature entries'!D:AI,IF($J40=1,"ACTIVE     CED, FARM GATE (MJ/kg)","CED, processor gate (MJ/kg)"),INDIRECT($K40)),GETPIVOTDATA(IF($J40=1,"StdDev of ACTIVE     CED, FARM GATE (MJ/kg)","StdDev of CED, processor gate (MJ/kg)"),'Pivot Table_CED'!$A$3,"SUB TYPE",$B40))</f>
        <v>1.6075250593394621</v>
      </c>
      <c r="P40" s="135" t="str">
        <f>IF(ISERROR(GETPIVOTDATA(IF($J40=1,"Count of ACTIVE     GHGE, FARM GATE (kg CO2e/kg)","Count of GHGE, processor gate (kg CO2e/kg)"),'Pivot Table_GHG'!$A$3,"SUB TYPE",$B40)),"PROXY",IF(GETPIVOTDATA(IF($J40=1,"Count of ACTIVE     GHGE, FARM GATE (kg CO2e/kg)","Count of GHGE, processor gate (kg CO2e/kg)"),'Pivot Table_GHG'!$A$3,"SUB TYPE",$B40)=0,"PROXY","DB value"))</f>
        <v>PROXY</v>
      </c>
      <c r="Q40" s="125">
        <f ca="1">IF($P40="PROXY",DCOUNT('literature entries'!$D:$AI,IF($J40=1,"ACTIVE     GHGE, FARM GATE (kg CO2e/kg)","GHGE, processor gate (kg CO2e/kg)"),INDIRECT($K40)),GETPIVOTDATA(IF($J40=1,"ACTIVE     GHGE, FARM GATE (kg CO2e/kg)","Count of GHGE, processor gate (kg CO2e/kg)"),'Pivot Table_GHG'!$A$3,"SUB TYPE",$B40))</f>
        <v>7</v>
      </c>
      <c r="R40" s="190">
        <f ca="1">IF($P40="PROXY",DAVERAGE('literature entries'!$D:$AI,IF($J40=1,"ACTIVE     GHGE, FARM GATE (kg CO2e/kg)","GHGE, processor gate (kg CO2e/kg)"),INDIRECT($K40)),GETPIVOTDATA(IF($J40=1,"Average of ACTIVE     GHGE, FARM GATE (kg CO2e/kg)","Average of GHGE, processor gate (kg CO2e/kg)"),'Pivot Table_GHG'!$A$3,"SUB TYPE",$B40))</f>
        <v>0.24193688857142856</v>
      </c>
      <c r="S40" s="190">
        <f ca="1">IF($P40="PROXY",DSTDEV('literature entries'!$D:$AI,IF($J40=1,"ACTIVE     GHGE, FARM GATE (kg CO2e/kg)","GHGE, processor gate (kg CO2e/kg)"),INDIRECT($K40)),GETPIVOTDATA(IF($J40=1,"StdDev of ACTIVE     GHGE, FARM GATE (kg CO2e/kg)","StdDev of GHGE, processor gate (kg CO2e/kg)"),'Pivot Table_GHG'!$A$3,"SUB TYPE",$B40))</f>
        <v>0.15546099980427586</v>
      </c>
      <c r="T40" s="88"/>
      <c r="U40" s="89"/>
      <c r="W40" s="213" t="str">
        <f ca="1">IF(L40="PROXY",IF(M40&gt;=5,K40,"need group"),IF(M40&gt;=5,"DIRECT","need group"))</f>
        <v>onion_bulb</v>
      </c>
      <c r="X40" s="211">
        <f ca="1">IF($W40="DIRECT",M40,DCOUNT('literature entries'!$D:$AI,IF($J40=1,"ACTIVE     CED, FARM GATE (MJ/kg)","CED, processor gate (MJ/kg)"),INDIRECT($W40)))</f>
        <v>7</v>
      </c>
      <c r="Y40" s="211">
        <f ca="1">IF($W40="DIRECT","",DAVERAGE('literature entries'!$D:$AI,IF($J40=1,"ACTIVE     CED, FARM GATE (MJ/kg)","CED, processor gate (MJ/kg)"),INDIRECT($W40)))</f>
        <v>2.5496782056285712</v>
      </c>
      <c r="Z40" s="211">
        <f ca="1">IF($W40="DIRECT",$O40,DSTDEV('literature entries'!$D:$AI,IF($J40=1,"ACTIVE     CED, FARM GATE (MJ/kg)","CED, processor gate (MJ/kg)"),INDIRECT($W40)))</f>
        <v>1.6075250593394621</v>
      </c>
      <c r="AA40" s="211">
        <f t="shared" ca="1" si="5"/>
        <v>1.6075250593394619</v>
      </c>
      <c r="AB40" s="219" t="str">
        <f ca="1">IF(P40="PROXY",IF(Q40&gt;=5,K40,"need group"),IF(Q40&gt;=5,"DIRECT","need group"))</f>
        <v>onion_bulb</v>
      </c>
      <c r="AC40" s="212">
        <f ca="1">IF($AB40="DIRECT",Q40,DCOUNT('literature entries'!$D:$AI,IF($J40=1,"ACTIVE     GHGE, FARM GATE (kg CO2e/kg)","GHGE, processor gate (kg CO2e/kg)"),INDIRECT($AB40)))</f>
        <v>7</v>
      </c>
      <c r="AD40" s="212">
        <f ca="1">IF($AB40="DIRECT","",DAVERAGE('literature entries'!$D:$AI,IF($J40=1,"ACTIVE     GHGE, FARM GATE (kg CO2e/kg)","GHGE, processor gate (kg CO2e/kg)"),INDIRECT($AB40)))</f>
        <v>0.24193688857142856</v>
      </c>
      <c r="AE40" s="212">
        <f ca="1">IF($AB40="DIRECT",$S40,DSTDEV('literature entries'!$D:$AI,IF($J40=1,"ACTIVE     GHGE, FARM GATE (kg CO2e/kg)","GHGE, processor gate (kg CO2e/kg)"),INDIRECT($AB40)))</f>
        <v>0.15546099980427586</v>
      </c>
      <c r="AF40" s="212">
        <f t="shared" ca="1" si="6"/>
        <v>0.15546099980427586</v>
      </c>
    </row>
    <row r="41" spans="1:32" s="19" customFormat="1" thickBot="1" x14ac:dyDescent="0.25">
      <c r="A41" s="114">
        <v>302103000</v>
      </c>
      <c r="B41" s="115" t="s">
        <v>1903</v>
      </c>
      <c r="C41" s="115" t="s">
        <v>1904</v>
      </c>
      <c r="D41" s="115" t="s">
        <v>1905</v>
      </c>
      <c r="E41" s="115">
        <v>1638</v>
      </c>
      <c r="F41" s="111">
        <f t="shared" ca="1" si="0"/>
        <v>1.5507451766666669</v>
      </c>
      <c r="G41" s="112">
        <f t="shared" ca="1" si="1"/>
        <v>0.22093143666666668</v>
      </c>
      <c r="H41" s="116">
        <v>1</v>
      </c>
      <c r="I41" s="116" t="s">
        <v>2724</v>
      </c>
      <c r="J41" s="79">
        <v>1</v>
      </c>
      <c r="K41" s="78" t="s">
        <v>893</v>
      </c>
      <c r="L41" s="135" t="str">
        <f>IF(ISERROR(GETPIVOTDATA(IF($J41=1,"Count of ACTIVE     CED, FARM GATE (MJ/kg)","Count of CED, processor gate (MJ/kg)"),'Pivot Table_CED'!$A$3,"SUB TYPE",$B41)),"PROXY",IF(GETPIVOTDATA(IF($J41=1,"Count of ACTIVE     CED, FARM GATE (MJ/kg)","Count of CED, processor gate (MJ/kg)"),'Pivot Table_CED'!$A$3,"SUB TYPE",$B41)=0,"PROXY","DB value"))</f>
        <v>PROXY</v>
      </c>
      <c r="M41" s="118">
        <f ca="1">IF($L41="PROXY",DCOUNT('literature entries'!$D:$AI,IF($J41=1,"ACTIVE     CED, FARM GATE (MJ/kg)","CED, processor gate (MJ/kg)"),INDIRECT($K41)),GETPIVOTDATA(IF($J41=1,"Count of ACTIVE     CED, FARM GATE (MJ/kg)","Count of CED, processor gate (MJ/kg)"),'Pivot Table_CED'!$A$3,"SUB TYPE",$B41))</f>
        <v>3</v>
      </c>
      <c r="N41" s="119">
        <f ca="1">IF($L41="PROXY",DAVERAGE('literature entries'!$D:$AI,IF($J41=1,"ACTIVE     CED, FARM GATE (MJ/kg)","CED, processor gate (MJ/kg)"),INDIRECT($K41)),GETPIVOTDATA(IF($J41=1,"Average of ACTIVE     CED, FARM GATE (MJ/kg)","Average of CED, processor gate (MJ/kg)"),'Pivot Table_CED'!$A$3,"SUB TYPE",$B41))</f>
        <v>1.5507451766666669</v>
      </c>
      <c r="O41" s="119">
        <f ca="1">IF($L41="PROXY",DSTDEV('literature entries'!D:AI,IF($J41=1,"ACTIVE     CED, FARM GATE (MJ/kg)","CED, processor gate (MJ/kg)"),INDIRECT($K41)),GETPIVOTDATA(IF($J41=1,"StdDev of ACTIVE     CED, FARM GATE (MJ/kg)","StdDev of CED, processor gate (MJ/kg)"),'Pivot Table_CED'!$A$3,"SUB TYPE",$B41))</f>
        <v>1.545573713255328</v>
      </c>
      <c r="P41" s="135" t="str">
        <f>IF(ISERROR(GETPIVOTDATA(IF($J41=1,"Count of ACTIVE     GHGE, FARM GATE (kg CO2e/kg)","Count of GHGE, processor gate (kg CO2e/kg)"),'Pivot Table_GHG'!$A$3,"SUB TYPE",$B41)),"PROXY",IF(GETPIVOTDATA(IF($J41=1,"Count of ACTIVE     GHGE, FARM GATE (kg CO2e/kg)","Count of GHGE, processor gate (kg CO2e/kg)"),'Pivot Table_GHG'!$A$3,"SUB TYPE",$B41)=0,"PROXY","DB value"))</f>
        <v>PROXY</v>
      </c>
      <c r="Q41" s="125">
        <f ca="1">IF($P41="PROXY",DCOUNT('literature entries'!$D:$AI,IF($J41=1,"ACTIVE     GHGE, FARM GATE (kg CO2e/kg)","GHGE, processor gate (kg CO2e/kg)"),INDIRECT($K41)),GETPIVOTDATA(IF($J41=1,"ACTIVE     GHGE, FARM GATE (kg CO2e/kg)","Count of GHGE, processor gate (kg CO2e/kg)"),'Pivot Table_GHG'!$A$3,"SUB TYPE",$B41))</f>
        <v>3</v>
      </c>
      <c r="R41" s="190">
        <f ca="1">IF($P41="PROXY",DAVERAGE('literature entries'!$D:$AI,IF($J41=1,"ACTIVE     GHGE, FARM GATE (kg CO2e/kg)","GHGE, processor gate (kg CO2e/kg)"),INDIRECT($K41)),GETPIVOTDATA(IF($J41=1,"Average of ACTIVE     GHGE, FARM GATE (kg CO2e/kg)","Average of GHGE, processor gate (kg CO2e/kg)"),'Pivot Table_GHG'!$A$3,"SUB TYPE",$B41))</f>
        <v>0.22093143666666668</v>
      </c>
      <c r="S41" s="190">
        <f ca="1">IF($P41="PROXY",DSTDEV('literature entries'!$D:$AI,IF($J41=1,"ACTIVE     GHGE, FARM GATE (kg CO2e/kg)","GHGE, processor gate (kg CO2e/kg)"),INDIRECT($K41)),GETPIVOTDATA(IF($J41=1,"StdDev of ACTIVE     GHGE, FARM GATE (kg CO2e/kg)","StdDev of GHGE, processor gate (kg CO2e/kg)"),'Pivot Table_GHG'!$A$3,"SUB TYPE",$B41))</f>
        <v>8.3542949461742316E-2</v>
      </c>
      <c r="T41" s="88"/>
      <c r="U41" s="89"/>
      <c r="W41" s="213" t="s">
        <v>2457</v>
      </c>
      <c r="X41" s="211">
        <f ca="1">IF($W41="DIRECT",M41,DCOUNT('literature entries'!$D:$AI,IF($J41=1,"ACTIVE     CED, FARM GATE (MJ/kg)","CED, processor gate (MJ/kg)"),INDIRECT($W41)))</f>
        <v>10</v>
      </c>
      <c r="Y41" s="211">
        <f ca="1">IF($W41="DIRECT","",DAVERAGE('literature entries'!$D:$AI,IF($J41=1,"ACTIVE     CED, FARM GATE (MJ/kg)","CED, processor gate (MJ/kg)"),INDIRECT($W41)))</f>
        <v>2.5657274700000001</v>
      </c>
      <c r="Z41" s="211">
        <f ca="1">IF($W41="DIRECT",$O41,DSTDEV('literature entries'!$D:$AI,IF($J41=1,"ACTIVE     CED, FARM GATE (MJ/kg)","CED, processor gate (MJ/kg)"),INDIRECT($W41)))</f>
        <v>1.5197673074222315</v>
      </c>
      <c r="AA41" s="211">
        <f t="shared" ca="1" si="5"/>
        <v>0.91855890744339763</v>
      </c>
      <c r="AB41" s="219" t="s">
        <v>2457</v>
      </c>
      <c r="AC41" s="212">
        <f ca="1">IF($AB41="DIRECT",Q41,DCOUNT('literature entries'!$D:$AI,IF($J41=1,"ACTIVE     GHGE, FARM GATE (kg CO2e/kg)","GHGE, processor gate (kg CO2e/kg)"),INDIRECT($AB41)))</f>
        <v>22</v>
      </c>
      <c r="AD41" s="212">
        <f ca="1">IF($AB41="DIRECT","",DAVERAGE('literature entries'!$D:$AI,IF($J41=1,"ACTIVE     GHGE, FARM GATE (kg CO2e/kg)","GHGE, processor gate (kg CO2e/kg)"),INDIRECT($AB41)))</f>
        <v>0.18561974136363635</v>
      </c>
      <c r="AE41" s="212">
        <f ca="1">IF($AB41="DIRECT",$S41,DSTDEV('literature entries'!$D:$AI,IF($J41=1,"ACTIVE     GHGE, FARM GATE (kg CO2e/kg)","GHGE, processor gate (kg CO2e/kg)"),INDIRECT($AB41)))</f>
        <v>9.7833632177637575E-2</v>
      </c>
      <c r="AF41" s="212">
        <f t="shared" ca="1" si="6"/>
        <v>0.11644518386102046</v>
      </c>
    </row>
    <row r="42" spans="1:32" s="19" customFormat="1" thickBot="1" x14ac:dyDescent="0.25">
      <c r="A42" s="114">
        <v>302198000</v>
      </c>
      <c r="B42" s="115" t="s">
        <v>868</v>
      </c>
      <c r="C42" s="115" t="s">
        <v>2047</v>
      </c>
      <c r="D42" s="115" t="s">
        <v>2048</v>
      </c>
      <c r="E42" s="115">
        <v>67</v>
      </c>
      <c r="F42" s="111">
        <f t="shared" ca="1" si="0"/>
        <v>2.5496782056285712</v>
      </c>
      <c r="G42" s="112">
        <f t="shared" ca="1" si="1"/>
        <v>6.9000000000000006E-2</v>
      </c>
      <c r="H42" s="116">
        <v>1</v>
      </c>
      <c r="I42" s="116" t="s">
        <v>628</v>
      </c>
      <c r="J42" s="79">
        <v>1</v>
      </c>
      <c r="K42" s="78" t="s">
        <v>3271</v>
      </c>
      <c r="L42" s="135" t="str">
        <f>IF(ISERROR(GETPIVOTDATA(IF($J42=1,"Count of ACTIVE     CED, FARM GATE (MJ/kg)","Count of CED, processor gate (MJ/kg)"),'Pivot Table_CED'!$A$3,"SUB TYPE",$B42)),"PROXY",IF(GETPIVOTDATA(IF($J42=1,"Count of ACTIVE     CED, FARM GATE (MJ/kg)","Count of CED, processor gate (MJ/kg)"),'Pivot Table_CED'!$A$3,"SUB TYPE",$B42)=0,"PROXY","DB value"))</f>
        <v>PROXY</v>
      </c>
      <c r="M42" s="118">
        <f ca="1">IF($L42="PROXY",DCOUNT('literature entries'!$D:$AI,IF($J42=1,"ACTIVE     CED, FARM GATE (MJ/kg)","CED, processor gate (MJ/kg)"),INDIRECT($K42)),GETPIVOTDATA(IF($J42=1,"Count of ACTIVE     CED, FARM GATE (MJ/kg)","Count of CED, processor gate (MJ/kg)"),'Pivot Table_CED'!$A$3,"SUB TYPE",$B42))</f>
        <v>7</v>
      </c>
      <c r="N42" s="119">
        <f ca="1">IF($L42="PROXY",DAVERAGE('literature entries'!$D:$AI,IF($J42=1,"ACTIVE     CED, FARM GATE (MJ/kg)","CED, processor gate (MJ/kg)"),INDIRECT($K42)),GETPIVOTDATA(IF($J42=1,"Average of ACTIVE     CED, FARM GATE (MJ/kg)","Average of CED, processor gate (MJ/kg)"),'Pivot Table_CED'!$A$3,"SUB TYPE",$B42))</f>
        <v>2.5496782056285712</v>
      </c>
      <c r="O42" s="119">
        <f ca="1">IF($L42="PROXY",DSTDEV('literature entries'!D:AI,IF($J42=1,"ACTIVE     CED, FARM GATE (MJ/kg)","CED, processor gate (MJ/kg)"),INDIRECT($K42)),GETPIVOTDATA(IF($J42=1,"StdDev of ACTIVE     CED, FARM GATE (MJ/kg)","StdDev of CED, processor gate (MJ/kg)"),'Pivot Table_CED'!$A$3,"SUB TYPE",$B42))</f>
        <v>1.6075250593394621</v>
      </c>
      <c r="P42" s="135" t="str">
        <f>IF(ISERROR(GETPIVOTDATA(IF($J42=1,"Count of ACTIVE     GHGE, FARM GATE (kg CO2e/kg)","Count of GHGE, processor gate (kg CO2e/kg)"),'Pivot Table_GHG'!$A$3,"SUB TYPE",$B42)),"PROXY",IF(GETPIVOTDATA(IF($J42=1,"Count of ACTIVE     GHGE, FARM GATE (kg CO2e/kg)","Count of GHGE, processor gate (kg CO2e/kg)"),'Pivot Table_GHG'!$A$3,"SUB TYPE",$B42)=0,"PROXY","DB value"))</f>
        <v>DB value</v>
      </c>
      <c r="Q42" s="125">
        <f ca="1">IF($P42="PROXY",DCOUNT('literature entries'!$D:$AI,IF($J42=1,"ACTIVE     GHGE, FARM GATE (kg CO2e/kg)","GHGE, processor gate (kg CO2e/kg)"),INDIRECT($K42)),GETPIVOTDATA(IF($J42=1,"ACTIVE     GHGE, FARM GATE (kg CO2e/kg)","Count of GHGE, processor gate (kg CO2e/kg)"),'Pivot Table_GHG'!$A$3,"SUB TYPE",$B42))</f>
        <v>2</v>
      </c>
      <c r="R42" s="190">
        <f ca="1">IF($P42="PROXY",DAVERAGE('literature entries'!$D:$AI,IF($J42=1,"ACTIVE     GHGE, FARM GATE (kg CO2e/kg)","GHGE, processor gate (kg CO2e/kg)"),INDIRECT($K42)),GETPIVOTDATA(IF($J42=1,"Average of ACTIVE     GHGE, FARM GATE (kg CO2e/kg)","Average of GHGE, processor gate (kg CO2e/kg)"),'Pivot Table_GHG'!$A$3,"SUB TYPE",$B42))</f>
        <v>6.9000000000000006E-2</v>
      </c>
      <c r="S42" s="190">
        <f ca="1">IF($P42="PROXY",DSTDEV('literature entries'!$D:$AI,IF($J42=1,"ACTIVE     GHGE, FARM GATE (kg CO2e/kg)","GHGE, processor gate (kg CO2e/kg)"),INDIRECT($K42)),GETPIVOTDATA(IF($J42=1,"StdDev of ACTIVE     GHGE, FARM GATE (kg CO2e/kg)","StdDev of GHGE, processor gate (kg CO2e/kg)"),'Pivot Table_GHG'!$A$3,"SUB TYPE",$B42))</f>
        <v>3.5355339059327369E-2</v>
      </c>
      <c r="T42" s="88"/>
      <c r="U42" s="89"/>
      <c r="W42" s="213" t="str">
        <f ca="1">IF(L42="PROXY",IF(M42&gt;=5,K42,"need group"),IF(M42&gt;=5,"DIRECT","need group"))</f>
        <v>onion_bulb</v>
      </c>
      <c r="X42" s="211">
        <f ca="1">IF($W42="DIRECT",M42,DCOUNT('literature entries'!$D:$AI,IF($J42=1,"ACTIVE     CED, FARM GATE (MJ/kg)","CED, processor gate (MJ/kg)"),INDIRECT($W42)))</f>
        <v>7</v>
      </c>
      <c r="Y42" s="211">
        <f ca="1">IF($W42="DIRECT","",DAVERAGE('literature entries'!$D:$AI,IF($J42=1,"ACTIVE     CED, FARM GATE (MJ/kg)","CED, processor gate (MJ/kg)"),INDIRECT($W42)))</f>
        <v>2.5496782056285712</v>
      </c>
      <c r="Z42" s="211">
        <f ca="1">IF($W42="DIRECT",$O42,DSTDEV('literature entries'!$D:$AI,IF($J42=1,"ACTIVE     CED, FARM GATE (MJ/kg)","CED, processor gate (MJ/kg)"),INDIRECT($W42)))</f>
        <v>1.6075250593394621</v>
      </c>
      <c r="AA42" s="211">
        <f t="shared" ca="1" si="5"/>
        <v>1.6075250593394619</v>
      </c>
      <c r="AB42" s="219" t="s">
        <v>3271</v>
      </c>
      <c r="AC42" s="212">
        <f ca="1">IF($AB42="DIRECT",Q42,DCOUNT('literature entries'!$D:$AI,IF($J42=1,"ACTIVE     GHGE, FARM GATE (kg CO2e/kg)","GHGE, processor gate (kg CO2e/kg)"),INDIRECT($AB42)))</f>
        <v>7</v>
      </c>
      <c r="AD42" s="212">
        <f ca="1">IF($AB42="DIRECT","",DAVERAGE('literature entries'!$D:$AI,IF($J42=1,"ACTIVE     GHGE, FARM GATE (kg CO2e/kg)","GHGE, processor gate (kg CO2e/kg)"),INDIRECT($AB42)))</f>
        <v>0.24193688857142856</v>
      </c>
      <c r="AE42" s="212">
        <f ca="1">IF($AB42="DIRECT",$S42,DSTDEV('literature entries'!$D:$AI,IF($J42=1,"ACTIVE     GHGE, FARM GATE (kg CO2e/kg)","GHGE, processor gate (kg CO2e/kg)"),INDIRECT($AB42)))</f>
        <v>0.15546099980427586</v>
      </c>
      <c r="AF42" s="212">
        <f t="shared" ca="1" si="6"/>
        <v>4.4337219718059206E-2</v>
      </c>
    </row>
    <row r="43" spans="1:32" s="19" customFormat="1" thickBot="1" x14ac:dyDescent="0.25">
      <c r="A43" s="114">
        <v>302239000</v>
      </c>
      <c r="B43" s="115" t="s">
        <v>2106</v>
      </c>
      <c r="C43" s="115" t="s">
        <v>2107</v>
      </c>
      <c r="D43" s="115" t="s">
        <v>2108</v>
      </c>
      <c r="E43" s="115">
        <v>2507</v>
      </c>
      <c r="F43" s="111">
        <f t="shared" ca="1" si="0"/>
        <v>1.2311520000000002</v>
      </c>
      <c r="G43" s="112">
        <f t="shared" ca="1" si="1"/>
        <v>8.5071999999999995E-2</v>
      </c>
      <c r="H43" s="116">
        <v>1.04</v>
      </c>
      <c r="I43" s="116" t="s">
        <v>2724</v>
      </c>
      <c r="J43" s="79">
        <v>1</v>
      </c>
      <c r="K43" s="78" t="s">
        <v>874</v>
      </c>
      <c r="L43" s="135" t="str">
        <f>IF(ISERROR(GETPIVOTDATA(IF($J43=1,"Count of ACTIVE     CED, FARM GATE (MJ/kg)","Count of CED, processor gate (MJ/kg)"),'Pivot Table_CED'!$A$3,"SUB TYPE",$B43)),"PROXY",IF(GETPIVOTDATA(IF($J43=1,"Count of ACTIVE     CED, FARM GATE (MJ/kg)","Count of CED, processor gate (MJ/kg)"),'Pivot Table_CED'!$A$3,"SUB TYPE",$B43)=0,"PROXY","DB value"))</f>
        <v>PROXY</v>
      </c>
      <c r="M43" s="118">
        <f ca="1">IF($L43="PROXY",DCOUNT('literature entries'!$D:$AI,IF($J43=1,"ACTIVE     CED, FARM GATE (MJ/kg)","CED, processor gate (MJ/kg)"),INDIRECT($K43)),GETPIVOTDATA(IF($J43=1,"Count of ACTIVE     CED, FARM GATE (MJ/kg)","Count of CED, processor gate (MJ/kg)"),'Pivot Table_CED'!$A$3,"SUB TYPE",$B43))</f>
        <v>5</v>
      </c>
      <c r="N43" s="119">
        <f ca="1">IF($L43="PROXY",DAVERAGE('literature entries'!$D:$AI,IF($J43=1,"ACTIVE     CED, FARM GATE (MJ/kg)","CED, processor gate (MJ/kg)"),INDIRECT($K43)),GETPIVOTDATA(IF($J43=1,"Average of ACTIVE     CED, FARM GATE (MJ/kg)","Average of CED, processor gate (MJ/kg)"),'Pivot Table_CED'!$A$3,"SUB TYPE",$B43))</f>
        <v>1.1838000000000002</v>
      </c>
      <c r="O43" s="119">
        <f ca="1">IF($L43="PROXY",DSTDEV('literature entries'!D:AI,IF($J43=1,"ACTIVE     CED, FARM GATE (MJ/kg)","CED, processor gate (MJ/kg)"),INDIRECT($K43)),GETPIVOTDATA(IF($J43=1,"StdDev of ACTIVE     CED, FARM GATE (MJ/kg)","StdDev of CED, processor gate (MJ/kg)"),'Pivot Table_CED'!$A$3,"SUB TYPE",$B43))</f>
        <v>0.63805814782040027</v>
      </c>
      <c r="P43" s="135" t="str">
        <f>IF(ISERROR(GETPIVOTDATA(IF($J43=1,"Count of ACTIVE     GHGE, FARM GATE (kg CO2e/kg)","Count of GHGE, processor gate (kg CO2e/kg)"),'Pivot Table_GHG'!$A$3,"SUB TYPE",$B43)),"PROXY",IF(GETPIVOTDATA(IF($J43=1,"Count of ACTIVE     GHGE, FARM GATE (kg CO2e/kg)","Count of GHGE, processor gate (kg CO2e/kg)"),'Pivot Table_GHG'!$A$3,"SUB TYPE",$B43)=0,"PROXY","DB value"))</f>
        <v>PROXY</v>
      </c>
      <c r="Q43" s="125">
        <f ca="1">IF($P43="PROXY",DCOUNT('literature entries'!$D:$AI,IF($J43=1,"ACTIVE     GHGE, FARM GATE (kg CO2e/kg)","GHGE, processor gate (kg CO2e/kg)"),INDIRECT($K43)),GETPIVOTDATA(IF($J43=1,"ACTIVE     GHGE, FARM GATE (kg CO2e/kg)","Count of GHGE, processor gate (kg CO2e/kg)"),'Pivot Table_GHG'!$A$3,"SUB TYPE",$B43))</f>
        <v>5</v>
      </c>
      <c r="R43" s="190">
        <f ca="1">IF($P43="PROXY",DAVERAGE('literature entries'!$D:$AI,IF($J43=1,"ACTIVE     GHGE, FARM GATE (kg CO2e/kg)","GHGE, processor gate (kg CO2e/kg)"),INDIRECT($K43)),GETPIVOTDATA(IF($J43=1,"Average of ACTIVE     GHGE, FARM GATE (kg CO2e/kg)","Average of GHGE, processor gate (kg CO2e/kg)"),'Pivot Table_GHG'!$A$3,"SUB TYPE",$B43))</f>
        <v>8.1799999999999998E-2</v>
      </c>
      <c r="S43" s="190">
        <f ca="1">IF($P43="PROXY",DSTDEV('literature entries'!$D:$AI,IF($J43=1,"ACTIVE     GHGE, FARM GATE (kg CO2e/kg)","GHGE, processor gate (kg CO2e/kg)"),INDIRECT($K43)),GETPIVOTDATA(IF($J43=1,"StdDev of ACTIVE     GHGE, FARM GATE (kg CO2e/kg)","StdDev of GHGE, processor gate (kg CO2e/kg)"),'Pivot Table_GHG'!$A$3,"SUB TYPE",$B43))</f>
        <v>5.1982689426385009E-2</v>
      </c>
      <c r="T43" s="88"/>
      <c r="U43" s="89"/>
      <c r="W43" s="213" t="s">
        <v>2455</v>
      </c>
      <c r="X43" s="211">
        <f ca="1">IF($W43="DIRECT",M43,DCOUNT('literature entries'!$D:$AI,IF($J43=1,"ACTIVE     CED, FARM GATE (MJ/kg)","CED, processor gate (MJ/kg)"),INDIRECT($W43)))</f>
        <v>14</v>
      </c>
      <c r="Y43" s="211">
        <f ca="1">IF($W43="DIRECT","",DAVERAGE('literature entries'!$D:$AI,IF($J43=1,"ACTIVE     CED, FARM GATE (MJ/kg)","CED, processor gate (MJ/kg)"),INDIRECT($W43)))</f>
        <v>1.4220714285714284</v>
      </c>
      <c r="Z43" s="211">
        <f ca="1">IF($W43="DIRECT",$O43,DSTDEV('literature entries'!$D:$AI,IF($J43=1,"ACTIVE     CED, FARM GATE (MJ/kg)","CED, processor gate (MJ/kg)"),INDIRECT($W43)))</f>
        <v>0.57442043892896122</v>
      </c>
      <c r="AA43" s="211">
        <f t="shared" ca="1" si="5"/>
        <v>0.47817493688570306</v>
      </c>
      <c r="AB43" s="219" t="s">
        <v>2455</v>
      </c>
      <c r="AC43" s="212">
        <f ca="1">IF($AB43="DIRECT",Q43,DCOUNT('literature entries'!$D:$AI,IF($J43=1,"ACTIVE     GHGE, FARM GATE (kg CO2e/kg)","GHGE, processor gate (kg CO2e/kg)"),INDIRECT($AB43)))</f>
        <v>25</v>
      </c>
      <c r="AD43" s="212">
        <f ca="1">IF($AB43="DIRECT","",DAVERAGE('literature entries'!$D:$AI,IF($J43=1,"ACTIVE     GHGE, FARM GATE (kg CO2e/kg)","GHGE, processor gate (kg CO2e/kg)"),INDIRECT($AB43)))</f>
        <v>0.21340000000000003</v>
      </c>
      <c r="AE43" s="212">
        <f ca="1">IF($AB43="DIRECT",$S43,DSTDEV('literature entries'!$D:$AI,IF($J43=1,"ACTIVE     GHGE, FARM GATE (kg CO2e/kg)","GHGE, processor gate (kg CO2e/kg)"),INDIRECT($AB43)))</f>
        <v>0.17992035274902424</v>
      </c>
      <c r="AF43" s="212">
        <f t="shared" ca="1" si="6"/>
        <v>6.8966658176523796E-2</v>
      </c>
    </row>
    <row r="44" spans="1:32" s="19" customFormat="1" ht="17" thickBot="1" x14ac:dyDescent="0.25">
      <c r="A44" s="114">
        <v>401005000</v>
      </c>
      <c r="B44" s="115" t="s">
        <v>1734</v>
      </c>
      <c r="C44" s="115" t="s">
        <v>1735</v>
      </c>
      <c r="D44" s="115" t="s">
        <v>1736</v>
      </c>
      <c r="E44" s="115">
        <v>12</v>
      </c>
      <c r="F44" s="111">
        <f t="shared" ca="1" si="0"/>
        <v>2.5657274700000001</v>
      </c>
      <c r="G44" s="112">
        <f t="shared" ca="1" si="1"/>
        <v>0.18561974136363635</v>
      </c>
      <c r="H44" s="117">
        <v>1</v>
      </c>
      <c r="I44" s="117" t="s">
        <v>594</v>
      </c>
      <c r="J44" s="79">
        <v>1</v>
      </c>
      <c r="K44" s="78" t="s">
        <v>2457</v>
      </c>
      <c r="L44" s="135" t="str">
        <f>IF(ISERROR(GETPIVOTDATA(IF($J44=1,"Count of ACTIVE     CED, FARM GATE (MJ/kg)","Count of CED, processor gate (MJ/kg)"),'Pivot Table_CED'!$A$3,"SUB TYPE",$B44)),"PROXY",IF(GETPIVOTDATA(IF($J44=1,"Count of ACTIVE     CED, FARM GATE (MJ/kg)","Count of CED, processor gate (MJ/kg)"),'Pivot Table_CED'!$A$3,"SUB TYPE",$B44)=0,"PROXY","DB value"))</f>
        <v>PROXY</v>
      </c>
      <c r="M44" s="118">
        <f ca="1">IF($L44="PROXY",DCOUNT('literature entries'!$D:$AI,IF($J44=1,"ACTIVE     CED, FARM GATE (MJ/kg)","CED, processor gate (MJ/kg)"),INDIRECT($K44)),GETPIVOTDATA(IF($J44=1,"Count of ACTIVE     CED, FARM GATE (MJ/kg)","Count of CED, processor gate (MJ/kg)"),'Pivot Table_CED'!$A$3,"SUB TYPE",$B44))</f>
        <v>10</v>
      </c>
      <c r="N44" s="119">
        <f ca="1">IF($L44="PROXY",DAVERAGE('literature entries'!$D:$AI,IF($J44=1,"ACTIVE     CED, FARM GATE (MJ/kg)","CED, processor gate (MJ/kg)"),INDIRECT($K44)),GETPIVOTDATA(IF($J44=1,"Average of ACTIVE     CED, FARM GATE (MJ/kg)","Average of CED, processor gate (MJ/kg)"),'Pivot Table_CED'!$A$3,"SUB TYPE",$B44))</f>
        <v>2.5657274700000001</v>
      </c>
      <c r="O44" s="119">
        <f ca="1">IF($L44="PROXY",DSTDEV('literature entries'!D:AI,IF($J44=1,"ACTIVE     CED, FARM GATE (MJ/kg)","CED, processor gate (MJ/kg)"),INDIRECT($K44)),GETPIVOTDATA(IF($J44=1,"StdDev of ACTIVE     CED, FARM GATE (MJ/kg)","StdDev of CED, processor gate (MJ/kg)"),'Pivot Table_CED'!$A$3,"SUB TYPE",$B44))</f>
        <v>1.5197673074222315</v>
      </c>
      <c r="P44" s="135" t="str">
        <f>IF(ISERROR(GETPIVOTDATA(IF($J44=1,"Count of ACTIVE     GHGE, FARM GATE (kg CO2e/kg)","Count of GHGE, processor gate (kg CO2e/kg)"),'Pivot Table_GHG'!$A$3,"SUB TYPE",$B44)),"PROXY",IF(GETPIVOTDATA(IF($J44=1,"Count of ACTIVE     GHGE, FARM GATE (kg CO2e/kg)","Count of GHGE, processor gate (kg CO2e/kg)"),'Pivot Table_GHG'!$A$3,"SUB TYPE",$B44)=0,"PROXY","DB value"))</f>
        <v>PROXY</v>
      </c>
      <c r="Q44" s="125">
        <f ca="1">IF($P44="PROXY",DCOUNT('literature entries'!$D:$AI,IF($J44=1,"ACTIVE     GHGE, FARM GATE (kg CO2e/kg)","GHGE, processor gate (kg CO2e/kg)"),INDIRECT($K44)),GETPIVOTDATA(IF($J44=1,"ACTIVE     GHGE, FARM GATE (kg CO2e/kg)","Count of GHGE, processor gate (kg CO2e/kg)"),'Pivot Table_GHG'!$A$3,"SUB TYPE",$B44))</f>
        <v>22</v>
      </c>
      <c r="R44" s="190">
        <f ca="1">IF($P44="PROXY",DAVERAGE('literature entries'!$D:$AI,IF($J44=1,"ACTIVE     GHGE, FARM GATE (kg CO2e/kg)","GHGE, processor gate (kg CO2e/kg)"),INDIRECT($K44)),GETPIVOTDATA(IF($J44=1,"Average of ACTIVE     GHGE, FARM GATE (kg CO2e/kg)","Average of GHGE, processor gate (kg CO2e/kg)"),'Pivot Table_GHG'!$A$3,"SUB TYPE",$B44))</f>
        <v>0.18561974136363635</v>
      </c>
      <c r="S44" s="190">
        <f ca="1">IF($P44="PROXY",DSTDEV('literature entries'!$D:$AI,IF($J44=1,"ACTIVE     GHGE, FARM GATE (kg CO2e/kg)","GHGE, processor gate (kg CO2e/kg)"),INDIRECT($K44)),GETPIVOTDATA(IF($J44=1,"StdDev of ACTIVE     GHGE, FARM GATE (kg CO2e/kg)","StdDev of GHGE, processor gate (kg CO2e/kg)"),'Pivot Table_GHG'!$A$3,"SUB TYPE",$B44))</f>
        <v>9.7833632177637575E-2</v>
      </c>
      <c r="T44" s="82"/>
      <c r="U44" s="83"/>
      <c r="W44" s="213" t="str">
        <f ca="1">IF(L44="PROXY",IF(M44&gt;=5,K44,"need group"),IF(M44&gt;=5,"DIRECT","need group"))</f>
        <v>greens</v>
      </c>
      <c r="X44" s="211">
        <f ca="1">IF($W44="DIRECT",M44,DCOUNT('literature entries'!$D:$AI,IF($J44=1,"ACTIVE     CED, FARM GATE (MJ/kg)","CED, processor gate (MJ/kg)"),INDIRECT($W44)))</f>
        <v>10</v>
      </c>
      <c r="Y44" s="211">
        <f ca="1">IF($W44="DIRECT","",DAVERAGE('literature entries'!$D:$AI,IF($J44=1,"ACTIVE     CED, FARM GATE (MJ/kg)","CED, processor gate (MJ/kg)"),INDIRECT($W44)))</f>
        <v>2.5657274700000001</v>
      </c>
      <c r="Z44" s="211">
        <f ca="1">IF($W44="DIRECT",$O44,DSTDEV('literature entries'!$D:$AI,IF($J44=1,"ACTIVE     CED, FARM GATE (MJ/kg)","CED, processor gate (MJ/kg)"),INDIRECT($W44)))</f>
        <v>1.5197673074222315</v>
      </c>
      <c r="AA44" s="211">
        <f t="shared" ref="AA44:AA71" ca="1" si="7">IF($W44="DIRECT",$O44,$Z44/$Y44*$N44)</f>
        <v>1.5197673074222315</v>
      </c>
      <c r="AB44" s="219" t="str">
        <f ca="1">IF(P44="PROXY",IF(Q44&gt;=5,K44,"need group"),IF(Q44&gt;=5,"DIRECT","need group"))</f>
        <v>greens</v>
      </c>
      <c r="AC44" s="212">
        <f ca="1">IF($AB44="DIRECT",Q44,DCOUNT('literature entries'!$D:$AI,IF($J44=1,"ACTIVE     GHGE, FARM GATE (kg CO2e/kg)","GHGE, processor gate (kg CO2e/kg)"),INDIRECT($AB44)))</f>
        <v>22</v>
      </c>
      <c r="AD44" s="212">
        <f ca="1">IF($AB44="DIRECT","",DAVERAGE('literature entries'!$D:$AI,IF($J44=1,"ACTIVE     GHGE, FARM GATE (kg CO2e/kg)","GHGE, processor gate (kg CO2e/kg)"),INDIRECT($AB44)))</f>
        <v>0.18561974136363635</v>
      </c>
      <c r="AE44" s="212">
        <f ca="1">IF($AB44="DIRECT",$S44,DSTDEV('literature entries'!$D:$AI,IF($J44=1,"ACTIVE     GHGE, FARM GATE (kg CO2e/kg)","GHGE, processor gate (kg CO2e/kg)"),INDIRECT($AB44)))</f>
        <v>9.7833632177637575E-2</v>
      </c>
      <c r="AF44" s="212">
        <f t="shared" ref="AF44:AF71" ca="1" si="8">IF($AB44="DIRECT",$S44,$AE44/$AD44*$R44)</f>
        <v>9.7833632177637575E-2</v>
      </c>
    </row>
    <row r="45" spans="1:32" s="19" customFormat="1" thickBot="1" x14ac:dyDescent="0.25">
      <c r="A45" s="114">
        <v>401118000</v>
      </c>
      <c r="B45" s="115" t="s">
        <v>1906</v>
      </c>
      <c r="C45" s="115" t="s">
        <v>1760</v>
      </c>
      <c r="D45" s="115" t="s">
        <v>1907</v>
      </c>
      <c r="E45" s="115">
        <v>21992</v>
      </c>
      <c r="F45" s="111">
        <f t="shared" ca="1" si="0"/>
        <v>1.8298793084666669</v>
      </c>
      <c r="G45" s="112">
        <f t="shared" ca="1" si="1"/>
        <v>0.26069909526666668</v>
      </c>
      <c r="H45" s="116">
        <v>1.18</v>
      </c>
      <c r="I45" s="116" t="s">
        <v>2724</v>
      </c>
      <c r="J45" s="79">
        <v>1</v>
      </c>
      <c r="K45" s="78" t="s">
        <v>893</v>
      </c>
      <c r="L45" s="135" t="str">
        <f>IF(ISERROR(GETPIVOTDATA(IF($J45=1,"Count of ACTIVE     CED, FARM GATE (MJ/kg)","Count of CED, processor gate (MJ/kg)"),'Pivot Table_CED'!$A$3,"SUB TYPE",$B45)),"PROXY",IF(GETPIVOTDATA(IF($J45=1,"Count of ACTIVE     CED, FARM GATE (MJ/kg)","Count of CED, processor gate (MJ/kg)"),'Pivot Table_CED'!$A$3,"SUB TYPE",$B45)=0,"PROXY","DB value"))</f>
        <v>PROXY</v>
      </c>
      <c r="M45" s="118">
        <f ca="1">IF($L45="PROXY",DCOUNT('literature entries'!$D:$AI,IF($J45=1,"ACTIVE     CED, FARM GATE (MJ/kg)","CED, processor gate (MJ/kg)"),INDIRECT($K45)),GETPIVOTDATA(IF($J45=1,"Count of ACTIVE     CED, FARM GATE (MJ/kg)","Count of CED, processor gate (MJ/kg)"),'Pivot Table_CED'!$A$3,"SUB TYPE",$B45))</f>
        <v>3</v>
      </c>
      <c r="N45" s="119">
        <f ca="1">IF($L45="PROXY",DAVERAGE('literature entries'!$D:$AI,IF($J45=1,"ACTIVE     CED, FARM GATE (MJ/kg)","CED, processor gate (MJ/kg)"),INDIRECT($K45)),GETPIVOTDATA(IF($J45=1,"Average of ACTIVE     CED, FARM GATE (MJ/kg)","Average of CED, processor gate (MJ/kg)"),'Pivot Table_CED'!$A$3,"SUB TYPE",$B45))</f>
        <v>1.5507451766666669</v>
      </c>
      <c r="O45" s="119">
        <f ca="1">IF($L45="PROXY",DSTDEV('literature entries'!D:AI,IF($J45=1,"ACTIVE     CED, FARM GATE (MJ/kg)","CED, processor gate (MJ/kg)"),INDIRECT($K45)),GETPIVOTDATA(IF($J45=1,"StdDev of ACTIVE     CED, FARM GATE (MJ/kg)","StdDev of CED, processor gate (MJ/kg)"),'Pivot Table_CED'!$A$3,"SUB TYPE",$B45))</f>
        <v>1.545573713255328</v>
      </c>
      <c r="P45" s="135" t="str">
        <f>IF(ISERROR(GETPIVOTDATA(IF($J45=1,"Count of ACTIVE     GHGE, FARM GATE (kg CO2e/kg)","Count of GHGE, processor gate (kg CO2e/kg)"),'Pivot Table_GHG'!$A$3,"SUB TYPE",$B45)),"PROXY",IF(GETPIVOTDATA(IF($J45=1,"Count of ACTIVE     GHGE, FARM GATE (kg CO2e/kg)","Count of GHGE, processor gate (kg CO2e/kg)"),'Pivot Table_GHG'!$A$3,"SUB TYPE",$B45)=0,"PROXY","DB value"))</f>
        <v>PROXY</v>
      </c>
      <c r="Q45" s="125">
        <f ca="1">IF($P45="PROXY",DCOUNT('literature entries'!$D:$AI,IF($J45=1,"ACTIVE     GHGE, FARM GATE (kg CO2e/kg)","GHGE, processor gate (kg CO2e/kg)"),INDIRECT($K45)),GETPIVOTDATA(IF($J45=1,"ACTIVE     GHGE, FARM GATE (kg CO2e/kg)","Count of GHGE, processor gate (kg CO2e/kg)"),'Pivot Table_GHG'!$A$3,"SUB TYPE",$B45))</f>
        <v>3</v>
      </c>
      <c r="R45" s="190">
        <f ca="1">IF($P45="PROXY",DAVERAGE('literature entries'!$D:$AI,IF($J45=1,"ACTIVE     GHGE, FARM GATE (kg CO2e/kg)","GHGE, processor gate (kg CO2e/kg)"),INDIRECT($K45)),GETPIVOTDATA(IF($J45=1,"Average of ACTIVE     GHGE, FARM GATE (kg CO2e/kg)","Average of GHGE, processor gate (kg CO2e/kg)"),'Pivot Table_GHG'!$A$3,"SUB TYPE",$B45))</f>
        <v>0.22093143666666668</v>
      </c>
      <c r="S45" s="190">
        <f ca="1">IF($P45="PROXY",DSTDEV('literature entries'!$D:$AI,IF($J45=1,"ACTIVE     GHGE, FARM GATE (kg CO2e/kg)","GHGE, processor gate (kg CO2e/kg)"),INDIRECT($K45)),GETPIVOTDATA(IF($J45=1,"StdDev of ACTIVE     GHGE, FARM GATE (kg CO2e/kg)","StdDev of GHGE, processor gate (kg CO2e/kg)"),'Pivot Table_GHG'!$A$3,"SUB TYPE",$B45))</f>
        <v>8.3542949461742316E-2</v>
      </c>
      <c r="T45" s="88"/>
      <c r="U45" s="89"/>
      <c r="W45" s="213" t="s">
        <v>2457</v>
      </c>
      <c r="X45" s="211">
        <f ca="1">IF($W45="DIRECT",M45,DCOUNT('literature entries'!$D:$AI,IF($J45=1,"ACTIVE     CED, FARM GATE (MJ/kg)","CED, processor gate (MJ/kg)"),INDIRECT($W45)))</f>
        <v>10</v>
      </c>
      <c r="Y45" s="211">
        <f ca="1">IF($W45="DIRECT","",DAVERAGE('literature entries'!$D:$AI,IF($J45=1,"ACTIVE     CED, FARM GATE (MJ/kg)","CED, processor gate (MJ/kg)"),INDIRECT($W45)))</f>
        <v>2.5657274700000001</v>
      </c>
      <c r="Z45" s="211">
        <f ca="1">IF($W45="DIRECT",$O45,DSTDEV('literature entries'!$D:$AI,IF($J45=1,"ACTIVE     CED, FARM GATE (MJ/kg)","CED, processor gate (MJ/kg)"),INDIRECT($W45)))</f>
        <v>1.5197673074222315</v>
      </c>
      <c r="AA45" s="211">
        <f t="shared" ca="1" si="7"/>
        <v>0.91855890744339763</v>
      </c>
      <c r="AB45" s="219" t="s">
        <v>2457</v>
      </c>
      <c r="AC45" s="212">
        <f ca="1">IF($AB45="DIRECT",Q45,DCOUNT('literature entries'!$D:$AI,IF($J45=1,"ACTIVE     GHGE, FARM GATE (kg CO2e/kg)","GHGE, processor gate (kg CO2e/kg)"),INDIRECT($AB45)))</f>
        <v>22</v>
      </c>
      <c r="AD45" s="212">
        <f ca="1">IF($AB45="DIRECT","",DAVERAGE('literature entries'!$D:$AI,IF($J45=1,"ACTIVE     GHGE, FARM GATE (kg CO2e/kg)","GHGE, processor gate (kg CO2e/kg)"),INDIRECT($AB45)))</f>
        <v>0.18561974136363635</v>
      </c>
      <c r="AE45" s="212">
        <f ca="1">IF($AB45="DIRECT",$S45,DSTDEV('literature entries'!$D:$AI,IF($J45=1,"ACTIVE     GHGE, FARM GATE (kg CO2e/kg)","GHGE, processor gate (kg CO2e/kg)"),INDIRECT($AB45)))</f>
        <v>9.7833632177637575E-2</v>
      </c>
      <c r="AF45" s="212">
        <f t="shared" ca="1" si="8"/>
        <v>0.11644518386102046</v>
      </c>
    </row>
    <row r="46" spans="1:32" s="19" customFormat="1" ht="17" thickBot="1" x14ac:dyDescent="0.25">
      <c r="A46" s="114">
        <v>401138000</v>
      </c>
      <c r="B46" s="115" t="s">
        <v>1956</v>
      </c>
      <c r="C46" s="115" t="s">
        <v>1760</v>
      </c>
      <c r="D46" s="115"/>
      <c r="E46" s="115">
        <v>5</v>
      </c>
      <c r="F46" s="111">
        <f t="shared" ca="1" si="0"/>
        <v>1.06</v>
      </c>
      <c r="G46" s="112">
        <f t="shared" ca="1" si="1"/>
        <v>5.5666666666666663E-2</v>
      </c>
      <c r="H46" s="117">
        <v>1</v>
      </c>
      <c r="I46" s="117" t="s">
        <v>594</v>
      </c>
      <c r="J46" s="79">
        <v>1</v>
      </c>
      <c r="K46" s="78" t="s">
        <v>659</v>
      </c>
      <c r="L46" s="135" t="str">
        <f>IF(ISERROR(GETPIVOTDATA(IF($J46=1,"Count of ACTIVE     CED, FARM GATE (MJ/kg)","Count of CED, processor gate (MJ/kg)"),'Pivot Table_CED'!$A$3,"SUB TYPE",$B46)),"PROXY",IF(GETPIVOTDATA(IF($J46=1,"Count of ACTIVE     CED, FARM GATE (MJ/kg)","Count of CED, processor gate (MJ/kg)"),'Pivot Table_CED'!$A$3,"SUB TYPE",$B46)=0,"PROXY","DB value"))</f>
        <v>PROXY</v>
      </c>
      <c r="M46" s="118">
        <f ca="1">IF($L46="PROXY",DCOUNT('literature entries'!$D:$AI,IF($J46=1,"ACTIVE     CED, FARM GATE (MJ/kg)","CED, processor gate (MJ/kg)"),INDIRECT($K46)),GETPIVOTDATA(IF($J46=1,"Count of ACTIVE     CED, FARM GATE (MJ/kg)","Count of CED, processor gate (MJ/kg)"),'Pivot Table_CED'!$A$3,"SUB TYPE",$B46))</f>
        <v>3</v>
      </c>
      <c r="N46" s="119">
        <f ca="1">IF($L46="PROXY",DAVERAGE('literature entries'!$D:$AI,IF($J46=1,"ACTIVE     CED, FARM GATE (MJ/kg)","CED, processor gate (MJ/kg)"),INDIRECT($K46)),GETPIVOTDATA(IF($J46=1,"Average of ACTIVE     CED, FARM GATE (MJ/kg)","Average of CED, processor gate (MJ/kg)"),'Pivot Table_CED'!$A$3,"SUB TYPE",$B46))</f>
        <v>1.06</v>
      </c>
      <c r="O46" s="119">
        <f ca="1">IF($L46="PROXY",DSTDEV('literature entries'!D:AI,IF($J46=1,"ACTIVE     CED, FARM GATE (MJ/kg)","CED, processor gate (MJ/kg)"),INDIRECT($K46)),GETPIVOTDATA(IF($J46=1,"StdDev of ACTIVE     CED, FARM GATE (MJ/kg)","StdDev of CED, processor gate (MJ/kg)"),'Pivot Table_CED'!$A$3,"SUB TYPE",$B46))</f>
        <v>0.28583211855912843</v>
      </c>
      <c r="P46" s="135" t="str">
        <f>IF(ISERROR(GETPIVOTDATA(IF($J46=1,"Count of ACTIVE     GHGE, FARM GATE (kg CO2e/kg)","Count of GHGE, processor gate (kg CO2e/kg)"),'Pivot Table_GHG'!$A$3,"SUB TYPE",$B46)),"PROXY",IF(GETPIVOTDATA(IF($J46=1,"Count of ACTIVE     GHGE, FARM GATE (kg CO2e/kg)","Count of GHGE, processor gate (kg CO2e/kg)"),'Pivot Table_GHG'!$A$3,"SUB TYPE",$B46)=0,"PROXY","DB value"))</f>
        <v>PROXY</v>
      </c>
      <c r="Q46" s="125">
        <f ca="1">IF($P46="PROXY",DCOUNT('literature entries'!$D:$AI,IF($J46=1,"ACTIVE     GHGE, FARM GATE (kg CO2e/kg)","GHGE, processor gate (kg CO2e/kg)"),INDIRECT($K46)),GETPIVOTDATA(IF($J46=1,"ACTIVE     GHGE, FARM GATE (kg CO2e/kg)","Count of GHGE, processor gate (kg CO2e/kg)"),'Pivot Table_GHG'!$A$3,"SUB TYPE",$B46))</f>
        <v>3</v>
      </c>
      <c r="R46" s="190">
        <f ca="1">IF($P46="PROXY",DAVERAGE('literature entries'!$D:$AI,IF($J46=1,"ACTIVE     GHGE, FARM GATE (kg CO2e/kg)","GHGE, processor gate (kg CO2e/kg)"),INDIRECT($K46)),GETPIVOTDATA(IF($J46=1,"Average of ACTIVE     GHGE, FARM GATE (kg CO2e/kg)","Average of GHGE, processor gate (kg CO2e/kg)"),'Pivot Table_GHG'!$A$3,"SUB TYPE",$B46))</f>
        <v>5.5666666666666663E-2</v>
      </c>
      <c r="S46" s="190">
        <f ca="1">IF($P46="PROXY",DSTDEV('literature entries'!$D:$AI,IF($J46=1,"ACTIVE     GHGE, FARM GATE (kg CO2e/kg)","GHGE, processor gate (kg CO2e/kg)"),INDIRECT($K46)),GETPIVOTDATA(IF($J46=1,"StdDev of ACTIVE     GHGE, FARM GATE (kg CO2e/kg)","StdDev of GHGE, processor gate (kg CO2e/kg)"),'Pivot Table_GHG'!$A$3,"SUB TYPE",$B46))</f>
        <v>3.7287173844813334E-3</v>
      </c>
      <c r="T46" s="88"/>
      <c r="U46" s="89"/>
      <c r="W46" s="213" t="s">
        <v>2457</v>
      </c>
      <c r="X46" s="211">
        <f ca="1">IF($W46="DIRECT",M46,DCOUNT('literature entries'!$D:$AI,IF($J46=1,"ACTIVE     CED, FARM GATE (MJ/kg)","CED, processor gate (MJ/kg)"),INDIRECT($W46)))</f>
        <v>10</v>
      </c>
      <c r="Y46" s="211">
        <f ca="1">IF($W46="DIRECT","",DAVERAGE('literature entries'!$D:$AI,IF($J46=1,"ACTIVE     CED, FARM GATE (MJ/kg)","CED, processor gate (MJ/kg)"),INDIRECT($W46)))</f>
        <v>2.5657274700000001</v>
      </c>
      <c r="Z46" s="211">
        <f ca="1">IF($W46="DIRECT",$O46,DSTDEV('literature entries'!$D:$AI,IF($J46=1,"ACTIVE     CED, FARM GATE (MJ/kg)","CED, processor gate (MJ/kg)"),INDIRECT($W46)))</f>
        <v>1.5197673074222315</v>
      </c>
      <c r="AA46" s="211">
        <f t="shared" ca="1" si="7"/>
        <v>0.62787391283906135</v>
      </c>
      <c r="AB46" s="219" t="s">
        <v>2457</v>
      </c>
      <c r="AC46" s="212">
        <f ca="1">IF($AB46="DIRECT",Q46,DCOUNT('literature entries'!$D:$AI,IF($J46=1,"ACTIVE     GHGE, FARM GATE (kg CO2e/kg)","GHGE, processor gate (kg CO2e/kg)"),INDIRECT($AB46)))</f>
        <v>22</v>
      </c>
      <c r="AD46" s="212">
        <f ca="1">IF($AB46="DIRECT","",DAVERAGE('literature entries'!$D:$AI,IF($J46=1,"ACTIVE     GHGE, FARM GATE (kg CO2e/kg)","GHGE, processor gate (kg CO2e/kg)"),INDIRECT($AB46)))</f>
        <v>0.18561974136363635</v>
      </c>
      <c r="AE46" s="212">
        <f ca="1">IF($AB46="DIRECT",$S46,DSTDEV('literature entries'!$D:$AI,IF($J46=1,"ACTIVE     GHGE, FARM GATE (kg CO2e/kg)","GHGE, processor gate (kg CO2e/kg)"),INDIRECT($AB46)))</f>
        <v>9.7833632177637575E-2</v>
      </c>
      <c r="AF46" s="212">
        <f t="shared" ca="1" si="8"/>
        <v>2.9339940629228418E-2</v>
      </c>
    </row>
    <row r="47" spans="1:32" s="19" customFormat="1" ht="17" thickBot="1" x14ac:dyDescent="0.25">
      <c r="A47" s="114">
        <v>401144000</v>
      </c>
      <c r="B47" s="115" t="s">
        <v>1966</v>
      </c>
      <c r="C47" s="115" t="s">
        <v>1760</v>
      </c>
      <c r="D47" s="115"/>
      <c r="E47" s="115">
        <v>4937</v>
      </c>
      <c r="F47" s="111">
        <f t="shared" ca="1" si="0"/>
        <v>1.5507451766666669</v>
      </c>
      <c r="G47" s="112">
        <f t="shared" ca="1" si="1"/>
        <v>0.22093143666666668</v>
      </c>
      <c r="H47" s="116">
        <v>1</v>
      </c>
      <c r="I47" s="117" t="s">
        <v>594</v>
      </c>
      <c r="J47" s="79">
        <v>1</v>
      </c>
      <c r="K47" s="78" t="s">
        <v>893</v>
      </c>
      <c r="L47" s="135" t="str">
        <f>IF(ISERROR(GETPIVOTDATA(IF($J47=1,"Count of ACTIVE     CED, FARM GATE (MJ/kg)","Count of CED, processor gate (MJ/kg)"),'Pivot Table_CED'!$A$3,"SUB TYPE",$B47)),"PROXY",IF(GETPIVOTDATA(IF($J47=1,"Count of ACTIVE     CED, FARM GATE (MJ/kg)","Count of CED, processor gate (MJ/kg)"),'Pivot Table_CED'!$A$3,"SUB TYPE",$B47)=0,"PROXY","DB value"))</f>
        <v>PROXY</v>
      </c>
      <c r="M47" s="118">
        <f ca="1">IF($L47="PROXY",DCOUNT('literature entries'!$D:$AI,IF($J47=1,"ACTIVE     CED, FARM GATE (MJ/kg)","CED, processor gate (MJ/kg)"),INDIRECT($K47)),GETPIVOTDATA(IF($J47=1,"Count of ACTIVE     CED, FARM GATE (MJ/kg)","Count of CED, processor gate (MJ/kg)"),'Pivot Table_CED'!$A$3,"SUB TYPE",$B47))</f>
        <v>3</v>
      </c>
      <c r="N47" s="119">
        <f ca="1">IF($L47="PROXY",DAVERAGE('literature entries'!$D:$AI,IF($J47=1,"ACTIVE     CED, FARM GATE (MJ/kg)","CED, processor gate (MJ/kg)"),INDIRECT($K47)),GETPIVOTDATA(IF($J47=1,"Average of ACTIVE     CED, FARM GATE (MJ/kg)","Average of CED, processor gate (MJ/kg)"),'Pivot Table_CED'!$A$3,"SUB TYPE",$B47))</f>
        <v>1.5507451766666669</v>
      </c>
      <c r="O47" s="119">
        <f ca="1">IF($L47="PROXY",DSTDEV('literature entries'!D:AI,IF($J47=1,"ACTIVE     CED, FARM GATE (MJ/kg)","CED, processor gate (MJ/kg)"),INDIRECT($K47)),GETPIVOTDATA(IF($J47=1,"StdDev of ACTIVE     CED, FARM GATE (MJ/kg)","StdDev of CED, processor gate (MJ/kg)"),'Pivot Table_CED'!$A$3,"SUB TYPE",$B47))</f>
        <v>1.545573713255328</v>
      </c>
      <c r="P47" s="135" t="str">
        <f>IF(ISERROR(GETPIVOTDATA(IF($J47=1,"Count of ACTIVE     GHGE, FARM GATE (kg CO2e/kg)","Count of GHGE, processor gate (kg CO2e/kg)"),'Pivot Table_GHG'!$A$3,"SUB TYPE",$B47)),"PROXY",IF(GETPIVOTDATA(IF($J47=1,"Count of ACTIVE     GHGE, FARM GATE (kg CO2e/kg)","Count of GHGE, processor gate (kg CO2e/kg)"),'Pivot Table_GHG'!$A$3,"SUB TYPE",$B47)=0,"PROXY","DB value"))</f>
        <v>PROXY</v>
      </c>
      <c r="Q47" s="125">
        <f ca="1">IF($P47="PROXY",DCOUNT('literature entries'!$D:$AI,IF($J47=1,"ACTIVE     GHGE, FARM GATE (kg CO2e/kg)","GHGE, processor gate (kg CO2e/kg)"),INDIRECT($K47)),GETPIVOTDATA(IF($J47=1,"ACTIVE     GHGE, FARM GATE (kg CO2e/kg)","Count of GHGE, processor gate (kg CO2e/kg)"),'Pivot Table_GHG'!$A$3,"SUB TYPE",$B47))</f>
        <v>3</v>
      </c>
      <c r="R47" s="190">
        <f ca="1">IF($P47="PROXY",DAVERAGE('literature entries'!$D:$AI,IF($J47=1,"ACTIVE     GHGE, FARM GATE (kg CO2e/kg)","GHGE, processor gate (kg CO2e/kg)"),INDIRECT($K47)),GETPIVOTDATA(IF($J47=1,"Average of ACTIVE     GHGE, FARM GATE (kg CO2e/kg)","Average of GHGE, processor gate (kg CO2e/kg)"),'Pivot Table_GHG'!$A$3,"SUB TYPE",$B47))</f>
        <v>0.22093143666666668</v>
      </c>
      <c r="S47" s="190">
        <f ca="1">IF($P47="PROXY",DSTDEV('literature entries'!$D:$AI,IF($J47=1,"ACTIVE     GHGE, FARM GATE (kg CO2e/kg)","GHGE, processor gate (kg CO2e/kg)"),INDIRECT($K47)),GETPIVOTDATA(IF($J47=1,"StdDev of ACTIVE     GHGE, FARM GATE (kg CO2e/kg)","StdDev of GHGE, processor gate (kg CO2e/kg)"),'Pivot Table_GHG'!$A$3,"SUB TYPE",$B47))</f>
        <v>8.3542949461742316E-2</v>
      </c>
      <c r="T47" s="88"/>
      <c r="U47" s="89"/>
      <c r="W47" s="213" t="s">
        <v>2457</v>
      </c>
      <c r="X47" s="211">
        <f ca="1">IF($W47="DIRECT",M47,DCOUNT('literature entries'!$D:$AI,IF($J47=1,"ACTIVE     CED, FARM GATE (MJ/kg)","CED, processor gate (MJ/kg)"),INDIRECT($W47)))</f>
        <v>10</v>
      </c>
      <c r="Y47" s="211">
        <f ca="1">IF($W47="DIRECT","",DAVERAGE('literature entries'!$D:$AI,IF($J47=1,"ACTIVE     CED, FARM GATE (MJ/kg)","CED, processor gate (MJ/kg)"),INDIRECT($W47)))</f>
        <v>2.5657274700000001</v>
      </c>
      <c r="Z47" s="211">
        <f ca="1">IF($W47="DIRECT",$O47,DSTDEV('literature entries'!$D:$AI,IF($J47=1,"ACTIVE     CED, FARM GATE (MJ/kg)","CED, processor gate (MJ/kg)"),INDIRECT($W47)))</f>
        <v>1.5197673074222315</v>
      </c>
      <c r="AA47" s="211">
        <f t="shared" ca="1" si="7"/>
        <v>0.91855890744339763</v>
      </c>
      <c r="AB47" s="219" t="s">
        <v>2457</v>
      </c>
      <c r="AC47" s="212">
        <f ca="1">IF($AB47="DIRECT",Q47,DCOUNT('literature entries'!$D:$AI,IF($J47=1,"ACTIVE     GHGE, FARM GATE (kg CO2e/kg)","GHGE, processor gate (kg CO2e/kg)"),INDIRECT($AB47)))</f>
        <v>22</v>
      </c>
      <c r="AD47" s="212">
        <f ca="1">IF($AB47="DIRECT","",DAVERAGE('literature entries'!$D:$AI,IF($J47=1,"ACTIVE     GHGE, FARM GATE (kg CO2e/kg)","GHGE, processor gate (kg CO2e/kg)"),INDIRECT($AB47)))</f>
        <v>0.18561974136363635</v>
      </c>
      <c r="AE47" s="212">
        <f ca="1">IF($AB47="DIRECT",$S47,DSTDEV('literature entries'!$D:$AI,IF($J47=1,"ACTIVE     GHGE, FARM GATE (kg CO2e/kg)","GHGE, processor gate (kg CO2e/kg)"),INDIRECT($AB47)))</f>
        <v>9.7833632177637575E-2</v>
      </c>
      <c r="AF47" s="212">
        <f t="shared" ca="1" si="8"/>
        <v>0.11644518386102046</v>
      </c>
    </row>
    <row r="48" spans="1:32" s="19" customFormat="1" thickBot="1" x14ac:dyDescent="0.25">
      <c r="A48" s="114">
        <v>401150000</v>
      </c>
      <c r="B48" s="115" t="s">
        <v>1974</v>
      </c>
      <c r="C48" s="115" t="s">
        <v>1760</v>
      </c>
      <c r="D48" s="115" t="s">
        <v>1975</v>
      </c>
      <c r="E48" s="115">
        <v>1566</v>
      </c>
      <c r="F48" s="111">
        <f t="shared" ca="1" si="0"/>
        <v>1.2296</v>
      </c>
      <c r="G48" s="112">
        <f t="shared" ca="1" si="1"/>
        <v>6.457333333333333E-2</v>
      </c>
      <c r="H48" s="116">
        <v>1.1599999999999999</v>
      </c>
      <c r="I48" s="116" t="s">
        <v>2724</v>
      </c>
      <c r="J48" s="79">
        <v>1</v>
      </c>
      <c r="K48" s="78" t="s">
        <v>659</v>
      </c>
      <c r="L48" s="135" t="str">
        <f>IF(ISERROR(GETPIVOTDATA(IF($J48=1,"Count of ACTIVE     CED, FARM GATE (MJ/kg)","Count of CED, processor gate (MJ/kg)"),'Pivot Table_CED'!$A$3,"SUB TYPE",$B48)),"PROXY",IF(GETPIVOTDATA(IF($J48=1,"Count of ACTIVE     CED, FARM GATE (MJ/kg)","Count of CED, processor gate (MJ/kg)"),'Pivot Table_CED'!$A$3,"SUB TYPE",$B48)=0,"PROXY","DB value"))</f>
        <v>PROXY</v>
      </c>
      <c r="M48" s="118">
        <f ca="1">IF($L48="PROXY",DCOUNT('literature entries'!$D:$AI,IF($J48=1,"ACTIVE     CED, FARM GATE (MJ/kg)","CED, processor gate (MJ/kg)"),INDIRECT($K48)),GETPIVOTDATA(IF($J48=1,"Count of ACTIVE     CED, FARM GATE (MJ/kg)","Count of CED, processor gate (MJ/kg)"),'Pivot Table_CED'!$A$3,"SUB TYPE",$B48))</f>
        <v>3</v>
      </c>
      <c r="N48" s="119">
        <f ca="1">IF($L48="PROXY",DAVERAGE('literature entries'!$D:$AI,IF($J48=1,"ACTIVE     CED, FARM GATE (MJ/kg)","CED, processor gate (MJ/kg)"),INDIRECT($K48)),GETPIVOTDATA(IF($J48=1,"Average of ACTIVE     CED, FARM GATE (MJ/kg)","Average of CED, processor gate (MJ/kg)"),'Pivot Table_CED'!$A$3,"SUB TYPE",$B48))</f>
        <v>1.06</v>
      </c>
      <c r="O48" s="119">
        <f ca="1">IF($L48="PROXY",DSTDEV('literature entries'!D:AI,IF($J48=1,"ACTIVE     CED, FARM GATE (MJ/kg)","CED, processor gate (MJ/kg)"),INDIRECT($K48)),GETPIVOTDATA(IF($J48=1,"StdDev of ACTIVE     CED, FARM GATE (MJ/kg)","StdDev of CED, processor gate (MJ/kg)"),'Pivot Table_CED'!$A$3,"SUB TYPE",$B48))</f>
        <v>0.28583211855912843</v>
      </c>
      <c r="P48" s="135" t="str">
        <f>IF(ISERROR(GETPIVOTDATA(IF($J48=1,"Count of ACTIVE     GHGE, FARM GATE (kg CO2e/kg)","Count of GHGE, processor gate (kg CO2e/kg)"),'Pivot Table_GHG'!$A$3,"SUB TYPE",$B48)),"PROXY",IF(GETPIVOTDATA(IF($J48=1,"Count of ACTIVE     GHGE, FARM GATE (kg CO2e/kg)","Count of GHGE, processor gate (kg CO2e/kg)"),'Pivot Table_GHG'!$A$3,"SUB TYPE",$B48)=0,"PROXY","DB value"))</f>
        <v>PROXY</v>
      </c>
      <c r="Q48" s="125">
        <f ca="1">IF($P48="PROXY",DCOUNT('literature entries'!$D:$AI,IF($J48=1,"ACTIVE     GHGE, FARM GATE (kg CO2e/kg)","GHGE, processor gate (kg CO2e/kg)"),INDIRECT($K48)),GETPIVOTDATA(IF($J48=1,"ACTIVE     GHGE, FARM GATE (kg CO2e/kg)","Count of GHGE, processor gate (kg CO2e/kg)"),'Pivot Table_GHG'!$A$3,"SUB TYPE",$B48))</f>
        <v>3</v>
      </c>
      <c r="R48" s="190">
        <f ca="1">IF($P48="PROXY",DAVERAGE('literature entries'!$D:$AI,IF($J48=1,"ACTIVE     GHGE, FARM GATE (kg CO2e/kg)","GHGE, processor gate (kg CO2e/kg)"),INDIRECT($K48)),GETPIVOTDATA(IF($J48=1,"Average of ACTIVE     GHGE, FARM GATE (kg CO2e/kg)","Average of GHGE, processor gate (kg CO2e/kg)"),'Pivot Table_GHG'!$A$3,"SUB TYPE",$B48))</f>
        <v>5.5666666666666663E-2</v>
      </c>
      <c r="S48" s="190">
        <f ca="1">IF($P48="PROXY",DSTDEV('literature entries'!$D:$AI,IF($J48=1,"ACTIVE     GHGE, FARM GATE (kg CO2e/kg)","GHGE, processor gate (kg CO2e/kg)"),INDIRECT($K48)),GETPIVOTDATA(IF($J48=1,"StdDev of ACTIVE     GHGE, FARM GATE (kg CO2e/kg)","StdDev of GHGE, processor gate (kg CO2e/kg)"),'Pivot Table_GHG'!$A$3,"SUB TYPE",$B48))</f>
        <v>3.7287173844813334E-3</v>
      </c>
      <c r="T48" s="92"/>
      <c r="U48" s="93"/>
      <c r="W48" s="213" t="s">
        <v>2457</v>
      </c>
      <c r="X48" s="211">
        <f ca="1">IF($W48="DIRECT",M48,DCOUNT('literature entries'!$D:$AI,IF($J48=1,"ACTIVE     CED, FARM GATE (MJ/kg)","CED, processor gate (MJ/kg)"),INDIRECT($W48)))</f>
        <v>10</v>
      </c>
      <c r="Y48" s="211">
        <f ca="1">IF($W48="DIRECT","",DAVERAGE('literature entries'!$D:$AI,IF($J48=1,"ACTIVE     CED, FARM GATE (MJ/kg)","CED, processor gate (MJ/kg)"),INDIRECT($W48)))</f>
        <v>2.5657274700000001</v>
      </c>
      <c r="Z48" s="211">
        <f ca="1">IF($W48="DIRECT",$O48,DSTDEV('literature entries'!$D:$AI,IF($J48=1,"ACTIVE     CED, FARM GATE (MJ/kg)","CED, processor gate (MJ/kg)"),INDIRECT($W48)))</f>
        <v>1.5197673074222315</v>
      </c>
      <c r="AA48" s="211">
        <f t="shared" ca="1" si="7"/>
        <v>0.62787391283906135</v>
      </c>
      <c r="AB48" s="219" t="s">
        <v>2457</v>
      </c>
      <c r="AC48" s="212">
        <f ca="1">IF($AB48="DIRECT",Q48,DCOUNT('literature entries'!$D:$AI,IF($J48=1,"ACTIVE     GHGE, FARM GATE (kg CO2e/kg)","GHGE, processor gate (kg CO2e/kg)"),INDIRECT($AB48)))</f>
        <v>22</v>
      </c>
      <c r="AD48" s="212">
        <f ca="1">IF($AB48="DIRECT","",DAVERAGE('literature entries'!$D:$AI,IF($J48=1,"ACTIVE     GHGE, FARM GATE (kg CO2e/kg)","GHGE, processor gate (kg CO2e/kg)"),INDIRECT($AB48)))</f>
        <v>0.18561974136363635</v>
      </c>
      <c r="AE48" s="212">
        <f ca="1">IF($AB48="DIRECT",$S48,DSTDEV('literature entries'!$D:$AI,IF($J48=1,"ACTIVE     GHGE, FARM GATE (kg CO2e/kg)","GHGE, processor gate (kg CO2e/kg)"),INDIRECT($AB48)))</f>
        <v>9.7833632177637575E-2</v>
      </c>
      <c r="AF48" s="212">
        <f t="shared" ca="1" si="8"/>
        <v>2.9339940629228418E-2</v>
      </c>
    </row>
    <row r="49" spans="1:32" s="19" customFormat="1" ht="17" thickBot="1" x14ac:dyDescent="0.25">
      <c r="A49" s="114">
        <v>401204000</v>
      </c>
      <c r="B49" s="115" t="s">
        <v>2055</v>
      </c>
      <c r="C49" s="115" t="s">
        <v>2056</v>
      </c>
      <c r="D49" s="115"/>
      <c r="E49" s="115">
        <v>15121</v>
      </c>
      <c r="F49" s="111">
        <f t="shared" ca="1" si="0"/>
        <v>2.0842911284999999</v>
      </c>
      <c r="G49" s="112">
        <f t="shared" ca="1" si="1"/>
        <v>0.1582875</v>
      </c>
      <c r="H49" s="116">
        <v>1.05</v>
      </c>
      <c r="I49" s="117" t="s">
        <v>2724</v>
      </c>
      <c r="J49" s="79">
        <v>1</v>
      </c>
      <c r="K49" s="78"/>
      <c r="L49" s="135" t="str">
        <f>IF(ISERROR(GETPIVOTDATA(IF($J49=1,"Count of ACTIVE     CED, FARM GATE (MJ/kg)","Count of CED, processor gate (MJ/kg)"),'Pivot Table_CED'!$A$3,"SUB TYPE",$B49)),"PROXY",IF(GETPIVOTDATA(IF($J49=1,"Count of ACTIVE     CED, FARM GATE (MJ/kg)","Count of CED, processor gate (MJ/kg)"),'Pivot Table_CED'!$A$3,"SUB TYPE",$B49)=0,"PROXY","DB value"))</f>
        <v>DB value</v>
      </c>
      <c r="M49" s="118">
        <f ca="1">IF($L49="PROXY",DCOUNT('literature entries'!$D:$AI,IF($J49=1,"ACTIVE     CED, FARM GATE (MJ/kg)","CED, processor gate (MJ/kg)"),INDIRECT($K49)),GETPIVOTDATA(IF($J49=1,"Count of ACTIVE     CED, FARM GATE (MJ/kg)","Count of CED, processor gate (MJ/kg)"),'Pivot Table_CED'!$A$3,"SUB TYPE",$B49))</f>
        <v>1</v>
      </c>
      <c r="N49" s="119">
        <f ca="1">IF($L49="PROXY",DAVERAGE('literature entries'!$D:$AI,IF($J49=1,"ACTIVE     CED, FARM GATE (MJ/kg)","CED, processor gate (MJ/kg)"),INDIRECT($K49)),GETPIVOTDATA(IF($J49=1,"Average of ACTIVE     CED, FARM GATE (MJ/kg)","Average of CED, processor gate (MJ/kg)"),'Pivot Table_CED'!$A$3,"SUB TYPE",$B49))</f>
        <v>1.9850391699999999</v>
      </c>
      <c r="O49" s="119">
        <f ca="1">IF($L49="PROXY",DSTDEV('literature entries'!D:AI,IF($J49=1,"ACTIVE     CED, FARM GATE (MJ/kg)","CED, processor gate (MJ/kg)"),INDIRECT($K49)),GETPIVOTDATA(IF($J49=1,"StdDev of ACTIVE     CED, FARM GATE (MJ/kg)","StdDev of CED, processor gate (MJ/kg)"),'Pivot Table_CED'!$A$3,"SUB TYPE",$B49))</f>
        <v>0</v>
      </c>
      <c r="P49" s="135" t="str">
        <f>IF(ISERROR(GETPIVOTDATA(IF($J49=1,"Count of ACTIVE     GHGE, FARM GATE (kg CO2e/kg)","Count of GHGE, processor gate (kg CO2e/kg)"),'Pivot Table_GHG'!$A$3,"SUB TYPE",$B49)),"PROXY",IF(GETPIVOTDATA(IF($J49=1,"Count of ACTIVE     GHGE, FARM GATE (kg CO2e/kg)","Count of GHGE, processor gate (kg CO2e/kg)"),'Pivot Table_GHG'!$A$3,"SUB TYPE",$B49)=0,"PROXY","DB value"))</f>
        <v>DB value</v>
      </c>
      <c r="Q49" s="125">
        <f ca="1">IF($P49="PROXY",DCOUNT('literature entries'!$D:$AI,IF($J49=1,"ACTIVE     GHGE, FARM GATE (kg CO2e/kg)","GHGE, processor gate (kg CO2e/kg)"),INDIRECT($K49)),GETPIVOTDATA(IF($J49=1,"ACTIVE     GHGE, FARM GATE (kg CO2e/kg)","Count of GHGE, processor gate (kg CO2e/kg)"),'Pivot Table_GHG'!$A$3,"SUB TYPE",$B49))</f>
        <v>1</v>
      </c>
      <c r="R49" s="190">
        <f ca="1">IF($P49="PROXY",DAVERAGE('literature entries'!$D:$AI,IF($J49=1,"ACTIVE     GHGE, FARM GATE (kg CO2e/kg)","GHGE, processor gate (kg CO2e/kg)"),INDIRECT($K49)),GETPIVOTDATA(IF($J49=1,"Average of ACTIVE     GHGE, FARM GATE (kg CO2e/kg)","Average of GHGE, processor gate (kg CO2e/kg)"),'Pivot Table_GHG'!$A$3,"SUB TYPE",$B49))</f>
        <v>0.15075</v>
      </c>
      <c r="S49" s="190" t="e">
        <f ca="1">IF($P49="PROXY",DSTDEV('literature entries'!$D:$AI,IF($J49=1,"ACTIVE     GHGE, FARM GATE (kg CO2e/kg)","GHGE, processor gate (kg CO2e/kg)"),INDIRECT($K49)),GETPIVOTDATA(IF($J49=1,"StdDev of ACTIVE     GHGE, FARM GATE (kg CO2e/kg)","StdDev of GHGE, processor gate (kg CO2e/kg)"),'Pivot Table_GHG'!$A$3,"SUB TYPE",$B49))</f>
        <v>#DIV/0!</v>
      </c>
      <c r="T49" s="88"/>
      <c r="U49" s="89"/>
      <c r="W49" s="213" t="s">
        <v>2457</v>
      </c>
      <c r="X49" s="211">
        <f ca="1">IF($W49="DIRECT",M49,DCOUNT('literature entries'!$D:$AI,IF($J49=1,"ACTIVE     CED, FARM GATE (MJ/kg)","CED, processor gate (MJ/kg)"),INDIRECT($W49)))</f>
        <v>10</v>
      </c>
      <c r="Y49" s="211">
        <f ca="1">IF($W49="DIRECT","",DAVERAGE('literature entries'!$D:$AI,IF($J49=1,"ACTIVE     CED, FARM GATE (MJ/kg)","CED, processor gate (MJ/kg)"),INDIRECT($W49)))</f>
        <v>2.5657274700000001</v>
      </c>
      <c r="Z49" s="211">
        <f ca="1">IF($W49="DIRECT",$O49,DSTDEV('literature entries'!$D:$AI,IF($J49=1,"ACTIVE     CED, FARM GATE (MJ/kg)","CED, processor gate (MJ/kg)"),INDIRECT($W49)))</f>
        <v>1.5197673074222315</v>
      </c>
      <c r="AA49" s="211">
        <f t="shared" ca="1" si="7"/>
        <v>1.1758059535912289</v>
      </c>
      <c r="AB49" s="219" t="s">
        <v>2457</v>
      </c>
      <c r="AC49" s="212">
        <f ca="1">IF($AB49="DIRECT",Q49,DCOUNT('literature entries'!$D:$AI,IF($J49=1,"ACTIVE     GHGE, FARM GATE (kg CO2e/kg)","GHGE, processor gate (kg CO2e/kg)"),INDIRECT($AB49)))</f>
        <v>22</v>
      </c>
      <c r="AD49" s="212">
        <f ca="1">IF($AB49="DIRECT","",DAVERAGE('literature entries'!$D:$AI,IF($J49=1,"ACTIVE     GHGE, FARM GATE (kg CO2e/kg)","GHGE, processor gate (kg CO2e/kg)"),INDIRECT($AB49)))</f>
        <v>0.18561974136363635</v>
      </c>
      <c r="AE49" s="212">
        <f ca="1">IF($AB49="DIRECT",$S49,DSTDEV('literature entries'!$D:$AI,IF($J49=1,"ACTIVE     GHGE, FARM GATE (kg CO2e/kg)","GHGE, processor gate (kg CO2e/kg)"),INDIRECT($AB49)))</f>
        <v>9.7833632177637575E-2</v>
      </c>
      <c r="AF49" s="212">
        <f t="shared" ca="1" si="8"/>
        <v>7.9455018859691931E-2</v>
      </c>
    </row>
    <row r="50" spans="1:32" s="19" customFormat="1" ht="17" thickBot="1" x14ac:dyDescent="0.25">
      <c r="A50" s="114">
        <v>401205000</v>
      </c>
      <c r="B50" s="115" t="s">
        <v>2057</v>
      </c>
      <c r="C50" s="115" t="s">
        <v>1760</v>
      </c>
      <c r="D50" s="115" t="s">
        <v>2058</v>
      </c>
      <c r="E50" s="115">
        <v>1626</v>
      </c>
      <c r="F50" s="111">
        <f t="shared" ca="1" si="0"/>
        <v>3.9942000000000006</v>
      </c>
      <c r="G50" s="112">
        <f t="shared" ca="1" si="1"/>
        <v>0.22890629999999998</v>
      </c>
      <c r="H50" s="116">
        <v>1.26</v>
      </c>
      <c r="I50" s="117" t="s">
        <v>2737</v>
      </c>
      <c r="J50" s="79">
        <v>1</v>
      </c>
      <c r="K50" s="78"/>
      <c r="L50" s="135" t="str">
        <f>IF(ISERROR(GETPIVOTDATA(IF($J50=1,"Count of ACTIVE     CED, FARM GATE (MJ/kg)","Count of CED, processor gate (MJ/kg)"),'Pivot Table_CED'!$A$3,"SUB TYPE",$B50)),"PROXY",IF(GETPIVOTDATA(IF($J50=1,"Count of ACTIVE     CED, FARM GATE (MJ/kg)","Count of CED, processor gate (MJ/kg)"),'Pivot Table_CED'!$A$3,"SUB TYPE",$B50)=0,"PROXY","DB value"))</f>
        <v>DB value</v>
      </c>
      <c r="M50" s="118">
        <f ca="1">IF($L50="PROXY",DCOUNT('literature entries'!$D:$AI,IF($J50=1,"ACTIVE     CED, FARM GATE (MJ/kg)","CED, processor gate (MJ/kg)"),INDIRECT($K50)),GETPIVOTDATA(IF($J50=1,"Count of ACTIVE     CED, FARM GATE (MJ/kg)","Count of CED, processor gate (MJ/kg)"),'Pivot Table_CED'!$A$3,"SUB TYPE",$B50))</f>
        <v>6</v>
      </c>
      <c r="N50" s="119">
        <f ca="1">IF($L50="PROXY",DAVERAGE('literature entries'!$D:$AI,IF($J50=1,"ACTIVE     CED, FARM GATE (MJ/kg)","CED, processor gate (MJ/kg)"),INDIRECT($K50)),GETPIVOTDATA(IF($J50=1,"Average of ACTIVE     CED, FARM GATE (MJ/kg)","Average of CED, processor gate (MJ/kg)"),'Pivot Table_CED'!$A$3,"SUB TYPE",$B50))</f>
        <v>3.1700000000000004</v>
      </c>
      <c r="O50" s="119">
        <f ca="1">IF($L50="PROXY",DSTDEV('literature entries'!D:AI,IF($J50=1,"ACTIVE     CED, FARM GATE (MJ/kg)","CED, processor gate (MJ/kg)"),INDIRECT($K50)),GETPIVOTDATA(IF($J50=1,"StdDev of ACTIVE     CED, FARM GATE (MJ/kg)","StdDev of CED, processor gate (MJ/kg)"),'Pivot Table_CED'!$A$3,"SUB TYPE",$B50))</f>
        <v>1.4415963373982315</v>
      </c>
      <c r="P50" s="135" t="str">
        <f>IF(ISERROR(GETPIVOTDATA(IF($J50=1,"Count of ACTIVE     GHGE, FARM GATE (kg CO2e/kg)","Count of GHGE, processor gate (kg CO2e/kg)"),'Pivot Table_GHG'!$A$3,"SUB TYPE",$B50)),"PROXY",IF(GETPIVOTDATA(IF($J50=1,"Count of ACTIVE     GHGE, FARM GATE (kg CO2e/kg)","Count of GHGE, processor gate (kg CO2e/kg)"),'Pivot Table_GHG'!$A$3,"SUB TYPE",$B50)=0,"PROXY","DB value"))</f>
        <v>DB value</v>
      </c>
      <c r="Q50" s="125">
        <f ca="1">IF($P50="PROXY",DCOUNT('literature entries'!$D:$AI,IF($J50=1,"ACTIVE     GHGE, FARM GATE (kg CO2e/kg)","GHGE, processor gate (kg CO2e/kg)"),INDIRECT($K50)),GETPIVOTDATA(IF($J50=1,"ACTIVE     GHGE, FARM GATE (kg CO2e/kg)","Count of GHGE, processor gate (kg CO2e/kg)"),'Pivot Table_GHG'!$A$3,"SUB TYPE",$B50))</f>
        <v>18</v>
      </c>
      <c r="R50" s="190">
        <f ca="1">IF($P50="PROXY",DAVERAGE('literature entries'!$D:$AI,IF($J50=1,"ACTIVE     GHGE, FARM GATE (kg CO2e/kg)","GHGE, processor gate (kg CO2e/kg)"),INDIRECT($K50)),GETPIVOTDATA(IF($J50=1,"Average of ACTIVE     GHGE, FARM GATE (kg CO2e/kg)","Average of GHGE, processor gate (kg CO2e/kg)"),'Pivot Table_GHG'!$A$3,"SUB TYPE",$B50))</f>
        <v>0.18167166666666665</v>
      </c>
      <c r="S50" s="190">
        <f ca="1">IF($P50="PROXY",DSTDEV('literature entries'!$D:$AI,IF($J50=1,"ACTIVE     GHGE, FARM GATE (kg CO2e/kg)","GHGE, processor gate (kg CO2e/kg)"),INDIRECT($K50)),GETPIVOTDATA(IF($J50=1,"StdDev of ACTIVE     GHGE, FARM GATE (kg CO2e/kg)","StdDev of GHGE, processor gate (kg CO2e/kg)"),'Pivot Table_GHG'!$A$3,"SUB TYPE",$B50))</f>
        <v>0.10341343206930592</v>
      </c>
      <c r="T50" s="88"/>
      <c r="U50" s="89"/>
      <c r="W50" s="213" t="str">
        <f ca="1">IF(L50="PROXY",IF(M50&gt;=5,K50,"need group"),IF(M50&gt;=5,"DIRECT","need group"))</f>
        <v>DIRECT</v>
      </c>
      <c r="X50" s="211">
        <f ca="1">IF($W50="DIRECT",M50,DCOUNT('literature entries'!$D:$AI,IF($J50=1,"ACTIVE     CED, FARM GATE (MJ/kg)","CED, processor gate (MJ/kg)"),INDIRECT($W50)))</f>
        <v>6</v>
      </c>
      <c r="Y50" s="211" t="str">
        <f ca="1">IF($W50="DIRECT","",DAVERAGE('literature entries'!$D:$AI,IF($J50=1,"ACTIVE     CED, FARM GATE (MJ/kg)","CED, processor gate (MJ/kg)"),INDIRECT($W50)))</f>
        <v/>
      </c>
      <c r="Z50" s="211">
        <f ca="1">IF($W50="DIRECT",$O50,DSTDEV('literature entries'!$D:$AI,IF($J50=1,"ACTIVE     CED, FARM GATE (MJ/kg)","CED, processor gate (MJ/kg)"),INDIRECT($W50)))</f>
        <v>1.4415963373982315</v>
      </c>
      <c r="AA50" s="211">
        <f t="shared" ca="1" si="7"/>
        <v>1.4415963373982315</v>
      </c>
      <c r="AB50" s="219" t="str">
        <f ca="1">IF(P50="PROXY",IF(Q50&gt;=5,K50,"need group"),IF(Q50&gt;=5,"DIRECT","need group"))</f>
        <v>DIRECT</v>
      </c>
      <c r="AC50" s="212">
        <f ca="1">IF($AB50="DIRECT",Q50,DCOUNT('literature entries'!$D:$AI,IF($J50=1,"ACTIVE     GHGE, FARM GATE (kg CO2e/kg)","GHGE, processor gate (kg CO2e/kg)"),INDIRECT($AB50)))</f>
        <v>18</v>
      </c>
      <c r="AD50" s="212" t="str">
        <f ca="1">IF($AB50="DIRECT","",DAVERAGE('literature entries'!$D:$AI,IF($J50=1,"ACTIVE     GHGE, FARM GATE (kg CO2e/kg)","GHGE, processor gate (kg CO2e/kg)"),INDIRECT($AB50)))</f>
        <v/>
      </c>
      <c r="AE50" s="212">
        <f ca="1">IF($AB50="DIRECT",$S50,DSTDEV('literature entries'!$D:$AI,IF($J50=1,"ACTIVE     GHGE, FARM GATE (kg CO2e/kg)","GHGE, processor gate (kg CO2e/kg)"),INDIRECT($AB50)))</f>
        <v>0.10341343206930592</v>
      </c>
      <c r="AF50" s="212">
        <f t="shared" ca="1" si="8"/>
        <v>0.10341343206930592</v>
      </c>
    </row>
    <row r="51" spans="1:32" s="19" customFormat="1" ht="17" thickBot="1" x14ac:dyDescent="0.25">
      <c r="A51" s="114">
        <v>401248000</v>
      </c>
      <c r="B51" s="115" t="s">
        <v>2121</v>
      </c>
      <c r="C51" s="115" t="s">
        <v>1782</v>
      </c>
      <c r="D51" s="115"/>
      <c r="E51" s="115">
        <v>2940</v>
      </c>
      <c r="F51" s="111">
        <f t="shared" ca="1" si="0"/>
        <v>1.6282824355000003</v>
      </c>
      <c r="G51" s="112">
        <f t="shared" ca="1" si="1"/>
        <v>0.23197800850000003</v>
      </c>
      <c r="H51" s="116">
        <v>1.05</v>
      </c>
      <c r="I51" s="117" t="s">
        <v>2724</v>
      </c>
      <c r="J51" s="79">
        <v>1</v>
      </c>
      <c r="K51" s="78" t="s">
        <v>893</v>
      </c>
      <c r="L51" s="135" t="str">
        <f>IF(ISERROR(GETPIVOTDATA(IF($J51=1,"Count of ACTIVE     CED, FARM GATE (MJ/kg)","Count of CED, processor gate (MJ/kg)"),'Pivot Table_CED'!$A$3,"SUB TYPE",$B51)),"PROXY",IF(GETPIVOTDATA(IF($J51=1,"Count of ACTIVE     CED, FARM GATE (MJ/kg)","Count of CED, processor gate (MJ/kg)"),'Pivot Table_CED'!$A$3,"SUB TYPE",$B51)=0,"PROXY","DB value"))</f>
        <v>PROXY</v>
      </c>
      <c r="M51" s="118">
        <f ca="1">IF($L51="PROXY",DCOUNT('literature entries'!$D:$AI,IF($J51=1,"ACTIVE     CED, FARM GATE (MJ/kg)","CED, processor gate (MJ/kg)"),INDIRECT($K51)),GETPIVOTDATA(IF($J51=1,"Count of ACTIVE     CED, FARM GATE (MJ/kg)","Count of CED, processor gate (MJ/kg)"),'Pivot Table_CED'!$A$3,"SUB TYPE",$B51))</f>
        <v>3</v>
      </c>
      <c r="N51" s="119">
        <f ca="1">IF($L51="PROXY",DAVERAGE('literature entries'!$D:$AI,IF($J51=1,"ACTIVE     CED, FARM GATE (MJ/kg)","CED, processor gate (MJ/kg)"),INDIRECT($K51)),GETPIVOTDATA(IF($J51=1,"Average of ACTIVE     CED, FARM GATE (MJ/kg)","Average of CED, processor gate (MJ/kg)"),'Pivot Table_CED'!$A$3,"SUB TYPE",$B51))</f>
        <v>1.5507451766666669</v>
      </c>
      <c r="O51" s="119">
        <f ca="1">IF($L51="PROXY",DSTDEV('literature entries'!D:AI,IF($J51=1,"ACTIVE     CED, FARM GATE (MJ/kg)","CED, processor gate (MJ/kg)"),INDIRECT($K51)),GETPIVOTDATA(IF($J51=1,"StdDev of ACTIVE     CED, FARM GATE (MJ/kg)","StdDev of CED, processor gate (MJ/kg)"),'Pivot Table_CED'!$A$3,"SUB TYPE",$B51))</f>
        <v>1.545573713255328</v>
      </c>
      <c r="P51" s="135" t="str">
        <f>IF(ISERROR(GETPIVOTDATA(IF($J51=1,"Count of ACTIVE     GHGE, FARM GATE (kg CO2e/kg)","Count of GHGE, processor gate (kg CO2e/kg)"),'Pivot Table_GHG'!$A$3,"SUB TYPE",$B51)),"PROXY",IF(GETPIVOTDATA(IF($J51=1,"Count of ACTIVE     GHGE, FARM GATE (kg CO2e/kg)","Count of GHGE, processor gate (kg CO2e/kg)"),'Pivot Table_GHG'!$A$3,"SUB TYPE",$B51)=0,"PROXY","DB value"))</f>
        <v>PROXY</v>
      </c>
      <c r="Q51" s="125">
        <f ca="1">IF($P51="PROXY",DCOUNT('literature entries'!$D:$AI,IF($J51=1,"ACTIVE     GHGE, FARM GATE (kg CO2e/kg)","GHGE, processor gate (kg CO2e/kg)"),INDIRECT($K51)),GETPIVOTDATA(IF($J51=1,"ACTIVE     GHGE, FARM GATE (kg CO2e/kg)","Count of GHGE, processor gate (kg CO2e/kg)"),'Pivot Table_GHG'!$A$3,"SUB TYPE",$B51))</f>
        <v>3</v>
      </c>
      <c r="R51" s="190">
        <f ca="1">IF($P51="PROXY",DAVERAGE('literature entries'!$D:$AI,IF($J51=1,"ACTIVE     GHGE, FARM GATE (kg CO2e/kg)","GHGE, processor gate (kg CO2e/kg)"),INDIRECT($K51)),GETPIVOTDATA(IF($J51=1,"Average of ACTIVE     GHGE, FARM GATE (kg CO2e/kg)","Average of GHGE, processor gate (kg CO2e/kg)"),'Pivot Table_GHG'!$A$3,"SUB TYPE",$B51))</f>
        <v>0.22093143666666668</v>
      </c>
      <c r="S51" s="190">
        <f ca="1">IF($P51="PROXY",DSTDEV('literature entries'!$D:$AI,IF($J51=1,"ACTIVE     GHGE, FARM GATE (kg CO2e/kg)","GHGE, processor gate (kg CO2e/kg)"),INDIRECT($K51)),GETPIVOTDATA(IF($J51=1,"StdDev of ACTIVE     GHGE, FARM GATE (kg CO2e/kg)","StdDev of GHGE, processor gate (kg CO2e/kg)"),'Pivot Table_GHG'!$A$3,"SUB TYPE",$B51))</f>
        <v>8.3542949461742316E-2</v>
      </c>
      <c r="T51" s="88"/>
      <c r="U51" s="89"/>
      <c r="W51" s="213" t="s">
        <v>2457</v>
      </c>
      <c r="X51" s="211">
        <f ca="1">IF($W51="DIRECT",M51,DCOUNT('literature entries'!$D:$AI,IF($J51=1,"ACTIVE     CED, FARM GATE (MJ/kg)","CED, processor gate (MJ/kg)"),INDIRECT($W51)))</f>
        <v>10</v>
      </c>
      <c r="Y51" s="211">
        <f ca="1">IF($W51="DIRECT","",DAVERAGE('literature entries'!$D:$AI,IF($J51=1,"ACTIVE     CED, FARM GATE (MJ/kg)","CED, processor gate (MJ/kg)"),INDIRECT($W51)))</f>
        <v>2.5657274700000001</v>
      </c>
      <c r="Z51" s="211">
        <f ca="1">IF($W51="DIRECT",$O51,DSTDEV('literature entries'!$D:$AI,IF($J51=1,"ACTIVE     CED, FARM GATE (MJ/kg)","CED, processor gate (MJ/kg)"),INDIRECT($W51)))</f>
        <v>1.5197673074222315</v>
      </c>
      <c r="AA51" s="211">
        <f t="shared" ca="1" si="7"/>
        <v>0.91855890744339763</v>
      </c>
      <c r="AB51" s="219" t="s">
        <v>2457</v>
      </c>
      <c r="AC51" s="212">
        <f ca="1">IF($AB51="DIRECT",Q51,DCOUNT('literature entries'!$D:$AI,IF($J51=1,"ACTIVE     GHGE, FARM GATE (kg CO2e/kg)","GHGE, processor gate (kg CO2e/kg)"),INDIRECT($AB51)))</f>
        <v>22</v>
      </c>
      <c r="AD51" s="212">
        <f ca="1">IF($AB51="DIRECT","",DAVERAGE('literature entries'!$D:$AI,IF($J51=1,"ACTIVE     GHGE, FARM GATE (kg CO2e/kg)","GHGE, processor gate (kg CO2e/kg)"),INDIRECT($AB51)))</f>
        <v>0.18561974136363635</v>
      </c>
      <c r="AE51" s="212">
        <f ca="1">IF($AB51="DIRECT",$S51,DSTDEV('literature entries'!$D:$AI,IF($J51=1,"ACTIVE     GHGE, FARM GATE (kg CO2e/kg)","GHGE, processor gate (kg CO2e/kg)"),INDIRECT($AB51)))</f>
        <v>9.7833632177637575E-2</v>
      </c>
      <c r="AF51" s="212">
        <f t="shared" ca="1" si="8"/>
        <v>0.11644518386102046</v>
      </c>
    </row>
    <row r="52" spans="1:32" s="19" customFormat="1" ht="17" thickBot="1" x14ac:dyDescent="0.25">
      <c r="A52" s="114">
        <v>401313000</v>
      </c>
      <c r="B52" s="115" t="s">
        <v>2225</v>
      </c>
      <c r="C52" s="115" t="s">
        <v>1760</v>
      </c>
      <c r="D52" s="115"/>
      <c r="E52" s="115">
        <v>1562</v>
      </c>
      <c r="F52" s="111">
        <f t="shared" ca="1" si="0"/>
        <v>1.1660000000000001</v>
      </c>
      <c r="G52" s="112">
        <f t="shared" ca="1" si="1"/>
        <v>6.1233333333333334E-2</v>
      </c>
      <c r="H52" s="116">
        <v>1.1000000000000001</v>
      </c>
      <c r="I52" s="117" t="s">
        <v>2724</v>
      </c>
      <c r="J52" s="79">
        <v>1</v>
      </c>
      <c r="K52" s="78" t="s">
        <v>659</v>
      </c>
      <c r="L52" s="135" t="str">
        <f>IF(ISERROR(GETPIVOTDATA(IF($J52=1,"Count of ACTIVE     CED, FARM GATE (MJ/kg)","Count of CED, processor gate (MJ/kg)"),'Pivot Table_CED'!$A$3,"SUB TYPE",$B52)),"PROXY",IF(GETPIVOTDATA(IF($J52=1,"Count of ACTIVE     CED, FARM GATE (MJ/kg)","Count of CED, processor gate (MJ/kg)"),'Pivot Table_CED'!$A$3,"SUB TYPE",$B52)=0,"PROXY","DB value"))</f>
        <v>PROXY</v>
      </c>
      <c r="M52" s="118">
        <f ca="1">IF($L52="PROXY",DCOUNT('literature entries'!$D:$AI,IF($J52=1,"ACTIVE     CED, FARM GATE (MJ/kg)","CED, processor gate (MJ/kg)"),INDIRECT($K52)),GETPIVOTDATA(IF($J52=1,"Count of ACTIVE     CED, FARM GATE (MJ/kg)","Count of CED, processor gate (MJ/kg)"),'Pivot Table_CED'!$A$3,"SUB TYPE",$B52))</f>
        <v>3</v>
      </c>
      <c r="N52" s="119">
        <f ca="1">IF($L52="PROXY",DAVERAGE('literature entries'!$D:$AI,IF($J52=1,"ACTIVE     CED, FARM GATE (MJ/kg)","CED, processor gate (MJ/kg)"),INDIRECT($K52)),GETPIVOTDATA(IF($J52=1,"Average of ACTIVE     CED, FARM GATE (MJ/kg)","Average of CED, processor gate (MJ/kg)"),'Pivot Table_CED'!$A$3,"SUB TYPE",$B52))</f>
        <v>1.06</v>
      </c>
      <c r="O52" s="119">
        <f ca="1">IF($L52="PROXY",DSTDEV('literature entries'!D:AI,IF($J52=1,"ACTIVE     CED, FARM GATE (MJ/kg)","CED, processor gate (MJ/kg)"),INDIRECT($K52)),GETPIVOTDATA(IF($J52=1,"StdDev of ACTIVE     CED, FARM GATE (MJ/kg)","StdDev of CED, processor gate (MJ/kg)"),'Pivot Table_CED'!$A$3,"SUB TYPE",$B52))</f>
        <v>0.28583211855912843</v>
      </c>
      <c r="P52" s="135" t="str">
        <f>IF(ISERROR(GETPIVOTDATA(IF($J52=1,"Count of ACTIVE     GHGE, FARM GATE (kg CO2e/kg)","Count of GHGE, processor gate (kg CO2e/kg)"),'Pivot Table_GHG'!$A$3,"SUB TYPE",$B52)),"PROXY",IF(GETPIVOTDATA(IF($J52=1,"Count of ACTIVE     GHGE, FARM GATE (kg CO2e/kg)","Count of GHGE, processor gate (kg CO2e/kg)"),'Pivot Table_GHG'!$A$3,"SUB TYPE",$B52)=0,"PROXY","DB value"))</f>
        <v>PROXY</v>
      </c>
      <c r="Q52" s="125">
        <f ca="1">IF($P52="PROXY",DCOUNT('literature entries'!$D:$AI,IF($J52=1,"ACTIVE     GHGE, FARM GATE (kg CO2e/kg)","GHGE, processor gate (kg CO2e/kg)"),INDIRECT($K52)),GETPIVOTDATA(IF($J52=1,"ACTIVE     GHGE, FARM GATE (kg CO2e/kg)","Count of GHGE, processor gate (kg CO2e/kg)"),'Pivot Table_GHG'!$A$3,"SUB TYPE",$B52))</f>
        <v>3</v>
      </c>
      <c r="R52" s="190">
        <f ca="1">IF($P52="PROXY",DAVERAGE('literature entries'!$D:$AI,IF($J52=1,"ACTIVE     GHGE, FARM GATE (kg CO2e/kg)","GHGE, processor gate (kg CO2e/kg)"),INDIRECT($K52)),GETPIVOTDATA(IF($J52=1,"Average of ACTIVE     GHGE, FARM GATE (kg CO2e/kg)","Average of GHGE, processor gate (kg CO2e/kg)"),'Pivot Table_GHG'!$A$3,"SUB TYPE",$B52))</f>
        <v>5.5666666666666663E-2</v>
      </c>
      <c r="S52" s="190">
        <f ca="1">IF($P52="PROXY",DSTDEV('literature entries'!$D:$AI,IF($J52=1,"ACTIVE     GHGE, FARM GATE (kg CO2e/kg)","GHGE, processor gate (kg CO2e/kg)"),INDIRECT($K52)),GETPIVOTDATA(IF($J52=1,"StdDev of ACTIVE     GHGE, FARM GATE (kg CO2e/kg)","StdDev of GHGE, processor gate (kg CO2e/kg)"),'Pivot Table_GHG'!$A$3,"SUB TYPE",$B52))</f>
        <v>3.7287173844813334E-3</v>
      </c>
      <c r="T52" s="88"/>
      <c r="U52" s="89"/>
      <c r="W52" s="213" t="s">
        <v>2457</v>
      </c>
      <c r="X52" s="211">
        <f ca="1">IF($W52="DIRECT",M52,DCOUNT('literature entries'!$D:$AI,IF($J52=1,"ACTIVE     CED, FARM GATE (MJ/kg)","CED, processor gate (MJ/kg)"),INDIRECT($W52)))</f>
        <v>10</v>
      </c>
      <c r="Y52" s="211">
        <f ca="1">IF($W52="DIRECT","",DAVERAGE('literature entries'!$D:$AI,IF($J52=1,"ACTIVE     CED, FARM GATE (MJ/kg)","CED, processor gate (MJ/kg)"),INDIRECT($W52)))</f>
        <v>2.5657274700000001</v>
      </c>
      <c r="Z52" s="211">
        <f ca="1">IF($W52="DIRECT",$O52,DSTDEV('literature entries'!$D:$AI,IF($J52=1,"ACTIVE     CED, FARM GATE (MJ/kg)","CED, processor gate (MJ/kg)"),INDIRECT($W52)))</f>
        <v>1.5197673074222315</v>
      </c>
      <c r="AA52" s="211">
        <f t="shared" ca="1" si="7"/>
        <v>0.62787391283906135</v>
      </c>
      <c r="AB52" s="219" t="s">
        <v>2457</v>
      </c>
      <c r="AC52" s="212">
        <f ca="1">IF($AB52="DIRECT",Q52,DCOUNT('literature entries'!$D:$AI,IF($J52=1,"ACTIVE     GHGE, FARM GATE (kg CO2e/kg)","GHGE, processor gate (kg CO2e/kg)"),INDIRECT($AB52)))</f>
        <v>22</v>
      </c>
      <c r="AD52" s="212">
        <f ca="1">IF($AB52="DIRECT","",DAVERAGE('literature entries'!$D:$AI,IF($J52=1,"ACTIVE     GHGE, FARM GATE (kg CO2e/kg)","GHGE, processor gate (kg CO2e/kg)"),INDIRECT($AB52)))</f>
        <v>0.18561974136363635</v>
      </c>
      <c r="AE52" s="212">
        <f ca="1">IF($AB52="DIRECT",$S52,DSTDEV('literature entries'!$D:$AI,IF($J52=1,"ACTIVE     GHGE, FARM GATE (kg CO2e/kg)","GHGE, processor gate (kg CO2e/kg)"),INDIRECT($AB52)))</f>
        <v>9.7833632177637575E-2</v>
      </c>
      <c r="AF52" s="212">
        <f t="shared" ca="1" si="8"/>
        <v>2.9339940629228418E-2</v>
      </c>
    </row>
    <row r="53" spans="1:32" s="19" customFormat="1" thickBot="1" x14ac:dyDescent="0.25">
      <c r="A53" s="114">
        <v>401355000</v>
      </c>
      <c r="B53" s="115" t="s">
        <v>892</v>
      </c>
      <c r="C53" s="115" t="s">
        <v>2056</v>
      </c>
      <c r="D53" s="115"/>
      <c r="E53" s="115">
        <v>2857</v>
      </c>
      <c r="F53" s="111">
        <f t="shared" ca="1" si="0"/>
        <v>2.1555357955666667</v>
      </c>
      <c r="G53" s="112">
        <f t="shared" ca="1" si="1"/>
        <v>0.30709469696666664</v>
      </c>
      <c r="H53" s="116">
        <v>1.39</v>
      </c>
      <c r="I53" s="116" t="s">
        <v>2724</v>
      </c>
      <c r="J53" s="79">
        <v>1</v>
      </c>
      <c r="K53" s="78"/>
      <c r="L53" s="135" t="str">
        <f>IF(ISERROR(GETPIVOTDATA(IF($J53=1,"Count of ACTIVE     CED, FARM GATE (MJ/kg)","Count of CED, processor gate (MJ/kg)"),'Pivot Table_CED'!$A$3,"SUB TYPE",$B53)),"PROXY",IF(GETPIVOTDATA(IF($J53=1,"Count of ACTIVE     CED, FARM GATE (MJ/kg)","Count of CED, processor gate (MJ/kg)"),'Pivot Table_CED'!$A$3,"SUB TYPE",$B53)=0,"PROXY","DB value"))</f>
        <v>DB value</v>
      </c>
      <c r="M53" s="118">
        <f ca="1">IF($L53="PROXY",DCOUNT('literature entries'!$D:$AI,IF($J53=1,"ACTIVE     CED, FARM GATE (MJ/kg)","CED, processor gate (MJ/kg)"),INDIRECT($K53)),GETPIVOTDATA(IF($J53=1,"Count of ACTIVE     CED, FARM GATE (MJ/kg)","Count of CED, processor gate (MJ/kg)"),'Pivot Table_CED'!$A$3,"SUB TYPE",$B53))</f>
        <v>3</v>
      </c>
      <c r="N53" s="119">
        <f ca="1">IF($L53="PROXY",DAVERAGE('literature entries'!$D:$AI,IF($J53=1,"ACTIVE     CED, FARM GATE (MJ/kg)","CED, processor gate (MJ/kg)"),INDIRECT($K53)),GETPIVOTDATA(IF($J53=1,"Average of ACTIVE     CED, FARM GATE (MJ/kg)","Average of CED, processor gate (MJ/kg)"),'Pivot Table_CED'!$A$3,"SUB TYPE",$B53))</f>
        <v>1.5507451766666669</v>
      </c>
      <c r="O53" s="119">
        <f ca="1">IF($L53="PROXY",DSTDEV('literature entries'!D:AI,IF($J53=1,"ACTIVE     CED, FARM GATE (MJ/kg)","CED, processor gate (MJ/kg)"),INDIRECT($K53)),GETPIVOTDATA(IF($J53=1,"StdDev of ACTIVE     CED, FARM GATE (MJ/kg)","StdDev of CED, processor gate (MJ/kg)"),'Pivot Table_CED'!$A$3,"SUB TYPE",$B53))</f>
        <v>1.545573713255328</v>
      </c>
      <c r="P53" s="135" t="str">
        <f>IF(ISERROR(GETPIVOTDATA(IF($J53=1,"Count of ACTIVE     GHGE, FARM GATE (kg CO2e/kg)","Count of GHGE, processor gate (kg CO2e/kg)"),'Pivot Table_GHG'!$A$3,"SUB TYPE",$B53)),"PROXY",IF(GETPIVOTDATA(IF($J53=1,"Count of ACTIVE     GHGE, FARM GATE (kg CO2e/kg)","Count of GHGE, processor gate (kg CO2e/kg)"),'Pivot Table_GHG'!$A$3,"SUB TYPE",$B53)=0,"PROXY","DB value"))</f>
        <v>DB value</v>
      </c>
      <c r="Q53" s="125">
        <f ca="1">IF($P53="PROXY",DCOUNT('literature entries'!$D:$AI,IF($J53=1,"ACTIVE     GHGE, FARM GATE (kg CO2e/kg)","GHGE, processor gate (kg CO2e/kg)"),INDIRECT($K53)),GETPIVOTDATA(IF($J53=1,"ACTIVE     GHGE, FARM GATE (kg CO2e/kg)","Count of GHGE, processor gate (kg CO2e/kg)"),'Pivot Table_GHG'!$A$3,"SUB TYPE",$B53))</f>
        <v>3</v>
      </c>
      <c r="R53" s="190">
        <f ca="1">IF($P53="PROXY",DAVERAGE('literature entries'!$D:$AI,IF($J53=1,"ACTIVE     GHGE, FARM GATE (kg CO2e/kg)","GHGE, processor gate (kg CO2e/kg)"),INDIRECT($K53)),GETPIVOTDATA(IF($J53=1,"Average of ACTIVE     GHGE, FARM GATE (kg CO2e/kg)","Average of GHGE, processor gate (kg CO2e/kg)"),'Pivot Table_GHG'!$A$3,"SUB TYPE",$B53))</f>
        <v>0.22093143666666668</v>
      </c>
      <c r="S53" s="190">
        <f ca="1">IF($P53="PROXY",DSTDEV('literature entries'!$D:$AI,IF($J53=1,"ACTIVE     GHGE, FARM GATE (kg CO2e/kg)","GHGE, processor gate (kg CO2e/kg)"),INDIRECT($K53)),GETPIVOTDATA(IF($J53=1,"StdDev of ACTIVE     GHGE, FARM GATE (kg CO2e/kg)","StdDev of GHGE, processor gate (kg CO2e/kg)"),'Pivot Table_GHG'!$A$3,"SUB TYPE",$B53))</f>
        <v>8.3542949461742316E-2</v>
      </c>
      <c r="T53" s="88"/>
      <c r="U53" s="89"/>
      <c r="W53" s="213" t="s">
        <v>2457</v>
      </c>
      <c r="X53" s="211">
        <f ca="1">IF($W53="DIRECT",M53,DCOUNT('literature entries'!$D:$AI,IF($J53=1,"ACTIVE     CED, FARM GATE (MJ/kg)","CED, processor gate (MJ/kg)"),INDIRECT($W53)))</f>
        <v>10</v>
      </c>
      <c r="Y53" s="211">
        <f ca="1">IF($W53="DIRECT","",DAVERAGE('literature entries'!$D:$AI,IF($J53=1,"ACTIVE     CED, FARM GATE (MJ/kg)","CED, processor gate (MJ/kg)"),INDIRECT($W53)))</f>
        <v>2.5657274700000001</v>
      </c>
      <c r="Z53" s="211">
        <f ca="1">IF($W53="DIRECT",$O53,DSTDEV('literature entries'!$D:$AI,IF($J53=1,"ACTIVE     CED, FARM GATE (MJ/kg)","CED, processor gate (MJ/kg)"),INDIRECT($W53)))</f>
        <v>1.5197673074222315</v>
      </c>
      <c r="AA53" s="211">
        <f t="shared" ca="1" si="7"/>
        <v>0.91855890744339763</v>
      </c>
      <c r="AB53" s="219" t="s">
        <v>2457</v>
      </c>
      <c r="AC53" s="212">
        <f ca="1">IF($AB53="DIRECT",Q53,DCOUNT('literature entries'!$D:$AI,IF($J53=1,"ACTIVE     GHGE, FARM GATE (kg CO2e/kg)","GHGE, processor gate (kg CO2e/kg)"),INDIRECT($AB53)))</f>
        <v>22</v>
      </c>
      <c r="AD53" s="212">
        <f ca="1">IF($AB53="DIRECT","",DAVERAGE('literature entries'!$D:$AI,IF($J53=1,"ACTIVE     GHGE, FARM GATE (kg CO2e/kg)","GHGE, processor gate (kg CO2e/kg)"),INDIRECT($AB53)))</f>
        <v>0.18561974136363635</v>
      </c>
      <c r="AE53" s="212">
        <f ca="1">IF($AB53="DIRECT",$S53,DSTDEV('literature entries'!$D:$AI,IF($J53=1,"ACTIVE     GHGE, FARM GATE (kg CO2e/kg)","GHGE, processor gate (kg CO2e/kg)"),INDIRECT($AB53)))</f>
        <v>9.7833632177637575E-2</v>
      </c>
      <c r="AF53" s="212">
        <f t="shared" ca="1" si="8"/>
        <v>0.11644518386102046</v>
      </c>
    </row>
    <row r="54" spans="1:32" s="19" customFormat="1" ht="17" thickBot="1" x14ac:dyDescent="0.25">
      <c r="A54" s="114">
        <v>401367000</v>
      </c>
      <c r="B54" s="115" t="s">
        <v>2294</v>
      </c>
      <c r="C54" s="115" t="s">
        <v>2295</v>
      </c>
      <c r="D54" s="115"/>
      <c r="E54" s="115">
        <v>11</v>
      </c>
      <c r="F54" s="111">
        <f t="shared" ca="1" si="0"/>
        <v>2.7966429423000005</v>
      </c>
      <c r="G54" s="112">
        <f t="shared" ca="1" si="1"/>
        <v>0.20232551808636362</v>
      </c>
      <c r="H54" s="116">
        <v>1.0900000000000001</v>
      </c>
      <c r="I54" s="117" t="s">
        <v>2724</v>
      </c>
      <c r="J54" s="79">
        <v>1</v>
      </c>
      <c r="K54" s="78" t="s">
        <v>2457</v>
      </c>
      <c r="L54" s="135" t="str">
        <f>IF(ISERROR(GETPIVOTDATA(IF($J54=1,"Count of ACTIVE     CED, FARM GATE (MJ/kg)","Count of CED, processor gate (MJ/kg)"),'Pivot Table_CED'!$A$3,"SUB TYPE",$B54)),"PROXY",IF(GETPIVOTDATA(IF($J54=1,"Count of ACTIVE     CED, FARM GATE (MJ/kg)","Count of CED, processor gate (MJ/kg)"),'Pivot Table_CED'!$A$3,"SUB TYPE",$B54)=0,"PROXY","DB value"))</f>
        <v>PROXY</v>
      </c>
      <c r="M54" s="118">
        <f ca="1">IF($L54="PROXY",DCOUNT('literature entries'!$D:$AI,IF($J54=1,"ACTIVE     CED, FARM GATE (MJ/kg)","CED, processor gate (MJ/kg)"),INDIRECT($K54)),GETPIVOTDATA(IF($J54=1,"Count of ACTIVE     CED, FARM GATE (MJ/kg)","Count of CED, processor gate (MJ/kg)"),'Pivot Table_CED'!$A$3,"SUB TYPE",$B54))</f>
        <v>10</v>
      </c>
      <c r="N54" s="119">
        <f ca="1">IF($L54="PROXY",DAVERAGE('literature entries'!$D:$AI,IF($J54=1,"ACTIVE     CED, FARM GATE (MJ/kg)","CED, processor gate (MJ/kg)"),INDIRECT($K54)),GETPIVOTDATA(IF($J54=1,"Average of ACTIVE     CED, FARM GATE (MJ/kg)","Average of CED, processor gate (MJ/kg)"),'Pivot Table_CED'!$A$3,"SUB TYPE",$B54))</f>
        <v>2.5657274700000001</v>
      </c>
      <c r="O54" s="119">
        <f ca="1">IF($L54="PROXY",DSTDEV('literature entries'!D:AI,IF($J54=1,"ACTIVE     CED, FARM GATE (MJ/kg)","CED, processor gate (MJ/kg)"),INDIRECT($K54)),GETPIVOTDATA(IF($J54=1,"StdDev of ACTIVE     CED, FARM GATE (MJ/kg)","StdDev of CED, processor gate (MJ/kg)"),'Pivot Table_CED'!$A$3,"SUB TYPE",$B54))</f>
        <v>1.5197673074222315</v>
      </c>
      <c r="P54" s="135" t="str">
        <f>IF(ISERROR(GETPIVOTDATA(IF($J54=1,"Count of ACTIVE     GHGE, FARM GATE (kg CO2e/kg)","Count of GHGE, processor gate (kg CO2e/kg)"),'Pivot Table_GHG'!$A$3,"SUB TYPE",$B54)),"PROXY",IF(GETPIVOTDATA(IF($J54=1,"Count of ACTIVE     GHGE, FARM GATE (kg CO2e/kg)","Count of GHGE, processor gate (kg CO2e/kg)"),'Pivot Table_GHG'!$A$3,"SUB TYPE",$B54)=0,"PROXY","DB value"))</f>
        <v>PROXY</v>
      </c>
      <c r="Q54" s="125">
        <f ca="1">IF($P54="PROXY",DCOUNT('literature entries'!$D:$AI,IF($J54=1,"ACTIVE     GHGE, FARM GATE (kg CO2e/kg)","GHGE, processor gate (kg CO2e/kg)"),INDIRECT($K54)),GETPIVOTDATA(IF($J54=1,"ACTIVE     GHGE, FARM GATE (kg CO2e/kg)","Count of GHGE, processor gate (kg CO2e/kg)"),'Pivot Table_GHG'!$A$3,"SUB TYPE",$B54))</f>
        <v>22</v>
      </c>
      <c r="R54" s="190">
        <f ca="1">IF($P54="PROXY",DAVERAGE('literature entries'!$D:$AI,IF($J54=1,"ACTIVE     GHGE, FARM GATE (kg CO2e/kg)","GHGE, processor gate (kg CO2e/kg)"),INDIRECT($K54)),GETPIVOTDATA(IF($J54=1,"Average of ACTIVE     GHGE, FARM GATE (kg CO2e/kg)","Average of GHGE, processor gate (kg CO2e/kg)"),'Pivot Table_GHG'!$A$3,"SUB TYPE",$B54))</f>
        <v>0.18561974136363635</v>
      </c>
      <c r="S54" s="190">
        <f ca="1">IF($P54="PROXY",DSTDEV('literature entries'!$D:$AI,IF($J54=1,"ACTIVE     GHGE, FARM GATE (kg CO2e/kg)","GHGE, processor gate (kg CO2e/kg)"),INDIRECT($K54)),GETPIVOTDATA(IF($J54=1,"StdDev of ACTIVE     GHGE, FARM GATE (kg CO2e/kg)","StdDev of GHGE, processor gate (kg CO2e/kg)"),'Pivot Table_GHG'!$A$3,"SUB TYPE",$B54))</f>
        <v>9.7833632177637575E-2</v>
      </c>
      <c r="T54" s="88"/>
      <c r="U54" s="89"/>
      <c r="W54" s="213" t="str">
        <f ca="1">IF(L54="PROXY",IF(M54&gt;=5,K54,"need group"),IF(M54&gt;=5,"DIRECT","need group"))</f>
        <v>greens</v>
      </c>
      <c r="X54" s="211">
        <f ca="1">IF($W54="DIRECT",M54,DCOUNT('literature entries'!$D:$AI,IF($J54=1,"ACTIVE     CED, FARM GATE (MJ/kg)","CED, processor gate (MJ/kg)"),INDIRECT($W54)))</f>
        <v>10</v>
      </c>
      <c r="Y54" s="211">
        <f ca="1">IF($W54="DIRECT","",DAVERAGE('literature entries'!$D:$AI,IF($J54=1,"ACTIVE     CED, FARM GATE (MJ/kg)","CED, processor gate (MJ/kg)"),INDIRECT($W54)))</f>
        <v>2.5657274700000001</v>
      </c>
      <c r="Z54" s="211">
        <f ca="1">IF($W54="DIRECT",$O54,DSTDEV('literature entries'!$D:$AI,IF($J54=1,"ACTIVE     CED, FARM GATE (MJ/kg)","CED, processor gate (MJ/kg)"),INDIRECT($W54)))</f>
        <v>1.5197673074222315</v>
      </c>
      <c r="AA54" s="211">
        <f t="shared" ca="1" si="7"/>
        <v>1.5197673074222315</v>
      </c>
      <c r="AB54" s="219" t="str">
        <f ca="1">IF(P54="PROXY",IF(Q54&gt;=5,K54,"need group"),IF(Q54&gt;=5,"DIRECT","need group"))</f>
        <v>greens</v>
      </c>
      <c r="AC54" s="212">
        <f ca="1">IF($AB54="DIRECT",Q54,DCOUNT('literature entries'!$D:$AI,IF($J54=1,"ACTIVE     GHGE, FARM GATE (kg CO2e/kg)","GHGE, processor gate (kg CO2e/kg)"),INDIRECT($AB54)))</f>
        <v>22</v>
      </c>
      <c r="AD54" s="212">
        <f ca="1">IF($AB54="DIRECT","",DAVERAGE('literature entries'!$D:$AI,IF($J54=1,"ACTIVE     GHGE, FARM GATE (kg CO2e/kg)","GHGE, processor gate (kg CO2e/kg)"),INDIRECT($AB54)))</f>
        <v>0.18561974136363635</v>
      </c>
      <c r="AE54" s="212">
        <f ca="1">IF($AB54="DIRECT",$S54,DSTDEV('literature entries'!$D:$AI,IF($J54=1,"ACTIVE     GHGE, FARM GATE (kg CO2e/kg)","GHGE, processor gate (kg CO2e/kg)"),INDIRECT($AB54)))</f>
        <v>9.7833632177637575E-2</v>
      </c>
      <c r="AF54" s="212">
        <f t="shared" ca="1" si="8"/>
        <v>9.7833632177637575E-2</v>
      </c>
    </row>
    <row r="55" spans="1:32" s="19" customFormat="1" thickBot="1" x14ac:dyDescent="0.25">
      <c r="A55" s="114">
        <v>402018000</v>
      </c>
      <c r="B55" s="115" t="s">
        <v>1759</v>
      </c>
      <c r="C55" s="115" t="s">
        <v>1760</v>
      </c>
      <c r="D55" s="115"/>
      <c r="E55" s="115">
        <v>26</v>
      </c>
      <c r="F55" s="111">
        <f t="shared" ca="1" si="0"/>
        <v>4.2847648748999996</v>
      </c>
      <c r="G55" s="112">
        <f t="shared" ca="1" si="1"/>
        <v>0.30998496807727272</v>
      </c>
      <c r="H55" s="116">
        <v>1.67</v>
      </c>
      <c r="I55" s="116" t="s">
        <v>2724</v>
      </c>
      <c r="J55" s="79">
        <v>1</v>
      </c>
      <c r="K55" s="78" t="s">
        <v>2457</v>
      </c>
      <c r="L55" s="135" t="str">
        <f>IF(ISERROR(GETPIVOTDATA(IF($J55=1,"Count of ACTIVE     CED, FARM GATE (MJ/kg)","Count of CED, processor gate (MJ/kg)"),'Pivot Table_CED'!$A$3,"SUB TYPE",$B55)),"PROXY",IF(GETPIVOTDATA(IF($J55=1,"Count of ACTIVE     CED, FARM GATE (MJ/kg)","Count of CED, processor gate (MJ/kg)"),'Pivot Table_CED'!$A$3,"SUB TYPE",$B55)=0,"PROXY","DB value"))</f>
        <v>PROXY</v>
      </c>
      <c r="M55" s="118">
        <f ca="1">IF($L55="PROXY",DCOUNT('literature entries'!$D:$AI,IF($J55=1,"ACTIVE     CED, FARM GATE (MJ/kg)","CED, processor gate (MJ/kg)"),INDIRECT($K55)),GETPIVOTDATA(IF($J55=1,"Count of ACTIVE     CED, FARM GATE (MJ/kg)","Count of CED, processor gate (MJ/kg)"),'Pivot Table_CED'!$A$3,"SUB TYPE",$B55))</f>
        <v>10</v>
      </c>
      <c r="N55" s="119">
        <f ca="1">IF($L55="PROXY",DAVERAGE('literature entries'!$D:$AI,IF($J55=1,"ACTIVE     CED, FARM GATE (MJ/kg)","CED, processor gate (MJ/kg)"),INDIRECT($K55)),GETPIVOTDATA(IF($J55=1,"Average of ACTIVE     CED, FARM GATE (MJ/kg)","Average of CED, processor gate (MJ/kg)"),'Pivot Table_CED'!$A$3,"SUB TYPE",$B55))</f>
        <v>2.5657274700000001</v>
      </c>
      <c r="O55" s="119">
        <f ca="1">IF($L55="PROXY",DSTDEV('literature entries'!D:AI,IF($J55=1,"ACTIVE     CED, FARM GATE (MJ/kg)","CED, processor gate (MJ/kg)"),INDIRECT($K55)),GETPIVOTDATA(IF($J55=1,"StdDev of ACTIVE     CED, FARM GATE (MJ/kg)","StdDev of CED, processor gate (MJ/kg)"),'Pivot Table_CED'!$A$3,"SUB TYPE",$B55))</f>
        <v>1.5197673074222315</v>
      </c>
      <c r="P55" s="135" t="str">
        <f>IF(ISERROR(GETPIVOTDATA(IF($J55=1,"Count of ACTIVE     GHGE, FARM GATE (kg CO2e/kg)","Count of GHGE, processor gate (kg CO2e/kg)"),'Pivot Table_GHG'!$A$3,"SUB TYPE",$B55)),"PROXY",IF(GETPIVOTDATA(IF($J55=1,"Count of ACTIVE     GHGE, FARM GATE (kg CO2e/kg)","Count of GHGE, processor gate (kg CO2e/kg)"),'Pivot Table_GHG'!$A$3,"SUB TYPE",$B55)=0,"PROXY","DB value"))</f>
        <v>PROXY</v>
      </c>
      <c r="Q55" s="125">
        <f ca="1">IF($P55="PROXY",DCOUNT('literature entries'!$D:$AI,IF($J55=1,"ACTIVE     GHGE, FARM GATE (kg CO2e/kg)","GHGE, processor gate (kg CO2e/kg)"),INDIRECT($K55)),GETPIVOTDATA(IF($J55=1,"ACTIVE     GHGE, FARM GATE (kg CO2e/kg)","Count of GHGE, processor gate (kg CO2e/kg)"),'Pivot Table_GHG'!$A$3,"SUB TYPE",$B55))</f>
        <v>22</v>
      </c>
      <c r="R55" s="190">
        <f ca="1">IF($P55="PROXY",DAVERAGE('literature entries'!$D:$AI,IF($J55=1,"ACTIVE     GHGE, FARM GATE (kg CO2e/kg)","GHGE, processor gate (kg CO2e/kg)"),INDIRECT($K55)),GETPIVOTDATA(IF($J55=1,"Average of ACTIVE     GHGE, FARM GATE (kg CO2e/kg)","Average of GHGE, processor gate (kg CO2e/kg)"),'Pivot Table_GHG'!$A$3,"SUB TYPE",$B55))</f>
        <v>0.18561974136363635</v>
      </c>
      <c r="S55" s="190">
        <f ca="1">IF($P55="PROXY",DSTDEV('literature entries'!$D:$AI,IF($J55=1,"ACTIVE     GHGE, FARM GATE (kg CO2e/kg)","GHGE, processor gate (kg CO2e/kg)"),INDIRECT($K55)),GETPIVOTDATA(IF($J55=1,"StdDev of ACTIVE     GHGE, FARM GATE (kg CO2e/kg)","StdDev of GHGE, processor gate (kg CO2e/kg)"),'Pivot Table_GHG'!$A$3,"SUB TYPE",$B55))</f>
        <v>9.7833632177637575E-2</v>
      </c>
      <c r="T55" s="88"/>
      <c r="U55" s="89"/>
      <c r="W55" s="213" t="str">
        <f ca="1">IF(L55="PROXY",IF(M55&gt;=5,K55,"need group"),IF(M55&gt;=5,"DIRECT","need group"))</f>
        <v>greens</v>
      </c>
      <c r="X55" s="211">
        <f ca="1">IF($W55="DIRECT",M55,DCOUNT('literature entries'!$D:$AI,IF($J55=1,"ACTIVE     CED, FARM GATE (MJ/kg)","CED, processor gate (MJ/kg)"),INDIRECT($W55)))</f>
        <v>10</v>
      </c>
      <c r="Y55" s="211">
        <f ca="1">IF($W55="DIRECT","",DAVERAGE('literature entries'!$D:$AI,IF($J55=1,"ACTIVE     CED, FARM GATE (MJ/kg)","CED, processor gate (MJ/kg)"),INDIRECT($W55)))</f>
        <v>2.5657274700000001</v>
      </c>
      <c r="Z55" s="211">
        <f ca="1">IF($W55="DIRECT",$O55,DSTDEV('literature entries'!$D:$AI,IF($J55=1,"ACTIVE     CED, FARM GATE (MJ/kg)","CED, processor gate (MJ/kg)"),INDIRECT($W55)))</f>
        <v>1.5197673074222315</v>
      </c>
      <c r="AA55" s="211">
        <f t="shared" ca="1" si="7"/>
        <v>1.5197673074222315</v>
      </c>
      <c r="AB55" s="219" t="str">
        <f ca="1">IF(P55="PROXY",IF(Q55&gt;=5,K55,"need group"),IF(Q55&gt;=5,"DIRECT","need group"))</f>
        <v>greens</v>
      </c>
      <c r="AC55" s="212">
        <f ca="1">IF($AB55="DIRECT",Q55,DCOUNT('literature entries'!$D:$AI,IF($J55=1,"ACTIVE     GHGE, FARM GATE (kg CO2e/kg)","GHGE, processor gate (kg CO2e/kg)"),INDIRECT($AB55)))</f>
        <v>22</v>
      </c>
      <c r="AD55" s="212">
        <f ca="1">IF($AB55="DIRECT","",DAVERAGE('literature entries'!$D:$AI,IF($J55=1,"ACTIVE     GHGE, FARM GATE (kg CO2e/kg)","GHGE, processor gate (kg CO2e/kg)"),INDIRECT($AB55)))</f>
        <v>0.18561974136363635</v>
      </c>
      <c r="AE55" s="212">
        <f ca="1">IF($AB55="DIRECT",$S55,DSTDEV('literature entries'!$D:$AI,IF($J55=1,"ACTIVE     GHGE, FARM GATE (kg CO2e/kg)","GHGE, processor gate (kg CO2e/kg)"),INDIRECT($AB55)))</f>
        <v>9.7833632177637575E-2</v>
      </c>
      <c r="AF55" s="212">
        <f t="shared" ca="1" si="8"/>
        <v>9.7833632177637575E-2</v>
      </c>
    </row>
    <row r="56" spans="1:32" s="19" customFormat="1" ht="17" thickBot="1" x14ac:dyDescent="0.25">
      <c r="A56" s="114">
        <v>402062000</v>
      </c>
      <c r="B56" s="115" t="s">
        <v>1844</v>
      </c>
      <c r="C56" s="115" t="s">
        <v>1845</v>
      </c>
      <c r="D56" s="115"/>
      <c r="E56" s="115">
        <v>15</v>
      </c>
      <c r="F56" s="111">
        <f t="shared" ca="1" si="0"/>
        <v>4.290666562237762</v>
      </c>
      <c r="G56" s="112">
        <f t="shared" ca="1" si="1"/>
        <v>0.48613236187165776</v>
      </c>
      <c r="H56" s="116">
        <v>1</v>
      </c>
      <c r="I56" s="117" t="s">
        <v>594</v>
      </c>
      <c r="J56" s="79">
        <v>1</v>
      </c>
      <c r="K56" s="78" t="s">
        <v>882</v>
      </c>
      <c r="L56" s="135" t="str">
        <f>IF(ISERROR(GETPIVOTDATA(IF($J56=1,"Count of ACTIVE     CED, FARM GATE (MJ/kg)","Count of CED, processor gate (MJ/kg)"),'Pivot Table_CED'!$A$3,"SUB TYPE",$B56)),"PROXY",IF(GETPIVOTDATA(IF($J56=1,"Count of ACTIVE     CED, FARM GATE (MJ/kg)","Count of CED, processor gate (MJ/kg)"),'Pivot Table_CED'!$A$3,"SUB TYPE",$B56)=0,"PROXY","DB value"))</f>
        <v>PROXY</v>
      </c>
      <c r="M56" s="118">
        <f ca="1">IF($L56="PROXY",DCOUNT('literature entries'!$D:$AI,IF($J56=1,"ACTIVE     CED, FARM GATE (MJ/kg)","CED, processor gate (MJ/kg)"),INDIRECT($K56)),GETPIVOTDATA(IF($J56=1,"Count of ACTIVE     CED, FARM GATE (MJ/kg)","Count of CED, processor gate (MJ/kg)"),'Pivot Table_CED'!$A$3,"SUB TYPE",$B56))</f>
        <v>13</v>
      </c>
      <c r="N56" s="119">
        <f ca="1">IF($L56="PROXY",DAVERAGE('literature entries'!$D:$AI,IF($J56=1,"ACTIVE     CED, FARM GATE (MJ/kg)","CED, processor gate (MJ/kg)"),INDIRECT($K56)),GETPIVOTDATA(IF($J56=1,"Average of ACTIVE     CED, FARM GATE (MJ/kg)","Average of CED, processor gate (MJ/kg)"),'Pivot Table_CED'!$A$3,"SUB TYPE",$B56))</f>
        <v>4.290666562237762</v>
      </c>
      <c r="O56" s="119">
        <f ca="1">IF($L56="PROXY",DSTDEV('literature entries'!D:AI,IF($J56=1,"ACTIVE     CED, FARM GATE (MJ/kg)","CED, processor gate (MJ/kg)"),INDIRECT($K56)),GETPIVOTDATA(IF($J56=1,"StdDev of ACTIVE     CED, FARM GATE (MJ/kg)","StdDev of CED, processor gate (MJ/kg)"),'Pivot Table_CED'!$A$3,"SUB TYPE",$B56))</f>
        <v>1.8641381933984171</v>
      </c>
      <c r="P56" s="135" t="str">
        <f>IF(ISERROR(GETPIVOTDATA(IF($J56=1,"Count of ACTIVE     GHGE, FARM GATE (kg CO2e/kg)","Count of GHGE, processor gate (kg CO2e/kg)"),'Pivot Table_GHG'!$A$3,"SUB TYPE",$B56)),"PROXY",IF(GETPIVOTDATA(IF($J56=1,"Count of ACTIVE     GHGE, FARM GATE (kg CO2e/kg)","Count of GHGE, processor gate (kg CO2e/kg)"),'Pivot Table_GHG'!$A$3,"SUB TYPE",$B56)=0,"PROXY","DB value"))</f>
        <v>PROXY</v>
      </c>
      <c r="Q56" s="125">
        <f ca="1">IF($P56="PROXY",DCOUNT('literature entries'!$D:$AI,IF($J56=1,"ACTIVE     GHGE, FARM GATE (kg CO2e/kg)","GHGE, processor gate (kg CO2e/kg)"),INDIRECT($K56)),GETPIVOTDATA(IF($J56=1,"ACTIVE     GHGE, FARM GATE (kg CO2e/kg)","Count of GHGE, processor gate (kg CO2e/kg)"),'Pivot Table_GHG'!$A$3,"SUB TYPE",$B56))</f>
        <v>17</v>
      </c>
      <c r="R56" s="190">
        <f ca="1">IF($P56="PROXY",DAVERAGE('literature entries'!$D:$AI,IF($J56=1,"ACTIVE     GHGE, FARM GATE (kg CO2e/kg)","GHGE, processor gate (kg CO2e/kg)"),INDIRECT($K56)),GETPIVOTDATA(IF($J56=1,"Average of ACTIVE     GHGE, FARM GATE (kg CO2e/kg)","Average of GHGE, processor gate (kg CO2e/kg)"),'Pivot Table_GHG'!$A$3,"SUB TYPE",$B56))</f>
        <v>0.48613236187165776</v>
      </c>
      <c r="S56" s="190">
        <f ca="1">IF($P56="PROXY",DSTDEV('literature entries'!$D:$AI,IF($J56=1,"ACTIVE     GHGE, FARM GATE (kg CO2e/kg)","GHGE, processor gate (kg CO2e/kg)"),INDIRECT($K56)),GETPIVOTDATA(IF($J56=1,"StdDev of ACTIVE     GHGE, FARM GATE (kg CO2e/kg)","StdDev of GHGE, processor gate (kg CO2e/kg)"),'Pivot Table_GHG'!$A$3,"SUB TYPE",$B56))</f>
        <v>0.35138775912544246</v>
      </c>
      <c r="T56" s="88"/>
      <c r="U56" s="89"/>
      <c r="W56" s="213" t="str">
        <f ca="1">IF(L56="PROXY",IF(M56&gt;=5,K56,"need group"),IF(M56&gt;=5,"DIRECT","need group"))</f>
        <v>broccoli</v>
      </c>
      <c r="X56" s="211">
        <f ca="1">IF($W56="DIRECT",M56,DCOUNT('literature entries'!$D:$AI,IF($J56=1,"ACTIVE     CED, FARM GATE (MJ/kg)","CED, processor gate (MJ/kg)"),INDIRECT($W56)))</f>
        <v>13</v>
      </c>
      <c r="Y56" s="211">
        <f ca="1">IF($W56="DIRECT","",DAVERAGE('literature entries'!$D:$AI,IF($J56=1,"ACTIVE     CED, FARM GATE (MJ/kg)","CED, processor gate (MJ/kg)"),INDIRECT($W56)))</f>
        <v>4.290666562237762</v>
      </c>
      <c r="Z56" s="211">
        <f ca="1">IF($W56="DIRECT",$O56,DSTDEV('literature entries'!$D:$AI,IF($J56=1,"ACTIVE     CED, FARM GATE (MJ/kg)","CED, processor gate (MJ/kg)"),INDIRECT($W56)))</f>
        <v>1.8641381933984171</v>
      </c>
      <c r="AA56" s="211">
        <f t="shared" ca="1" si="7"/>
        <v>1.8641381933984171</v>
      </c>
      <c r="AB56" s="219" t="str">
        <f ca="1">IF(P56="PROXY",IF(Q56&gt;=5,K56,"need group"),IF(Q56&gt;=5,"DIRECT","need group"))</f>
        <v>broccoli</v>
      </c>
      <c r="AC56" s="212">
        <f ca="1">IF($AB56="DIRECT",Q56,DCOUNT('literature entries'!$D:$AI,IF($J56=1,"ACTIVE     GHGE, FARM GATE (kg CO2e/kg)","GHGE, processor gate (kg CO2e/kg)"),INDIRECT($AB56)))</f>
        <v>17</v>
      </c>
      <c r="AD56" s="212">
        <f ca="1">IF($AB56="DIRECT","",DAVERAGE('literature entries'!$D:$AI,IF($J56=1,"ACTIVE     GHGE, FARM GATE (kg CO2e/kg)","GHGE, processor gate (kg CO2e/kg)"),INDIRECT($AB56)))</f>
        <v>0.48613236187165776</v>
      </c>
      <c r="AE56" s="212">
        <f ca="1">IF($AB56="DIRECT",$S56,DSTDEV('literature entries'!$D:$AI,IF($J56=1,"ACTIVE     GHGE, FARM GATE (kg CO2e/kg)","GHGE, processor gate (kg CO2e/kg)"),INDIRECT($AB56)))</f>
        <v>0.35138775912544246</v>
      </c>
      <c r="AF56" s="212">
        <f t="shared" ca="1" si="8"/>
        <v>0.35138775912544246</v>
      </c>
    </row>
    <row r="57" spans="1:32" s="19" customFormat="1" ht="17" thickBot="1" x14ac:dyDescent="0.25">
      <c r="A57" s="114">
        <v>402070000</v>
      </c>
      <c r="B57" s="115" t="s">
        <v>1854</v>
      </c>
      <c r="C57" s="115" t="s">
        <v>1782</v>
      </c>
      <c r="D57" s="115"/>
      <c r="E57" s="115">
        <v>240</v>
      </c>
      <c r="F57" s="111">
        <f t="shared" ca="1" si="0"/>
        <v>0.52707649769999987</v>
      </c>
      <c r="G57" s="112">
        <f t="shared" ca="1" si="1"/>
        <v>0.13435964189999999</v>
      </c>
      <c r="H57" s="116">
        <v>1.1399999999999999</v>
      </c>
      <c r="I57" s="117" t="s">
        <v>2724</v>
      </c>
      <c r="J57" s="79">
        <v>1</v>
      </c>
      <c r="K57" s="78" t="s">
        <v>3267</v>
      </c>
      <c r="L57" s="135" t="str">
        <f>IF(ISERROR(GETPIVOTDATA(IF($J57=1,"Count of ACTIVE     CED, FARM GATE (MJ/kg)","Count of CED, processor gate (MJ/kg)"),'Pivot Table_CED'!$A$3,"SUB TYPE",$B57)),"PROXY",IF(GETPIVOTDATA(IF($J57=1,"Count of ACTIVE     CED, FARM GATE (MJ/kg)","Count of CED, processor gate (MJ/kg)"),'Pivot Table_CED'!$A$3,"SUB TYPE",$B57)=0,"PROXY","DB value"))</f>
        <v>PROXY</v>
      </c>
      <c r="M57" s="118">
        <f ca="1">IF($L57="PROXY",DCOUNT('literature entries'!$D:$AI,IF($J57=1,"ACTIVE     CED, FARM GATE (MJ/kg)","CED, processor gate (MJ/kg)"),INDIRECT($K57)),GETPIVOTDATA(IF($J57=1,"Count of ACTIVE     CED, FARM GATE (MJ/kg)","Count of CED, processor gate (MJ/kg)"),'Pivot Table_CED'!$A$3,"SUB TYPE",$B57))</f>
        <v>2</v>
      </c>
      <c r="N57" s="119">
        <f ca="1">IF($L57="PROXY",DAVERAGE('literature entries'!$D:$AI,IF($J57=1,"ACTIVE     CED, FARM GATE (MJ/kg)","CED, processor gate (MJ/kg)"),INDIRECT($K57)),GETPIVOTDATA(IF($J57=1,"Average of ACTIVE     CED, FARM GATE (MJ/kg)","Average of CED, processor gate (MJ/kg)"),'Pivot Table_CED'!$A$3,"SUB TYPE",$B57))</f>
        <v>0.46234780499999995</v>
      </c>
      <c r="O57" s="119">
        <f ca="1">IF($L57="PROXY",DSTDEV('literature entries'!D:AI,IF($J57=1,"ACTIVE     CED, FARM GATE (MJ/kg)","CED, processor gate (MJ/kg)"),INDIRECT($K57)),GETPIVOTDATA(IF($J57=1,"StdDev of ACTIVE     CED, FARM GATE (MJ/kg)","StdDev of CED, processor gate (MJ/kg)"),'Pivot Table_CED'!$A$3,"SUB TYPE",$B57))</f>
        <v>0.14723359720196788</v>
      </c>
      <c r="P57" s="135" t="str">
        <f>IF(ISERROR(GETPIVOTDATA(IF($J57=1,"Count of ACTIVE     GHGE, FARM GATE (kg CO2e/kg)","Count of GHGE, processor gate (kg CO2e/kg)"),'Pivot Table_GHG'!$A$3,"SUB TYPE",$B57)),"PROXY",IF(GETPIVOTDATA(IF($J57=1,"Count of ACTIVE     GHGE, FARM GATE (kg CO2e/kg)","Count of GHGE, processor gate (kg CO2e/kg)"),'Pivot Table_GHG'!$A$3,"SUB TYPE",$B57)=0,"PROXY","DB value"))</f>
        <v>PROXY</v>
      </c>
      <c r="Q57" s="125">
        <f ca="1">IF($P57="PROXY",DCOUNT('literature entries'!$D:$AI,IF($J57=1,"ACTIVE     GHGE, FARM GATE (kg CO2e/kg)","GHGE, processor gate (kg CO2e/kg)"),INDIRECT($K57)),GETPIVOTDATA(IF($J57=1,"ACTIVE     GHGE, FARM GATE (kg CO2e/kg)","Count of GHGE, processor gate (kg CO2e/kg)"),'Pivot Table_GHG'!$A$3,"SUB TYPE",$B57))</f>
        <v>2</v>
      </c>
      <c r="R57" s="190">
        <f ca="1">IF($P57="PROXY",DAVERAGE('literature entries'!$D:$AI,IF($J57=1,"ACTIVE     GHGE, FARM GATE (kg CO2e/kg)","GHGE, processor gate (kg CO2e/kg)"),INDIRECT($K57)),GETPIVOTDATA(IF($J57=1,"Average of ACTIVE     GHGE, FARM GATE (kg CO2e/kg)","Average of GHGE, processor gate (kg CO2e/kg)"),'Pivot Table_GHG'!$A$3,"SUB TYPE",$B57))</f>
        <v>0.11785933500000001</v>
      </c>
      <c r="S57" s="190">
        <f ca="1">IF($P57="PROXY",DSTDEV('literature entries'!$D:$AI,IF($J57=1,"ACTIVE     GHGE, FARM GATE (kg CO2e/kg)","GHGE, processor gate (kg CO2e/kg)"),INDIRECT($K57)),GETPIVOTDATA(IF($J57=1,"StdDev of ACTIVE     GHGE, FARM GATE (kg CO2e/kg)","StdDev of GHGE, processor gate (kg CO2e/kg)"),'Pivot Table_GHG'!$A$3,"SUB TYPE",$B57))</f>
        <v>2.2400930695955514E-3</v>
      </c>
      <c r="T57" s="88"/>
      <c r="U57" s="89"/>
      <c r="W57" s="213" t="s">
        <v>3353</v>
      </c>
      <c r="X57" s="211">
        <f ca="1">IF($W57="DIRECT",M57,DCOUNT('literature entries'!$D:$AI,IF($J57=1,"ACTIVE     CED, FARM GATE (MJ/kg)","CED, processor gate (MJ/kg)"),INDIRECT($W57)))</f>
        <v>18</v>
      </c>
      <c r="Y57" s="211">
        <f ca="1">IF($W57="DIRECT","",DAVERAGE('literature entries'!$D:$AI,IF($J57=1,"ACTIVE     CED, FARM GATE (MJ/kg)","CED, processor gate (MJ/kg)"),INDIRECT($W57)))</f>
        <v>3.4024371788383845</v>
      </c>
      <c r="Z57" s="211">
        <f ca="1">IF($W57="DIRECT",$O57,DSTDEV('literature entries'!$D:$AI,IF($J57=1,"ACTIVE     CED, FARM GATE (MJ/kg)","CED, processor gate (MJ/kg)"),INDIRECT($W57)))</f>
        <v>2.1745212778414005</v>
      </c>
      <c r="AA57" s="211">
        <f t="shared" ca="1" si="7"/>
        <v>0.29548969955677828</v>
      </c>
      <c r="AB57" s="219" t="s">
        <v>3353</v>
      </c>
      <c r="AC57" s="212">
        <f ca="1">IF($AB57="DIRECT",Q57,DCOUNT('literature entries'!$D:$AI,IF($J57=1,"ACTIVE     GHGE, FARM GATE (kg CO2e/kg)","GHGE, processor gate (kg CO2e/kg)"),INDIRECT($AB57)))</f>
        <v>26</v>
      </c>
      <c r="AD57" s="212">
        <f ca="1">IF($AB57="DIRECT","",DAVERAGE('literature entries'!$D:$AI,IF($J57=1,"ACTIVE     GHGE, FARM GATE (kg CO2e/kg)","GHGE, processor gate (kg CO2e/kg)"),INDIRECT($AB57)))</f>
        <v>0.41363324622377629</v>
      </c>
      <c r="AE57" s="212">
        <f ca="1">IF($AB57="DIRECT",$S57,DSTDEV('literature entries'!$D:$AI,IF($J57=1,"ACTIVE     GHGE, FARM GATE (kg CO2e/kg)","GHGE, processor gate (kg CO2e/kg)"),INDIRECT($AB57)))</f>
        <v>0.30904772338148734</v>
      </c>
      <c r="AF57" s="212">
        <f t="shared" ca="1" si="8"/>
        <v>8.8059070429025721E-2</v>
      </c>
    </row>
    <row r="58" spans="1:32" s="19" customFormat="1" thickBot="1" x14ac:dyDescent="0.25">
      <c r="A58" s="114">
        <v>402117000</v>
      </c>
      <c r="B58" s="115" t="s">
        <v>1929</v>
      </c>
      <c r="C58" s="115" t="s">
        <v>1760</v>
      </c>
      <c r="D58" s="115"/>
      <c r="E58" s="115">
        <v>454</v>
      </c>
      <c r="F58" s="111">
        <f t="shared" ca="1" si="0"/>
        <v>0.80910865874999993</v>
      </c>
      <c r="G58" s="112">
        <f t="shared" ca="1" si="1"/>
        <v>0.20625383625000002</v>
      </c>
      <c r="H58" s="116">
        <v>1.75</v>
      </c>
      <c r="I58" s="116" t="s">
        <v>2724</v>
      </c>
      <c r="J58" s="79">
        <v>1</v>
      </c>
      <c r="K58" s="78" t="s">
        <v>3267</v>
      </c>
      <c r="L58" s="135" t="str">
        <f>IF(ISERROR(GETPIVOTDATA(IF($J58=1,"Count of ACTIVE     CED, FARM GATE (MJ/kg)","Count of CED, processor gate (MJ/kg)"),'Pivot Table_CED'!$A$3,"SUB TYPE",$B58)),"PROXY",IF(GETPIVOTDATA(IF($J58=1,"Count of ACTIVE     CED, FARM GATE (MJ/kg)","Count of CED, processor gate (MJ/kg)"),'Pivot Table_CED'!$A$3,"SUB TYPE",$B58)=0,"PROXY","DB value"))</f>
        <v>PROXY</v>
      </c>
      <c r="M58" s="118">
        <f ca="1">IF($L58="PROXY",DCOUNT('literature entries'!$D:$AI,IF($J58=1,"ACTIVE     CED, FARM GATE (MJ/kg)","CED, processor gate (MJ/kg)"),INDIRECT($K58)),GETPIVOTDATA(IF($J58=1,"Count of ACTIVE     CED, FARM GATE (MJ/kg)","Count of CED, processor gate (MJ/kg)"),'Pivot Table_CED'!$A$3,"SUB TYPE",$B58))</f>
        <v>2</v>
      </c>
      <c r="N58" s="119">
        <f ca="1">IF($L58="PROXY",DAVERAGE('literature entries'!$D:$AI,IF($J58=1,"ACTIVE     CED, FARM GATE (MJ/kg)","CED, processor gate (MJ/kg)"),INDIRECT($K58)),GETPIVOTDATA(IF($J58=1,"Average of ACTIVE     CED, FARM GATE (MJ/kg)","Average of CED, processor gate (MJ/kg)"),'Pivot Table_CED'!$A$3,"SUB TYPE",$B58))</f>
        <v>0.46234780499999995</v>
      </c>
      <c r="O58" s="119">
        <f ca="1">IF($L58="PROXY",DSTDEV('literature entries'!D:AI,IF($J58=1,"ACTIVE     CED, FARM GATE (MJ/kg)","CED, processor gate (MJ/kg)"),INDIRECT($K58)),GETPIVOTDATA(IF($J58=1,"StdDev of ACTIVE     CED, FARM GATE (MJ/kg)","StdDev of CED, processor gate (MJ/kg)"),'Pivot Table_CED'!$A$3,"SUB TYPE",$B58))</f>
        <v>0.14723359720196788</v>
      </c>
      <c r="P58" s="135" t="str">
        <f>IF(ISERROR(GETPIVOTDATA(IF($J58=1,"Count of ACTIVE     GHGE, FARM GATE (kg CO2e/kg)","Count of GHGE, processor gate (kg CO2e/kg)"),'Pivot Table_GHG'!$A$3,"SUB TYPE",$B58)),"PROXY",IF(GETPIVOTDATA(IF($J58=1,"Count of ACTIVE     GHGE, FARM GATE (kg CO2e/kg)","Count of GHGE, processor gate (kg CO2e/kg)"),'Pivot Table_GHG'!$A$3,"SUB TYPE",$B58)=0,"PROXY","DB value"))</f>
        <v>PROXY</v>
      </c>
      <c r="Q58" s="125">
        <f ca="1">IF($P58="PROXY",DCOUNT('literature entries'!$D:$AI,IF($J58=1,"ACTIVE     GHGE, FARM GATE (kg CO2e/kg)","GHGE, processor gate (kg CO2e/kg)"),INDIRECT($K58)),GETPIVOTDATA(IF($J58=1,"ACTIVE     GHGE, FARM GATE (kg CO2e/kg)","Count of GHGE, processor gate (kg CO2e/kg)"),'Pivot Table_GHG'!$A$3,"SUB TYPE",$B58))</f>
        <v>2</v>
      </c>
      <c r="R58" s="190">
        <f ca="1">IF($P58="PROXY",DAVERAGE('literature entries'!$D:$AI,IF($J58=1,"ACTIVE     GHGE, FARM GATE (kg CO2e/kg)","GHGE, processor gate (kg CO2e/kg)"),INDIRECT($K58)),GETPIVOTDATA(IF($J58=1,"Average of ACTIVE     GHGE, FARM GATE (kg CO2e/kg)","Average of GHGE, processor gate (kg CO2e/kg)"),'Pivot Table_GHG'!$A$3,"SUB TYPE",$B58))</f>
        <v>0.11785933500000001</v>
      </c>
      <c r="S58" s="190">
        <f ca="1">IF($P58="PROXY",DSTDEV('literature entries'!$D:$AI,IF($J58=1,"ACTIVE     GHGE, FARM GATE (kg CO2e/kg)","GHGE, processor gate (kg CO2e/kg)"),INDIRECT($K58)),GETPIVOTDATA(IF($J58=1,"StdDev of ACTIVE     GHGE, FARM GATE (kg CO2e/kg)","StdDev of GHGE, processor gate (kg CO2e/kg)"),'Pivot Table_GHG'!$A$3,"SUB TYPE",$B58))</f>
        <v>2.2400930695955514E-3</v>
      </c>
      <c r="T58" s="88"/>
      <c r="U58" s="89"/>
      <c r="W58" s="213" t="s">
        <v>3353</v>
      </c>
      <c r="X58" s="211">
        <f ca="1">IF($W58="DIRECT",M58,DCOUNT('literature entries'!$D:$AI,IF($J58=1,"ACTIVE     CED, FARM GATE (MJ/kg)","CED, processor gate (MJ/kg)"),INDIRECT($W58)))</f>
        <v>18</v>
      </c>
      <c r="Y58" s="211">
        <f ca="1">IF($W58="DIRECT","",DAVERAGE('literature entries'!$D:$AI,IF($J58=1,"ACTIVE     CED, FARM GATE (MJ/kg)","CED, processor gate (MJ/kg)"),INDIRECT($W58)))</f>
        <v>3.4024371788383845</v>
      </c>
      <c r="Z58" s="211">
        <f ca="1">IF($W58="DIRECT",$O58,DSTDEV('literature entries'!$D:$AI,IF($J58=1,"ACTIVE     CED, FARM GATE (MJ/kg)","CED, processor gate (MJ/kg)"),INDIRECT($W58)))</f>
        <v>2.1745212778414005</v>
      </c>
      <c r="AA58" s="211">
        <f t="shared" ca="1" si="7"/>
        <v>0.29548969955677828</v>
      </c>
      <c r="AB58" s="219" t="s">
        <v>3353</v>
      </c>
      <c r="AC58" s="212">
        <f ca="1">IF($AB58="DIRECT",Q58,DCOUNT('literature entries'!$D:$AI,IF($J58=1,"ACTIVE     GHGE, FARM GATE (kg CO2e/kg)","GHGE, processor gate (kg CO2e/kg)"),INDIRECT($AB58)))</f>
        <v>26</v>
      </c>
      <c r="AD58" s="212">
        <f ca="1">IF($AB58="DIRECT","",DAVERAGE('literature entries'!$D:$AI,IF($J58=1,"ACTIVE     GHGE, FARM GATE (kg CO2e/kg)","GHGE, processor gate (kg CO2e/kg)"),INDIRECT($AB58)))</f>
        <v>0.41363324622377629</v>
      </c>
      <c r="AE58" s="212">
        <f ca="1">IF($AB58="DIRECT",$S58,DSTDEV('literature entries'!$D:$AI,IF($J58=1,"ACTIVE     GHGE, FARM GATE (kg CO2e/kg)","GHGE, processor gate (kg CO2e/kg)"),INDIRECT($AB58)))</f>
        <v>0.30904772338148734</v>
      </c>
      <c r="AF58" s="212">
        <f t="shared" ca="1" si="8"/>
        <v>8.8059070429025721E-2</v>
      </c>
    </row>
    <row r="59" spans="1:32" s="19" customFormat="1" thickBot="1" x14ac:dyDescent="0.25">
      <c r="A59" s="114">
        <v>402133000</v>
      </c>
      <c r="B59" s="115" t="s">
        <v>1952</v>
      </c>
      <c r="C59" s="115" t="s">
        <v>1760</v>
      </c>
      <c r="D59" s="115"/>
      <c r="E59" s="115">
        <v>1</v>
      </c>
      <c r="F59" s="111">
        <f t="shared" ca="1" si="0"/>
        <v>3.6176757327</v>
      </c>
      <c r="G59" s="112">
        <f t="shared" ca="1" si="1"/>
        <v>0.26172383532272725</v>
      </c>
      <c r="H59" s="116">
        <v>1.41</v>
      </c>
      <c r="I59" s="116" t="s">
        <v>2724</v>
      </c>
      <c r="J59" s="79">
        <v>1</v>
      </c>
      <c r="K59" s="78" t="s">
        <v>2457</v>
      </c>
      <c r="L59" s="135" t="str">
        <f>IF(ISERROR(GETPIVOTDATA(IF($J59=1,"Count of ACTIVE     CED, FARM GATE (MJ/kg)","Count of CED, processor gate (MJ/kg)"),'Pivot Table_CED'!$A$3,"SUB TYPE",$B59)),"PROXY",IF(GETPIVOTDATA(IF($J59=1,"Count of ACTIVE     CED, FARM GATE (MJ/kg)","Count of CED, processor gate (MJ/kg)"),'Pivot Table_CED'!$A$3,"SUB TYPE",$B59)=0,"PROXY","DB value"))</f>
        <v>PROXY</v>
      </c>
      <c r="M59" s="118">
        <f ca="1">IF($L59="PROXY",DCOUNT('literature entries'!$D:$AI,IF($J59=1,"ACTIVE     CED, FARM GATE (MJ/kg)","CED, processor gate (MJ/kg)"),INDIRECT($K59)),GETPIVOTDATA(IF($J59=1,"Count of ACTIVE     CED, FARM GATE (MJ/kg)","Count of CED, processor gate (MJ/kg)"),'Pivot Table_CED'!$A$3,"SUB TYPE",$B59))</f>
        <v>10</v>
      </c>
      <c r="N59" s="119">
        <f ca="1">IF($L59="PROXY",DAVERAGE('literature entries'!$D:$AI,IF($J59=1,"ACTIVE     CED, FARM GATE (MJ/kg)","CED, processor gate (MJ/kg)"),INDIRECT($K59)),GETPIVOTDATA(IF($J59=1,"Average of ACTIVE     CED, FARM GATE (MJ/kg)","Average of CED, processor gate (MJ/kg)"),'Pivot Table_CED'!$A$3,"SUB TYPE",$B59))</f>
        <v>2.5657274700000001</v>
      </c>
      <c r="O59" s="119">
        <f ca="1">IF($L59="PROXY",DSTDEV('literature entries'!D:AI,IF($J59=1,"ACTIVE     CED, FARM GATE (MJ/kg)","CED, processor gate (MJ/kg)"),INDIRECT($K59)),GETPIVOTDATA(IF($J59=1,"StdDev of ACTIVE     CED, FARM GATE (MJ/kg)","StdDev of CED, processor gate (MJ/kg)"),'Pivot Table_CED'!$A$3,"SUB TYPE",$B59))</f>
        <v>1.5197673074222315</v>
      </c>
      <c r="P59" s="135" t="str">
        <f>IF(ISERROR(GETPIVOTDATA(IF($J59=1,"Count of ACTIVE     GHGE, FARM GATE (kg CO2e/kg)","Count of GHGE, processor gate (kg CO2e/kg)"),'Pivot Table_GHG'!$A$3,"SUB TYPE",$B59)),"PROXY",IF(GETPIVOTDATA(IF($J59=1,"Count of ACTIVE     GHGE, FARM GATE (kg CO2e/kg)","Count of GHGE, processor gate (kg CO2e/kg)"),'Pivot Table_GHG'!$A$3,"SUB TYPE",$B59)=0,"PROXY","DB value"))</f>
        <v>PROXY</v>
      </c>
      <c r="Q59" s="125">
        <f ca="1">IF($P59="PROXY",DCOUNT('literature entries'!$D:$AI,IF($J59=1,"ACTIVE     GHGE, FARM GATE (kg CO2e/kg)","GHGE, processor gate (kg CO2e/kg)"),INDIRECT($K59)),GETPIVOTDATA(IF($J59=1,"ACTIVE     GHGE, FARM GATE (kg CO2e/kg)","Count of GHGE, processor gate (kg CO2e/kg)"),'Pivot Table_GHG'!$A$3,"SUB TYPE",$B59))</f>
        <v>22</v>
      </c>
      <c r="R59" s="190">
        <f ca="1">IF($P59="PROXY",DAVERAGE('literature entries'!$D:$AI,IF($J59=1,"ACTIVE     GHGE, FARM GATE (kg CO2e/kg)","GHGE, processor gate (kg CO2e/kg)"),INDIRECT($K59)),GETPIVOTDATA(IF($J59=1,"Average of ACTIVE     GHGE, FARM GATE (kg CO2e/kg)","Average of GHGE, processor gate (kg CO2e/kg)"),'Pivot Table_GHG'!$A$3,"SUB TYPE",$B59))</f>
        <v>0.18561974136363635</v>
      </c>
      <c r="S59" s="190">
        <f ca="1">IF($P59="PROXY",DSTDEV('literature entries'!$D:$AI,IF($J59=1,"ACTIVE     GHGE, FARM GATE (kg CO2e/kg)","GHGE, processor gate (kg CO2e/kg)"),INDIRECT($K59)),GETPIVOTDATA(IF($J59=1,"StdDev of ACTIVE     GHGE, FARM GATE (kg CO2e/kg)","StdDev of GHGE, processor gate (kg CO2e/kg)"),'Pivot Table_GHG'!$A$3,"SUB TYPE",$B59))</f>
        <v>9.7833632177637575E-2</v>
      </c>
      <c r="T59" s="88"/>
      <c r="U59" s="89"/>
      <c r="W59" s="213" t="str">
        <f ca="1">IF(L59="PROXY",IF(M59&gt;=5,K59,"need group"),IF(M59&gt;=5,"DIRECT","need group"))</f>
        <v>greens</v>
      </c>
      <c r="X59" s="211">
        <f ca="1">IF($W59="DIRECT",M59,DCOUNT('literature entries'!$D:$AI,IF($J59=1,"ACTIVE     CED, FARM GATE (MJ/kg)","CED, processor gate (MJ/kg)"),INDIRECT($W59)))</f>
        <v>10</v>
      </c>
      <c r="Y59" s="211">
        <f ca="1">IF($W59="DIRECT","",DAVERAGE('literature entries'!$D:$AI,IF($J59=1,"ACTIVE     CED, FARM GATE (MJ/kg)","CED, processor gate (MJ/kg)"),INDIRECT($W59)))</f>
        <v>2.5657274700000001</v>
      </c>
      <c r="Z59" s="211">
        <f ca="1">IF($W59="DIRECT",$O59,DSTDEV('literature entries'!$D:$AI,IF($J59=1,"ACTIVE     CED, FARM GATE (MJ/kg)","CED, processor gate (MJ/kg)"),INDIRECT($W59)))</f>
        <v>1.5197673074222315</v>
      </c>
      <c r="AA59" s="211">
        <f t="shared" ca="1" si="7"/>
        <v>1.5197673074222315</v>
      </c>
      <c r="AB59" s="219" t="str">
        <f ca="1">IF(P59="PROXY",IF(Q59&gt;=5,K59,"need group"),IF(Q59&gt;=5,"DIRECT","need group"))</f>
        <v>greens</v>
      </c>
      <c r="AC59" s="212">
        <f ca="1">IF($AB59="DIRECT",Q59,DCOUNT('literature entries'!$D:$AI,IF($J59=1,"ACTIVE     GHGE, FARM GATE (kg CO2e/kg)","GHGE, processor gate (kg CO2e/kg)"),INDIRECT($AB59)))</f>
        <v>22</v>
      </c>
      <c r="AD59" s="212">
        <f ca="1">IF($AB59="DIRECT","",DAVERAGE('literature entries'!$D:$AI,IF($J59=1,"ACTIVE     GHGE, FARM GATE (kg CO2e/kg)","GHGE, processor gate (kg CO2e/kg)"),INDIRECT($AB59)))</f>
        <v>0.18561974136363635</v>
      </c>
      <c r="AE59" s="212">
        <f ca="1">IF($AB59="DIRECT",$S59,DSTDEV('literature entries'!$D:$AI,IF($J59=1,"ACTIVE     GHGE, FARM GATE (kg CO2e/kg)","GHGE, processor gate (kg CO2e/kg)"),INDIRECT($AB59)))</f>
        <v>9.7833632177637575E-2</v>
      </c>
      <c r="AF59" s="212">
        <f t="shared" ca="1" si="8"/>
        <v>9.7833632177637575E-2</v>
      </c>
    </row>
    <row r="60" spans="1:32" s="19" customFormat="1" ht="17" thickBot="1" x14ac:dyDescent="0.25">
      <c r="A60" s="114">
        <v>402194000</v>
      </c>
      <c r="B60" s="115" t="s">
        <v>2040</v>
      </c>
      <c r="C60" s="115" t="s">
        <v>1760</v>
      </c>
      <c r="D60" s="115" t="s">
        <v>2041</v>
      </c>
      <c r="E60" s="115">
        <v>87</v>
      </c>
      <c r="F60" s="111">
        <f t="shared" ca="1" si="0"/>
        <v>0.75794722131147529</v>
      </c>
      <c r="G60" s="112">
        <f t="shared" ca="1" si="1"/>
        <v>0.19321202459016396</v>
      </c>
      <c r="H60" s="116">
        <v>1.639344262295082</v>
      </c>
      <c r="I60" s="117" t="s">
        <v>2735</v>
      </c>
      <c r="J60" s="79">
        <v>1</v>
      </c>
      <c r="K60" s="78"/>
      <c r="L60" s="135" t="str">
        <f>IF(ISERROR(GETPIVOTDATA(IF($J60=1,"Count of ACTIVE     CED, FARM GATE (MJ/kg)","Count of CED, processor gate (MJ/kg)"),'Pivot Table_CED'!$A$3,"SUB TYPE",$B60)),"PROXY",IF(GETPIVOTDATA(IF($J60=1,"Count of ACTIVE     CED, FARM GATE (MJ/kg)","Count of CED, processor gate (MJ/kg)"),'Pivot Table_CED'!$A$3,"SUB TYPE",$B60)=0,"PROXY","DB value"))</f>
        <v>DB value</v>
      </c>
      <c r="M60" s="118">
        <f ca="1">IF($L60="PROXY",DCOUNT('literature entries'!$D:$AI,IF($J60=1,"ACTIVE     CED, FARM GATE (MJ/kg)","CED, processor gate (MJ/kg)"),INDIRECT($K60)),GETPIVOTDATA(IF($J60=1,"Count of ACTIVE     CED, FARM GATE (MJ/kg)","Count of CED, processor gate (MJ/kg)"),'Pivot Table_CED'!$A$3,"SUB TYPE",$B60))</f>
        <v>2</v>
      </c>
      <c r="N60" s="119">
        <f ca="1">IF($L60="PROXY",DAVERAGE('literature entries'!$D:$AI,IF($J60=1,"ACTIVE     CED, FARM GATE (MJ/kg)","CED, processor gate (MJ/kg)"),INDIRECT($K60)),GETPIVOTDATA(IF($J60=1,"Average of ACTIVE     CED, FARM GATE (MJ/kg)","Average of CED, processor gate (MJ/kg)"),'Pivot Table_CED'!$A$3,"SUB TYPE",$B60))</f>
        <v>0.46234780499999995</v>
      </c>
      <c r="O60" s="119">
        <f ca="1">IF($L60="PROXY",DSTDEV('literature entries'!D:AI,IF($J60=1,"ACTIVE     CED, FARM GATE (MJ/kg)","CED, processor gate (MJ/kg)"),INDIRECT($K60)),GETPIVOTDATA(IF($J60=1,"StdDev of ACTIVE     CED, FARM GATE (MJ/kg)","StdDev of CED, processor gate (MJ/kg)"),'Pivot Table_CED'!$A$3,"SUB TYPE",$B60))</f>
        <v>0.14723359720196788</v>
      </c>
      <c r="P60" s="135" t="str">
        <f>IF(ISERROR(GETPIVOTDATA(IF($J60=1,"Count of ACTIVE     GHGE, FARM GATE (kg CO2e/kg)","Count of GHGE, processor gate (kg CO2e/kg)"),'Pivot Table_GHG'!$A$3,"SUB TYPE",$B60)),"PROXY",IF(GETPIVOTDATA(IF($J60=1,"Count of ACTIVE     GHGE, FARM GATE (kg CO2e/kg)","Count of GHGE, processor gate (kg CO2e/kg)"),'Pivot Table_GHG'!$A$3,"SUB TYPE",$B60)=0,"PROXY","DB value"))</f>
        <v>DB value</v>
      </c>
      <c r="Q60" s="125">
        <f ca="1">IF($P60="PROXY",DCOUNT('literature entries'!$D:$AI,IF($J60=1,"ACTIVE     GHGE, FARM GATE (kg CO2e/kg)","GHGE, processor gate (kg CO2e/kg)"),INDIRECT($K60)),GETPIVOTDATA(IF($J60=1,"ACTIVE     GHGE, FARM GATE (kg CO2e/kg)","Count of GHGE, processor gate (kg CO2e/kg)"),'Pivot Table_GHG'!$A$3,"SUB TYPE",$B60))</f>
        <v>2</v>
      </c>
      <c r="R60" s="190">
        <f ca="1">IF($P60="PROXY",DAVERAGE('literature entries'!$D:$AI,IF($J60=1,"ACTIVE     GHGE, FARM GATE (kg CO2e/kg)","GHGE, processor gate (kg CO2e/kg)"),INDIRECT($K60)),GETPIVOTDATA(IF($J60=1,"Average of ACTIVE     GHGE, FARM GATE (kg CO2e/kg)","Average of GHGE, processor gate (kg CO2e/kg)"),'Pivot Table_GHG'!$A$3,"SUB TYPE",$B60))</f>
        <v>0.11785933500000001</v>
      </c>
      <c r="S60" s="190">
        <f ca="1">IF($P60="PROXY",DSTDEV('literature entries'!$D:$AI,IF($J60=1,"ACTIVE     GHGE, FARM GATE (kg CO2e/kg)","GHGE, processor gate (kg CO2e/kg)"),INDIRECT($K60)),GETPIVOTDATA(IF($J60=1,"StdDev of ACTIVE     GHGE, FARM GATE (kg CO2e/kg)","StdDev of GHGE, processor gate (kg CO2e/kg)"),'Pivot Table_GHG'!$A$3,"SUB TYPE",$B60))</f>
        <v>2.2400930695946389E-3</v>
      </c>
      <c r="T60" s="88"/>
      <c r="U60" s="89"/>
      <c r="W60" s="213" t="s">
        <v>3353</v>
      </c>
      <c r="X60" s="211">
        <f ca="1">IF($W60="DIRECT",M60,DCOUNT('literature entries'!$D:$AI,IF($J60=1,"ACTIVE     CED, FARM GATE (MJ/kg)","CED, processor gate (MJ/kg)"),INDIRECT($W60)))</f>
        <v>18</v>
      </c>
      <c r="Y60" s="211">
        <f ca="1">IF($W60="DIRECT","",DAVERAGE('literature entries'!$D:$AI,IF($J60=1,"ACTIVE     CED, FARM GATE (MJ/kg)","CED, processor gate (MJ/kg)"),INDIRECT($W60)))</f>
        <v>3.4024371788383845</v>
      </c>
      <c r="Z60" s="211">
        <f ca="1">IF($W60="DIRECT",$O60,DSTDEV('literature entries'!$D:$AI,IF($J60=1,"ACTIVE     CED, FARM GATE (MJ/kg)","CED, processor gate (MJ/kg)"),INDIRECT($W60)))</f>
        <v>2.1745212778414005</v>
      </c>
      <c r="AA60" s="211">
        <f t="shared" ca="1" si="7"/>
        <v>0.29548969955677828</v>
      </c>
      <c r="AB60" s="219" t="s">
        <v>3353</v>
      </c>
      <c r="AC60" s="212">
        <f ca="1">IF($AB60="DIRECT",Q60,DCOUNT('literature entries'!$D:$AI,IF($J60=1,"ACTIVE     GHGE, FARM GATE (kg CO2e/kg)","GHGE, processor gate (kg CO2e/kg)"),INDIRECT($AB60)))</f>
        <v>26</v>
      </c>
      <c r="AD60" s="212">
        <f ca="1">IF($AB60="DIRECT","",DAVERAGE('literature entries'!$D:$AI,IF($J60=1,"ACTIVE     GHGE, FARM GATE (kg CO2e/kg)","GHGE, processor gate (kg CO2e/kg)"),INDIRECT($AB60)))</f>
        <v>0.41363324622377629</v>
      </c>
      <c r="AE60" s="212">
        <f ca="1">IF($AB60="DIRECT",$S60,DSTDEV('literature entries'!$D:$AI,IF($J60=1,"ACTIVE     GHGE, FARM GATE (kg CO2e/kg)","GHGE, processor gate (kg CO2e/kg)"),INDIRECT($AB60)))</f>
        <v>0.30904772338148734</v>
      </c>
      <c r="AF60" s="212">
        <f t="shared" ca="1" si="8"/>
        <v>8.8059070429025721E-2</v>
      </c>
    </row>
    <row r="61" spans="1:32" s="19" customFormat="1" thickBot="1" x14ac:dyDescent="0.25">
      <c r="A61" s="114">
        <v>402229000</v>
      </c>
      <c r="B61" s="115" t="s">
        <v>2089</v>
      </c>
      <c r="C61" s="115" t="s">
        <v>1782</v>
      </c>
      <c r="D61" s="115"/>
      <c r="E61" s="115">
        <v>105</v>
      </c>
      <c r="F61" s="111">
        <f t="shared" ca="1" si="0"/>
        <v>0.49933562939999998</v>
      </c>
      <c r="G61" s="112">
        <f t="shared" ca="1" si="1"/>
        <v>0.12728808180000001</v>
      </c>
      <c r="H61" s="116">
        <v>1.08</v>
      </c>
      <c r="I61" s="116" t="s">
        <v>2724</v>
      </c>
      <c r="J61" s="79">
        <v>1</v>
      </c>
      <c r="K61" s="78" t="s">
        <v>3267</v>
      </c>
      <c r="L61" s="135" t="str">
        <f>IF(ISERROR(GETPIVOTDATA(IF($J61=1,"Count of ACTIVE     CED, FARM GATE (MJ/kg)","Count of CED, processor gate (MJ/kg)"),'Pivot Table_CED'!$A$3,"SUB TYPE",$B61)),"PROXY",IF(GETPIVOTDATA(IF($J61=1,"Count of ACTIVE     CED, FARM GATE (MJ/kg)","Count of CED, processor gate (MJ/kg)"),'Pivot Table_CED'!$A$3,"SUB TYPE",$B61)=0,"PROXY","DB value"))</f>
        <v>PROXY</v>
      </c>
      <c r="M61" s="118">
        <f ca="1">IF($L61="PROXY",DCOUNT('literature entries'!$D:$AI,IF($J61=1,"ACTIVE     CED, FARM GATE (MJ/kg)","CED, processor gate (MJ/kg)"),INDIRECT($K61)),GETPIVOTDATA(IF($J61=1,"Count of ACTIVE     CED, FARM GATE (MJ/kg)","Count of CED, processor gate (MJ/kg)"),'Pivot Table_CED'!$A$3,"SUB TYPE",$B61))</f>
        <v>2</v>
      </c>
      <c r="N61" s="119">
        <f ca="1">IF($L61="PROXY",DAVERAGE('literature entries'!$D:$AI,IF($J61=1,"ACTIVE     CED, FARM GATE (MJ/kg)","CED, processor gate (MJ/kg)"),INDIRECT($K61)),GETPIVOTDATA(IF($J61=1,"Average of ACTIVE     CED, FARM GATE (MJ/kg)","Average of CED, processor gate (MJ/kg)"),'Pivot Table_CED'!$A$3,"SUB TYPE",$B61))</f>
        <v>0.46234780499999995</v>
      </c>
      <c r="O61" s="119">
        <f ca="1">IF($L61="PROXY",DSTDEV('literature entries'!D:AI,IF($J61=1,"ACTIVE     CED, FARM GATE (MJ/kg)","CED, processor gate (MJ/kg)"),INDIRECT($K61)),GETPIVOTDATA(IF($J61=1,"StdDev of ACTIVE     CED, FARM GATE (MJ/kg)","StdDev of CED, processor gate (MJ/kg)"),'Pivot Table_CED'!$A$3,"SUB TYPE",$B61))</f>
        <v>0.14723359720196788</v>
      </c>
      <c r="P61" s="135" t="str">
        <f>IF(ISERROR(GETPIVOTDATA(IF($J61=1,"Count of ACTIVE     GHGE, FARM GATE (kg CO2e/kg)","Count of GHGE, processor gate (kg CO2e/kg)"),'Pivot Table_GHG'!$A$3,"SUB TYPE",$B61)),"PROXY",IF(GETPIVOTDATA(IF($J61=1,"Count of ACTIVE     GHGE, FARM GATE (kg CO2e/kg)","Count of GHGE, processor gate (kg CO2e/kg)"),'Pivot Table_GHG'!$A$3,"SUB TYPE",$B61)=0,"PROXY","DB value"))</f>
        <v>PROXY</v>
      </c>
      <c r="Q61" s="125">
        <f ca="1">IF($P61="PROXY",DCOUNT('literature entries'!$D:$AI,IF($J61=1,"ACTIVE     GHGE, FARM GATE (kg CO2e/kg)","GHGE, processor gate (kg CO2e/kg)"),INDIRECT($K61)),GETPIVOTDATA(IF($J61=1,"ACTIVE     GHGE, FARM GATE (kg CO2e/kg)","Count of GHGE, processor gate (kg CO2e/kg)"),'Pivot Table_GHG'!$A$3,"SUB TYPE",$B61))</f>
        <v>2</v>
      </c>
      <c r="R61" s="190">
        <f ca="1">IF($P61="PROXY",DAVERAGE('literature entries'!$D:$AI,IF($J61=1,"ACTIVE     GHGE, FARM GATE (kg CO2e/kg)","GHGE, processor gate (kg CO2e/kg)"),INDIRECT($K61)),GETPIVOTDATA(IF($J61=1,"Average of ACTIVE     GHGE, FARM GATE (kg CO2e/kg)","Average of GHGE, processor gate (kg CO2e/kg)"),'Pivot Table_GHG'!$A$3,"SUB TYPE",$B61))</f>
        <v>0.11785933500000001</v>
      </c>
      <c r="S61" s="190">
        <f ca="1">IF($P61="PROXY",DSTDEV('literature entries'!$D:$AI,IF($J61=1,"ACTIVE     GHGE, FARM GATE (kg CO2e/kg)","GHGE, processor gate (kg CO2e/kg)"),INDIRECT($K61)),GETPIVOTDATA(IF($J61=1,"StdDev of ACTIVE     GHGE, FARM GATE (kg CO2e/kg)","StdDev of GHGE, processor gate (kg CO2e/kg)"),'Pivot Table_GHG'!$A$3,"SUB TYPE",$B61))</f>
        <v>2.2400930695955514E-3</v>
      </c>
      <c r="T61" s="88"/>
      <c r="U61" s="89"/>
      <c r="W61" s="213" t="s">
        <v>3353</v>
      </c>
      <c r="X61" s="211">
        <f ca="1">IF($W61="DIRECT",M61,DCOUNT('literature entries'!$D:$AI,IF($J61=1,"ACTIVE     CED, FARM GATE (MJ/kg)","CED, processor gate (MJ/kg)"),INDIRECT($W61)))</f>
        <v>18</v>
      </c>
      <c r="Y61" s="211">
        <f ca="1">IF($W61="DIRECT","",DAVERAGE('literature entries'!$D:$AI,IF($J61=1,"ACTIVE     CED, FARM GATE (MJ/kg)","CED, processor gate (MJ/kg)"),INDIRECT($W61)))</f>
        <v>3.4024371788383845</v>
      </c>
      <c r="Z61" s="211">
        <f ca="1">IF($W61="DIRECT",$O61,DSTDEV('literature entries'!$D:$AI,IF($J61=1,"ACTIVE     CED, FARM GATE (MJ/kg)","CED, processor gate (MJ/kg)"),INDIRECT($W61)))</f>
        <v>2.1745212778414005</v>
      </c>
      <c r="AA61" s="211">
        <f t="shared" ca="1" si="7"/>
        <v>0.29548969955677828</v>
      </c>
      <c r="AB61" s="219" t="s">
        <v>3353</v>
      </c>
      <c r="AC61" s="212">
        <f ca="1">IF($AB61="DIRECT",Q61,DCOUNT('literature entries'!$D:$AI,IF($J61=1,"ACTIVE     GHGE, FARM GATE (kg CO2e/kg)","GHGE, processor gate (kg CO2e/kg)"),INDIRECT($AB61)))</f>
        <v>26</v>
      </c>
      <c r="AD61" s="212">
        <f ca="1">IF($AB61="DIRECT","",DAVERAGE('literature entries'!$D:$AI,IF($J61=1,"ACTIVE     GHGE, FARM GATE (kg CO2e/kg)","GHGE, processor gate (kg CO2e/kg)"),INDIRECT($AB61)))</f>
        <v>0.41363324622377629</v>
      </c>
      <c r="AE61" s="212">
        <f ca="1">IF($AB61="DIRECT",$S61,DSTDEV('literature entries'!$D:$AI,IF($J61=1,"ACTIVE     GHGE, FARM GATE (kg CO2e/kg)","GHGE, processor gate (kg CO2e/kg)"),INDIRECT($AB61)))</f>
        <v>0.30904772338148734</v>
      </c>
      <c r="AF61" s="212">
        <f t="shared" ca="1" si="8"/>
        <v>8.8059070429025721E-2</v>
      </c>
    </row>
    <row r="62" spans="1:32" s="19" customFormat="1" ht="17" thickBot="1" x14ac:dyDescent="0.25">
      <c r="A62" s="114">
        <v>402389000</v>
      </c>
      <c r="B62" s="115" t="s">
        <v>2331</v>
      </c>
      <c r="C62" s="115" t="s">
        <v>1760</v>
      </c>
      <c r="D62" s="115"/>
      <c r="E62" s="115">
        <v>183</v>
      </c>
      <c r="F62" s="111">
        <f t="shared" ca="1" si="0"/>
        <v>0.66049686428571419</v>
      </c>
      <c r="G62" s="112">
        <f t="shared" ca="1" si="1"/>
        <v>0.16837047857142859</v>
      </c>
      <c r="H62" s="116">
        <v>1.4285714285714286</v>
      </c>
      <c r="I62" s="117" t="s">
        <v>2735</v>
      </c>
      <c r="J62" s="79">
        <v>1</v>
      </c>
      <c r="K62" s="78" t="s">
        <v>3267</v>
      </c>
      <c r="L62" s="135" t="str">
        <f>IF(ISERROR(GETPIVOTDATA(IF($J62=1,"Count of ACTIVE     CED, FARM GATE (MJ/kg)","Count of CED, processor gate (MJ/kg)"),'Pivot Table_CED'!$A$3,"SUB TYPE",$B62)),"PROXY",IF(GETPIVOTDATA(IF($J62=1,"Count of ACTIVE     CED, FARM GATE (MJ/kg)","Count of CED, processor gate (MJ/kg)"),'Pivot Table_CED'!$A$3,"SUB TYPE",$B62)=0,"PROXY","DB value"))</f>
        <v>PROXY</v>
      </c>
      <c r="M62" s="118">
        <f ca="1">IF($L62="PROXY",DCOUNT('literature entries'!$D:$AI,IF($J62=1,"ACTIVE     CED, FARM GATE (MJ/kg)","CED, processor gate (MJ/kg)"),INDIRECT($K62)),GETPIVOTDATA(IF($J62=1,"Count of ACTIVE     CED, FARM GATE (MJ/kg)","Count of CED, processor gate (MJ/kg)"),'Pivot Table_CED'!$A$3,"SUB TYPE",$B62))</f>
        <v>2</v>
      </c>
      <c r="N62" s="119">
        <f ca="1">IF($L62="PROXY",DAVERAGE('literature entries'!$D:$AI,IF($J62=1,"ACTIVE     CED, FARM GATE (MJ/kg)","CED, processor gate (MJ/kg)"),INDIRECT($K62)),GETPIVOTDATA(IF($J62=1,"Average of ACTIVE     CED, FARM GATE (MJ/kg)","Average of CED, processor gate (MJ/kg)"),'Pivot Table_CED'!$A$3,"SUB TYPE",$B62))</f>
        <v>0.46234780499999995</v>
      </c>
      <c r="O62" s="119">
        <f ca="1">IF($L62="PROXY",DSTDEV('literature entries'!D:AI,IF($J62=1,"ACTIVE     CED, FARM GATE (MJ/kg)","CED, processor gate (MJ/kg)"),INDIRECT($K62)),GETPIVOTDATA(IF($J62=1,"StdDev of ACTIVE     CED, FARM GATE (MJ/kg)","StdDev of CED, processor gate (MJ/kg)"),'Pivot Table_CED'!$A$3,"SUB TYPE",$B62))</f>
        <v>0.14723359720196788</v>
      </c>
      <c r="P62" s="135" t="str">
        <f>IF(ISERROR(GETPIVOTDATA(IF($J62=1,"Count of ACTIVE     GHGE, FARM GATE (kg CO2e/kg)","Count of GHGE, processor gate (kg CO2e/kg)"),'Pivot Table_GHG'!$A$3,"SUB TYPE",$B62)),"PROXY",IF(GETPIVOTDATA(IF($J62=1,"Count of ACTIVE     GHGE, FARM GATE (kg CO2e/kg)","Count of GHGE, processor gate (kg CO2e/kg)"),'Pivot Table_GHG'!$A$3,"SUB TYPE",$B62)=0,"PROXY","DB value"))</f>
        <v>PROXY</v>
      </c>
      <c r="Q62" s="125">
        <f ca="1">IF($P62="PROXY",DCOUNT('literature entries'!$D:$AI,IF($J62=1,"ACTIVE     GHGE, FARM GATE (kg CO2e/kg)","GHGE, processor gate (kg CO2e/kg)"),INDIRECT($K62)),GETPIVOTDATA(IF($J62=1,"ACTIVE     GHGE, FARM GATE (kg CO2e/kg)","Count of GHGE, processor gate (kg CO2e/kg)"),'Pivot Table_GHG'!$A$3,"SUB TYPE",$B62))</f>
        <v>2</v>
      </c>
      <c r="R62" s="190">
        <f ca="1">IF($P62="PROXY",DAVERAGE('literature entries'!$D:$AI,IF($J62=1,"ACTIVE     GHGE, FARM GATE (kg CO2e/kg)","GHGE, processor gate (kg CO2e/kg)"),INDIRECT($K62)),GETPIVOTDATA(IF($J62=1,"Average of ACTIVE     GHGE, FARM GATE (kg CO2e/kg)","Average of GHGE, processor gate (kg CO2e/kg)"),'Pivot Table_GHG'!$A$3,"SUB TYPE",$B62))</f>
        <v>0.11785933500000001</v>
      </c>
      <c r="S62" s="190">
        <f ca="1">IF($P62="PROXY",DSTDEV('literature entries'!$D:$AI,IF($J62=1,"ACTIVE     GHGE, FARM GATE (kg CO2e/kg)","GHGE, processor gate (kg CO2e/kg)"),INDIRECT($K62)),GETPIVOTDATA(IF($J62=1,"StdDev of ACTIVE     GHGE, FARM GATE (kg CO2e/kg)","StdDev of GHGE, processor gate (kg CO2e/kg)"),'Pivot Table_GHG'!$A$3,"SUB TYPE",$B62))</f>
        <v>2.2400930695955514E-3</v>
      </c>
      <c r="T62" s="88"/>
      <c r="U62" s="89"/>
      <c r="W62" s="213" t="s">
        <v>3353</v>
      </c>
      <c r="X62" s="211">
        <f ca="1">IF($W62="DIRECT",M62,DCOUNT('literature entries'!$D:$AI,IF($J62=1,"ACTIVE     CED, FARM GATE (MJ/kg)","CED, processor gate (MJ/kg)"),INDIRECT($W62)))</f>
        <v>18</v>
      </c>
      <c r="Y62" s="211">
        <f ca="1">IF($W62="DIRECT","",DAVERAGE('literature entries'!$D:$AI,IF($J62=1,"ACTIVE     CED, FARM GATE (MJ/kg)","CED, processor gate (MJ/kg)"),INDIRECT($W62)))</f>
        <v>3.4024371788383845</v>
      </c>
      <c r="Z62" s="211">
        <f ca="1">IF($W62="DIRECT",$O62,DSTDEV('literature entries'!$D:$AI,IF($J62=1,"ACTIVE     CED, FARM GATE (MJ/kg)","CED, processor gate (MJ/kg)"),INDIRECT($W62)))</f>
        <v>2.1745212778414005</v>
      </c>
      <c r="AA62" s="211">
        <f t="shared" ca="1" si="7"/>
        <v>0.29548969955677828</v>
      </c>
      <c r="AB62" s="219" t="s">
        <v>3353</v>
      </c>
      <c r="AC62" s="212">
        <f ca="1">IF($AB62="DIRECT",Q62,DCOUNT('literature entries'!$D:$AI,IF($J62=1,"ACTIVE     GHGE, FARM GATE (kg CO2e/kg)","GHGE, processor gate (kg CO2e/kg)"),INDIRECT($AB62)))</f>
        <v>26</v>
      </c>
      <c r="AD62" s="212">
        <f ca="1">IF($AB62="DIRECT","",DAVERAGE('literature entries'!$D:$AI,IF($J62=1,"ACTIVE     GHGE, FARM GATE (kg CO2e/kg)","GHGE, processor gate (kg CO2e/kg)"),INDIRECT($AB62)))</f>
        <v>0.41363324622377629</v>
      </c>
      <c r="AE62" s="212">
        <f ca="1">IF($AB62="DIRECT",$S62,DSTDEV('literature entries'!$D:$AI,IF($J62=1,"ACTIVE     GHGE, FARM GATE (kg CO2e/kg)","GHGE, processor gate (kg CO2e/kg)"),INDIRECT($AB62)))</f>
        <v>0.30904772338148734</v>
      </c>
      <c r="AF62" s="212">
        <f t="shared" ca="1" si="8"/>
        <v>8.8059070429025721E-2</v>
      </c>
    </row>
    <row r="63" spans="1:32" s="19" customFormat="1" ht="17" thickBot="1" x14ac:dyDescent="0.25">
      <c r="A63" s="114">
        <v>402398000</v>
      </c>
      <c r="B63" s="115" t="s">
        <v>2341</v>
      </c>
      <c r="C63" s="115" t="s">
        <v>2342</v>
      </c>
      <c r="D63" s="115"/>
      <c r="E63" s="115">
        <v>440</v>
      </c>
      <c r="F63" s="111">
        <f t="shared" ca="1" si="0"/>
        <v>2.7966429423000005</v>
      </c>
      <c r="G63" s="112">
        <f t="shared" ca="1" si="1"/>
        <v>0.20232551808636362</v>
      </c>
      <c r="H63" s="116">
        <v>1.0900000000000001</v>
      </c>
      <c r="I63" s="117" t="s">
        <v>2724</v>
      </c>
      <c r="J63" s="79">
        <v>1</v>
      </c>
      <c r="K63" s="78" t="s">
        <v>2457</v>
      </c>
      <c r="L63" s="135" t="str">
        <f>IF(ISERROR(GETPIVOTDATA(IF($J63=1,"Count of ACTIVE     CED, FARM GATE (MJ/kg)","Count of CED, processor gate (MJ/kg)"),'Pivot Table_CED'!$A$3,"SUB TYPE",$B63)),"PROXY",IF(GETPIVOTDATA(IF($J63=1,"Count of ACTIVE     CED, FARM GATE (MJ/kg)","Count of CED, processor gate (MJ/kg)"),'Pivot Table_CED'!$A$3,"SUB TYPE",$B63)=0,"PROXY","DB value"))</f>
        <v>PROXY</v>
      </c>
      <c r="M63" s="118">
        <f ca="1">IF($L63="PROXY",DCOUNT('literature entries'!$D:$AI,IF($J63=1,"ACTIVE     CED, FARM GATE (MJ/kg)","CED, processor gate (MJ/kg)"),INDIRECT($K63)),GETPIVOTDATA(IF($J63=1,"Count of ACTIVE     CED, FARM GATE (MJ/kg)","Count of CED, processor gate (MJ/kg)"),'Pivot Table_CED'!$A$3,"SUB TYPE",$B63))</f>
        <v>10</v>
      </c>
      <c r="N63" s="119">
        <f ca="1">IF($L63="PROXY",DAVERAGE('literature entries'!$D:$AI,IF($J63=1,"ACTIVE     CED, FARM GATE (MJ/kg)","CED, processor gate (MJ/kg)"),INDIRECT($K63)),GETPIVOTDATA(IF($J63=1,"Average of ACTIVE     CED, FARM GATE (MJ/kg)","Average of CED, processor gate (MJ/kg)"),'Pivot Table_CED'!$A$3,"SUB TYPE",$B63))</f>
        <v>2.5657274700000001</v>
      </c>
      <c r="O63" s="119">
        <f ca="1">IF($L63="PROXY",DSTDEV('literature entries'!D:AI,IF($J63=1,"ACTIVE     CED, FARM GATE (MJ/kg)","CED, processor gate (MJ/kg)"),INDIRECT($K63)),GETPIVOTDATA(IF($J63=1,"StdDev of ACTIVE     CED, FARM GATE (MJ/kg)","StdDev of CED, processor gate (MJ/kg)"),'Pivot Table_CED'!$A$3,"SUB TYPE",$B63))</f>
        <v>1.5197673074222315</v>
      </c>
      <c r="P63" s="135" t="str">
        <f>IF(ISERROR(GETPIVOTDATA(IF($J63=1,"Count of ACTIVE     GHGE, FARM GATE (kg CO2e/kg)","Count of GHGE, processor gate (kg CO2e/kg)"),'Pivot Table_GHG'!$A$3,"SUB TYPE",$B63)),"PROXY",IF(GETPIVOTDATA(IF($J63=1,"Count of ACTIVE     GHGE, FARM GATE (kg CO2e/kg)","Count of GHGE, processor gate (kg CO2e/kg)"),'Pivot Table_GHG'!$A$3,"SUB TYPE",$B63)=0,"PROXY","DB value"))</f>
        <v>PROXY</v>
      </c>
      <c r="Q63" s="125">
        <f ca="1">IF($P63="PROXY",DCOUNT('literature entries'!$D:$AI,IF($J63=1,"ACTIVE     GHGE, FARM GATE (kg CO2e/kg)","GHGE, processor gate (kg CO2e/kg)"),INDIRECT($K63)),GETPIVOTDATA(IF($J63=1,"ACTIVE     GHGE, FARM GATE (kg CO2e/kg)","Count of GHGE, processor gate (kg CO2e/kg)"),'Pivot Table_GHG'!$A$3,"SUB TYPE",$B63))</f>
        <v>22</v>
      </c>
      <c r="R63" s="190">
        <f ca="1">IF($P63="PROXY",DAVERAGE('literature entries'!$D:$AI,IF($J63=1,"ACTIVE     GHGE, FARM GATE (kg CO2e/kg)","GHGE, processor gate (kg CO2e/kg)"),INDIRECT($K63)),GETPIVOTDATA(IF($J63=1,"Average of ACTIVE     GHGE, FARM GATE (kg CO2e/kg)","Average of GHGE, processor gate (kg CO2e/kg)"),'Pivot Table_GHG'!$A$3,"SUB TYPE",$B63))</f>
        <v>0.18561974136363635</v>
      </c>
      <c r="S63" s="190">
        <f ca="1">IF($P63="PROXY",DSTDEV('literature entries'!$D:$AI,IF($J63=1,"ACTIVE     GHGE, FARM GATE (kg CO2e/kg)","GHGE, processor gate (kg CO2e/kg)"),INDIRECT($K63)),GETPIVOTDATA(IF($J63=1,"StdDev of ACTIVE     GHGE, FARM GATE (kg CO2e/kg)","StdDev of GHGE, processor gate (kg CO2e/kg)"),'Pivot Table_GHG'!$A$3,"SUB TYPE",$B63))</f>
        <v>9.7833632177637575E-2</v>
      </c>
      <c r="T63" s="88"/>
      <c r="U63" s="89"/>
      <c r="W63" s="213" t="str">
        <f ca="1">IF(L63="PROXY",IF(M63&gt;=5,K63,"need group"),IF(M63&gt;=5,"DIRECT","need group"))</f>
        <v>greens</v>
      </c>
      <c r="X63" s="211">
        <f ca="1">IF($W63="DIRECT",M63,DCOUNT('literature entries'!$D:$AI,IF($J63=1,"ACTIVE     CED, FARM GATE (MJ/kg)","CED, processor gate (MJ/kg)"),INDIRECT($W63)))</f>
        <v>10</v>
      </c>
      <c r="Y63" s="211">
        <f ca="1">IF($W63="DIRECT","",DAVERAGE('literature entries'!$D:$AI,IF($J63=1,"ACTIVE     CED, FARM GATE (MJ/kg)","CED, processor gate (MJ/kg)"),INDIRECT($W63)))</f>
        <v>2.5657274700000001</v>
      </c>
      <c r="Z63" s="211">
        <f ca="1">IF($W63="DIRECT",$O63,DSTDEV('literature entries'!$D:$AI,IF($J63=1,"ACTIVE     CED, FARM GATE (MJ/kg)","CED, processor gate (MJ/kg)"),INDIRECT($W63)))</f>
        <v>1.5197673074222315</v>
      </c>
      <c r="AA63" s="211">
        <f t="shared" ca="1" si="7"/>
        <v>1.5197673074222315</v>
      </c>
      <c r="AB63" s="219" t="str">
        <f ca="1">IF(P63="PROXY",IF(Q63&gt;=5,K63,"need group"),IF(Q63&gt;=5,"DIRECT","need group"))</f>
        <v>greens</v>
      </c>
      <c r="AC63" s="212">
        <f ca="1">IF($AB63="DIRECT",Q63,DCOUNT('literature entries'!$D:$AI,IF($J63=1,"ACTIVE     GHGE, FARM GATE (kg CO2e/kg)","GHGE, processor gate (kg CO2e/kg)"),INDIRECT($AB63)))</f>
        <v>22</v>
      </c>
      <c r="AD63" s="212">
        <f ca="1">IF($AB63="DIRECT","",DAVERAGE('literature entries'!$D:$AI,IF($J63=1,"ACTIVE     GHGE, FARM GATE (kg CO2e/kg)","GHGE, processor gate (kg CO2e/kg)"),INDIRECT($AB63)))</f>
        <v>0.18561974136363635</v>
      </c>
      <c r="AE63" s="212">
        <f ca="1">IF($AB63="DIRECT",$S63,DSTDEV('literature entries'!$D:$AI,IF($J63=1,"ACTIVE     GHGE, FARM GATE (kg CO2e/kg)","GHGE, processor gate (kg CO2e/kg)"),INDIRECT($AB63)))</f>
        <v>9.7833632177637575E-2</v>
      </c>
      <c r="AF63" s="212">
        <f t="shared" ca="1" si="8"/>
        <v>9.7833632177637575E-2</v>
      </c>
    </row>
    <row r="64" spans="1:32" s="19" customFormat="1" thickBot="1" x14ac:dyDescent="0.25">
      <c r="A64" s="114">
        <v>500061000</v>
      </c>
      <c r="B64" s="115" t="s">
        <v>771</v>
      </c>
      <c r="C64" s="115" t="s">
        <v>1843</v>
      </c>
      <c r="D64" s="115"/>
      <c r="E64" s="115">
        <v>3819</v>
      </c>
      <c r="F64" s="111">
        <f t="shared" ca="1" si="0"/>
        <v>7.0366931620699296</v>
      </c>
      <c r="G64" s="112">
        <f t="shared" ca="1" si="1"/>
        <v>0.79725707346951868</v>
      </c>
      <c r="H64" s="116">
        <v>1.64</v>
      </c>
      <c r="I64" s="116" t="s">
        <v>2724</v>
      </c>
      <c r="J64" s="79">
        <v>1</v>
      </c>
      <c r="K64" s="78"/>
      <c r="L64" s="135" t="str">
        <f>IF(ISERROR(GETPIVOTDATA(IF($J64=1,"Count of ACTIVE     CED, FARM GATE (MJ/kg)","Count of CED, processor gate (MJ/kg)"),'Pivot Table_CED'!$A$3,"SUB TYPE",$B64)),"PROXY",IF(GETPIVOTDATA(IF($J64=1,"Count of ACTIVE     CED, FARM GATE (MJ/kg)","Count of CED, processor gate (MJ/kg)"),'Pivot Table_CED'!$A$3,"SUB TYPE",$B64)=0,"PROXY","DB value"))</f>
        <v>DB value</v>
      </c>
      <c r="M64" s="118">
        <f ca="1">IF($L64="PROXY",DCOUNT('literature entries'!$D:$AI,IF($J64=1,"ACTIVE     CED, FARM GATE (MJ/kg)","CED, processor gate (MJ/kg)"),INDIRECT($K64)),GETPIVOTDATA(IF($J64=1,"Count of ACTIVE     CED, FARM GATE (MJ/kg)","Count of CED, processor gate (MJ/kg)"),'Pivot Table_CED'!$A$3,"SUB TYPE",$B64))</f>
        <v>13</v>
      </c>
      <c r="N64" s="119">
        <f ca="1">IF($L64="PROXY",DAVERAGE('literature entries'!$D:$AI,IF($J64=1,"ACTIVE     CED, FARM GATE (MJ/kg)","CED, processor gate (MJ/kg)"),INDIRECT($K64)),GETPIVOTDATA(IF($J64=1,"Average of ACTIVE     CED, FARM GATE (MJ/kg)","Average of CED, processor gate (MJ/kg)"),'Pivot Table_CED'!$A$3,"SUB TYPE",$B64))</f>
        <v>4.290666562237762</v>
      </c>
      <c r="O64" s="119">
        <f ca="1">IF($L64="PROXY",DSTDEV('literature entries'!D:AI,IF($J64=1,"ACTIVE     CED, FARM GATE (MJ/kg)","CED, processor gate (MJ/kg)"),INDIRECT($K64)),GETPIVOTDATA(IF($J64=1,"StdDev of ACTIVE     CED, FARM GATE (MJ/kg)","StdDev of CED, processor gate (MJ/kg)"),'Pivot Table_CED'!$A$3,"SUB TYPE",$B64))</f>
        <v>1.8641381933984171</v>
      </c>
      <c r="P64" s="135" t="str">
        <f>IF(ISERROR(GETPIVOTDATA(IF($J64=1,"Count of ACTIVE     GHGE, FARM GATE (kg CO2e/kg)","Count of GHGE, processor gate (kg CO2e/kg)"),'Pivot Table_GHG'!$A$3,"SUB TYPE",$B64)),"PROXY",IF(GETPIVOTDATA(IF($J64=1,"Count of ACTIVE     GHGE, FARM GATE (kg CO2e/kg)","Count of GHGE, processor gate (kg CO2e/kg)"),'Pivot Table_GHG'!$A$3,"SUB TYPE",$B64)=0,"PROXY","DB value"))</f>
        <v>DB value</v>
      </c>
      <c r="Q64" s="125">
        <f ca="1">IF($P64="PROXY",DCOUNT('literature entries'!$D:$AI,IF($J64=1,"ACTIVE     GHGE, FARM GATE (kg CO2e/kg)","GHGE, processor gate (kg CO2e/kg)"),INDIRECT($K64)),GETPIVOTDATA(IF($J64=1,"ACTIVE     GHGE, FARM GATE (kg CO2e/kg)","Count of GHGE, processor gate (kg CO2e/kg)"),'Pivot Table_GHG'!$A$3,"SUB TYPE",$B64))</f>
        <v>17</v>
      </c>
      <c r="R64" s="190">
        <f ca="1">IF($P64="PROXY",DAVERAGE('literature entries'!$D:$AI,IF($J64=1,"ACTIVE     GHGE, FARM GATE (kg CO2e/kg)","GHGE, processor gate (kg CO2e/kg)"),INDIRECT($K64)),GETPIVOTDATA(IF($J64=1,"Average of ACTIVE     GHGE, FARM GATE (kg CO2e/kg)","Average of GHGE, processor gate (kg CO2e/kg)"),'Pivot Table_GHG'!$A$3,"SUB TYPE",$B64))</f>
        <v>0.48613236187165776</v>
      </c>
      <c r="S64" s="190">
        <f ca="1">IF($P64="PROXY",DSTDEV('literature entries'!$D:$AI,IF($J64=1,"ACTIVE     GHGE, FARM GATE (kg CO2e/kg)","GHGE, processor gate (kg CO2e/kg)"),INDIRECT($K64)),GETPIVOTDATA(IF($J64=1,"StdDev of ACTIVE     GHGE, FARM GATE (kg CO2e/kg)","StdDev of GHGE, processor gate (kg CO2e/kg)"),'Pivot Table_GHG'!$A$3,"SUB TYPE",$B64))</f>
        <v>0.35138775912544246</v>
      </c>
      <c r="T64" s="88"/>
      <c r="U64" s="89"/>
      <c r="W64" s="213" t="str">
        <f ca="1">IF(L64="PROXY",IF(M64&gt;=5,K64,"need group"),IF(M64&gt;=5,"DIRECT","need group"))</f>
        <v>DIRECT</v>
      </c>
      <c r="X64" s="211">
        <f ca="1">IF($W64="DIRECT",M64,DCOUNT('literature entries'!$D:$AI,IF($J64=1,"ACTIVE     CED, FARM GATE (MJ/kg)","CED, processor gate (MJ/kg)"),INDIRECT($W64)))</f>
        <v>13</v>
      </c>
      <c r="Y64" s="211" t="str">
        <f ca="1">IF($W64="DIRECT","",DAVERAGE('literature entries'!$D:$AI,IF($J64=1,"ACTIVE     CED, FARM GATE (MJ/kg)","CED, processor gate (MJ/kg)"),INDIRECT($W64)))</f>
        <v/>
      </c>
      <c r="Z64" s="211">
        <f ca="1">IF($W64="DIRECT",$O64,DSTDEV('literature entries'!$D:$AI,IF($J64=1,"ACTIVE     CED, FARM GATE (MJ/kg)","CED, processor gate (MJ/kg)"),INDIRECT($W64)))</f>
        <v>1.8641381933984171</v>
      </c>
      <c r="AA64" s="211">
        <f t="shared" ca="1" si="7"/>
        <v>1.8641381933984171</v>
      </c>
      <c r="AB64" s="219" t="str">
        <f ca="1">IF(P64="PROXY",IF(Q64&gt;=5,K64,"need group"),IF(Q64&gt;=5,"DIRECT","need group"))</f>
        <v>DIRECT</v>
      </c>
      <c r="AC64" s="212">
        <f ca="1">IF($AB64="DIRECT",Q64,DCOUNT('literature entries'!$D:$AI,IF($J64=1,"ACTIVE     GHGE, FARM GATE (kg CO2e/kg)","GHGE, processor gate (kg CO2e/kg)"),INDIRECT($AB64)))</f>
        <v>17</v>
      </c>
      <c r="AD64" s="212" t="str">
        <f ca="1">IF($AB64="DIRECT","",DAVERAGE('literature entries'!$D:$AI,IF($J64=1,"ACTIVE     GHGE, FARM GATE (kg CO2e/kg)","GHGE, processor gate (kg CO2e/kg)"),INDIRECT($AB64)))</f>
        <v/>
      </c>
      <c r="AE64" s="212">
        <f ca="1">IF($AB64="DIRECT",$S64,DSTDEV('literature entries'!$D:$AI,IF($J64=1,"ACTIVE     GHGE, FARM GATE (kg CO2e/kg)","GHGE, processor gate (kg CO2e/kg)"),INDIRECT($AB64)))</f>
        <v>0.35138775912544246</v>
      </c>
      <c r="AF64" s="212">
        <f t="shared" ca="1" si="8"/>
        <v>0.35138775912544246</v>
      </c>
    </row>
    <row r="65" spans="1:32" s="19" customFormat="1" thickBot="1" x14ac:dyDescent="0.25">
      <c r="A65" s="114">
        <v>500064000</v>
      </c>
      <c r="B65" s="115" t="s">
        <v>1846</v>
      </c>
      <c r="C65" s="115" t="s">
        <v>1847</v>
      </c>
      <c r="D65" s="115"/>
      <c r="E65" s="115">
        <v>91</v>
      </c>
      <c r="F65" s="111">
        <f t="shared" ca="1" si="0"/>
        <v>4.1846426691306826</v>
      </c>
      <c r="G65" s="112">
        <f t="shared" ca="1" si="1"/>
        <v>0.48985035283264472</v>
      </c>
      <c r="H65" s="116">
        <v>1.1100000000000001</v>
      </c>
      <c r="I65" s="116" t="s">
        <v>2724</v>
      </c>
      <c r="J65" s="79">
        <v>1</v>
      </c>
      <c r="K65" s="78" t="s">
        <v>2464</v>
      </c>
      <c r="L65" s="135" t="str">
        <f>IF(ISERROR(GETPIVOTDATA(IF($J65=1,"Count of ACTIVE     CED, FARM GATE (MJ/kg)","Count of CED, processor gate (MJ/kg)"),'Pivot Table_CED'!$A$3,"SUB TYPE",$B65)),"PROXY",IF(GETPIVOTDATA(IF($J65=1,"Count of ACTIVE     CED, FARM GATE (MJ/kg)","Count of CED, processor gate (MJ/kg)"),'Pivot Table_CED'!$A$3,"SUB TYPE",$B65)=0,"PROXY","DB value"))</f>
        <v>PROXY</v>
      </c>
      <c r="M65" s="118">
        <f ca="1">IF($L65="PROXY",DCOUNT('literature entries'!$D:$AI,IF($J65=1,"ACTIVE     CED, FARM GATE (MJ/kg)","CED, processor gate (MJ/kg)"),INDIRECT($K65)),GETPIVOTDATA(IF($J65=1,"Count of ACTIVE     CED, FARM GATE (MJ/kg)","Count of CED, processor gate (MJ/kg)"),'Pivot Table_CED'!$A$3,"SUB TYPE",$B65))</f>
        <v>16</v>
      </c>
      <c r="N65" s="119">
        <f ca="1">IF($L65="PROXY",DAVERAGE('literature entries'!$D:$AI,IF($J65=1,"ACTIVE     CED, FARM GATE (MJ/kg)","CED, processor gate (MJ/kg)"),INDIRECT($K65)),GETPIVOTDATA(IF($J65=1,"Average of ACTIVE     CED, FARM GATE (MJ/kg)","Average of CED, processor gate (MJ/kg)"),'Pivot Table_CED'!$A$3,"SUB TYPE",$B65))</f>
        <v>3.7699483505681823</v>
      </c>
      <c r="O65" s="119">
        <f ca="1">IF($L65="PROXY",DSTDEV('literature entries'!D:AI,IF($J65=1,"ACTIVE     CED, FARM GATE (MJ/kg)","CED, processor gate (MJ/kg)"),INDIRECT($K65)),GETPIVOTDATA(IF($J65=1,"StdDev of ACTIVE     CED, FARM GATE (MJ/kg)","StdDev of CED, processor gate (MJ/kg)"),'Pivot Table_CED'!$A$3,"SUB TYPE",$B65))</f>
        <v>2.015180177657335</v>
      </c>
      <c r="P65" s="135" t="str">
        <f>IF(ISERROR(GETPIVOTDATA(IF($J65=1,"Count of ACTIVE     GHGE, FARM GATE (kg CO2e/kg)","Count of GHGE, processor gate (kg CO2e/kg)"),'Pivot Table_GHG'!$A$3,"SUB TYPE",$B65)),"PROXY",IF(GETPIVOTDATA(IF($J65=1,"Count of ACTIVE     GHGE, FARM GATE (kg CO2e/kg)","Count of GHGE, processor gate (kg CO2e/kg)"),'Pivot Table_GHG'!$A$3,"SUB TYPE",$B65)=0,"PROXY","DB value"))</f>
        <v>PROXY</v>
      </c>
      <c r="Q65" s="125">
        <f ca="1">IF($P65="PROXY",DCOUNT('literature entries'!$D:$AI,IF($J65=1,"ACTIVE     GHGE, FARM GATE (kg CO2e/kg)","GHGE, processor gate (kg CO2e/kg)"),INDIRECT($K65)),GETPIVOTDATA(IF($J65=1,"ACTIVE     GHGE, FARM GATE (kg CO2e/kg)","Count of GHGE, processor gate (kg CO2e/kg)"),'Pivot Table_GHG'!$A$3,"SUB TYPE",$B65))</f>
        <v>22</v>
      </c>
      <c r="R65" s="190">
        <f ca="1">IF($P65="PROXY",DAVERAGE('literature entries'!$D:$AI,IF($J65=1,"ACTIVE     GHGE, FARM GATE (kg CO2e/kg)","GHGE, processor gate (kg CO2e/kg)"),INDIRECT($K65)),GETPIVOTDATA(IF($J65=1,"Average of ACTIVE     GHGE, FARM GATE (kg CO2e/kg)","Average of GHGE, processor gate (kg CO2e/kg)"),'Pivot Table_GHG'!$A$3,"SUB TYPE",$B65))</f>
        <v>0.44130662417355376</v>
      </c>
      <c r="S65" s="190">
        <f ca="1">IF($P65="PROXY",DSTDEV('literature entries'!$D:$AI,IF($J65=1,"ACTIVE     GHGE, FARM GATE (kg CO2e/kg)","GHGE, processor gate (kg CO2e/kg)"),INDIRECT($K65)),GETPIVOTDATA(IF($J65=1,"StdDev of ACTIVE     GHGE, FARM GATE (kg CO2e/kg)","StdDev of GHGE, processor gate (kg CO2e/kg)"),'Pivot Table_GHG'!$A$3,"SUB TYPE",$B65))</f>
        <v>0.32291425498521459</v>
      </c>
      <c r="T65" s="88"/>
      <c r="U65" s="89"/>
      <c r="W65" s="213" t="str">
        <f ca="1">IF(L65="PROXY",IF(M65&gt;=5,K65,"need group"),IF(M65&gt;=5,"DIRECT","need group"))</f>
        <v>brassica</v>
      </c>
      <c r="X65" s="211">
        <f ca="1">IF($W65="DIRECT",M65,DCOUNT('literature entries'!$D:$AI,IF($J65=1,"ACTIVE     CED, FARM GATE (MJ/kg)","CED, processor gate (MJ/kg)"),INDIRECT($W65)))</f>
        <v>16</v>
      </c>
      <c r="Y65" s="211">
        <f ca="1">IF($W65="DIRECT","",DAVERAGE('literature entries'!$D:$AI,IF($J65=1,"ACTIVE     CED, FARM GATE (MJ/kg)","CED, processor gate (MJ/kg)"),INDIRECT($W65)))</f>
        <v>3.7699483505681823</v>
      </c>
      <c r="Z65" s="211">
        <f ca="1">IF($W65="DIRECT",$O65,DSTDEV('literature entries'!$D:$AI,IF($J65=1,"ACTIVE     CED, FARM GATE (MJ/kg)","CED, processor gate (MJ/kg)"),INDIRECT($W65)))</f>
        <v>2.015180177657335</v>
      </c>
      <c r="AA65" s="211">
        <f t="shared" ca="1" si="7"/>
        <v>2.015180177657335</v>
      </c>
      <c r="AB65" s="219" t="str">
        <f ca="1">IF(P65="PROXY",IF(Q65&gt;=5,K65,"need group"),IF(Q65&gt;=5,"DIRECT","need group"))</f>
        <v>brassica</v>
      </c>
      <c r="AC65" s="212">
        <f ca="1">IF($AB65="DIRECT",Q65,DCOUNT('literature entries'!$D:$AI,IF($J65=1,"ACTIVE     GHGE, FARM GATE (kg CO2e/kg)","GHGE, processor gate (kg CO2e/kg)"),INDIRECT($AB65)))</f>
        <v>22</v>
      </c>
      <c r="AD65" s="212">
        <f ca="1">IF($AB65="DIRECT","",DAVERAGE('literature entries'!$D:$AI,IF($J65=1,"ACTIVE     GHGE, FARM GATE (kg CO2e/kg)","GHGE, processor gate (kg CO2e/kg)"),INDIRECT($AB65)))</f>
        <v>0.44130662417355376</v>
      </c>
      <c r="AE65" s="212">
        <f ca="1">IF($AB65="DIRECT",$S65,DSTDEV('literature entries'!$D:$AI,IF($J65=1,"ACTIVE     GHGE, FARM GATE (kg CO2e/kg)","GHGE, processor gate (kg CO2e/kg)"),INDIRECT($AB65)))</f>
        <v>0.32291425498521459</v>
      </c>
      <c r="AF65" s="212">
        <f t="shared" ca="1" si="8"/>
        <v>0.32291425498521459</v>
      </c>
    </row>
    <row r="66" spans="1:32" s="19" customFormat="1" thickBot="1" x14ac:dyDescent="0.25">
      <c r="A66" s="114">
        <v>500069000</v>
      </c>
      <c r="B66" s="115" t="s">
        <v>1853</v>
      </c>
      <c r="C66" s="115" t="s">
        <v>1760</v>
      </c>
      <c r="D66" s="115"/>
      <c r="E66" s="115">
        <v>3033</v>
      </c>
      <c r="F66" s="111">
        <f t="shared" ca="1" si="0"/>
        <v>1.375</v>
      </c>
      <c r="G66" s="112">
        <f t="shared" ca="1" si="1"/>
        <v>0.21875</v>
      </c>
      <c r="H66" s="116">
        <v>1.25</v>
      </c>
      <c r="I66" s="116" t="s">
        <v>2724</v>
      </c>
      <c r="J66" s="79">
        <v>1</v>
      </c>
      <c r="K66" s="78"/>
      <c r="L66" s="135" t="str">
        <f>IF(ISERROR(GETPIVOTDATA(IF($J66=1,"Count of ACTIVE     CED, FARM GATE (MJ/kg)","Count of CED, processor gate (MJ/kg)"),'Pivot Table_CED'!$A$3,"SUB TYPE",$B66)),"PROXY",IF(GETPIVOTDATA(IF($J66=1,"Count of ACTIVE     CED, FARM GATE (MJ/kg)","Count of CED, processor gate (MJ/kg)"),'Pivot Table_CED'!$A$3,"SUB TYPE",$B66)=0,"PROXY","DB value"))</f>
        <v>DB value</v>
      </c>
      <c r="M66" s="118">
        <f ca="1">IF($L66="PROXY",DCOUNT('literature entries'!$D:$AI,IF($J66=1,"ACTIVE     CED, FARM GATE (MJ/kg)","CED, processor gate (MJ/kg)"),INDIRECT($K66)),GETPIVOTDATA(IF($J66=1,"Count of ACTIVE     CED, FARM GATE (MJ/kg)","Count of CED, processor gate (MJ/kg)"),'Pivot Table_CED'!$A$3,"SUB TYPE",$B66))</f>
        <v>1</v>
      </c>
      <c r="N66" s="119">
        <f ca="1">IF($L66="PROXY",DAVERAGE('literature entries'!$D:$AI,IF($J66=1,"ACTIVE     CED, FARM GATE (MJ/kg)","CED, processor gate (MJ/kg)"),INDIRECT($K66)),GETPIVOTDATA(IF($J66=1,"Average of ACTIVE     CED, FARM GATE (MJ/kg)","Average of CED, processor gate (MJ/kg)"),'Pivot Table_CED'!$A$3,"SUB TYPE",$B66))</f>
        <v>1.1000000000000001</v>
      </c>
      <c r="O66" s="119">
        <f ca="1">IF($L66="PROXY",DSTDEV('literature entries'!D:AI,IF($J66=1,"ACTIVE     CED, FARM GATE (MJ/kg)","CED, processor gate (MJ/kg)"),INDIRECT($K66)),GETPIVOTDATA(IF($J66=1,"StdDev of ACTIVE     CED, FARM GATE (MJ/kg)","StdDev of CED, processor gate (MJ/kg)"),'Pivot Table_CED'!$A$3,"SUB TYPE",$B66))</f>
        <v>0</v>
      </c>
      <c r="P66" s="135" t="str">
        <f>IF(ISERROR(GETPIVOTDATA(IF($J66=1,"Count of ACTIVE     GHGE, FARM GATE (kg CO2e/kg)","Count of GHGE, processor gate (kg CO2e/kg)"),'Pivot Table_GHG'!$A$3,"SUB TYPE",$B66)),"PROXY",IF(GETPIVOTDATA(IF($J66=1,"Count of ACTIVE     GHGE, FARM GATE (kg CO2e/kg)","Count of GHGE, processor gate (kg CO2e/kg)"),'Pivot Table_GHG'!$A$3,"SUB TYPE",$B66)=0,"PROXY","DB value"))</f>
        <v>DB value</v>
      </c>
      <c r="Q66" s="125">
        <f ca="1">IF($P66="PROXY",DCOUNT('literature entries'!$D:$AI,IF($J66=1,"ACTIVE     GHGE, FARM GATE (kg CO2e/kg)","GHGE, processor gate (kg CO2e/kg)"),INDIRECT($K66)),GETPIVOTDATA(IF($J66=1,"ACTIVE     GHGE, FARM GATE (kg CO2e/kg)","Count of GHGE, processor gate (kg CO2e/kg)"),'Pivot Table_GHG'!$A$3,"SUB TYPE",$B66))</f>
        <v>2</v>
      </c>
      <c r="R66" s="190">
        <f ca="1">IF($P66="PROXY",DAVERAGE('literature entries'!$D:$AI,IF($J66=1,"ACTIVE     GHGE, FARM GATE (kg CO2e/kg)","GHGE, processor gate (kg CO2e/kg)"),INDIRECT($K66)),GETPIVOTDATA(IF($J66=1,"Average of ACTIVE     GHGE, FARM GATE (kg CO2e/kg)","Average of GHGE, processor gate (kg CO2e/kg)"),'Pivot Table_GHG'!$A$3,"SUB TYPE",$B66))</f>
        <v>0.17499999999999999</v>
      </c>
      <c r="S66" s="190">
        <f ca="1">IF($P66="PROXY",DSTDEV('literature entries'!$D:$AI,IF($J66=1,"ACTIVE     GHGE, FARM GATE (kg CO2e/kg)","GHGE, processor gate (kg CO2e/kg)"),INDIRECT($K66)),GETPIVOTDATA(IF($J66=1,"StdDev of ACTIVE     GHGE, FARM GATE (kg CO2e/kg)","StdDev of GHGE, processor gate (kg CO2e/kg)"),'Pivot Table_GHG'!$A$3,"SUB TYPE",$B66))</f>
        <v>7.7781745930520271E-2</v>
      </c>
      <c r="T66" s="88"/>
      <c r="U66" s="89"/>
      <c r="W66" s="213" t="s">
        <v>2464</v>
      </c>
      <c r="X66" s="211">
        <f ca="1">IF($W66="DIRECT",M66,DCOUNT('literature entries'!$D:$AI,IF($J66=1,"ACTIVE     CED, FARM GATE (MJ/kg)","CED, processor gate (MJ/kg)"),INDIRECT($W66)))</f>
        <v>16</v>
      </c>
      <c r="Y66" s="211">
        <f ca="1">IF($W66="DIRECT","",DAVERAGE('literature entries'!$D:$AI,IF($J66=1,"ACTIVE     CED, FARM GATE (MJ/kg)","CED, processor gate (MJ/kg)"),INDIRECT($W66)))</f>
        <v>3.7699483505681823</v>
      </c>
      <c r="Z66" s="211">
        <f ca="1">IF($W66="DIRECT",$O66,DSTDEV('literature entries'!$D:$AI,IF($J66=1,"ACTIVE     CED, FARM GATE (MJ/kg)","CED, processor gate (MJ/kg)"),INDIRECT($W66)))</f>
        <v>2.015180177657335</v>
      </c>
      <c r="AA66" s="211">
        <f t="shared" ca="1" si="7"/>
        <v>0.5879916617661306</v>
      </c>
      <c r="AB66" s="219" t="s">
        <v>2464</v>
      </c>
      <c r="AC66" s="212">
        <f ca="1">IF($AB66="DIRECT",Q66,DCOUNT('literature entries'!$D:$AI,IF($J66=1,"ACTIVE     GHGE, FARM GATE (kg CO2e/kg)","GHGE, processor gate (kg CO2e/kg)"),INDIRECT($AB66)))</f>
        <v>22</v>
      </c>
      <c r="AD66" s="212">
        <f ca="1">IF($AB66="DIRECT","",DAVERAGE('literature entries'!$D:$AI,IF($J66=1,"ACTIVE     GHGE, FARM GATE (kg CO2e/kg)","GHGE, processor gate (kg CO2e/kg)"),INDIRECT($AB66)))</f>
        <v>0.44130662417355376</v>
      </c>
      <c r="AE66" s="212">
        <f ca="1">IF($AB66="DIRECT",$S66,DSTDEV('literature entries'!$D:$AI,IF($J66=1,"ACTIVE     GHGE, FARM GATE (kg CO2e/kg)","GHGE, processor gate (kg CO2e/kg)"),INDIRECT($AB66)))</f>
        <v>0.32291425498521459</v>
      </c>
      <c r="AF66" s="212">
        <f t="shared" ca="1" si="8"/>
        <v>0.12805154404432581</v>
      </c>
    </row>
    <row r="67" spans="1:32" s="19" customFormat="1" ht="17" thickBot="1" x14ac:dyDescent="0.25">
      <c r="A67" s="114">
        <v>500071000</v>
      </c>
      <c r="B67" s="115" t="s">
        <v>1856</v>
      </c>
      <c r="C67" s="115" t="s">
        <v>1760</v>
      </c>
      <c r="D67" s="115"/>
      <c r="E67" s="115">
        <v>240</v>
      </c>
      <c r="F67" s="111">
        <f t="shared" ca="1" si="0"/>
        <v>0.52707649769999987</v>
      </c>
      <c r="G67" s="112">
        <f t="shared" ca="1" si="1"/>
        <v>0.13435964189999999</v>
      </c>
      <c r="H67" s="116">
        <v>1.1399999999999999</v>
      </c>
      <c r="I67" s="117" t="s">
        <v>2724</v>
      </c>
      <c r="J67" s="79">
        <v>1</v>
      </c>
      <c r="K67" s="78" t="s">
        <v>3267</v>
      </c>
      <c r="L67" s="135" t="str">
        <f>IF(ISERROR(GETPIVOTDATA(IF($J67=1,"Count of ACTIVE     CED, FARM GATE (MJ/kg)","Count of CED, processor gate (MJ/kg)"),'Pivot Table_CED'!$A$3,"SUB TYPE",$B67)),"PROXY",IF(GETPIVOTDATA(IF($J67=1,"Count of ACTIVE     CED, FARM GATE (MJ/kg)","Count of CED, processor gate (MJ/kg)"),'Pivot Table_CED'!$A$3,"SUB TYPE",$B67)=0,"PROXY","DB value"))</f>
        <v>PROXY</v>
      </c>
      <c r="M67" s="118">
        <f ca="1">IF($L67="PROXY",DCOUNT('literature entries'!$D:$AI,IF($J67=1,"ACTIVE     CED, FARM GATE (MJ/kg)","CED, processor gate (MJ/kg)"),INDIRECT($K67)),GETPIVOTDATA(IF($J67=1,"Count of ACTIVE     CED, FARM GATE (MJ/kg)","Count of CED, processor gate (MJ/kg)"),'Pivot Table_CED'!$A$3,"SUB TYPE",$B67))</f>
        <v>2</v>
      </c>
      <c r="N67" s="119">
        <f ca="1">IF($L67="PROXY",DAVERAGE('literature entries'!$D:$AI,IF($J67=1,"ACTIVE     CED, FARM GATE (MJ/kg)","CED, processor gate (MJ/kg)"),INDIRECT($K67)),GETPIVOTDATA(IF($J67=1,"Average of ACTIVE     CED, FARM GATE (MJ/kg)","Average of CED, processor gate (MJ/kg)"),'Pivot Table_CED'!$A$3,"SUB TYPE",$B67))</f>
        <v>0.46234780499999995</v>
      </c>
      <c r="O67" s="119">
        <f ca="1">IF($L67="PROXY",DSTDEV('literature entries'!D:AI,IF($J67=1,"ACTIVE     CED, FARM GATE (MJ/kg)","CED, processor gate (MJ/kg)"),INDIRECT($K67)),GETPIVOTDATA(IF($J67=1,"StdDev of ACTIVE     CED, FARM GATE (MJ/kg)","StdDev of CED, processor gate (MJ/kg)"),'Pivot Table_CED'!$A$3,"SUB TYPE",$B67))</f>
        <v>0.14723359720196788</v>
      </c>
      <c r="P67" s="135" t="str">
        <f>IF(ISERROR(GETPIVOTDATA(IF($J67=1,"Count of ACTIVE     GHGE, FARM GATE (kg CO2e/kg)","Count of GHGE, processor gate (kg CO2e/kg)"),'Pivot Table_GHG'!$A$3,"SUB TYPE",$B67)),"PROXY",IF(GETPIVOTDATA(IF($J67=1,"Count of ACTIVE     GHGE, FARM GATE (kg CO2e/kg)","Count of GHGE, processor gate (kg CO2e/kg)"),'Pivot Table_GHG'!$A$3,"SUB TYPE",$B67)=0,"PROXY","DB value"))</f>
        <v>PROXY</v>
      </c>
      <c r="Q67" s="125">
        <f ca="1">IF($P67="PROXY",DCOUNT('literature entries'!$D:$AI,IF($J67=1,"ACTIVE     GHGE, FARM GATE (kg CO2e/kg)","GHGE, processor gate (kg CO2e/kg)"),INDIRECT($K67)),GETPIVOTDATA(IF($J67=1,"ACTIVE     GHGE, FARM GATE (kg CO2e/kg)","Count of GHGE, processor gate (kg CO2e/kg)"),'Pivot Table_GHG'!$A$3,"SUB TYPE",$B67))</f>
        <v>2</v>
      </c>
      <c r="R67" s="190">
        <f ca="1">IF($P67="PROXY",DAVERAGE('literature entries'!$D:$AI,IF($J67=1,"ACTIVE     GHGE, FARM GATE (kg CO2e/kg)","GHGE, processor gate (kg CO2e/kg)"),INDIRECT($K67)),GETPIVOTDATA(IF($J67=1,"Average of ACTIVE     GHGE, FARM GATE (kg CO2e/kg)","Average of GHGE, processor gate (kg CO2e/kg)"),'Pivot Table_GHG'!$A$3,"SUB TYPE",$B67))</f>
        <v>0.11785933500000001</v>
      </c>
      <c r="S67" s="190">
        <f ca="1">IF($P67="PROXY",DSTDEV('literature entries'!$D:$AI,IF($J67=1,"ACTIVE     GHGE, FARM GATE (kg CO2e/kg)","GHGE, processor gate (kg CO2e/kg)"),INDIRECT($K67)),GETPIVOTDATA(IF($J67=1,"StdDev of ACTIVE     GHGE, FARM GATE (kg CO2e/kg)","StdDev of GHGE, processor gate (kg CO2e/kg)"),'Pivot Table_GHG'!$A$3,"SUB TYPE",$B67))</f>
        <v>2.2400930695955514E-3</v>
      </c>
      <c r="T67" s="88"/>
      <c r="U67" s="89"/>
      <c r="W67" s="213" t="s">
        <v>3353</v>
      </c>
      <c r="X67" s="211">
        <f ca="1">IF($W67="DIRECT",M67,DCOUNT('literature entries'!$D:$AI,IF($J67=1,"ACTIVE     CED, FARM GATE (MJ/kg)","CED, processor gate (MJ/kg)"),INDIRECT($W67)))</f>
        <v>18</v>
      </c>
      <c r="Y67" s="211">
        <f ca="1">IF($W67="DIRECT","",DAVERAGE('literature entries'!$D:$AI,IF($J67=1,"ACTIVE     CED, FARM GATE (MJ/kg)","CED, processor gate (MJ/kg)"),INDIRECT($W67)))</f>
        <v>3.4024371788383845</v>
      </c>
      <c r="Z67" s="211">
        <f ca="1">IF($W67="DIRECT",$O67,DSTDEV('literature entries'!$D:$AI,IF($J67=1,"ACTIVE     CED, FARM GATE (MJ/kg)","CED, processor gate (MJ/kg)"),INDIRECT($W67)))</f>
        <v>2.1745212778414005</v>
      </c>
      <c r="AA67" s="211">
        <f t="shared" ca="1" si="7"/>
        <v>0.29548969955677828</v>
      </c>
      <c r="AB67" s="219" t="s">
        <v>3353</v>
      </c>
      <c r="AC67" s="212">
        <f ca="1">IF($AB67="DIRECT",Q67,DCOUNT('literature entries'!$D:$AI,IF($J67=1,"ACTIVE     GHGE, FARM GATE (kg CO2e/kg)","GHGE, processor gate (kg CO2e/kg)"),INDIRECT($AB67)))</f>
        <v>26</v>
      </c>
      <c r="AD67" s="212">
        <f ca="1">IF($AB67="DIRECT","",DAVERAGE('literature entries'!$D:$AI,IF($J67=1,"ACTIVE     GHGE, FARM GATE (kg CO2e/kg)","GHGE, processor gate (kg CO2e/kg)"),INDIRECT($AB67)))</f>
        <v>0.41363324622377629</v>
      </c>
      <c r="AE67" s="212">
        <f ca="1">IF($AB67="DIRECT",$S67,DSTDEV('literature entries'!$D:$AI,IF($J67=1,"ACTIVE     GHGE, FARM GATE (kg CO2e/kg)","GHGE, processor gate (kg CO2e/kg)"),INDIRECT($AB67)))</f>
        <v>0.30904772338148734</v>
      </c>
      <c r="AF67" s="212">
        <f t="shared" ca="1" si="8"/>
        <v>8.8059070429025721E-2</v>
      </c>
    </row>
    <row r="68" spans="1:32" s="19" customFormat="1" ht="17" thickBot="1" x14ac:dyDescent="0.25">
      <c r="A68" s="114">
        <v>500072000</v>
      </c>
      <c r="B68" s="115" t="s">
        <v>1855</v>
      </c>
      <c r="C68" s="115" t="s">
        <v>1760</v>
      </c>
      <c r="D68" s="115"/>
      <c r="E68" s="115">
        <v>240</v>
      </c>
      <c r="F68" s="111">
        <f t="shared" ref="F68:F131" ca="1" si="9">N68*H68+T68</f>
        <v>0.49933562939999998</v>
      </c>
      <c r="G68" s="112">
        <f t="shared" ref="G68:G131" ca="1" si="10">R68*H68+U68</f>
        <v>0.12728808180000001</v>
      </c>
      <c r="H68" s="116">
        <v>1.08</v>
      </c>
      <c r="I68" s="117" t="s">
        <v>2724</v>
      </c>
      <c r="J68" s="79">
        <v>1</v>
      </c>
      <c r="K68" s="78" t="s">
        <v>3267</v>
      </c>
      <c r="L68" s="135" t="str">
        <f>IF(ISERROR(GETPIVOTDATA(IF($J68=1,"Count of ACTIVE     CED, FARM GATE (MJ/kg)","Count of CED, processor gate (MJ/kg)"),'Pivot Table_CED'!$A$3,"SUB TYPE",$B68)),"PROXY",IF(GETPIVOTDATA(IF($J68=1,"Count of ACTIVE     CED, FARM GATE (MJ/kg)","Count of CED, processor gate (MJ/kg)"),'Pivot Table_CED'!$A$3,"SUB TYPE",$B68)=0,"PROXY","DB value"))</f>
        <v>PROXY</v>
      </c>
      <c r="M68" s="118">
        <f ca="1">IF($L68="PROXY",DCOUNT('literature entries'!$D:$AI,IF($J68=1,"ACTIVE     CED, FARM GATE (MJ/kg)","CED, processor gate (MJ/kg)"),INDIRECT($K68)),GETPIVOTDATA(IF($J68=1,"Count of ACTIVE     CED, FARM GATE (MJ/kg)","Count of CED, processor gate (MJ/kg)"),'Pivot Table_CED'!$A$3,"SUB TYPE",$B68))</f>
        <v>2</v>
      </c>
      <c r="N68" s="119">
        <f ca="1">IF($L68="PROXY",DAVERAGE('literature entries'!$D:$AI,IF($J68=1,"ACTIVE     CED, FARM GATE (MJ/kg)","CED, processor gate (MJ/kg)"),INDIRECT($K68)),GETPIVOTDATA(IF($J68=1,"Average of ACTIVE     CED, FARM GATE (MJ/kg)","Average of CED, processor gate (MJ/kg)"),'Pivot Table_CED'!$A$3,"SUB TYPE",$B68))</f>
        <v>0.46234780499999995</v>
      </c>
      <c r="O68" s="119">
        <f ca="1">IF($L68="PROXY",DSTDEV('literature entries'!D:AI,IF($J68=1,"ACTIVE     CED, FARM GATE (MJ/kg)","CED, processor gate (MJ/kg)"),INDIRECT($K68)),GETPIVOTDATA(IF($J68=1,"StdDev of ACTIVE     CED, FARM GATE (MJ/kg)","StdDev of CED, processor gate (MJ/kg)"),'Pivot Table_CED'!$A$3,"SUB TYPE",$B68))</f>
        <v>0.14723359720196788</v>
      </c>
      <c r="P68" s="135" t="str">
        <f>IF(ISERROR(GETPIVOTDATA(IF($J68=1,"Count of ACTIVE     GHGE, FARM GATE (kg CO2e/kg)","Count of GHGE, processor gate (kg CO2e/kg)"),'Pivot Table_GHG'!$A$3,"SUB TYPE",$B68)),"PROXY",IF(GETPIVOTDATA(IF($J68=1,"Count of ACTIVE     GHGE, FARM GATE (kg CO2e/kg)","Count of GHGE, processor gate (kg CO2e/kg)"),'Pivot Table_GHG'!$A$3,"SUB TYPE",$B68)=0,"PROXY","DB value"))</f>
        <v>PROXY</v>
      </c>
      <c r="Q68" s="125">
        <f ca="1">IF($P68="PROXY",DCOUNT('literature entries'!$D:$AI,IF($J68=1,"ACTIVE     GHGE, FARM GATE (kg CO2e/kg)","GHGE, processor gate (kg CO2e/kg)"),INDIRECT($K68)),GETPIVOTDATA(IF($J68=1,"ACTIVE     GHGE, FARM GATE (kg CO2e/kg)","Count of GHGE, processor gate (kg CO2e/kg)"),'Pivot Table_GHG'!$A$3,"SUB TYPE",$B68))</f>
        <v>2</v>
      </c>
      <c r="R68" s="190">
        <f ca="1">IF($P68="PROXY",DAVERAGE('literature entries'!$D:$AI,IF($J68=1,"ACTIVE     GHGE, FARM GATE (kg CO2e/kg)","GHGE, processor gate (kg CO2e/kg)"),INDIRECT($K68)),GETPIVOTDATA(IF($J68=1,"Average of ACTIVE     GHGE, FARM GATE (kg CO2e/kg)","Average of GHGE, processor gate (kg CO2e/kg)"),'Pivot Table_GHG'!$A$3,"SUB TYPE",$B68))</f>
        <v>0.11785933500000001</v>
      </c>
      <c r="S68" s="190">
        <f ca="1">IF($P68="PROXY",DSTDEV('literature entries'!$D:$AI,IF($J68=1,"ACTIVE     GHGE, FARM GATE (kg CO2e/kg)","GHGE, processor gate (kg CO2e/kg)"),INDIRECT($K68)),GETPIVOTDATA(IF($J68=1,"StdDev of ACTIVE     GHGE, FARM GATE (kg CO2e/kg)","StdDev of GHGE, processor gate (kg CO2e/kg)"),'Pivot Table_GHG'!$A$3,"SUB TYPE",$B68))</f>
        <v>2.2400930695955514E-3</v>
      </c>
      <c r="T68" s="88"/>
      <c r="U68" s="89"/>
      <c r="W68" s="213" t="s">
        <v>3353</v>
      </c>
      <c r="X68" s="211">
        <f ca="1">IF($W68="DIRECT",M68,DCOUNT('literature entries'!$D:$AI,IF($J68=1,"ACTIVE     CED, FARM GATE (MJ/kg)","CED, processor gate (MJ/kg)"),INDIRECT($W68)))</f>
        <v>18</v>
      </c>
      <c r="Y68" s="211">
        <f ca="1">IF($W68="DIRECT","",DAVERAGE('literature entries'!$D:$AI,IF($J68=1,"ACTIVE     CED, FARM GATE (MJ/kg)","CED, processor gate (MJ/kg)"),INDIRECT($W68)))</f>
        <v>3.4024371788383845</v>
      </c>
      <c r="Z68" s="211">
        <f ca="1">IF($W68="DIRECT",$O68,DSTDEV('literature entries'!$D:$AI,IF($J68=1,"ACTIVE     CED, FARM GATE (MJ/kg)","CED, processor gate (MJ/kg)"),INDIRECT($W68)))</f>
        <v>2.1745212778414005</v>
      </c>
      <c r="AA68" s="211">
        <f t="shared" ca="1" si="7"/>
        <v>0.29548969955677828</v>
      </c>
      <c r="AB68" s="219" t="s">
        <v>3353</v>
      </c>
      <c r="AC68" s="212">
        <f ca="1">IF($AB68="DIRECT",Q68,DCOUNT('literature entries'!$D:$AI,IF($J68=1,"ACTIVE     GHGE, FARM GATE (kg CO2e/kg)","GHGE, processor gate (kg CO2e/kg)"),INDIRECT($AB68)))</f>
        <v>26</v>
      </c>
      <c r="AD68" s="212">
        <f ca="1">IF($AB68="DIRECT","",DAVERAGE('literature entries'!$D:$AI,IF($J68=1,"ACTIVE     GHGE, FARM GATE (kg CO2e/kg)","GHGE, processor gate (kg CO2e/kg)"),INDIRECT($AB68)))</f>
        <v>0.41363324622377629</v>
      </c>
      <c r="AE68" s="212">
        <f ca="1">IF($AB68="DIRECT",$S68,DSTDEV('literature entries'!$D:$AI,IF($J68=1,"ACTIVE     GHGE, FARM GATE (kg CO2e/kg)","GHGE, processor gate (kg CO2e/kg)"),INDIRECT($AB68)))</f>
        <v>0.30904772338148734</v>
      </c>
      <c r="AF68" s="212">
        <f t="shared" ca="1" si="8"/>
        <v>8.8059070429025721E-2</v>
      </c>
    </row>
    <row r="69" spans="1:32" s="19" customFormat="1" thickBot="1" x14ac:dyDescent="0.25">
      <c r="A69" s="114">
        <v>500083000</v>
      </c>
      <c r="B69" s="115" t="s">
        <v>875</v>
      </c>
      <c r="C69" s="115" t="s">
        <v>1843</v>
      </c>
      <c r="D69" s="115" t="s">
        <v>1871</v>
      </c>
      <c r="E69" s="115">
        <v>1217</v>
      </c>
      <c r="F69" s="111">
        <f t="shared" ca="1" si="9"/>
        <v>4.4038506239999995</v>
      </c>
      <c r="G69" s="112">
        <f t="shared" ca="1" si="10"/>
        <v>0.93396956159999989</v>
      </c>
      <c r="H69" s="116">
        <v>2.56</v>
      </c>
      <c r="I69" s="116" t="s">
        <v>2724</v>
      </c>
      <c r="J69" s="79">
        <v>1</v>
      </c>
      <c r="K69" s="78"/>
      <c r="L69" s="135" t="str">
        <f>IF(ISERROR(GETPIVOTDATA(IF($J69=1,"Count of ACTIVE     CED, FARM GATE (MJ/kg)","Count of CED, processor gate (MJ/kg)"),'Pivot Table_CED'!$A$3,"SUB TYPE",$B69)),"PROXY",IF(GETPIVOTDATA(IF($J69=1,"Count of ACTIVE     CED, FARM GATE (MJ/kg)","Count of CED, processor gate (MJ/kg)"),'Pivot Table_CED'!$A$3,"SUB TYPE",$B69)=0,"PROXY","DB value"))</f>
        <v>DB value</v>
      </c>
      <c r="M69" s="118">
        <f ca="1">IF($L69="PROXY",DCOUNT('literature entries'!$D:$AI,IF($J69=1,"ACTIVE     CED, FARM GATE (MJ/kg)","CED, processor gate (MJ/kg)"),INDIRECT($K69)),GETPIVOTDATA(IF($J69=1,"Count of ACTIVE     CED, FARM GATE (MJ/kg)","Count of CED, processor gate (MJ/kg)"),'Pivot Table_CED'!$A$3,"SUB TYPE",$B69))</f>
        <v>2</v>
      </c>
      <c r="N69" s="119">
        <f ca="1">IF($L69="PROXY",DAVERAGE('literature entries'!$D:$AI,IF($J69=1,"ACTIVE     CED, FARM GATE (MJ/kg)","CED, processor gate (MJ/kg)"),INDIRECT($K69)),GETPIVOTDATA(IF($J69=1,"Average of ACTIVE     CED, FARM GATE (MJ/kg)","Average of CED, processor gate (MJ/kg)"),'Pivot Table_CED'!$A$3,"SUB TYPE",$B69))</f>
        <v>1.7202541499999999</v>
      </c>
      <c r="O69" s="119">
        <f ca="1">IF($L69="PROXY",DSTDEV('literature entries'!D:AI,IF($J69=1,"ACTIVE     CED, FARM GATE (MJ/kg)","CED, processor gate (MJ/kg)"),INDIRECT($K69)),GETPIVOTDATA(IF($J69=1,"StdDev of ACTIVE     CED, FARM GATE (MJ/kg)","StdDev of CED, processor gate (MJ/kg)"),'Pivot Table_CED'!$A$3,"SUB TYPE",$B69))</f>
        <v>0.39761667895223496</v>
      </c>
      <c r="P69" s="135" t="str">
        <f>IF(ISERROR(GETPIVOTDATA(IF($J69=1,"Count of ACTIVE     GHGE, FARM GATE (kg CO2e/kg)","Count of GHGE, processor gate (kg CO2e/kg)"),'Pivot Table_GHG'!$A$3,"SUB TYPE",$B69)),"PROXY",IF(GETPIVOTDATA(IF($J69=1,"Count of ACTIVE     GHGE, FARM GATE (kg CO2e/kg)","Count of GHGE, processor gate (kg CO2e/kg)"),'Pivot Table_GHG'!$A$3,"SUB TYPE",$B69)=0,"PROXY","DB value"))</f>
        <v>DB value</v>
      </c>
      <c r="Q69" s="125">
        <f ca="1">IF($P69="PROXY",DCOUNT('literature entries'!$D:$AI,IF($J69=1,"ACTIVE     GHGE, FARM GATE (kg CO2e/kg)","GHGE, processor gate (kg CO2e/kg)"),INDIRECT($K69)),GETPIVOTDATA(IF($J69=1,"ACTIVE     GHGE, FARM GATE (kg CO2e/kg)","Count of GHGE, processor gate (kg CO2e/kg)"),'Pivot Table_GHG'!$A$3,"SUB TYPE",$B69))</f>
        <v>3</v>
      </c>
      <c r="R69" s="190">
        <f ca="1">IF($P69="PROXY",DAVERAGE('literature entries'!$D:$AI,IF($J69=1,"ACTIVE     GHGE, FARM GATE (kg CO2e/kg)","GHGE, processor gate (kg CO2e/kg)"),INDIRECT($K69)),GETPIVOTDATA(IF($J69=1,"Average of ACTIVE     GHGE, FARM GATE (kg CO2e/kg)","Average of GHGE, processor gate (kg CO2e/kg)"),'Pivot Table_GHG'!$A$3,"SUB TYPE",$B69))</f>
        <v>0.36483185999999995</v>
      </c>
      <c r="S69" s="190">
        <f ca="1">IF($P69="PROXY",DSTDEV('literature entries'!$D:$AI,IF($J69=1,"ACTIVE     GHGE, FARM GATE (kg CO2e/kg)","GHGE, processor gate (kg CO2e/kg)"),INDIRECT($K69)),GETPIVOTDATA(IF($J69=1,"StdDev of ACTIVE     GHGE, FARM GATE (kg CO2e/kg)","StdDev of GHGE, processor gate (kg CO2e/kg)"),'Pivot Table_GHG'!$A$3,"SUB TYPE",$B69))</f>
        <v>8.5380681561765842E-2</v>
      </c>
      <c r="T69" s="88"/>
      <c r="U69" s="89"/>
      <c r="W69" s="213" t="s">
        <v>2464</v>
      </c>
      <c r="X69" s="211">
        <f ca="1">IF($W69="DIRECT",M69,DCOUNT('literature entries'!$D:$AI,IF($J69=1,"ACTIVE     CED, FARM GATE (MJ/kg)","CED, processor gate (MJ/kg)"),INDIRECT($W69)))</f>
        <v>16</v>
      </c>
      <c r="Y69" s="211">
        <f ca="1">IF($W69="DIRECT","",DAVERAGE('literature entries'!$D:$AI,IF($J69=1,"ACTIVE     CED, FARM GATE (MJ/kg)","CED, processor gate (MJ/kg)"),INDIRECT($W69)))</f>
        <v>3.7699483505681823</v>
      </c>
      <c r="Z69" s="211">
        <f ca="1">IF($W69="DIRECT",$O69,DSTDEV('literature entries'!$D:$AI,IF($J69=1,"ACTIVE     CED, FARM GATE (MJ/kg)","CED, processor gate (MJ/kg)"),INDIRECT($W69)))</f>
        <v>2.015180177657335</v>
      </c>
      <c r="AA69" s="211">
        <f t="shared" ca="1" si="7"/>
        <v>0.91954099665325673</v>
      </c>
      <c r="AB69" s="219" t="s">
        <v>2464</v>
      </c>
      <c r="AC69" s="212">
        <f ca="1">IF($AB69="DIRECT",Q69,DCOUNT('literature entries'!$D:$AI,IF($J69=1,"ACTIVE     GHGE, FARM GATE (kg CO2e/kg)","GHGE, processor gate (kg CO2e/kg)"),INDIRECT($AB69)))</f>
        <v>22</v>
      </c>
      <c r="AD69" s="212">
        <f ca="1">IF($AB69="DIRECT","",DAVERAGE('literature entries'!$D:$AI,IF($J69=1,"ACTIVE     GHGE, FARM GATE (kg CO2e/kg)","GHGE, processor gate (kg CO2e/kg)"),INDIRECT($AB69)))</f>
        <v>0.44130662417355376</v>
      </c>
      <c r="AE69" s="212">
        <f ca="1">IF($AB69="DIRECT",$S69,DSTDEV('literature entries'!$D:$AI,IF($J69=1,"ACTIVE     GHGE, FARM GATE (kg CO2e/kg)","GHGE, processor gate (kg CO2e/kg)"),INDIRECT($AB69)))</f>
        <v>0.32291425498521459</v>
      </c>
      <c r="AF69" s="212">
        <f t="shared" ca="1" si="8"/>
        <v>0.26695590279750459</v>
      </c>
    </row>
    <row r="70" spans="1:32" s="19" customFormat="1" ht="17" thickBot="1" x14ac:dyDescent="0.25">
      <c r="A70" s="114">
        <v>600347000</v>
      </c>
      <c r="B70" s="115" t="s">
        <v>2270</v>
      </c>
      <c r="C70" s="115" t="s">
        <v>2271</v>
      </c>
      <c r="D70" s="115"/>
      <c r="E70" s="115">
        <v>6346</v>
      </c>
      <c r="F70" s="111">
        <f t="shared" ca="1" si="9"/>
        <v>2.7156750000000001</v>
      </c>
      <c r="G70" s="112">
        <f t="shared" ca="1" si="10"/>
        <v>1.15428</v>
      </c>
      <c r="H70" s="116">
        <v>1</v>
      </c>
      <c r="I70" s="117" t="s">
        <v>594</v>
      </c>
      <c r="J70" s="79">
        <v>1</v>
      </c>
      <c r="K70" s="78"/>
      <c r="L70" s="135" t="str">
        <f>IF(ISERROR(GETPIVOTDATA(IF($J70=1,"Count of ACTIVE     CED, FARM GATE (MJ/kg)","Count of CED, processor gate (MJ/kg)"),'Pivot Table_CED'!$A$3,"SUB TYPE",$B70)),"PROXY",IF(GETPIVOTDATA(IF($J70=1,"Count of ACTIVE     CED, FARM GATE (MJ/kg)","Count of CED, processor gate (MJ/kg)"),'Pivot Table_CED'!$A$3,"SUB TYPE",$B70)=0,"PROXY","DB value"))</f>
        <v>DB value</v>
      </c>
      <c r="M70" s="118">
        <f ca="1">IF($L70="PROXY",DCOUNT('literature entries'!$D:$AI,IF($J70=1,"ACTIVE     CED, FARM GATE (MJ/kg)","CED, processor gate (MJ/kg)"),INDIRECT($K70)),GETPIVOTDATA(IF($J70=1,"Count of ACTIVE     CED, FARM GATE (MJ/kg)","Count of CED, processor gate (MJ/kg)"),'Pivot Table_CED'!$A$3,"SUB TYPE",$B70))</f>
        <v>4</v>
      </c>
      <c r="N70" s="119">
        <f ca="1">IF($L70="PROXY",DAVERAGE('literature entries'!$D:$AI,IF($J70=1,"ACTIVE     CED, FARM GATE (MJ/kg)","CED, processor gate (MJ/kg)"),INDIRECT($K70)),GETPIVOTDATA(IF($J70=1,"Average of ACTIVE     CED, FARM GATE (MJ/kg)","Average of CED, processor gate (MJ/kg)"),'Pivot Table_CED'!$A$3,"SUB TYPE",$B70))</f>
        <v>2.7156750000000001</v>
      </c>
      <c r="O70" s="119">
        <f ca="1">IF($L70="PROXY",DSTDEV('literature entries'!D:AI,IF($J70=1,"ACTIVE     CED, FARM GATE (MJ/kg)","CED, processor gate (MJ/kg)"),INDIRECT($K70)),GETPIVOTDATA(IF($J70=1,"StdDev of ACTIVE     CED, FARM GATE (MJ/kg)","StdDev of CED, processor gate (MJ/kg)"),'Pivot Table_CED'!$A$3,"SUB TYPE",$B70))</f>
        <v>1.0677965579485011</v>
      </c>
      <c r="P70" s="135" t="str">
        <f>IF(ISERROR(GETPIVOTDATA(IF($J70=1,"Count of ACTIVE     GHGE, FARM GATE (kg CO2e/kg)","Count of GHGE, processor gate (kg CO2e/kg)"),'Pivot Table_GHG'!$A$3,"SUB TYPE",$B70)),"PROXY",IF(GETPIVOTDATA(IF($J70=1,"Count of ACTIVE     GHGE, FARM GATE (kg CO2e/kg)","Count of GHGE, processor gate (kg CO2e/kg)"),'Pivot Table_GHG'!$A$3,"SUB TYPE",$B70)=0,"PROXY","DB value"))</f>
        <v>DB value</v>
      </c>
      <c r="Q70" s="125">
        <f ca="1">IF($P70="PROXY",DCOUNT('literature entries'!$D:$AI,IF($J70=1,"ACTIVE     GHGE, FARM GATE (kg CO2e/kg)","GHGE, processor gate (kg CO2e/kg)"),INDIRECT($K70)),GETPIVOTDATA(IF($J70=1,"ACTIVE     GHGE, FARM GATE (kg CO2e/kg)","Count of GHGE, processor gate (kg CO2e/kg)"),'Pivot Table_GHG'!$A$3,"SUB TYPE",$B70))</f>
        <v>4</v>
      </c>
      <c r="R70" s="190">
        <f ca="1">IF($P70="PROXY",DAVERAGE('literature entries'!$D:$AI,IF($J70=1,"ACTIVE     GHGE, FARM GATE (kg CO2e/kg)","GHGE, processor gate (kg CO2e/kg)"),INDIRECT($K70)),GETPIVOTDATA(IF($J70=1,"Average of ACTIVE     GHGE, FARM GATE (kg CO2e/kg)","Average of GHGE, processor gate (kg CO2e/kg)"),'Pivot Table_GHG'!$A$3,"SUB TYPE",$B70))</f>
        <v>1.15428</v>
      </c>
      <c r="S70" s="190">
        <f ca="1">IF($P70="PROXY",DSTDEV('literature entries'!$D:$AI,IF($J70=1,"ACTIVE     GHGE, FARM GATE (kg CO2e/kg)","GHGE, processor gate (kg CO2e/kg)"),INDIRECT($K70)),GETPIVOTDATA(IF($J70=1,"StdDev of ACTIVE     GHGE, FARM GATE (kg CO2e/kg)","StdDev of GHGE, processor gate (kg CO2e/kg)"),'Pivot Table_GHG'!$A$3,"SUB TYPE",$B70))</f>
        <v>1.7655963975193576</v>
      </c>
      <c r="T70" s="88"/>
      <c r="U70" s="89"/>
      <c r="W70" s="213" t="s">
        <v>3355</v>
      </c>
      <c r="X70" s="211">
        <f ca="1">IF($W70="DIRECT",M70,DCOUNT('literature entries'!$D:$AI,IF($J70=1,"ACTIVE     CED, FARM GATE (MJ/kg)","CED, processor gate (MJ/kg)"),INDIRECT($W70)))</f>
        <v>19</v>
      </c>
      <c r="Y70" s="211">
        <f ca="1">IF($W70="DIRECT","",DAVERAGE('literature entries'!$D:$AI,IF($J70=1,"ACTIVE     CED, FARM GATE (MJ/kg)","CED, processor gate (MJ/kg)"),INDIRECT($W70)))</f>
        <v>3.1899535894736837</v>
      </c>
      <c r="Z70" s="211">
        <f ca="1">IF($W70="DIRECT",$O70,DSTDEV('literature entries'!$D:$AI,IF($J70=1,"ACTIVE     CED, FARM GATE (MJ/kg)","CED, processor gate (MJ/kg)"),INDIRECT($W70)))</f>
        <v>1.8390624775878359</v>
      </c>
      <c r="AA70" s="211">
        <f t="shared" ca="1" si="7"/>
        <v>1.5656328074187953</v>
      </c>
      <c r="AB70" s="219" t="s">
        <v>3355</v>
      </c>
      <c r="AC70" s="212">
        <f ca="1">IF($AB70="DIRECT",Q70,DCOUNT('literature entries'!$D:$AI,IF($J70=1,"ACTIVE     GHGE, FARM GATE (kg CO2e/kg)","GHGE, processor gate (kg CO2e/kg)"),INDIRECT($AB70)))</f>
        <v>29</v>
      </c>
      <c r="AD70" s="212">
        <f ca="1">IF($AB70="DIRECT","",DAVERAGE('literature entries'!$D:$AI,IF($J70=1,"ACTIVE     GHGE, FARM GATE (kg CO2e/kg)","GHGE, processor gate (kg CO2e/kg)"),INDIRECT($AB70)))</f>
        <v>0.73083219793103427</v>
      </c>
      <c r="AE70" s="212">
        <f ca="1">IF($AB70="DIRECT",$S70,DSTDEV('literature entries'!$D:$AI,IF($J70=1,"ACTIVE     GHGE, FARM GATE (kg CO2e/kg)","GHGE, processor gate (kg CO2e/kg)"),INDIRECT($AB70)))</f>
        <v>0.90386671550847975</v>
      </c>
      <c r="AF70" s="212">
        <f t="shared" ca="1" si="8"/>
        <v>1.4275715757060576</v>
      </c>
    </row>
    <row r="71" spans="1:32" s="19" customFormat="1" ht="17" thickBot="1" x14ac:dyDescent="0.25">
      <c r="A71" s="114">
        <v>600348000</v>
      </c>
      <c r="B71" s="115" t="s">
        <v>2266</v>
      </c>
      <c r="C71" s="120" t="s">
        <v>2267</v>
      </c>
      <c r="D71" s="115"/>
      <c r="E71" s="115">
        <v>29542</v>
      </c>
      <c r="F71" s="111">
        <f t="shared" ca="1" si="9"/>
        <v>2.9633449999999999</v>
      </c>
      <c r="G71" s="112">
        <f t="shared" ca="1" si="10"/>
        <v>0.40566000000000002</v>
      </c>
      <c r="H71" s="117">
        <v>1</v>
      </c>
      <c r="I71" s="117" t="s">
        <v>2724</v>
      </c>
      <c r="J71" s="79">
        <v>2</v>
      </c>
      <c r="K71" s="78" t="s">
        <v>3286</v>
      </c>
      <c r="L71" s="135" t="str">
        <f>IF(ISERROR(GETPIVOTDATA(IF($J71=1,"Count of ACTIVE     CED, FARM GATE (MJ/kg)","Count of CED, processor gate (MJ/kg)"),'Pivot Table_CED'!$A$3,"SUB TYPE",$B71)),"PROXY",IF(GETPIVOTDATA(IF($J71=1,"Count of ACTIVE     CED, FARM GATE (MJ/kg)","Count of CED, processor gate (MJ/kg)"),'Pivot Table_CED'!$A$3,"SUB TYPE",$B71)=0,"PROXY","DB value"))</f>
        <v>PROXY</v>
      </c>
      <c r="M71" s="118">
        <f ca="1">IF($L71="PROXY",DCOUNT('literature entries'!$D:$AI,IF($J71=1,"ACTIVE     CED, FARM GATE (MJ/kg)","CED, processor gate (MJ/kg)"),INDIRECT($K71)),GETPIVOTDATA(IF($J71=1,"Count of ACTIVE     CED, FARM GATE (MJ/kg)","Count of CED, processor gate (MJ/kg)"),'Pivot Table_CED'!$A$3,"SUB TYPE",$B71))</f>
        <v>1</v>
      </c>
      <c r="N71" s="119">
        <f ca="1">IF($L71="PROXY",DAVERAGE('literature entries'!$D:$AI,IF($J71=1,"ACTIVE     CED, FARM GATE (MJ/kg)","CED, processor gate (MJ/kg)"),INDIRECT($K71)),GETPIVOTDATA(IF($J71=1,"Average of ACTIVE     CED, FARM GATE (MJ/kg)","Average of CED, processor gate (MJ/kg)"),'Pivot Table_CED'!$A$3,"SUB TYPE",$B71))</f>
        <v>2.9633449999999999</v>
      </c>
      <c r="O71" s="119" t="e">
        <f ca="1">IF($L71="PROXY",DSTDEV('literature entries'!D:AI,IF($J71=1,"ACTIVE     CED, FARM GATE (MJ/kg)","CED, processor gate (MJ/kg)"),INDIRECT($K71)),GETPIVOTDATA(IF($J71=1,"StdDev of ACTIVE     CED, FARM GATE (MJ/kg)","StdDev of CED, processor gate (MJ/kg)"),'Pivot Table_CED'!$A$3,"SUB TYPE",$B71))</f>
        <v>#DIV/0!</v>
      </c>
      <c r="P71" s="135" t="str">
        <f>IF(ISERROR(GETPIVOTDATA(IF($J71=1,"Count of ACTIVE     GHGE, FARM GATE (kg CO2e/kg)","Count of GHGE, processor gate (kg CO2e/kg)"),'Pivot Table_GHG'!$A$3,"SUB TYPE",$B71)),"PROXY",IF(GETPIVOTDATA(IF($J71=1,"Count of ACTIVE     GHGE, FARM GATE (kg CO2e/kg)","Count of GHGE, processor gate (kg CO2e/kg)"),'Pivot Table_GHG'!$A$3,"SUB TYPE",$B71)=0,"PROXY","DB value"))</f>
        <v>PROXY</v>
      </c>
      <c r="Q71" s="125">
        <f ca="1">IF($P71="PROXY",DCOUNT('literature entries'!$D:$AI,IF($J71=1,"ACTIVE     GHGE, FARM GATE (kg CO2e/kg)","GHGE, processor gate (kg CO2e/kg)"),INDIRECT($K71)),GETPIVOTDATA(IF($J71=1,"ACTIVE     GHGE, FARM GATE (kg CO2e/kg)","Count of GHGE, processor gate (kg CO2e/kg)"),'Pivot Table_GHG'!$A$3,"SUB TYPE",$B71))</f>
        <v>1</v>
      </c>
      <c r="R71" s="190">
        <f ca="1">IF($P71="PROXY",DAVERAGE('literature entries'!$D:$AI,IF($J71=1,"ACTIVE     GHGE, FARM GATE (kg CO2e/kg)","GHGE, processor gate (kg CO2e/kg)"),INDIRECT($K71)),GETPIVOTDATA(IF($J71=1,"Average of ACTIVE     GHGE, FARM GATE (kg CO2e/kg)","Average of GHGE, processor gate (kg CO2e/kg)"),'Pivot Table_GHG'!$A$3,"SUB TYPE",$B71))</f>
        <v>0.40566000000000002</v>
      </c>
      <c r="S71" s="190" t="e">
        <f ca="1">IF($P71="PROXY",DSTDEV('literature entries'!$D:$AI,IF($J71=1,"ACTIVE     GHGE, FARM GATE (kg CO2e/kg)","GHGE, processor gate (kg CO2e/kg)"),INDIRECT($K71)),GETPIVOTDATA(IF($J71=1,"StdDev of ACTIVE     GHGE, FARM GATE (kg CO2e/kg)","StdDev of GHGE, processor gate (kg CO2e/kg)"),'Pivot Table_GHG'!$A$3,"SUB TYPE",$B71))</f>
        <v>#DIV/0!</v>
      </c>
      <c r="T71" s="88"/>
      <c r="U71" s="89"/>
      <c r="W71" s="213" t="s">
        <v>3358</v>
      </c>
      <c r="X71" s="211">
        <f ca="1">IF($W71="DIRECT",M71,DCOUNT('literature entries'!$D:$AI,IF($J71=1,"ACTIVE     CED, FARM GATE (MJ/kg)","CED, processor gate (MJ/kg)"),INDIRECT($W71)))</f>
        <v>9</v>
      </c>
      <c r="Y71" s="211">
        <f ca="1">IF($W71="DIRECT","",DAVERAGE('literature entries'!$D:$AI,IF($J71=1,"ACTIVE     CED, FARM GATE (MJ/kg)","CED, processor gate (MJ/kg)"),INDIRECT($W71)))</f>
        <v>3.7933851999999999</v>
      </c>
      <c r="Z71" s="211">
        <f ca="1">IF($W71="DIRECT",$O71,DSTDEV('literature entries'!$D:$AI,IF($J71=1,"ACTIVE     CED, FARM GATE (MJ/kg)","CED, processor gate (MJ/kg)"),INDIRECT($W71)))</f>
        <v>1.2312612173276687</v>
      </c>
      <c r="AA71" s="211">
        <f t="shared" ca="1" si="7"/>
        <v>0.96184583945280866</v>
      </c>
      <c r="AB71" s="219" t="s">
        <v>3358</v>
      </c>
      <c r="AC71" s="212">
        <f ca="1">IF($AB71="DIRECT",Q71,DCOUNT('literature entries'!$D:$AI,IF($J71=1,"ACTIVE     GHGE, FARM GATE (kg CO2e/kg)","GHGE, processor gate (kg CO2e/kg)"),INDIRECT($AB71)))</f>
        <v>9</v>
      </c>
      <c r="AD71" s="212">
        <f ca="1">IF($AB71="DIRECT","",DAVERAGE('literature entries'!$D:$AI,IF($J71=1,"ACTIVE     GHGE, FARM GATE (kg CO2e/kg)","GHGE, processor gate (kg CO2e/kg)"),INDIRECT($AB71)))</f>
        <v>0.43042331</v>
      </c>
      <c r="AE71" s="212">
        <f ca="1">IF($AB71="DIRECT",$S71,DSTDEV('literature entries'!$D:$AI,IF($J71=1,"ACTIVE     GHGE, FARM GATE (kg CO2e/kg)","GHGE, processor gate (kg CO2e/kg)"),INDIRECT($AB71)))</f>
        <v>7.2682317360146784E-2</v>
      </c>
      <c r="AF71" s="212">
        <f t="shared" ca="1" si="8"/>
        <v>6.8500725158953751E-2</v>
      </c>
    </row>
    <row r="72" spans="1:32" s="19" customFormat="1" ht="17" thickBot="1" x14ac:dyDescent="0.25">
      <c r="A72" s="114">
        <v>600349000</v>
      </c>
      <c r="B72" s="115" t="s">
        <v>2272</v>
      </c>
      <c r="C72" s="115" t="s">
        <v>2273</v>
      </c>
      <c r="D72" s="115"/>
      <c r="E72" s="115">
        <v>1094</v>
      </c>
      <c r="F72" s="111">
        <f t="shared" ca="1" si="9"/>
        <v>1.682897205</v>
      </c>
      <c r="G72" s="112">
        <f t="shared" ca="1" si="10"/>
        <v>0.25832333333333329</v>
      </c>
      <c r="H72" s="116">
        <v>1</v>
      </c>
      <c r="I72" s="117" t="s">
        <v>594</v>
      </c>
      <c r="J72" s="79">
        <v>2</v>
      </c>
      <c r="K72" s="78"/>
      <c r="L72" s="135" t="str">
        <f>IF(ISERROR(GETPIVOTDATA(IF($J72=1,"Count of ACTIVE     CED, FARM GATE (MJ/kg)","Count of CED, processor gate (MJ/kg)"),'Pivot Table_CED'!$A$3,"SUB TYPE",$B72)),"PROXY",IF(GETPIVOTDATA(IF($J72=1,"Count of ACTIVE     CED, FARM GATE (MJ/kg)","Count of CED, processor gate (MJ/kg)"),'Pivot Table_CED'!$A$3,"SUB TYPE",$B72)=0,"PROXY","DB value"))</f>
        <v>DB value</v>
      </c>
      <c r="M72" s="118">
        <f ca="1">IF($L72="PROXY",DCOUNT('literature entries'!$D:$AI,IF($J72=1,"ACTIVE     CED, FARM GATE (MJ/kg)","CED, processor gate (MJ/kg)"),INDIRECT($K72)),GETPIVOTDATA(IF($J72=1,"Count of ACTIVE     CED, FARM GATE (MJ/kg)","Count of CED, processor gate (MJ/kg)"),'Pivot Table_CED'!$A$3,"SUB TYPE",$B72))</f>
        <v>2</v>
      </c>
      <c r="N72" s="119">
        <f ca="1">IF($L72="PROXY",DAVERAGE('literature entries'!$D:$AI,IF($J72=1,"ACTIVE     CED, FARM GATE (MJ/kg)","CED, processor gate (MJ/kg)"),INDIRECT($K72)),GETPIVOTDATA(IF($J72=1,"Average of ACTIVE     CED, FARM GATE (MJ/kg)","Average of CED, processor gate (MJ/kg)"),'Pivot Table_CED'!$A$3,"SUB TYPE",$B72))</f>
        <v>1.682897205</v>
      </c>
      <c r="O72" s="119">
        <f ca="1">IF($L72="PROXY",DSTDEV('literature entries'!D:AI,IF($J72=1,"ACTIVE     CED, FARM GATE (MJ/kg)","CED, processor gate (MJ/kg)"),INDIRECT($K72)),GETPIVOTDATA(IF($J72=1,"StdDev of ACTIVE     CED, FARM GATE (MJ/kg)","StdDev of CED, processor gate (MJ/kg)"),'Pivot Table_CED'!$A$3,"SUB TYPE",$B72))</f>
        <v>0.11297474034395312</v>
      </c>
      <c r="P72" s="135" t="str">
        <f>IF(ISERROR(GETPIVOTDATA(IF($J72=1,"Count of ACTIVE     GHGE, FARM GATE (kg CO2e/kg)","Count of GHGE, processor gate (kg CO2e/kg)"),'Pivot Table_GHG'!$A$3,"SUB TYPE",$B72)),"PROXY",IF(GETPIVOTDATA(IF($J72=1,"Count of ACTIVE     GHGE, FARM GATE (kg CO2e/kg)","Count of GHGE, processor gate (kg CO2e/kg)"),'Pivot Table_GHG'!$A$3,"SUB TYPE",$B72)=0,"PROXY","DB value"))</f>
        <v>DB value</v>
      </c>
      <c r="Q72" s="125">
        <f ca="1">IF($P72="PROXY",DCOUNT('literature entries'!$D:$AI,IF($J72=1,"ACTIVE     GHGE, FARM GATE (kg CO2e/kg)","GHGE, processor gate (kg CO2e/kg)"),INDIRECT($K72)),GETPIVOTDATA(IF($J72=1,"ACTIVE     GHGE, FARM GATE (kg CO2e/kg)","Count of GHGE, processor gate (kg CO2e/kg)"),'Pivot Table_GHG'!$A$3,"SUB TYPE",$B72))</f>
        <v>3</v>
      </c>
      <c r="R72" s="190">
        <f ca="1">IF($P72="PROXY",DAVERAGE('literature entries'!$D:$AI,IF($J72=1,"ACTIVE     GHGE, FARM GATE (kg CO2e/kg)","GHGE, processor gate (kg CO2e/kg)"),INDIRECT($K72)),GETPIVOTDATA(IF($J72=1,"Average of ACTIVE     GHGE, FARM GATE (kg CO2e/kg)","Average of GHGE, processor gate (kg CO2e/kg)"),'Pivot Table_GHG'!$A$3,"SUB TYPE",$B72))</f>
        <v>0.25832333333333329</v>
      </c>
      <c r="S72" s="190">
        <f ca="1">IF($P72="PROXY",DSTDEV('literature entries'!$D:$AI,IF($J72=1,"ACTIVE     GHGE, FARM GATE (kg CO2e/kg)","GHGE, processor gate (kg CO2e/kg)"),INDIRECT($K72)),GETPIVOTDATA(IF($J72=1,"StdDev of ACTIVE     GHGE, FARM GATE (kg CO2e/kg)","StdDev of GHGE, processor gate (kg CO2e/kg)"),'Pivot Table_GHG'!$A$3,"SUB TYPE",$B72))</f>
        <v>0.16877969200509091</v>
      </c>
      <c r="T72" s="88"/>
      <c r="U72" s="89"/>
      <c r="W72" s="221" t="s">
        <v>3367</v>
      </c>
      <c r="X72" s="211"/>
      <c r="Y72" s="211"/>
      <c r="Z72" s="211">
        <v>0</v>
      </c>
      <c r="AA72" s="211">
        <v>0</v>
      </c>
      <c r="AB72" s="221" t="s">
        <v>3367</v>
      </c>
      <c r="AC72" s="212"/>
      <c r="AD72" s="212"/>
      <c r="AE72" s="212">
        <v>0</v>
      </c>
      <c r="AF72" s="212">
        <v>0</v>
      </c>
    </row>
    <row r="73" spans="1:32" s="19" customFormat="1" ht="17" thickBot="1" x14ac:dyDescent="0.25">
      <c r="A73" s="114">
        <v>600350000</v>
      </c>
      <c r="B73" s="115" t="s">
        <v>2268</v>
      </c>
      <c r="C73" s="115" t="s">
        <v>1731</v>
      </c>
      <c r="D73" s="115" t="s">
        <v>2269</v>
      </c>
      <c r="E73" s="115">
        <v>50809</v>
      </c>
      <c r="F73" s="111">
        <f t="shared" ca="1" si="9"/>
        <v>7.6164500000000004</v>
      </c>
      <c r="G73" s="112">
        <f t="shared" ca="1" si="10"/>
        <v>0.80688000000000004</v>
      </c>
      <c r="H73" s="120">
        <v>1</v>
      </c>
      <c r="I73" s="117" t="s">
        <v>628</v>
      </c>
      <c r="J73" s="79">
        <v>2</v>
      </c>
      <c r="K73" s="78"/>
      <c r="L73" s="135" t="str">
        <f>IF(ISERROR(GETPIVOTDATA(IF($J73=1,"Count of ACTIVE     CED, FARM GATE (MJ/kg)","Count of CED, processor gate (MJ/kg)"),'Pivot Table_CED'!$A$3,"SUB TYPE",$B73)),"PROXY",IF(GETPIVOTDATA(IF($J73=1,"Count of ACTIVE     CED, FARM GATE (MJ/kg)","Count of CED, processor gate (MJ/kg)"),'Pivot Table_CED'!$A$3,"SUB TYPE",$B73)=0,"PROXY","DB value"))</f>
        <v>DB value</v>
      </c>
      <c r="M73" s="118">
        <f ca="1">IF($L73="PROXY",DCOUNT('literature entries'!$D:$AI,IF($J73=1,"ACTIVE     CED, FARM GATE (MJ/kg)","CED, processor gate (MJ/kg)"),INDIRECT($K73)),GETPIVOTDATA(IF($J73=1,"Count of ACTIVE     CED, FARM GATE (MJ/kg)","Count of CED, processor gate (MJ/kg)"),'Pivot Table_CED'!$A$3,"SUB TYPE",$B73))</f>
        <v>2</v>
      </c>
      <c r="N73" s="119">
        <f ca="1">IF($L73="PROXY",DAVERAGE('literature entries'!$D:$AI,IF($J73=1,"ACTIVE     CED, FARM GATE (MJ/kg)","CED, processor gate (MJ/kg)"),INDIRECT($K73)),GETPIVOTDATA(IF($J73=1,"Average of ACTIVE     CED, FARM GATE (MJ/kg)","Average of CED, processor gate (MJ/kg)"),'Pivot Table_CED'!$A$3,"SUB TYPE",$B73))</f>
        <v>7.6164500000000004</v>
      </c>
      <c r="O73" s="119">
        <f ca="1">IF($L73="PROXY",DSTDEV('literature entries'!D:AI,IF($J73=1,"ACTIVE     CED, FARM GATE (MJ/kg)","CED, processor gate (MJ/kg)"),INDIRECT($K73)),GETPIVOTDATA(IF($J73=1,"StdDev of ACTIVE     CED, FARM GATE (MJ/kg)","StdDev of CED, processor gate (MJ/kg)"),'Pivot Table_CED'!$A$3,"SUB TYPE",$B73))</f>
        <v>1.6030817836280169</v>
      </c>
      <c r="P73" s="135" t="str">
        <f>IF(ISERROR(GETPIVOTDATA(IF($J73=1,"Count of ACTIVE     GHGE, FARM GATE (kg CO2e/kg)","Count of GHGE, processor gate (kg CO2e/kg)"),'Pivot Table_GHG'!$A$3,"SUB TYPE",$B73)),"PROXY",IF(GETPIVOTDATA(IF($J73=1,"Count of ACTIVE     GHGE, FARM GATE (kg CO2e/kg)","Count of GHGE, processor gate (kg CO2e/kg)"),'Pivot Table_GHG'!$A$3,"SUB TYPE",$B73)=0,"PROXY","DB value"))</f>
        <v>DB value</v>
      </c>
      <c r="Q73" s="125">
        <f ca="1">IF($P73="PROXY",DCOUNT('literature entries'!$D:$AI,IF($J73=1,"ACTIVE     GHGE, FARM GATE (kg CO2e/kg)","GHGE, processor gate (kg CO2e/kg)"),INDIRECT($K73)),GETPIVOTDATA(IF($J73=1,"ACTIVE     GHGE, FARM GATE (kg CO2e/kg)","Count of GHGE, processor gate (kg CO2e/kg)"),'Pivot Table_GHG'!$A$3,"SUB TYPE",$B73))</f>
        <v>1</v>
      </c>
      <c r="R73" s="190">
        <f ca="1">IF($P73="PROXY",DAVERAGE('literature entries'!$D:$AI,IF($J73=1,"ACTIVE     GHGE, FARM GATE (kg CO2e/kg)","GHGE, processor gate (kg CO2e/kg)"),INDIRECT($K73)),GETPIVOTDATA(IF($J73=1,"Average of ACTIVE     GHGE, FARM GATE (kg CO2e/kg)","Average of GHGE, processor gate (kg CO2e/kg)"),'Pivot Table_GHG'!$A$3,"SUB TYPE",$B73))</f>
        <v>0.80688000000000004</v>
      </c>
      <c r="S73" s="190" t="e">
        <f ca="1">IF($P73="PROXY",DSTDEV('literature entries'!$D:$AI,IF($J73=1,"ACTIVE     GHGE, FARM GATE (kg CO2e/kg)","GHGE, processor gate (kg CO2e/kg)"),INDIRECT($K73)),GETPIVOTDATA(IF($J73=1,"StdDev of ACTIVE     GHGE, FARM GATE (kg CO2e/kg)","StdDev of GHGE, processor gate (kg CO2e/kg)"),'Pivot Table_GHG'!$A$3,"SUB TYPE",$B73))</f>
        <v>#DIV/0!</v>
      </c>
      <c r="T73" s="88"/>
      <c r="U73" s="89"/>
      <c r="W73" s="213" t="s">
        <v>3354</v>
      </c>
      <c r="X73" s="211">
        <f ca="1">IF($W73="DIRECT",M73,DCOUNT('literature entries'!$D:$AI,IF($J73=1,"ACTIVE     CED, FARM GATE (MJ/kg)","CED, processor gate (MJ/kg)"),INDIRECT($W73)))</f>
        <v>16</v>
      </c>
      <c r="Y73" s="211">
        <f ca="1">IF($W73="DIRECT","",DAVERAGE('literature entries'!$D:$AI,IF($J73=1,"ACTIVE     CED, FARM GATE (MJ/kg)","CED, processor gate (MJ/kg)"),INDIRECT($W73)))</f>
        <v>11.873325197282607</v>
      </c>
      <c r="Z73" s="211">
        <f ca="1">IF($W73="DIRECT",$O73,DSTDEV('literature entries'!$D:$AI,IF($J73=1,"ACTIVE     CED, FARM GATE (MJ/kg)","CED, processor gate (MJ/kg)"),INDIRECT($W73)))</f>
        <v>5.663275464099641</v>
      </c>
      <c r="AA73" s="211">
        <f t="shared" ref="AA73:AA104" ca="1" si="11">IF($W73="DIRECT",$O73,$Z73/$Y73*$N73)</f>
        <v>3.6328537871104212</v>
      </c>
      <c r="AB73" s="219" t="s">
        <v>3354</v>
      </c>
      <c r="AC73" s="212">
        <f ca="1">IF($AB73="DIRECT",Q73,DCOUNT('literature entries'!$D:$AI,IF($J73=1,"ACTIVE     GHGE, FARM GATE (kg CO2e/kg)","GHGE, processor gate (kg CO2e/kg)"),INDIRECT($AB73)))</f>
        <v>19</v>
      </c>
      <c r="AD73" s="212">
        <f ca="1">IF($AB73="DIRECT","",DAVERAGE('literature entries'!$D:$AI,IF($J73=1,"ACTIVE     GHGE, FARM GATE (kg CO2e/kg)","GHGE, processor gate (kg CO2e/kg)"),INDIRECT($AB73)))</f>
        <v>3.6074757576297722</v>
      </c>
      <c r="AE73" s="212">
        <f ca="1">IF($AB73="DIRECT",$S73,DSTDEV('literature entries'!$D:$AI,IF($J73=1,"ACTIVE     GHGE, FARM GATE (kg CO2e/kg)","GHGE, processor gate (kg CO2e/kg)"),INDIRECT($AB73)))</f>
        <v>2.5306182127862726</v>
      </c>
      <c r="AF73" s="212">
        <f t="shared" ref="AF73:AF104" ca="1" si="12">IF($AB73="DIRECT",$S73,$AE73/$AD73*$R73)</f>
        <v>0.56602049763311102</v>
      </c>
    </row>
    <row r="74" spans="1:32" s="19" customFormat="1" thickBot="1" x14ac:dyDescent="0.25">
      <c r="A74" s="114">
        <v>601043000</v>
      </c>
      <c r="B74" s="115" t="s">
        <v>1805</v>
      </c>
      <c r="C74" s="115" t="s">
        <v>1790</v>
      </c>
      <c r="D74" s="115" t="s">
        <v>1806</v>
      </c>
      <c r="E74" s="115">
        <v>5924</v>
      </c>
      <c r="F74" s="111">
        <f t="shared" ca="1" si="9"/>
        <v>5.785499999999999</v>
      </c>
      <c r="G74" s="112">
        <f t="shared" ca="1" si="10"/>
        <v>0.75417333333333336</v>
      </c>
      <c r="H74" s="116">
        <v>1.1399999999999999</v>
      </c>
      <c r="I74" s="116" t="s">
        <v>2724</v>
      </c>
      <c r="J74" s="79">
        <v>1</v>
      </c>
      <c r="K74" s="78"/>
      <c r="L74" s="135" t="str">
        <f>IF(ISERROR(GETPIVOTDATA(IF($J74=1,"Count of ACTIVE     CED, FARM GATE (MJ/kg)","Count of CED, processor gate (MJ/kg)"),'Pivot Table_CED'!$A$3,"SUB TYPE",$B74)),"PROXY",IF(GETPIVOTDATA(IF($J74=1,"Count of ACTIVE     CED, FARM GATE (MJ/kg)","Count of CED, processor gate (MJ/kg)"),'Pivot Table_CED'!$A$3,"SUB TYPE",$B74)=0,"PROXY","DB value"))</f>
        <v>DB value</v>
      </c>
      <c r="M74" s="118">
        <f ca="1">IF($L74="PROXY",DCOUNT('literature entries'!$D:$AI,IF($J74=1,"ACTIVE     CED, FARM GATE (MJ/kg)","CED, processor gate (MJ/kg)"),INDIRECT($K74)),GETPIVOTDATA(IF($J74=1,"Count of ACTIVE     CED, FARM GATE (MJ/kg)","Count of CED, processor gate (MJ/kg)"),'Pivot Table_CED'!$A$3,"SUB TYPE",$B74))</f>
        <v>2</v>
      </c>
      <c r="N74" s="119">
        <f ca="1">IF($L74="PROXY",DAVERAGE('literature entries'!$D:$AI,IF($J74=1,"ACTIVE     CED, FARM GATE (MJ/kg)","CED, processor gate (MJ/kg)"),INDIRECT($K74)),GETPIVOTDATA(IF($J74=1,"Average of ACTIVE     CED, FARM GATE (MJ/kg)","Average of CED, processor gate (MJ/kg)"),'Pivot Table_CED'!$A$3,"SUB TYPE",$B74))</f>
        <v>5.0749999999999993</v>
      </c>
      <c r="O74" s="119">
        <f ca="1">IF($L74="PROXY",DSTDEV('literature entries'!D:AI,IF($J74=1,"ACTIVE     CED, FARM GATE (MJ/kg)","CED, processor gate (MJ/kg)"),INDIRECT($K74)),GETPIVOTDATA(IF($J74=1,"StdDev of ACTIVE     CED, FARM GATE (MJ/kg)","StdDev of CED, processor gate (MJ/kg)"),'Pivot Table_CED'!$A$3,"SUB TYPE",$B74))</f>
        <v>1.4495689014324273</v>
      </c>
      <c r="P74" s="135" t="str">
        <f>IF(ISERROR(GETPIVOTDATA(IF($J74=1,"Count of ACTIVE     GHGE, FARM GATE (kg CO2e/kg)","Count of GHGE, processor gate (kg CO2e/kg)"),'Pivot Table_GHG'!$A$3,"SUB TYPE",$B74)),"PROXY",IF(GETPIVOTDATA(IF($J74=1,"Count of ACTIVE     GHGE, FARM GATE (kg CO2e/kg)","Count of GHGE, processor gate (kg CO2e/kg)"),'Pivot Table_GHG'!$A$3,"SUB TYPE",$B74)=0,"PROXY","DB value"))</f>
        <v>DB value</v>
      </c>
      <c r="Q74" s="125">
        <f ca="1">IF($P74="PROXY",DCOUNT('literature entries'!$D:$AI,IF($J74=1,"ACTIVE     GHGE, FARM GATE (kg CO2e/kg)","GHGE, processor gate (kg CO2e/kg)"),INDIRECT($K74)),GETPIVOTDATA(IF($J74=1,"ACTIVE     GHGE, FARM GATE (kg CO2e/kg)","Count of GHGE, processor gate (kg CO2e/kg)"),'Pivot Table_GHG'!$A$3,"SUB TYPE",$B74))</f>
        <v>9</v>
      </c>
      <c r="R74" s="190">
        <f ca="1">IF($P74="PROXY",DAVERAGE('literature entries'!$D:$AI,IF($J74=1,"ACTIVE     GHGE, FARM GATE (kg CO2e/kg)","GHGE, processor gate (kg CO2e/kg)"),INDIRECT($K74)),GETPIVOTDATA(IF($J74=1,"Average of ACTIVE     GHGE, FARM GATE (kg CO2e/kg)","Average of GHGE, processor gate (kg CO2e/kg)"),'Pivot Table_GHG'!$A$3,"SUB TYPE",$B74))</f>
        <v>0.66155555555555567</v>
      </c>
      <c r="S74" s="190">
        <f ca="1">IF($P74="PROXY",DSTDEV('literature entries'!$D:$AI,IF($J74=1,"ACTIVE     GHGE, FARM GATE (kg CO2e/kg)","GHGE, processor gate (kg CO2e/kg)"),INDIRECT($K74)),GETPIVOTDATA(IF($J74=1,"StdDev of ACTIVE     GHGE, FARM GATE (kg CO2e/kg)","StdDev of GHGE, processor gate (kg CO2e/kg)"),'Pivot Table_GHG'!$A$3,"SUB TYPE",$B74))</f>
        <v>0.92540506146107593</v>
      </c>
      <c r="T74" s="88"/>
      <c r="U74" s="89"/>
      <c r="W74" s="213" t="s">
        <v>3361</v>
      </c>
      <c r="X74" s="211">
        <f ca="1">IF($W74="DIRECT",M74,DCOUNT('literature entries'!$D:$AI,IF($J74=1,"ACTIVE     CED, FARM GATE (MJ/kg)","CED, processor gate (MJ/kg)"),INDIRECT($W74)))</f>
        <v>60</v>
      </c>
      <c r="Y74" s="211">
        <f ca="1">IF($W74="DIRECT","",DAVERAGE('literature entries'!$D:$AI,IF($J74=1,"ACTIVE     CED, FARM GATE (MJ/kg)","CED, processor gate (MJ/kg)"),INDIRECT($W74)))</f>
        <v>3.4907536756076811</v>
      </c>
      <c r="Z74" s="211">
        <f ca="1">IF($W74="DIRECT",$O74,DSTDEV('literature entries'!$D:$AI,IF($J74=1,"ACTIVE     CED, FARM GATE (MJ/kg)","CED, processor gate (MJ/kg)"),INDIRECT($W74)))</f>
        <v>2.8914615487691551</v>
      </c>
      <c r="AA74" s="211">
        <f t="shared" ca="1" si="11"/>
        <v>4.203724674858055</v>
      </c>
      <c r="AB74" s="219" t="str">
        <f ca="1">IF(P74="PROXY",IF(Q74&gt;=5,K74,"need group"),IF(Q74&gt;=5,"DIRECT","need group"))</f>
        <v>DIRECT</v>
      </c>
      <c r="AC74" s="212">
        <f ca="1">IF($AB74="DIRECT",Q74,DCOUNT('literature entries'!$D:$AI,IF($J74=1,"ACTIVE     GHGE, FARM GATE (kg CO2e/kg)","GHGE, processor gate (kg CO2e/kg)"),INDIRECT($AB74)))</f>
        <v>9</v>
      </c>
      <c r="AD74" s="212" t="str">
        <f ca="1">IF($AB74="DIRECT","",DAVERAGE('literature entries'!$D:$AI,IF($J74=1,"ACTIVE     GHGE, FARM GATE (kg CO2e/kg)","GHGE, processor gate (kg CO2e/kg)"),INDIRECT($AB74)))</f>
        <v/>
      </c>
      <c r="AE74" s="212">
        <f ca="1">IF($AB74="DIRECT",$S74,DSTDEV('literature entries'!$D:$AI,IF($J74=1,"ACTIVE     GHGE, FARM GATE (kg CO2e/kg)","GHGE, processor gate (kg CO2e/kg)"),INDIRECT($AB74)))</f>
        <v>0.92540506146107593</v>
      </c>
      <c r="AF74" s="212">
        <f t="shared" ca="1" si="12"/>
        <v>0.92540506146107593</v>
      </c>
    </row>
    <row r="75" spans="1:32" s="19" customFormat="1" ht="17" thickBot="1" x14ac:dyDescent="0.25">
      <c r="A75" s="114">
        <v>601257000</v>
      </c>
      <c r="B75" s="115" t="s">
        <v>2128</v>
      </c>
      <c r="C75" s="115" t="s">
        <v>2129</v>
      </c>
      <c r="D75" s="115"/>
      <c r="E75" s="115">
        <v>385</v>
      </c>
      <c r="F75" s="111">
        <f t="shared" ca="1" si="9"/>
        <v>5.3794999999999993</v>
      </c>
      <c r="G75" s="112">
        <f t="shared" ca="1" si="10"/>
        <v>0.70124888888888903</v>
      </c>
      <c r="H75" s="116">
        <v>1.06</v>
      </c>
      <c r="I75" s="117" t="s">
        <v>2724</v>
      </c>
      <c r="J75" s="79">
        <v>1</v>
      </c>
      <c r="K75" s="78" t="s">
        <v>3272</v>
      </c>
      <c r="L75" s="135" t="str">
        <f>IF(ISERROR(GETPIVOTDATA(IF($J75=1,"Count of ACTIVE     CED, FARM GATE (MJ/kg)","Count of CED, processor gate (MJ/kg)"),'Pivot Table_CED'!$A$3,"SUB TYPE",$B75)),"PROXY",IF(GETPIVOTDATA(IF($J75=1,"Count of ACTIVE     CED, FARM GATE (MJ/kg)","Count of CED, processor gate (MJ/kg)"),'Pivot Table_CED'!$A$3,"SUB TYPE",$B75)=0,"PROXY","DB value"))</f>
        <v>PROXY</v>
      </c>
      <c r="M75" s="118">
        <f ca="1">IF($L75="PROXY",DCOUNT('literature entries'!$D:$AI,IF($J75=1,"ACTIVE     CED, FARM GATE (MJ/kg)","CED, processor gate (MJ/kg)"),INDIRECT($K75)),GETPIVOTDATA(IF($J75=1,"Count of ACTIVE     CED, FARM GATE (MJ/kg)","Count of CED, processor gate (MJ/kg)"),'Pivot Table_CED'!$A$3,"SUB TYPE",$B75))</f>
        <v>2</v>
      </c>
      <c r="N75" s="119">
        <f ca="1">IF($L75="PROXY",DAVERAGE('literature entries'!$D:$AI,IF($J75=1,"ACTIVE     CED, FARM GATE (MJ/kg)","CED, processor gate (MJ/kg)"),INDIRECT($K75)),GETPIVOTDATA(IF($J75=1,"Average of ACTIVE     CED, FARM GATE (MJ/kg)","Average of CED, processor gate (MJ/kg)"),'Pivot Table_CED'!$A$3,"SUB TYPE",$B75))</f>
        <v>5.0749999999999993</v>
      </c>
      <c r="O75" s="119">
        <f ca="1">IF($L75="PROXY",DSTDEV('literature entries'!D:AI,IF($J75=1,"ACTIVE     CED, FARM GATE (MJ/kg)","CED, processor gate (MJ/kg)"),INDIRECT($K75)),GETPIVOTDATA(IF($J75=1,"StdDev of ACTIVE     CED, FARM GATE (MJ/kg)","StdDev of CED, processor gate (MJ/kg)"),'Pivot Table_CED'!$A$3,"SUB TYPE",$B75))</f>
        <v>1.4495689014324273</v>
      </c>
      <c r="P75" s="135" t="str">
        <f>IF(ISERROR(GETPIVOTDATA(IF($J75=1,"Count of ACTIVE     GHGE, FARM GATE (kg CO2e/kg)","Count of GHGE, processor gate (kg CO2e/kg)"),'Pivot Table_GHG'!$A$3,"SUB TYPE",$B75)),"PROXY",IF(GETPIVOTDATA(IF($J75=1,"Count of ACTIVE     GHGE, FARM GATE (kg CO2e/kg)","Count of GHGE, processor gate (kg CO2e/kg)"),'Pivot Table_GHG'!$A$3,"SUB TYPE",$B75)=0,"PROXY","DB value"))</f>
        <v>PROXY</v>
      </c>
      <c r="Q75" s="125">
        <f ca="1">IF($P75="PROXY",DCOUNT('literature entries'!$D:$AI,IF($J75=1,"ACTIVE     GHGE, FARM GATE (kg CO2e/kg)","GHGE, processor gate (kg CO2e/kg)"),INDIRECT($K75)),GETPIVOTDATA(IF($J75=1,"ACTIVE     GHGE, FARM GATE (kg CO2e/kg)","Count of GHGE, processor gate (kg CO2e/kg)"),'Pivot Table_GHG'!$A$3,"SUB TYPE",$B75))</f>
        <v>9</v>
      </c>
      <c r="R75" s="190">
        <f ca="1">IF($P75="PROXY",DAVERAGE('literature entries'!$D:$AI,IF($J75=1,"ACTIVE     GHGE, FARM GATE (kg CO2e/kg)","GHGE, processor gate (kg CO2e/kg)"),INDIRECT($K75)),GETPIVOTDATA(IF($J75=1,"Average of ACTIVE     GHGE, FARM GATE (kg CO2e/kg)","Average of GHGE, processor gate (kg CO2e/kg)"),'Pivot Table_GHG'!$A$3,"SUB TYPE",$B75))</f>
        <v>0.66155555555555567</v>
      </c>
      <c r="S75" s="190">
        <f ca="1">IF($P75="PROXY",DSTDEV('literature entries'!$D:$AI,IF($J75=1,"ACTIVE     GHGE, FARM GATE (kg CO2e/kg)","GHGE, processor gate (kg CO2e/kg)"),INDIRECT($K75)),GETPIVOTDATA(IF($J75=1,"StdDev of ACTIVE     GHGE, FARM GATE (kg CO2e/kg)","StdDev of GHGE, processor gate (kg CO2e/kg)"),'Pivot Table_GHG'!$A$3,"SUB TYPE",$B75))</f>
        <v>0.92540506146107593</v>
      </c>
      <c r="T75" s="88"/>
      <c r="U75" s="89"/>
      <c r="W75" s="213" t="s">
        <v>3361</v>
      </c>
      <c r="X75" s="211">
        <f ca="1">IF($W75="DIRECT",M75,DCOUNT('literature entries'!$D:$AI,IF($J75=1,"ACTIVE     CED, FARM GATE (MJ/kg)","CED, processor gate (MJ/kg)"),INDIRECT($W75)))</f>
        <v>60</v>
      </c>
      <c r="Y75" s="211">
        <f ca="1">IF($W75="DIRECT","",DAVERAGE('literature entries'!$D:$AI,IF($J75=1,"ACTIVE     CED, FARM GATE (MJ/kg)","CED, processor gate (MJ/kg)"),INDIRECT($W75)))</f>
        <v>3.4907536756076811</v>
      </c>
      <c r="Z75" s="211">
        <f ca="1">IF($W75="DIRECT",$O75,DSTDEV('literature entries'!$D:$AI,IF($J75=1,"ACTIVE     CED, FARM GATE (MJ/kg)","CED, processor gate (MJ/kg)"),INDIRECT($W75)))</f>
        <v>2.8914615487691551</v>
      </c>
      <c r="AA75" s="211">
        <f t="shared" ca="1" si="11"/>
        <v>4.203724674858055</v>
      </c>
      <c r="AB75" s="219" t="s">
        <v>3361</v>
      </c>
      <c r="AC75" s="212">
        <f ca="1">IF($AB75="DIRECT",Q75,DCOUNT('literature entries'!$D:$AI,IF($J75=1,"ACTIVE     GHGE, FARM GATE (kg CO2e/kg)","GHGE, processor gate (kg CO2e/kg)"),INDIRECT($AB75)))</f>
        <v>130</v>
      </c>
      <c r="AD75" s="212">
        <f ca="1">IF($AB75="DIRECT","",DAVERAGE('literature entries'!$D:$AI,IF($J75=1,"ACTIVE     GHGE, FARM GATE (kg CO2e/kg)","GHGE, processor gate (kg CO2e/kg)"),INDIRECT($AB75)))</f>
        <v>0.57143231537198591</v>
      </c>
      <c r="AE75" s="212">
        <f ca="1">IF($AB75="DIRECT",$S75,DSTDEV('literature entries'!$D:$AI,IF($J75=1,"ACTIVE     GHGE, FARM GATE (kg CO2e/kg)","GHGE, processor gate (kg CO2e/kg)"),INDIRECT($AB75)))</f>
        <v>0.97567296151555694</v>
      </c>
      <c r="AF75" s="212">
        <f t="shared" ca="1" si="12"/>
        <v>1.1295508684624906</v>
      </c>
    </row>
    <row r="76" spans="1:32" s="19" customFormat="1" ht="17" thickBot="1" x14ac:dyDescent="0.25">
      <c r="A76" s="114">
        <v>602031000</v>
      </c>
      <c r="B76" s="115" t="s">
        <v>1789</v>
      </c>
      <c r="C76" s="115" t="s">
        <v>1790</v>
      </c>
      <c r="D76" s="115" t="s">
        <v>1788</v>
      </c>
      <c r="E76" s="115">
        <v>6</v>
      </c>
      <c r="F76" s="111">
        <f t="shared" ca="1" si="9"/>
        <v>5.0749999999999993</v>
      </c>
      <c r="G76" s="112">
        <f t="shared" ca="1" si="10"/>
        <v>0.66155555555555567</v>
      </c>
      <c r="H76" s="193">
        <v>1</v>
      </c>
      <c r="I76" s="194" t="s">
        <v>594</v>
      </c>
      <c r="J76" s="90">
        <v>1</v>
      </c>
      <c r="K76" s="78" t="s">
        <v>3272</v>
      </c>
      <c r="L76" s="135" t="str">
        <f>IF(ISERROR(GETPIVOTDATA(IF($J76=1,"Count of ACTIVE     CED, FARM GATE (MJ/kg)","Count of CED, processor gate (MJ/kg)"),'Pivot Table_CED'!$A$3,"SUB TYPE",$B76)),"PROXY",IF(GETPIVOTDATA(IF($J76=1,"Count of ACTIVE     CED, FARM GATE (MJ/kg)","Count of CED, processor gate (MJ/kg)"),'Pivot Table_CED'!$A$3,"SUB TYPE",$B76)=0,"PROXY","DB value"))</f>
        <v>PROXY</v>
      </c>
      <c r="M76" s="118">
        <f ca="1">IF($L76="PROXY",DCOUNT('literature entries'!$D:$AI,IF($J76=1,"ACTIVE     CED, FARM GATE (MJ/kg)","CED, processor gate (MJ/kg)"),INDIRECT($K76)),GETPIVOTDATA(IF($J76=1,"Count of ACTIVE     CED, FARM GATE (MJ/kg)","Count of CED, processor gate (MJ/kg)"),'Pivot Table_CED'!$A$3,"SUB TYPE",$B76))</f>
        <v>2</v>
      </c>
      <c r="N76" s="119">
        <f ca="1">IF($L76="PROXY",DAVERAGE('literature entries'!$D:$AI,IF($J76=1,"ACTIVE     CED, FARM GATE (MJ/kg)","CED, processor gate (MJ/kg)"),INDIRECT($K76)),GETPIVOTDATA(IF($J76=1,"Average of ACTIVE     CED, FARM GATE (MJ/kg)","Average of CED, processor gate (MJ/kg)"),'Pivot Table_CED'!$A$3,"SUB TYPE",$B76))</f>
        <v>5.0749999999999993</v>
      </c>
      <c r="O76" s="119">
        <f ca="1">IF($L76="PROXY",DSTDEV('literature entries'!D:AI,IF($J76=1,"ACTIVE     CED, FARM GATE (MJ/kg)","CED, processor gate (MJ/kg)"),INDIRECT($K76)),GETPIVOTDATA(IF($J76=1,"StdDev of ACTIVE     CED, FARM GATE (MJ/kg)","StdDev of CED, processor gate (MJ/kg)"),'Pivot Table_CED'!$A$3,"SUB TYPE",$B76))</f>
        <v>1.4495689014324273</v>
      </c>
      <c r="P76" s="135" t="str">
        <f>IF(ISERROR(GETPIVOTDATA(IF($J76=1,"Count of ACTIVE     GHGE, FARM GATE (kg CO2e/kg)","Count of GHGE, processor gate (kg CO2e/kg)"),'Pivot Table_GHG'!$A$3,"SUB TYPE",$B76)),"PROXY",IF(GETPIVOTDATA(IF($J76=1,"Count of ACTIVE     GHGE, FARM GATE (kg CO2e/kg)","Count of GHGE, processor gate (kg CO2e/kg)"),'Pivot Table_GHG'!$A$3,"SUB TYPE",$B76)=0,"PROXY","DB value"))</f>
        <v>PROXY</v>
      </c>
      <c r="Q76" s="125">
        <f ca="1">IF($P76="PROXY",DCOUNT('literature entries'!$D:$AI,IF($J76=1,"ACTIVE     GHGE, FARM GATE (kg CO2e/kg)","GHGE, processor gate (kg CO2e/kg)"),INDIRECT($K76)),GETPIVOTDATA(IF($J76=1,"ACTIVE     GHGE, FARM GATE (kg CO2e/kg)","Count of GHGE, processor gate (kg CO2e/kg)"),'Pivot Table_GHG'!$A$3,"SUB TYPE",$B76))</f>
        <v>9</v>
      </c>
      <c r="R76" s="190">
        <f ca="1">IF($P76="PROXY",DAVERAGE('literature entries'!$D:$AI,IF($J76=1,"ACTIVE     GHGE, FARM GATE (kg CO2e/kg)","GHGE, processor gate (kg CO2e/kg)"),INDIRECT($K76)),GETPIVOTDATA(IF($J76=1,"Average of ACTIVE     GHGE, FARM GATE (kg CO2e/kg)","Average of GHGE, processor gate (kg CO2e/kg)"),'Pivot Table_GHG'!$A$3,"SUB TYPE",$B76))</f>
        <v>0.66155555555555567</v>
      </c>
      <c r="S76" s="190">
        <f ca="1">IF($P76="PROXY",DSTDEV('literature entries'!$D:$AI,IF($J76=1,"ACTIVE     GHGE, FARM GATE (kg CO2e/kg)","GHGE, processor gate (kg CO2e/kg)"),INDIRECT($K76)),GETPIVOTDATA(IF($J76=1,"StdDev of ACTIVE     GHGE, FARM GATE (kg CO2e/kg)","StdDev of GHGE, processor gate (kg CO2e/kg)"),'Pivot Table_GHG'!$A$3,"SUB TYPE",$B76))</f>
        <v>0.92540506146107593</v>
      </c>
      <c r="T76" s="88"/>
      <c r="U76" s="89"/>
      <c r="W76" s="213" t="s">
        <v>3361</v>
      </c>
      <c r="X76" s="211">
        <f ca="1">IF($W76="DIRECT",M76,DCOUNT('literature entries'!$D:$AI,IF($J76=1,"ACTIVE     CED, FARM GATE (MJ/kg)","CED, processor gate (MJ/kg)"),INDIRECT($W76)))</f>
        <v>60</v>
      </c>
      <c r="Y76" s="211">
        <f ca="1">IF($W76="DIRECT","",DAVERAGE('literature entries'!$D:$AI,IF($J76=1,"ACTIVE     CED, FARM GATE (MJ/kg)","CED, processor gate (MJ/kg)"),INDIRECT($W76)))</f>
        <v>3.4907536756076811</v>
      </c>
      <c r="Z76" s="211">
        <f ca="1">IF($W76="DIRECT",$O76,DSTDEV('literature entries'!$D:$AI,IF($J76=1,"ACTIVE     CED, FARM GATE (MJ/kg)","CED, processor gate (MJ/kg)"),INDIRECT($W76)))</f>
        <v>2.8914615487691551</v>
      </c>
      <c r="AA76" s="211">
        <f t="shared" ca="1" si="11"/>
        <v>4.203724674858055</v>
      </c>
      <c r="AB76" s="219" t="s">
        <v>3361</v>
      </c>
      <c r="AC76" s="212">
        <f ca="1">IF($AB76="DIRECT",Q76,DCOUNT('literature entries'!$D:$AI,IF($J76=1,"ACTIVE     GHGE, FARM GATE (kg CO2e/kg)","GHGE, processor gate (kg CO2e/kg)"),INDIRECT($AB76)))</f>
        <v>130</v>
      </c>
      <c r="AD76" s="212">
        <f ca="1">IF($AB76="DIRECT","",DAVERAGE('literature entries'!$D:$AI,IF($J76=1,"ACTIVE     GHGE, FARM GATE (kg CO2e/kg)","GHGE, processor gate (kg CO2e/kg)"),INDIRECT($AB76)))</f>
        <v>0.57143231537198591</v>
      </c>
      <c r="AE76" s="212">
        <f ca="1">IF($AB76="DIRECT",$S76,DSTDEV('literature entries'!$D:$AI,IF($J76=1,"ACTIVE     GHGE, FARM GATE (kg CO2e/kg)","GHGE, processor gate (kg CO2e/kg)"),INDIRECT($AB76)))</f>
        <v>0.97567296151555694</v>
      </c>
      <c r="AF76" s="212">
        <f t="shared" ca="1" si="12"/>
        <v>1.1295508684624906</v>
      </c>
    </row>
    <row r="77" spans="1:32" s="19" customFormat="1" ht="17" thickBot="1" x14ac:dyDescent="0.25">
      <c r="A77" s="114">
        <v>602033000</v>
      </c>
      <c r="B77" s="115" t="s">
        <v>1793</v>
      </c>
      <c r="C77" s="115" t="s">
        <v>1794</v>
      </c>
      <c r="D77" s="115" t="s">
        <v>1792</v>
      </c>
      <c r="E77" s="115">
        <v>96</v>
      </c>
      <c r="F77" s="111">
        <f t="shared" ca="1" si="9"/>
        <v>5.0749999999999993</v>
      </c>
      <c r="G77" s="112">
        <f t="shared" ca="1" si="10"/>
        <v>0.66155555555555567</v>
      </c>
      <c r="H77" s="116">
        <v>1</v>
      </c>
      <c r="I77" s="117" t="s">
        <v>594</v>
      </c>
      <c r="J77" s="79">
        <v>1</v>
      </c>
      <c r="K77" s="78" t="s">
        <v>3272</v>
      </c>
      <c r="L77" s="135" t="str">
        <f>IF(ISERROR(GETPIVOTDATA(IF($J77=1,"Count of ACTIVE     CED, FARM GATE (MJ/kg)","Count of CED, processor gate (MJ/kg)"),'Pivot Table_CED'!$A$3,"SUB TYPE",$B77)),"PROXY",IF(GETPIVOTDATA(IF($J77=1,"Count of ACTIVE     CED, FARM GATE (MJ/kg)","Count of CED, processor gate (MJ/kg)"),'Pivot Table_CED'!$A$3,"SUB TYPE",$B77)=0,"PROXY","DB value"))</f>
        <v>PROXY</v>
      </c>
      <c r="M77" s="118">
        <f ca="1">IF($L77="PROXY",DCOUNT('literature entries'!$D:$AI,IF($J77=1,"ACTIVE     CED, FARM GATE (MJ/kg)","CED, processor gate (MJ/kg)"),INDIRECT($K77)),GETPIVOTDATA(IF($J77=1,"Count of ACTIVE     CED, FARM GATE (MJ/kg)","Count of CED, processor gate (MJ/kg)"),'Pivot Table_CED'!$A$3,"SUB TYPE",$B77))</f>
        <v>2</v>
      </c>
      <c r="N77" s="119">
        <f ca="1">IF($L77="PROXY",DAVERAGE('literature entries'!$D:$AI,IF($J77=1,"ACTIVE     CED, FARM GATE (MJ/kg)","CED, processor gate (MJ/kg)"),INDIRECT($K77)),GETPIVOTDATA(IF($J77=1,"Average of ACTIVE     CED, FARM GATE (MJ/kg)","Average of CED, processor gate (MJ/kg)"),'Pivot Table_CED'!$A$3,"SUB TYPE",$B77))</f>
        <v>5.0749999999999993</v>
      </c>
      <c r="O77" s="119">
        <f ca="1">IF($L77="PROXY",DSTDEV('literature entries'!D:AI,IF($J77=1,"ACTIVE     CED, FARM GATE (MJ/kg)","CED, processor gate (MJ/kg)"),INDIRECT($K77)),GETPIVOTDATA(IF($J77=1,"StdDev of ACTIVE     CED, FARM GATE (MJ/kg)","StdDev of CED, processor gate (MJ/kg)"),'Pivot Table_CED'!$A$3,"SUB TYPE",$B77))</f>
        <v>1.4495689014324273</v>
      </c>
      <c r="P77" s="135" t="str">
        <f>IF(ISERROR(GETPIVOTDATA(IF($J77=1,"Count of ACTIVE     GHGE, FARM GATE (kg CO2e/kg)","Count of GHGE, processor gate (kg CO2e/kg)"),'Pivot Table_GHG'!$A$3,"SUB TYPE",$B77)),"PROXY",IF(GETPIVOTDATA(IF($J77=1,"Count of ACTIVE     GHGE, FARM GATE (kg CO2e/kg)","Count of GHGE, processor gate (kg CO2e/kg)"),'Pivot Table_GHG'!$A$3,"SUB TYPE",$B77)=0,"PROXY","DB value"))</f>
        <v>PROXY</v>
      </c>
      <c r="Q77" s="125">
        <f ca="1">IF($P77="PROXY",DCOUNT('literature entries'!$D:$AI,IF($J77=1,"ACTIVE     GHGE, FARM GATE (kg CO2e/kg)","GHGE, processor gate (kg CO2e/kg)"),INDIRECT($K77)),GETPIVOTDATA(IF($J77=1,"ACTIVE     GHGE, FARM GATE (kg CO2e/kg)","Count of GHGE, processor gate (kg CO2e/kg)"),'Pivot Table_GHG'!$A$3,"SUB TYPE",$B77))</f>
        <v>9</v>
      </c>
      <c r="R77" s="190">
        <f ca="1">IF($P77="PROXY",DAVERAGE('literature entries'!$D:$AI,IF($J77=1,"ACTIVE     GHGE, FARM GATE (kg CO2e/kg)","GHGE, processor gate (kg CO2e/kg)"),INDIRECT($K77)),GETPIVOTDATA(IF($J77=1,"Average of ACTIVE     GHGE, FARM GATE (kg CO2e/kg)","Average of GHGE, processor gate (kg CO2e/kg)"),'Pivot Table_GHG'!$A$3,"SUB TYPE",$B77))</f>
        <v>0.66155555555555567</v>
      </c>
      <c r="S77" s="190">
        <f ca="1">IF($P77="PROXY",DSTDEV('literature entries'!$D:$AI,IF($J77=1,"ACTIVE     GHGE, FARM GATE (kg CO2e/kg)","GHGE, processor gate (kg CO2e/kg)"),INDIRECT($K77)),GETPIVOTDATA(IF($J77=1,"StdDev of ACTIVE     GHGE, FARM GATE (kg CO2e/kg)","StdDev of GHGE, processor gate (kg CO2e/kg)"),'Pivot Table_GHG'!$A$3,"SUB TYPE",$B77))</f>
        <v>0.92540506146107593</v>
      </c>
      <c r="T77" s="88"/>
      <c r="U77" s="89"/>
      <c r="W77" s="213" t="s">
        <v>3361</v>
      </c>
      <c r="X77" s="211">
        <f ca="1">IF($W77="DIRECT",M77,DCOUNT('literature entries'!$D:$AI,IF($J77=1,"ACTIVE     CED, FARM GATE (MJ/kg)","CED, processor gate (MJ/kg)"),INDIRECT($W77)))</f>
        <v>60</v>
      </c>
      <c r="Y77" s="211">
        <f ca="1">IF($W77="DIRECT","",DAVERAGE('literature entries'!$D:$AI,IF($J77=1,"ACTIVE     CED, FARM GATE (MJ/kg)","CED, processor gate (MJ/kg)"),INDIRECT($W77)))</f>
        <v>3.4907536756076811</v>
      </c>
      <c r="Z77" s="211">
        <f ca="1">IF($W77="DIRECT",$O77,DSTDEV('literature entries'!$D:$AI,IF($J77=1,"ACTIVE     CED, FARM GATE (MJ/kg)","CED, processor gate (MJ/kg)"),INDIRECT($W77)))</f>
        <v>2.8914615487691551</v>
      </c>
      <c r="AA77" s="211">
        <f t="shared" ca="1" si="11"/>
        <v>4.203724674858055</v>
      </c>
      <c r="AB77" s="219" t="s">
        <v>3361</v>
      </c>
      <c r="AC77" s="212">
        <f ca="1">IF($AB77="DIRECT",Q77,DCOUNT('literature entries'!$D:$AI,IF($J77=1,"ACTIVE     GHGE, FARM GATE (kg CO2e/kg)","GHGE, processor gate (kg CO2e/kg)"),INDIRECT($AB77)))</f>
        <v>130</v>
      </c>
      <c r="AD77" s="212">
        <f ca="1">IF($AB77="DIRECT","",DAVERAGE('literature entries'!$D:$AI,IF($J77=1,"ACTIVE     GHGE, FARM GATE (kg CO2e/kg)","GHGE, processor gate (kg CO2e/kg)"),INDIRECT($AB77)))</f>
        <v>0.57143231537198591</v>
      </c>
      <c r="AE77" s="212">
        <f ca="1">IF($AB77="DIRECT",$S77,DSTDEV('literature entries'!$D:$AI,IF($J77=1,"ACTIVE     GHGE, FARM GATE (kg CO2e/kg)","GHGE, processor gate (kg CO2e/kg)"),INDIRECT($AB77)))</f>
        <v>0.97567296151555694</v>
      </c>
      <c r="AF77" s="212">
        <f t="shared" ca="1" si="12"/>
        <v>1.1295508684624906</v>
      </c>
    </row>
    <row r="78" spans="1:32" s="19" customFormat="1" ht="17" thickBot="1" x14ac:dyDescent="0.25">
      <c r="A78" s="114">
        <v>602037000</v>
      </c>
      <c r="B78" s="115" t="s">
        <v>1797</v>
      </c>
      <c r="C78" s="115" t="s">
        <v>1794</v>
      </c>
      <c r="D78" s="115"/>
      <c r="E78" s="115">
        <v>1465</v>
      </c>
      <c r="F78" s="111">
        <f t="shared" ca="1" si="9"/>
        <v>5.0749999999999993</v>
      </c>
      <c r="G78" s="112">
        <f t="shared" ca="1" si="10"/>
        <v>0.66155555555555567</v>
      </c>
      <c r="H78" s="116">
        <v>1</v>
      </c>
      <c r="I78" s="117" t="s">
        <v>594</v>
      </c>
      <c r="J78" s="79">
        <v>1</v>
      </c>
      <c r="K78" s="78" t="s">
        <v>3272</v>
      </c>
      <c r="L78" s="135" t="str">
        <f>IF(ISERROR(GETPIVOTDATA(IF($J78=1,"Count of ACTIVE     CED, FARM GATE (MJ/kg)","Count of CED, processor gate (MJ/kg)"),'Pivot Table_CED'!$A$3,"SUB TYPE",$B78)),"PROXY",IF(GETPIVOTDATA(IF($J78=1,"Count of ACTIVE     CED, FARM GATE (MJ/kg)","Count of CED, processor gate (MJ/kg)"),'Pivot Table_CED'!$A$3,"SUB TYPE",$B78)=0,"PROXY","DB value"))</f>
        <v>PROXY</v>
      </c>
      <c r="M78" s="118">
        <f ca="1">IF($L78="PROXY",DCOUNT('literature entries'!$D:$AI,IF($J78=1,"ACTIVE     CED, FARM GATE (MJ/kg)","CED, processor gate (MJ/kg)"),INDIRECT($K78)),GETPIVOTDATA(IF($J78=1,"Count of ACTIVE     CED, FARM GATE (MJ/kg)","Count of CED, processor gate (MJ/kg)"),'Pivot Table_CED'!$A$3,"SUB TYPE",$B78))</f>
        <v>2</v>
      </c>
      <c r="N78" s="119">
        <f ca="1">IF($L78="PROXY",DAVERAGE('literature entries'!$D:$AI,IF($J78=1,"ACTIVE     CED, FARM GATE (MJ/kg)","CED, processor gate (MJ/kg)"),INDIRECT($K78)),GETPIVOTDATA(IF($J78=1,"Average of ACTIVE     CED, FARM GATE (MJ/kg)","Average of CED, processor gate (MJ/kg)"),'Pivot Table_CED'!$A$3,"SUB TYPE",$B78))</f>
        <v>5.0749999999999993</v>
      </c>
      <c r="O78" s="119">
        <f ca="1">IF($L78="PROXY",DSTDEV('literature entries'!D:AI,IF($J78=1,"ACTIVE     CED, FARM GATE (MJ/kg)","CED, processor gate (MJ/kg)"),INDIRECT($K78)),GETPIVOTDATA(IF($J78=1,"StdDev of ACTIVE     CED, FARM GATE (MJ/kg)","StdDev of CED, processor gate (MJ/kg)"),'Pivot Table_CED'!$A$3,"SUB TYPE",$B78))</f>
        <v>1.4495689014324273</v>
      </c>
      <c r="P78" s="135" t="str">
        <f>IF(ISERROR(GETPIVOTDATA(IF($J78=1,"Count of ACTIVE     GHGE, FARM GATE (kg CO2e/kg)","Count of GHGE, processor gate (kg CO2e/kg)"),'Pivot Table_GHG'!$A$3,"SUB TYPE",$B78)),"PROXY",IF(GETPIVOTDATA(IF($J78=1,"Count of ACTIVE     GHGE, FARM GATE (kg CO2e/kg)","Count of GHGE, processor gate (kg CO2e/kg)"),'Pivot Table_GHG'!$A$3,"SUB TYPE",$B78)=0,"PROXY","DB value"))</f>
        <v>PROXY</v>
      </c>
      <c r="Q78" s="125">
        <f ca="1">IF($P78="PROXY",DCOUNT('literature entries'!$D:$AI,IF($J78=1,"ACTIVE     GHGE, FARM GATE (kg CO2e/kg)","GHGE, processor gate (kg CO2e/kg)"),INDIRECT($K78)),GETPIVOTDATA(IF($J78=1,"ACTIVE     GHGE, FARM GATE (kg CO2e/kg)","Count of GHGE, processor gate (kg CO2e/kg)"),'Pivot Table_GHG'!$A$3,"SUB TYPE",$B78))</f>
        <v>9</v>
      </c>
      <c r="R78" s="190">
        <f ca="1">IF($P78="PROXY",DAVERAGE('literature entries'!$D:$AI,IF($J78=1,"ACTIVE     GHGE, FARM GATE (kg CO2e/kg)","GHGE, processor gate (kg CO2e/kg)"),INDIRECT($K78)),GETPIVOTDATA(IF($J78=1,"Average of ACTIVE     GHGE, FARM GATE (kg CO2e/kg)","Average of GHGE, processor gate (kg CO2e/kg)"),'Pivot Table_GHG'!$A$3,"SUB TYPE",$B78))</f>
        <v>0.66155555555555567</v>
      </c>
      <c r="S78" s="190">
        <f ca="1">IF($P78="PROXY",DSTDEV('literature entries'!$D:$AI,IF($J78=1,"ACTIVE     GHGE, FARM GATE (kg CO2e/kg)","GHGE, processor gate (kg CO2e/kg)"),INDIRECT($K78)),GETPIVOTDATA(IF($J78=1,"StdDev of ACTIVE     GHGE, FARM GATE (kg CO2e/kg)","StdDev of GHGE, processor gate (kg CO2e/kg)"),'Pivot Table_GHG'!$A$3,"SUB TYPE",$B78))</f>
        <v>0.92540506146107593</v>
      </c>
      <c r="T78" s="88"/>
      <c r="U78" s="89"/>
      <c r="W78" s="213" t="s">
        <v>3361</v>
      </c>
      <c r="X78" s="211">
        <f ca="1">IF($W78="DIRECT",M78,DCOUNT('literature entries'!$D:$AI,IF($J78=1,"ACTIVE     CED, FARM GATE (MJ/kg)","CED, processor gate (MJ/kg)"),INDIRECT($W78)))</f>
        <v>60</v>
      </c>
      <c r="Y78" s="211">
        <f ca="1">IF($W78="DIRECT","",DAVERAGE('literature entries'!$D:$AI,IF($J78=1,"ACTIVE     CED, FARM GATE (MJ/kg)","CED, processor gate (MJ/kg)"),INDIRECT($W78)))</f>
        <v>3.4907536756076811</v>
      </c>
      <c r="Z78" s="211">
        <f ca="1">IF($W78="DIRECT",$O78,DSTDEV('literature entries'!$D:$AI,IF($J78=1,"ACTIVE     CED, FARM GATE (MJ/kg)","CED, processor gate (MJ/kg)"),INDIRECT($W78)))</f>
        <v>2.8914615487691551</v>
      </c>
      <c r="AA78" s="211">
        <f t="shared" ca="1" si="11"/>
        <v>4.203724674858055</v>
      </c>
      <c r="AB78" s="219" t="s">
        <v>3361</v>
      </c>
      <c r="AC78" s="212">
        <f ca="1">IF($AB78="DIRECT",Q78,DCOUNT('literature entries'!$D:$AI,IF($J78=1,"ACTIVE     GHGE, FARM GATE (kg CO2e/kg)","GHGE, processor gate (kg CO2e/kg)"),INDIRECT($AB78)))</f>
        <v>130</v>
      </c>
      <c r="AD78" s="212">
        <f ca="1">IF($AB78="DIRECT","",DAVERAGE('literature entries'!$D:$AI,IF($J78=1,"ACTIVE     GHGE, FARM GATE (kg CO2e/kg)","GHGE, processor gate (kg CO2e/kg)"),INDIRECT($AB78)))</f>
        <v>0.57143231537198591</v>
      </c>
      <c r="AE78" s="212">
        <f ca="1">IF($AB78="DIRECT",$S78,DSTDEV('literature entries'!$D:$AI,IF($J78=1,"ACTIVE     GHGE, FARM GATE (kg CO2e/kg)","GHGE, processor gate (kg CO2e/kg)"),INDIRECT($AB78)))</f>
        <v>0.97567296151555694</v>
      </c>
      <c r="AF78" s="212">
        <f t="shared" ca="1" si="12"/>
        <v>1.1295508684624906</v>
      </c>
    </row>
    <row r="79" spans="1:32" s="19" customFormat="1" ht="17" thickBot="1" x14ac:dyDescent="0.25">
      <c r="A79" s="114">
        <v>602255000</v>
      </c>
      <c r="B79" s="115" t="s">
        <v>2134</v>
      </c>
      <c r="C79" s="115" t="s">
        <v>2135</v>
      </c>
      <c r="D79" s="115"/>
      <c r="E79" s="115">
        <v>4944</v>
      </c>
      <c r="F79" s="111">
        <f t="shared" ca="1" si="9"/>
        <v>3.5</v>
      </c>
      <c r="G79" s="112">
        <f t="shared" ca="1" si="10"/>
        <v>1.3299999999999998</v>
      </c>
      <c r="H79" s="116">
        <v>1</v>
      </c>
      <c r="I79" s="117" t="s">
        <v>628</v>
      </c>
      <c r="J79" s="79">
        <v>1</v>
      </c>
      <c r="K79" s="78"/>
      <c r="L79" s="135" t="str">
        <f>IF(ISERROR(GETPIVOTDATA(IF($J79=1,"Count of ACTIVE     CED, FARM GATE (MJ/kg)","Count of CED, processor gate (MJ/kg)"),'Pivot Table_CED'!$A$3,"SUB TYPE",$B79)),"PROXY",IF(GETPIVOTDATA(IF($J79=1,"Count of ACTIVE     CED, FARM GATE (MJ/kg)","Count of CED, processor gate (MJ/kg)"),'Pivot Table_CED'!$A$3,"SUB TYPE",$B79)=0,"PROXY","DB value"))</f>
        <v>DB value</v>
      </c>
      <c r="M79" s="118">
        <f ca="1">IF($L79="PROXY",DCOUNT('literature entries'!$D:$AI,IF($J79=1,"ACTIVE     CED, FARM GATE (MJ/kg)","CED, processor gate (MJ/kg)"),INDIRECT($K79)),GETPIVOTDATA(IF($J79=1,"Count of ACTIVE     CED, FARM GATE (MJ/kg)","Count of CED, processor gate (MJ/kg)"),'Pivot Table_CED'!$A$3,"SUB TYPE",$B79))</f>
        <v>1</v>
      </c>
      <c r="N79" s="119">
        <f ca="1">IF($L79="PROXY",DAVERAGE('literature entries'!$D:$AI,IF($J79=1,"ACTIVE     CED, FARM GATE (MJ/kg)","CED, processor gate (MJ/kg)"),INDIRECT($K79)),GETPIVOTDATA(IF($J79=1,"Average of ACTIVE     CED, FARM GATE (MJ/kg)","Average of CED, processor gate (MJ/kg)"),'Pivot Table_CED'!$A$3,"SUB TYPE",$B79))</f>
        <v>3.5</v>
      </c>
      <c r="O79" s="119">
        <f ca="1">IF($L79="PROXY",DSTDEV('literature entries'!D:AI,IF($J79=1,"ACTIVE     CED, FARM GATE (MJ/kg)","CED, processor gate (MJ/kg)"),INDIRECT($K79)),GETPIVOTDATA(IF($J79=1,"StdDev of ACTIVE     CED, FARM GATE (MJ/kg)","StdDev of CED, processor gate (MJ/kg)"),'Pivot Table_CED'!$A$3,"SUB TYPE",$B79))</f>
        <v>0</v>
      </c>
      <c r="P79" s="135" t="str">
        <f>IF(ISERROR(GETPIVOTDATA(IF($J79=1,"Count of ACTIVE     GHGE, FARM GATE (kg CO2e/kg)","Count of GHGE, processor gate (kg CO2e/kg)"),'Pivot Table_GHG'!$A$3,"SUB TYPE",$B79)),"PROXY",IF(GETPIVOTDATA(IF($J79=1,"Count of ACTIVE     GHGE, FARM GATE (kg CO2e/kg)","Count of GHGE, processor gate (kg CO2e/kg)"),'Pivot Table_GHG'!$A$3,"SUB TYPE",$B79)=0,"PROXY","DB value"))</f>
        <v>DB value</v>
      </c>
      <c r="Q79" s="125">
        <f ca="1">IF($P79="PROXY",DCOUNT('literature entries'!$D:$AI,IF($J79=1,"ACTIVE     GHGE, FARM GATE (kg CO2e/kg)","GHGE, processor gate (kg CO2e/kg)"),INDIRECT($K79)),GETPIVOTDATA(IF($J79=1,"ACTIVE     GHGE, FARM GATE (kg CO2e/kg)","Count of GHGE, processor gate (kg CO2e/kg)"),'Pivot Table_GHG'!$A$3,"SUB TYPE",$B79))</f>
        <v>6</v>
      </c>
      <c r="R79" s="190">
        <f ca="1">IF($P79="PROXY",DAVERAGE('literature entries'!$D:$AI,IF($J79=1,"ACTIVE     GHGE, FARM GATE (kg CO2e/kg)","GHGE, processor gate (kg CO2e/kg)"),INDIRECT($K79)),GETPIVOTDATA(IF($J79=1,"Average of ACTIVE     GHGE, FARM GATE (kg CO2e/kg)","Average of GHGE, processor gate (kg CO2e/kg)"),'Pivot Table_GHG'!$A$3,"SUB TYPE",$B79))</f>
        <v>1.3299999999999998</v>
      </c>
      <c r="S79" s="190">
        <f ca="1">IF($P79="PROXY",DSTDEV('literature entries'!$D:$AI,IF($J79=1,"ACTIVE     GHGE, FARM GATE (kg CO2e/kg)","GHGE, processor gate (kg CO2e/kg)"),INDIRECT($K79)),GETPIVOTDATA(IF($J79=1,"StdDev of ACTIVE     GHGE, FARM GATE (kg CO2e/kg)","StdDev of GHGE, processor gate (kg CO2e/kg)"),'Pivot Table_GHG'!$A$3,"SUB TYPE",$B79))</f>
        <v>1.5235484895466898</v>
      </c>
      <c r="T79" s="88"/>
      <c r="U79" s="89"/>
      <c r="W79" s="213" t="s">
        <v>3361</v>
      </c>
      <c r="X79" s="211">
        <f ca="1">IF($W79="DIRECT",M79,DCOUNT('literature entries'!$D:$AI,IF($J79=1,"ACTIVE     CED, FARM GATE (MJ/kg)","CED, processor gate (MJ/kg)"),INDIRECT($W79)))</f>
        <v>60</v>
      </c>
      <c r="Y79" s="211">
        <f ca="1">IF($W79="DIRECT","",DAVERAGE('literature entries'!$D:$AI,IF($J79=1,"ACTIVE     CED, FARM GATE (MJ/kg)","CED, processor gate (MJ/kg)"),INDIRECT($W79)))</f>
        <v>3.4907536756076811</v>
      </c>
      <c r="Z79" s="211">
        <f ca="1">IF($W79="DIRECT",$O79,DSTDEV('literature entries'!$D:$AI,IF($J79=1,"ACTIVE     CED, FARM GATE (MJ/kg)","CED, processor gate (MJ/kg)"),INDIRECT($W79)))</f>
        <v>2.8914615487691551</v>
      </c>
      <c r="AA79" s="211">
        <f t="shared" ca="1" si="11"/>
        <v>2.8991204654193483</v>
      </c>
      <c r="AB79" s="219" t="str">
        <f ca="1">IF(P79="PROXY",IF(Q79&gt;=5,K79,"need group"),IF(Q79&gt;=5,"DIRECT","need group"))</f>
        <v>DIRECT</v>
      </c>
      <c r="AC79" s="212">
        <f ca="1">IF($AB79="DIRECT",Q79,DCOUNT('literature entries'!$D:$AI,IF($J79=1,"ACTIVE     GHGE, FARM GATE (kg CO2e/kg)","GHGE, processor gate (kg CO2e/kg)"),INDIRECT($AB79)))</f>
        <v>6</v>
      </c>
      <c r="AD79" s="212" t="str">
        <f ca="1">IF($AB79="DIRECT","",DAVERAGE('literature entries'!$D:$AI,IF($J79=1,"ACTIVE     GHGE, FARM GATE (kg CO2e/kg)","GHGE, processor gate (kg CO2e/kg)"),INDIRECT($AB79)))</f>
        <v/>
      </c>
      <c r="AE79" s="212">
        <f ca="1">IF($AB79="DIRECT",$S79,DSTDEV('literature entries'!$D:$AI,IF($J79=1,"ACTIVE     GHGE, FARM GATE (kg CO2e/kg)","GHGE, processor gate (kg CO2e/kg)"),INDIRECT($AB79)))</f>
        <v>1.5235484895466898</v>
      </c>
      <c r="AF79" s="212">
        <f t="shared" ca="1" si="12"/>
        <v>1.5235484895466898</v>
      </c>
    </row>
    <row r="80" spans="1:32" s="19" customFormat="1" ht="17" thickBot="1" x14ac:dyDescent="0.25">
      <c r="A80" s="114">
        <v>602259000</v>
      </c>
      <c r="B80" s="115" t="s">
        <v>2131</v>
      </c>
      <c r="C80" s="115" t="s">
        <v>2132</v>
      </c>
      <c r="D80" s="115" t="s">
        <v>2133</v>
      </c>
      <c r="E80" s="115">
        <v>7</v>
      </c>
      <c r="F80" s="111">
        <f t="shared" ca="1" si="9"/>
        <v>3.2267999999999999</v>
      </c>
      <c r="G80" s="112">
        <f t="shared" ca="1" si="10"/>
        <v>1.0539000000000001</v>
      </c>
      <c r="H80" s="116">
        <v>1</v>
      </c>
      <c r="I80" s="117" t="s">
        <v>594</v>
      </c>
      <c r="J80" s="79">
        <v>1</v>
      </c>
      <c r="K80" s="189" t="s">
        <v>3273</v>
      </c>
      <c r="L80" s="135" t="str">
        <f>IF(ISERROR(GETPIVOTDATA(IF($J80=1,"Count of ACTIVE     CED, FARM GATE (MJ/kg)","Count of CED, processor gate (MJ/kg)"),'Pivot Table_CED'!$A$3,"SUB TYPE",$B80)),"PROXY",IF(GETPIVOTDATA(IF($J80=1,"Count of ACTIVE     CED, FARM GATE (MJ/kg)","Count of CED, processor gate (MJ/kg)"),'Pivot Table_CED'!$A$3,"SUB TYPE",$B80)=0,"PROXY","DB value"))</f>
        <v>PROXY</v>
      </c>
      <c r="M80" s="118">
        <f ca="1">IF($L80="PROXY",DCOUNT('literature entries'!$D:$AI,IF($J80=1,"ACTIVE     CED, FARM GATE (MJ/kg)","CED, processor gate (MJ/kg)"),INDIRECT($K80)),GETPIVOTDATA(IF($J80=1,"Count of ACTIVE     CED, FARM GATE (MJ/kg)","Count of CED, processor gate (MJ/kg)"),'Pivot Table_CED'!$A$3,"SUB TYPE",$B80))</f>
        <v>1</v>
      </c>
      <c r="N80" s="119">
        <f ca="1">IF($L80="PROXY",DAVERAGE('literature entries'!$D:$AI,IF($J80=1,"ACTIVE     CED, FARM GATE (MJ/kg)","CED, processor gate (MJ/kg)"),INDIRECT($K80)),GETPIVOTDATA(IF($J80=1,"Average of ACTIVE     CED, FARM GATE (MJ/kg)","Average of CED, processor gate (MJ/kg)"),'Pivot Table_CED'!$A$3,"SUB TYPE",$B80))</f>
        <v>3.2267999999999999</v>
      </c>
      <c r="O80" s="119" t="e">
        <f ca="1">IF($L80="PROXY",DSTDEV('literature entries'!D:AI,IF($J80=1,"ACTIVE     CED, FARM GATE (MJ/kg)","CED, processor gate (MJ/kg)"),INDIRECT($K80)),GETPIVOTDATA(IF($J80=1,"StdDev of ACTIVE     CED, FARM GATE (MJ/kg)","StdDev of CED, processor gate (MJ/kg)"),'Pivot Table_CED'!$A$3,"SUB TYPE",$B80))</f>
        <v>#DIV/0!</v>
      </c>
      <c r="P80" s="135" t="str">
        <f>IF(ISERROR(GETPIVOTDATA(IF($J80=1,"Count of ACTIVE     GHGE, FARM GATE (kg CO2e/kg)","Count of GHGE, processor gate (kg CO2e/kg)"),'Pivot Table_GHG'!$A$3,"SUB TYPE",$B80)),"PROXY",IF(GETPIVOTDATA(IF($J80=1,"Count of ACTIVE     GHGE, FARM GATE (kg CO2e/kg)","Count of GHGE, processor gate (kg CO2e/kg)"),'Pivot Table_GHG'!$A$3,"SUB TYPE",$B80)=0,"PROXY","DB value"))</f>
        <v>PROXY</v>
      </c>
      <c r="Q80" s="125">
        <f ca="1">IF($P80="PROXY",DCOUNT('literature entries'!$D:$AI,IF($J80=1,"ACTIVE     GHGE, FARM GATE (kg CO2e/kg)","GHGE, processor gate (kg CO2e/kg)"),INDIRECT($K80)),GETPIVOTDATA(IF($J80=1,"ACTIVE     GHGE, FARM GATE (kg CO2e/kg)","Count of GHGE, processor gate (kg CO2e/kg)"),'Pivot Table_GHG'!$A$3,"SUB TYPE",$B80))</f>
        <v>1</v>
      </c>
      <c r="R80" s="190">
        <f ca="1">IF($P80="PROXY",DAVERAGE('literature entries'!$D:$AI,IF($J80=1,"ACTIVE     GHGE, FARM GATE (kg CO2e/kg)","GHGE, processor gate (kg CO2e/kg)"),INDIRECT($K80)),GETPIVOTDATA(IF($J80=1,"Average of ACTIVE     GHGE, FARM GATE (kg CO2e/kg)","Average of GHGE, processor gate (kg CO2e/kg)"),'Pivot Table_GHG'!$A$3,"SUB TYPE",$B80))</f>
        <v>1.0539000000000001</v>
      </c>
      <c r="S80" s="190" t="e">
        <f ca="1">IF($P80="PROXY",DSTDEV('literature entries'!$D:$AI,IF($J80=1,"ACTIVE     GHGE, FARM GATE (kg CO2e/kg)","GHGE, processor gate (kg CO2e/kg)"),INDIRECT($K80)),GETPIVOTDATA(IF($J80=1,"StdDev of ACTIVE     GHGE, FARM GATE (kg CO2e/kg)","StdDev of GHGE, processor gate (kg CO2e/kg)"),'Pivot Table_GHG'!$A$3,"SUB TYPE",$B80))</f>
        <v>#DIV/0!</v>
      </c>
      <c r="T80" s="88"/>
      <c r="U80" s="89"/>
      <c r="W80" s="213" t="s">
        <v>3361</v>
      </c>
      <c r="X80" s="211">
        <f ca="1">IF($W80="DIRECT",M80,DCOUNT('literature entries'!$D:$AI,IF($J80=1,"ACTIVE     CED, FARM GATE (MJ/kg)","CED, processor gate (MJ/kg)"),INDIRECT($W80)))</f>
        <v>60</v>
      </c>
      <c r="Y80" s="211">
        <f ca="1">IF($W80="DIRECT","",DAVERAGE('literature entries'!$D:$AI,IF($J80=1,"ACTIVE     CED, FARM GATE (MJ/kg)","CED, processor gate (MJ/kg)"),INDIRECT($W80)))</f>
        <v>3.4907536756076811</v>
      </c>
      <c r="Z80" s="211">
        <f ca="1">IF($W80="DIRECT",$O80,DSTDEV('literature entries'!$D:$AI,IF($J80=1,"ACTIVE     CED, FARM GATE (MJ/kg)","CED, processor gate (MJ/kg)"),INDIRECT($W80)))</f>
        <v>2.8914615487691551</v>
      </c>
      <c r="AA80" s="211">
        <f t="shared" ca="1" si="11"/>
        <v>2.6728234050900439</v>
      </c>
      <c r="AB80" s="219" t="s">
        <v>3361</v>
      </c>
      <c r="AC80" s="212">
        <f ca="1">IF($AB80="DIRECT",Q80,DCOUNT('literature entries'!$D:$AI,IF($J80=1,"ACTIVE     GHGE, FARM GATE (kg CO2e/kg)","GHGE, processor gate (kg CO2e/kg)"),INDIRECT($AB80)))</f>
        <v>130</v>
      </c>
      <c r="AD80" s="212">
        <f ca="1">IF($AB80="DIRECT","",DAVERAGE('literature entries'!$D:$AI,IF($J80=1,"ACTIVE     GHGE, FARM GATE (kg CO2e/kg)","GHGE, processor gate (kg CO2e/kg)"),INDIRECT($AB80)))</f>
        <v>0.57143231537198591</v>
      </c>
      <c r="AE80" s="212">
        <f ca="1">IF($AB80="DIRECT",$S80,DSTDEV('literature entries'!$D:$AI,IF($J80=1,"ACTIVE     GHGE, FARM GATE (kg CO2e/kg)","GHGE, processor gate (kg CO2e/kg)"),INDIRECT($AB80)))</f>
        <v>0.97567296151555694</v>
      </c>
      <c r="AF80" s="212">
        <f t="shared" ca="1" si="12"/>
        <v>1.7994462449535724</v>
      </c>
    </row>
    <row r="81" spans="1:32" s="19" customFormat="1" ht="17" thickBot="1" x14ac:dyDescent="0.25">
      <c r="A81" s="114">
        <v>603030000</v>
      </c>
      <c r="B81" s="115" t="s">
        <v>1785</v>
      </c>
      <c r="C81" s="115" t="s">
        <v>1784</v>
      </c>
      <c r="D81" s="115" t="s">
        <v>1786</v>
      </c>
      <c r="E81" s="115">
        <v>770</v>
      </c>
      <c r="F81" s="111">
        <f t="shared" ca="1" si="9"/>
        <v>4.7558000000000007</v>
      </c>
      <c r="G81" s="112">
        <f t="shared" ca="1" si="10"/>
        <v>0.30778666666666665</v>
      </c>
      <c r="H81" s="116">
        <v>1</v>
      </c>
      <c r="I81" s="117" t="s">
        <v>594</v>
      </c>
      <c r="J81" s="90">
        <v>1</v>
      </c>
      <c r="K81" s="78" t="s">
        <v>3270</v>
      </c>
      <c r="L81" s="135" t="str">
        <f>IF(ISERROR(GETPIVOTDATA(IF($J81=1,"Count of ACTIVE     CED, FARM GATE (MJ/kg)","Count of CED, processor gate (MJ/kg)"),'Pivot Table_CED'!$A$3,"SUB TYPE",$B81)),"PROXY",IF(GETPIVOTDATA(IF($J81=1,"Count of ACTIVE     CED, FARM GATE (MJ/kg)","Count of CED, processor gate (MJ/kg)"),'Pivot Table_CED'!$A$3,"SUB TYPE",$B81)=0,"PROXY","DB value"))</f>
        <v>PROXY</v>
      </c>
      <c r="M81" s="118">
        <f ca="1">IF($L81="PROXY",DCOUNT('literature entries'!$D:$AI,IF($J81=1,"ACTIVE     CED, FARM GATE (MJ/kg)","CED, processor gate (MJ/kg)"),INDIRECT($K81)),GETPIVOTDATA(IF($J81=1,"Count of ACTIVE     CED, FARM GATE (MJ/kg)","Count of CED, processor gate (MJ/kg)"),'Pivot Table_CED'!$A$3,"SUB TYPE",$B81))</f>
        <v>2</v>
      </c>
      <c r="N81" s="119">
        <f ca="1">IF($L81="PROXY",DAVERAGE('literature entries'!$D:$AI,IF($J81=1,"ACTIVE     CED, FARM GATE (MJ/kg)","CED, processor gate (MJ/kg)"),INDIRECT($K81)),GETPIVOTDATA(IF($J81=1,"Average of ACTIVE     CED, FARM GATE (MJ/kg)","Average of CED, processor gate (MJ/kg)"),'Pivot Table_CED'!$A$3,"SUB TYPE",$B81))</f>
        <v>4.7558000000000007</v>
      </c>
      <c r="O81" s="119">
        <f ca="1">IF($L81="PROXY",DSTDEV('literature entries'!D:AI,IF($J81=1,"ACTIVE     CED, FARM GATE (MJ/kg)","CED, processor gate (MJ/kg)"),INDIRECT($K81)),GETPIVOTDATA(IF($J81=1,"StdDev of ACTIVE     CED, FARM GATE (MJ/kg)","StdDev of CED, processor gate (MJ/kg)"),'Pivot Table_CED'!$A$3,"SUB TYPE",$B81))</f>
        <v>3.7394635016269362</v>
      </c>
      <c r="P81" s="135" t="str">
        <f>IF(ISERROR(GETPIVOTDATA(IF($J81=1,"Count of ACTIVE     GHGE, FARM GATE (kg CO2e/kg)","Count of GHGE, processor gate (kg CO2e/kg)"),'Pivot Table_GHG'!$A$3,"SUB TYPE",$B81)),"PROXY",IF(GETPIVOTDATA(IF($J81=1,"Count of ACTIVE     GHGE, FARM GATE (kg CO2e/kg)","Count of GHGE, processor gate (kg CO2e/kg)"),'Pivot Table_GHG'!$A$3,"SUB TYPE",$B81)=0,"PROXY","DB value"))</f>
        <v>PROXY</v>
      </c>
      <c r="Q81" s="125">
        <f ca="1">IF($P81="PROXY",DCOUNT('literature entries'!$D:$AI,IF($J81=1,"ACTIVE     GHGE, FARM GATE (kg CO2e/kg)","GHGE, processor gate (kg CO2e/kg)"),INDIRECT($K81)),GETPIVOTDATA(IF($J81=1,"ACTIVE     GHGE, FARM GATE (kg CO2e/kg)","Count of GHGE, processor gate (kg CO2e/kg)"),'Pivot Table_GHG'!$A$3,"SUB TYPE",$B81))</f>
        <v>9</v>
      </c>
      <c r="R81" s="190">
        <f ca="1">IF($P81="PROXY",DAVERAGE('literature entries'!$D:$AI,IF($J81=1,"ACTIVE     GHGE, FARM GATE (kg CO2e/kg)","GHGE, processor gate (kg CO2e/kg)"),INDIRECT($K81)),GETPIVOTDATA(IF($J81=1,"Average of ACTIVE     GHGE, FARM GATE (kg CO2e/kg)","Average of GHGE, processor gate (kg CO2e/kg)"),'Pivot Table_GHG'!$A$3,"SUB TYPE",$B81))</f>
        <v>0.30778666666666665</v>
      </c>
      <c r="S81" s="190">
        <f ca="1">IF($P81="PROXY",DSTDEV('literature entries'!$D:$AI,IF($J81=1,"ACTIVE     GHGE, FARM GATE (kg CO2e/kg)","GHGE, processor gate (kg CO2e/kg)"),INDIRECT($K81)),GETPIVOTDATA(IF($J81=1,"StdDev of ACTIVE     GHGE, FARM GATE (kg CO2e/kg)","StdDev of GHGE, processor gate (kg CO2e/kg)"),'Pivot Table_GHG'!$A$3,"SUB TYPE",$B81))</f>
        <v>0.19451811637994038</v>
      </c>
      <c r="T81" s="88"/>
      <c r="U81" s="89"/>
      <c r="W81" s="173" t="s">
        <v>3355</v>
      </c>
      <c r="X81" s="211">
        <f ca="1">IF($W81="DIRECT",M81,DCOUNT('literature entries'!$D:$AI,IF($J81=1,"ACTIVE     CED, FARM GATE (MJ/kg)","CED, processor gate (MJ/kg)"),INDIRECT($W81)))</f>
        <v>19</v>
      </c>
      <c r="Y81" s="211">
        <f ca="1">IF($W81="DIRECT","",DAVERAGE('literature entries'!$D:$AI,IF($J81=1,"ACTIVE     CED, FARM GATE (MJ/kg)","CED, processor gate (MJ/kg)"),INDIRECT($W81)))</f>
        <v>3.1899535894736837</v>
      </c>
      <c r="Z81" s="211">
        <f ca="1">IF($W81="DIRECT",$O81,DSTDEV('literature entries'!$D:$AI,IF($J81=1,"ACTIVE     CED, FARM GATE (MJ/kg)","CED, processor gate (MJ/kg)"),INDIRECT($W81)))</f>
        <v>1.8390624775878359</v>
      </c>
      <c r="AA81" s="211">
        <f t="shared" ca="1" si="11"/>
        <v>2.741799554630914</v>
      </c>
      <c r="AB81" s="220" t="s">
        <v>3355</v>
      </c>
      <c r="AC81" s="212">
        <f ca="1">IF($AB81="DIRECT",Q81,DCOUNT('literature entries'!$D:$AI,IF($J81=1,"ACTIVE     GHGE, FARM GATE (kg CO2e/kg)","GHGE, processor gate (kg CO2e/kg)"),INDIRECT($AB81)))</f>
        <v>29</v>
      </c>
      <c r="AD81" s="212">
        <f ca="1">IF($AB81="DIRECT","",DAVERAGE('literature entries'!$D:$AI,IF($J81=1,"ACTIVE     GHGE, FARM GATE (kg CO2e/kg)","GHGE, processor gate (kg CO2e/kg)"),INDIRECT($AB81)))</f>
        <v>0.73083219793103427</v>
      </c>
      <c r="AE81" s="212">
        <f ca="1">IF($AB81="DIRECT",$S81,DSTDEV('literature entries'!$D:$AI,IF($J81=1,"ACTIVE     GHGE, FARM GATE (kg CO2e/kg)","GHGE, processor gate (kg CO2e/kg)"),INDIRECT($AB81)))</f>
        <v>0.90386671550847975</v>
      </c>
      <c r="AF81" s="212">
        <f t="shared" ca="1" si="12"/>
        <v>0.38065936922986487</v>
      </c>
    </row>
    <row r="82" spans="1:32" s="19" customFormat="1" ht="17" thickBot="1" x14ac:dyDescent="0.25">
      <c r="A82" s="114">
        <v>603032000</v>
      </c>
      <c r="B82" s="115" t="s">
        <v>1787</v>
      </c>
      <c r="C82" s="115" t="s">
        <v>1784</v>
      </c>
      <c r="D82" s="115" t="s">
        <v>1788</v>
      </c>
      <c r="E82" s="115">
        <v>13</v>
      </c>
      <c r="F82" s="111">
        <f t="shared" ca="1" si="9"/>
        <v>4.7558000000000007</v>
      </c>
      <c r="G82" s="112">
        <f t="shared" ca="1" si="10"/>
        <v>1.1675900000000001</v>
      </c>
      <c r="H82" s="116">
        <v>1</v>
      </c>
      <c r="I82" s="117" t="s">
        <v>594</v>
      </c>
      <c r="J82" s="90">
        <v>1</v>
      </c>
      <c r="K82" s="78" t="s">
        <v>3270</v>
      </c>
      <c r="L82" s="135" t="str">
        <f>IF(ISERROR(GETPIVOTDATA(IF($J82=1,"Count of ACTIVE     CED, FARM GATE (MJ/kg)","Count of CED, processor gate (MJ/kg)"),'Pivot Table_CED'!$A$3,"SUB TYPE",$B82)),"PROXY",IF(GETPIVOTDATA(IF($J82=1,"Count of ACTIVE     CED, FARM GATE (MJ/kg)","Count of CED, processor gate (MJ/kg)"),'Pivot Table_CED'!$A$3,"SUB TYPE",$B82)=0,"PROXY","DB value"))</f>
        <v>PROXY</v>
      </c>
      <c r="M82" s="118">
        <f ca="1">IF($L82="PROXY",DCOUNT('literature entries'!$D:$AI,IF($J82=1,"ACTIVE     CED, FARM GATE (MJ/kg)","CED, processor gate (MJ/kg)"),INDIRECT($K82)),GETPIVOTDATA(IF($J82=1,"Count of ACTIVE     CED, FARM GATE (MJ/kg)","Count of CED, processor gate (MJ/kg)"),'Pivot Table_CED'!$A$3,"SUB TYPE",$B82))</f>
        <v>2</v>
      </c>
      <c r="N82" s="119">
        <f ca="1">IF($L82="PROXY",DAVERAGE('literature entries'!$D:$AI,IF($J82=1,"ACTIVE     CED, FARM GATE (MJ/kg)","CED, processor gate (MJ/kg)"),INDIRECT($K82)),GETPIVOTDATA(IF($J82=1,"Average of ACTIVE     CED, FARM GATE (MJ/kg)","Average of CED, processor gate (MJ/kg)"),'Pivot Table_CED'!$A$3,"SUB TYPE",$B82))</f>
        <v>4.7558000000000007</v>
      </c>
      <c r="O82" s="119">
        <f ca="1">IF($L82="PROXY",DSTDEV('literature entries'!D:AI,IF($J82=1,"ACTIVE     CED, FARM GATE (MJ/kg)","CED, processor gate (MJ/kg)"),INDIRECT($K82)),GETPIVOTDATA(IF($J82=1,"StdDev of ACTIVE     CED, FARM GATE (MJ/kg)","StdDev of CED, processor gate (MJ/kg)"),'Pivot Table_CED'!$A$3,"SUB TYPE",$B82))</f>
        <v>3.7394635016269362</v>
      </c>
      <c r="P82" s="135" t="str">
        <f>IF(ISERROR(GETPIVOTDATA(IF($J82=1,"Count of ACTIVE     GHGE, FARM GATE (kg CO2e/kg)","Count of GHGE, processor gate (kg CO2e/kg)"),'Pivot Table_GHG'!$A$3,"SUB TYPE",$B82)),"PROXY",IF(GETPIVOTDATA(IF($J82=1,"Count of ACTIVE     GHGE, FARM GATE (kg CO2e/kg)","Count of GHGE, processor gate (kg CO2e/kg)"),'Pivot Table_GHG'!$A$3,"SUB TYPE",$B82)=0,"PROXY","DB value"))</f>
        <v>DB value</v>
      </c>
      <c r="Q82" s="125">
        <f ca="1">IF($P82="PROXY",DCOUNT('literature entries'!$D:$AI,IF($J82=1,"ACTIVE     GHGE, FARM GATE (kg CO2e/kg)","GHGE, processor gate (kg CO2e/kg)"),INDIRECT($K82)),GETPIVOTDATA(IF($J82=1,"ACTIVE     GHGE, FARM GATE (kg CO2e/kg)","Count of GHGE, processor gate (kg CO2e/kg)"),'Pivot Table_GHG'!$A$3,"SUB TYPE",$B82))</f>
        <v>2</v>
      </c>
      <c r="R82" s="190">
        <f ca="1">IF($P82="PROXY",DAVERAGE('literature entries'!$D:$AI,IF($J82=1,"ACTIVE     GHGE, FARM GATE (kg CO2e/kg)","GHGE, processor gate (kg CO2e/kg)"),INDIRECT($K82)),GETPIVOTDATA(IF($J82=1,"Average of ACTIVE     GHGE, FARM GATE (kg CO2e/kg)","Average of GHGE, processor gate (kg CO2e/kg)"),'Pivot Table_GHG'!$A$3,"SUB TYPE",$B82))</f>
        <v>1.1675900000000001</v>
      </c>
      <c r="S82" s="190">
        <f ca="1">IF($P82="PROXY",DSTDEV('literature entries'!$D:$AI,IF($J82=1,"ACTIVE     GHGE, FARM GATE (kg CO2e/kg)","GHGE, processor gate (kg CO2e/kg)"),INDIRECT($K82)),GETPIVOTDATA(IF($J82=1,"StdDev of ACTIVE     GHGE, FARM GATE (kg CO2e/kg)","StdDev of GHGE, processor gate (kg CO2e/kg)"),'Pivot Table_GHG'!$A$3,"SUB TYPE",$B82))</f>
        <v>0.93087779316084207</v>
      </c>
      <c r="T82" s="88"/>
      <c r="U82" s="89"/>
      <c r="W82" s="173" t="s">
        <v>3355</v>
      </c>
      <c r="X82" s="211">
        <f ca="1">IF($W82="DIRECT",M82,DCOUNT('literature entries'!$D:$AI,IF($J82=1,"ACTIVE     CED, FARM GATE (MJ/kg)","CED, processor gate (MJ/kg)"),INDIRECT($W82)))</f>
        <v>19</v>
      </c>
      <c r="Y82" s="211">
        <f ca="1">IF($W82="DIRECT","",DAVERAGE('literature entries'!$D:$AI,IF($J82=1,"ACTIVE     CED, FARM GATE (MJ/kg)","CED, processor gate (MJ/kg)"),INDIRECT($W82)))</f>
        <v>3.1899535894736837</v>
      </c>
      <c r="Z82" s="211">
        <f ca="1">IF($W82="DIRECT",$O82,DSTDEV('literature entries'!$D:$AI,IF($J82=1,"ACTIVE     CED, FARM GATE (MJ/kg)","CED, processor gate (MJ/kg)"),INDIRECT($W82)))</f>
        <v>1.8390624775878359</v>
      </c>
      <c r="AA82" s="211">
        <f t="shared" ca="1" si="11"/>
        <v>2.741799554630914</v>
      </c>
      <c r="AB82" s="220" t="s">
        <v>3355</v>
      </c>
      <c r="AC82" s="212">
        <f ca="1">IF($AB82="DIRECT",Q82,DCOUNT('literature entries'!$D:$AI,IF($J82=1,"ACTIVE     GHGE, FARM GATE (kg CO2e/kg)","GHGE, processor gate (kg CO2e/kg)"),INDIRECT($AB82)))</f>
        <v>29</v>
      </c>
      <c r="AD82" s="212">
        <f ca="1">IF($AB82="DIRECT","",DAVERAGE('literature entries'!$D:$AI,IF($J82=1,"ACTIVE     GHGE, FARM GATE (kg CO2e/kg)","GHGE, processor gate (kg CO2e/kg)"),INDIRECT($AB82)))</f>
        <v>0.73083219793103427</v>
      </c>
      <c r="AE82" s="212">
        <f ca="1">IF($AB82="DIRECT",$S82,DSTDEV('literature entries'!$D:$AI,IF($J82=1,"ACTIVE     GHGE, FARM GATE (kg CO2e/kg)","GHGE, processor gate (kg CO2e/kg)"),INDIRECT($AB82)))</f>
        <v>0.90386671550847975</v>
      </c>
      <c r="AF82" s="212">
        <f t="shared" ca="1" si="12"/>
        <v>1.4440329002309977</v>
      </c>
    </row>
    <row r="83" spans="1:32" s="19" customFormat="1" ht="17" thickBot="1" x14ac:dyDescent="0.25">
      <c r="A83" s="114">
        <v>603034000</v>
      </c>
      <c r="B83" s="115" t="s">
        <v>1791</v>
      </c>
      <c r="C83" s="115" t="s">
        <v>1784</v>
      </c>
      <c r="D83" s="115" t="s">
        <v>1792</v>
      </c>
      <c r="E83" s="115">
        <v>54</v>
      </c>
      <c r="F83" s="111">
        <f t="shared" ca="1" si="9"/>
        <v>4.7558000000000007</v>
      </c>
      <c r="G83" s="112">
        <f t="shared" ca="1" si="10"/>
        <v>0.61</v>
      </c>
      <c r="H83" s="116">
        <v>1</v>
      </c>
      <c r="I83" s="117" t="s">
        <v>594</v>
      </c>
      <c r="J83" s="79">
        <v>1</v>
      </c>
      <c r="K83" s="78" t="s">
        <v>3270</v>
      </c>
      <c r="L83" s="135" t="str">
        <f>IF(ISERROR(GETPIVOTDATA(IF($J83=1,"Count of ACTIVE     CED, FARM GATE (MJ/kg)","Count of CED, processor gate (MJ/kg)"),'Pivot Table_CED'!$A$3,"SUB TYPE",$B83)),"PROXY",IF(GETPIVOTDATA(IF($J83=1,"Count of ACTIVE     CED, FARM GATE (MJ/kg)","Count of CED, processor gate (MJ/kg)"),'Pivot Table_CED'!$A$3,"SUB TYPE",$B83)=0,"PROXY","DB value"))</f>
        <v>PROXY</v>
      </c>
      <c r="M83" s="118">
        <f ca="1">IF($L83="PROXY",DCOUNT('literature entries'!$D:$AI,IF($J83=1,"ACTIVE     CED, FARM GATE (MJ/kg)","CED, processor gate (MJ/kg)"),INDIRECT($K83)),GETPIVOTDATA(IF($J83=1,"Count of ACTIVE     CED, FARM GATE (MJ/kg)","Count of CED, processor gate (MJ/kg)"),'Pivot Table_CED'!$A$3,"SUB TYPE",$B83))</f>
        <v>2</v>
      </c>
      <c r="N83" s="119">
        <f ca="1">IF($L83="PROXY",DAVERAGE('literature entries'!$D:$AI,IF($J83=1,"ACTIVE     CED, FARM GATE (MJ/kg)","CED, processor gate (MJ/kg)"),INDIRECT($K83)),GETPIVOTDATA(IF($J83=1,"Average of ACTIVE     CED, FARM GATE (MJ/kg)","Average of CED, processor gate (MJ/kg)"),'Pivot Table_CED'!$A$3,"SUB TYPE",$B83))</f>
        <v>4.7558000000000007</v>
      </c>
      <c r="O83" s="119">
        <f ca="1">IF($L83="PROXY",DSTDEV('literature entries'!D:AI,IF($J83=1,"ACTIVE     CED, FARM GATE (MJ/kg)","CED, processor gate (MJ/kg)"),INDIRECT($K83)),GETPIVOTDATA(IF($J83=1,"StdDev of ACTIVE     CED, FARM GATE (MJ/kg)","StdDev of CED, processor gate (MJ/kg)"),'Pivot Table_CED'!$A$3,"SUB TYPE",$B83))</f>
        <v>3.7394635016269362</v>
      </c>
      <c r="P83" s="135" t="str">
        <f>IF(ISERROR(GETPIVOTDATA(IF($J83=1,"Count of ACTIVE     GHGE, FARM GATE (kg CO2e/kg)","Count of GHGE, processor gate (kg CO2e/kg)"),'Pivot Table_GHG'!$A$3,"SUB TYPE",$B83)),"PROXY",IF(GETPIVOTDATA(IF($J83=1,"Count of ACTIVE     GHGE, FARM GATE (kg CO2e/kg)","Count of GHGE, processor gate (kg CO2e/kg)"),'Pivot Table_GHG'!$A$3,"SUB TYPE",$B83)=0,"PROXY","DB value"))</f>
        <v>DB value</v>
      </c>
      <c r="Q83" s="125">
        <f ca="1">IF($P83="PROXY",DCOUNT('literature entries'!$D:$AI,IF($J83=1,"ACTIVE     GHGE, FARM GATE (kg CO2e/kg)","GHGE, processor gate (kg CO2e/kg)"),INDIRECT($K83)),GETPIVOTDATA(IF($J83=1,"ACTIVE     GHGE, FARM GATE (kg CO2e/kg)","Count of GHGE, processor gate (kg CO2e/kg)"),'Pivot Table_GHG'!$A$3,"SUB TYPE",$B83))</f>
        <v>1</v>
      </c>
      <c r="R83" s="190">
        <f ca="1">IF($P83="PROXY",DAVERAGE('literature entries'!$D:$AI,IF($J83=1,"ACTIVE     GHGE, FARM GATE (kg CO2e/kg)","GHGE, processor gate (kg CO2e/kg)"),INDIRECT($K83)),GETPIVOTDATA(IF($J83=1,"Average of ACTIVE     GHGE, FARM GATE (kg CO2e/kg)","Average of GHGE, processor gate (kg CO2e/kg)"),'Pivot Table_GHG'!$A$3,"SUB TYPE",$B83))</f>
        <v>0.61</v>
      </c>
      <c r="S83" s="190" t="e">
        <f ca="1">IF($P83="PROXY",DSTDEV('literature entries'!$D:$AI,IF($J83=1,"ACTIVE     GHGE, FARM GATE (kg CO2e/kg)","GHGE, processor gate (kg CO2e/kg)"),INDIRECT($K83)),GETPIVOTDATA(IF($J83=1,"StdDev of ACTIVE     GHGE, FARM GATE (kg CO2e/kg)","StdDev of GHGE, processor gate (kg CO2e/kg)"),'Pivot Table_GHG'!$A$3,"SUB TYPE",$B83))</f>
        <v>#DIV/0!</v>
      </c>
      <c r="T83" s="88"/>
      <c r="U83" s="89"/>
      <c r="W83" s="173" t="s">
        <v>3355</v>
      </c>
      <c r="X83" s="211">
        <f ca="1">IF($W83="DIRECT",M83,DCOUNT('literature entries'!$D:$AI,IF($J83=1,"ACTIVE     CED, FARM GATE (MJ/kg)","CED, processor gate (MJ/kg)"),INDIRECT($W83)))</f>
        <v>19</v>
      </c>
      <c r="Y83" s="211">
        <f ca="1">IF($W83="DIRECT","",DAVERAGE('literature entries'!$D:$AI,IF($J83=1,"ACTIVE     CED, FARM GATE (MJ/kg)","CED, processor gate (MJ/kg)"),INDIRECT($W83)))</f>
        <v>3.1899535894736837</v>
      </c>
      <c r="Z83" s="211">
        <f ca="1">IF($W83="DIRECT",$O83,DSTDEV('literature entries'!$D:$AI,IF($J83=1,"ACTIVE     CED, FARM GATE (MJ/kg)","CED, processor gate (MJ/kg)"),INDIRECT($W83)))</f>
        <v>1.8390624775878359</v>
      </c>
      <c r="AA83" s="211">
        <f t="shared" ca="1" si="11"/>
        <v>2.741799554630914</v>
      </c>
      <c r="AB83" s="220" t="s">
        <v>3355</v>
      </c>
      <c r="AC83" s="212">
        <f ca="1">IF($AB83="DIRECT",Q83,DCOUNT('literature entries'!$D:$AI,IF($J83=1,"ACTIVE     GHGE, FARM GATE (kg CO2e/kg)","GHGE, processor gate (kg CO2e/kg)"),INDIRECT($AB83)))</f>
        <v>29</v>
      </c>
      <c r="AD83" s="212">
        <f ca="1">IF($AB83="DIRECT","",DAVERAGE('literature entries'!$D:$AI,IF($J83=1,"ACTIVE     GHGE, FARM GATE (kg CO2e/kg)","GHGE, processor gate (kg CO2e/kg)"),INDIRECT($AB83)))</f>
        <v>0.73083219793103427</v>
      </c>
      <c r="AE83" s="212">
        <f ca="1">IF($AB83="DIRECT",$S83,DSTDEV('literature entries'!$D:$AI,IF($J83=1,"ACTIVE     GHGE, FARM GATE (kg CO2e/kg)","GHGE, processor gate (kg CO2e/kg)"),INDIRECT($AB83)))</f>
        <v>0.90386671550847975</v>
      </c>
      <c r="AF83" s="212">
        <f t="shared" ca="1" si="12"/>
        <v>0.75442584223992026</v>
      </c>
    </row>
    <row r="84" spans="1:32" s="19" customFormat="1" ht="17" thickBot="1" x14ac:dyDescent="0.25">
      <c r="A84" s="114">
        <v>603035000</v>
      </c>
      <c r="B84" s="115" t="s">
        <v>1783</v>
      </c>
      <c r="C84" s="115" t="s">
        <v>1784</v>
      </c>
      <c r="D84" s="115"/>
      <c r="E84" s="115">
        <v>1934</v>
      </c>
      <c r="F84" s="111">
        <f t="shared" ca="1" si="9"/>
        <v>4.7558000000000007</v>
      </c>
      <c r="G84" s="112">
        <f t="shared" ca="1" si="10"/>
        <v>0.30778666666666665</v>
      </c>
      <c r="H84" s="116">
        <v>1</v>
      </c>
      <c r="I84" s="117" t="s">
        <v>594</v>
      </c>
      <c r="J84" s="79">
        <v>1</v>
      </c>
      <c r="K84" s="78" t="s">
        <v>3270</v>
      </c>
      <c r="L84" s="135" t="str">
        <f>IF(ISERROR(GETPIVOTDATA(IF($J84=1,"Count of ACTIVE     CED, FARM GATE (MJ/kg)","Count of CED, processor gate (MJ/kg)"),'Pivot Table_CED'!$A$3,"SUB TYPE",$B84)),"PROXY",IF(GETPIVOTDATA(IF($J84=1,"Count of ACTIVE     CED, FARM GATE (MJ/kg)","Count of CED, processor gate (MJ/kg)"),'Pivot Table_CED'!$A$3,"SUB TYPE",$B84)=0,"PROXY","DB value"))</f>
        <v>PROXY</v>
      </c>
      <c r="M84" s="118">
        <f ca="1">IF($L84="PROXY",DCOUNT('literature entries'!$D:$AI,IF($J84=1,"ACTIVE     CED, FARM GATE (MJ/kg)","CED, processor gate (MJ/kg)"),INDIRECT($K84)),GETPIVOTDATA(IF($J84=1,"Count of ACTIVE     CED, FARM GATE (MJ/kg)","Count of CED, processor gate (MJ/kg)"),'Pivot Table_CED'!$A$3,"SUB TYPE",$B84))</f>
        <v>2</v>
      </c>
      <c r="N84" s="119">
        <f ca="1">IF($L84="PROXY",DAVERAGE('literature entries'!$D:$AI,IF($J84=1,"ACTIVE     CED, FARM GATE (MJ/kg)","CED, processor gate (MJ/kg)"),INDIRECT($K84)),GETPIVOTDATA(IF($J84=1,"Average of ACTIVE     CED, FARM GATE (MJ/kg)","Average of CED, processor gate (MJ/kg)"),'Pivot Table_CED'!$A$3,"SUB TYPE",$B84))</f>
        <v>4.7558000000000007</v>
      </c>
      <c r="O84" s="119">
        <f ca="1">IF($L84="PROXY",DSTDEV('literature entries'!D:AI,IF($J84=1,"ACTIVE     CED, FARM GATE (MJ/kg)","CED, processor gate (MJ/kg)"),INDIRECT($K84)),GETPIVOTDATA(IF($J84=1,"StdDev of ACTIVE     CED, FARM GATE (MJ/kg)","StdDev of CED, processor gate (MJ/kg)"),'Pivot Table_CED'!$A$3,"SUB TYPE",$B84))</f>
        <v>3.7394635016269362</v>
      </c>
      <c r="P84" s="135" t="str">
        <f>IF(ISERROR(GETPIVOTDATA(IF($J84=1,"Count of ACTIVE     GHGE, FARM GATE (kg CO2e/kg)","Count of GHGE, processor gate (kg CO2e/kg)"),'Pivot Table_GHG'!$A$3,"SUB TYPE",$B84)),"PROXY",IF(GETPIVOTDATA(IF($J84=1,"Count of ACTIVE     GHGE, FARM GATE (kg CO2e/kg)","Count of GHGE, processor gate (kg CO2e/kg)"),'Pivot Table_GHG'!$A$3,"SUB TYPE",$B84)=0,"PROXY","DB value"))</f>
        <v>PROXY</v>
      </c>
      <c r="Q84" s="125">
        <f ca="1">IF($P84="PROXY",DCOUNT('literature entries'!$D:$AI,IF($J84=1,"ACTIVE     GHGE, FARM GATE (kg CO2e/kg)","GHGE, processor gate (kg CO2e/kg)"),INDIRECT($K84)),GETPIVOTDATA(IF($J84=1,"ACTIVE     GHGE, FARM GATE (kg CO2e/kg)","Count of GHGE, processor gate (kg CO2e/kg)"),'Pivot Table_GHG'!$A$3,"SUB TYPE",$B84))</f>
        <v>9</v>
      </c>
      <c r="R84" s="190">
        <f ca="1">IF($P84="PROXY",DAVERAGE('literature entries'!$D:$AI,IF($J84=1,"ACTIVE     GHGE, FARM GATE (kg CO2e/kg)","GHGE, processor gate (kg CO2e/kg)"),INDIRECT($K84)),GETPIVOTDATA(IF($J84=1,"Average of ACTIVE     GHGE, FARM GATE (kg CO2e/kg)","Average of GHGE, processor gate (kg CO2e/kg)"),'Pivot Table_GHG'!$A$3,"SUB TYPE",$B84))</f>
        <v>0.30778666666666665</v>
      </c>
      <c r="S84" s="190">
        <f ca="1">IF($P84="PROXY",DSTDEV('literature entries'!$D:$AI,IF($J84=1,"ACTIVE     GHGE, FARM GATE (kg CO2e/kg)","GHGE, processor gate (kg CO2e/kg)"),INDIRECT($K84)),GETPIVOTDATA(IF($J84=1,"StdDev of ACTIVE     GHGE, FARM GATE (kg CO2e/kg)","StdDev of GHGE, processor gate (kg CO2e/kg)"),'Pivot Table_GHG'!$A$3,"SUB TYPE",$B84))</f>
        <v>0.19451811637994038</v>
      </c>
      <c r="T84" s="88"/>
      <c r="U84" s="89"/>
      <c r="W84" s="173" t="s">
        <v>3355</v>
      </c>
      <c r="X84" s="211">
        <f ca="1">IF($W84="DIRECT",M84,DCOUNT('literature entries'!$D:$AI,IF($J84=1,"ACTIVE     CED, FARM GATE (MJ/kg)","CED, processor gate (MJ/kg)"),INDIRECT($W84)))</f>
        <v>19</v>
      </c>
      <c r="Y84" s="211">
        <f ca="1">IF($W84="DIRECT","",DAVERAGE('literature entries'!$D:$AI,IF($J84=1,"ACTIVE     CED, FARM GATE (MJ/kg)","CED, processor gate (MJ/kg)"),INDIRECT($W84)))</f>
        <v>3.1899535894736837</v>
      </c>
      <c r="Z84" s="211">
        <f ca="1">IF($W84="DIRECT",$O84,DSTDEV('literature entries'!$D:$AI,IF($J84=1,"ACTIVE     CED, FARM GATE (MJ/kg)","CED, processor gate (MJ/kg)"),INDIRECT($W84)))</f>
        <v>1.8390624775878359</v>
      </c>
      <c r="AA84" s="211">
        <f t="shared" ca="1" si="11"/>
        <v>2.741799554630914</v>
      </c>
      <c r="AB84" s="220" t="s">
        <v>3355</v>
      </c>
      <c r="AC84" s="212">
        <f ca="1">IF($AB84="DIRECT",Q84,DCOUNT('literature entries'!$D:$AI,IF($J84=1,"ACTIVE     GHGE, FARM GATE (kg CO2e/kg)","GHGE, processor gate (kg CO2e/kg)"),INDIRECT($AB84)))</f>
        <v>29</v>
      </c>
      <c r="AD84" s="212">
        <f ca="1">IF($AB84="DIRECT","",DAVERAGE('literature entries'!$D:$AI,IF($J84=1,"ACTIVE     GHGE, FARM GATE (kg CO2e/kg)","GHGE, processor gate (kg CO2e/kg)"),INDIRECT($AB84)))</f>
        <v>0.73083219793103427</v>
      </c>
      <c r="AE84" s="212">
        <f ca="1">IF($AB84="DIRECT",$S84,DSTDEV('literature entries'!$D:$AI,IF($J84=1,"ACTIVE     GHGE, FARM GATE (kg CO2e/kg)","GHGE, processor gate (kg CO2e/kg)"),INDIRECT($AB84)))</f>
        <v>0.90386671550847975</v>
      </c>
      <c r="AF84" s="212">
        <f t="shared" ca="1" si="12"/>
        <v>0.38065936922986487</v>
      </c>
    </row>
    <row r="85" spans="1:32" s="19" customFormat="1" ht="17" thickBot="1" x14ac:dyDescent="0.25">
      <c r="A85" s="114">
        <v>603036000</v>
      </c>
      <c r="B85" s="115" t="s">
        <v>1795</v>
      </c>
      <c r="C85" s="115" t="s">
        <v>1784</v>
      </c>
      <c r="D85" s="115"/>
      <c r="E85" s="115">
        <v>1457</v>
      </c>
      <c r="F85" s="111">
        <f t="shared" ca="1" si="9"/>
        <v>4.7558000000000007</v>
      </c>
      <c r="G85" s="112">
        <f t="shared" ca="1" si="10"/>
        <v>0.30778666666666665</v>
      </c>
      <c r="H85" s="116">
        <v>1</v>
      </c>
      <c r="I85" s="117" t="s">
        <v>594</v>
      </c>
      <c r="J85" s="79">
        <v>1</v>
      </c>
      <c r="K85" s="78" t="s">
        <v>3270</v>
      </c>
      <c r="L85" s="135" t="str">
        <f>IF(ISERROR(GETPIVOTDATA(IF($J85=1,"Count of ACTIVE     CED, FARM GATE (MJ/kg)","Count of CED, processor gate (MJ/kg)"),'Pivot Table_CED'!$A$3,"SUB TYPE",$B85)),"PROXY",IF(GETPIVOTDATA(IF($J85=1,"Count of ACTIVE     CED, FARM GATE (MJ/kg)","Count of CED, processor gate (MJ/kg)"),'Pivot Table_CED'!$A$3,"SUB TYPE",$B85)=0,"PROXY","DB value"))</f>
        <v>PROXY</v>
      </c>
      <c r="M85" s="118">
        <f ca="1">IF($L85="PROXY",DCOUNT('literature entries'!$D:$AI,IF($J85=1,"ACTIVE     CED, FARM GATE (MJ/kg)","CED, processor gate (MJ/kg)"),INDIRECT($K85)),GETPIVOTDATA(IF($J85=1,"Count of ACTIVE     CED, FARM GATE (MJ/kg)","Count of CED, processor gate (MJ/kg)"),'Pivot Table_CED'!$A$3,"SUB TYPE",$B85))</f>
        <v>2</v>
      </c>
      <c r="N85" s="119">
        <f ca="1">IF($L85="PROXY",DAVERAGE('literature entries'!$D:$AI,IF($J85=1,"ACTIVE     CED, FARM GATE (MJ/kg)","CED, processor gate (MJ/kg)"),INDIRECT($K85)),GETPIVOTDATA(IF($J85=1,"Average of ACTIVE     CED, FARM GATE (MJ/kg)","Average of CED, processor gate (MJ/kg)"),'Pivot Table_CED'!$A$3,"SUB TYPE",$B85))</f>
        <v>4.7558000000000007</v>
      </c>
      <c r="O85" s="119">
        <f ca="1">IF($L85="PROXY",DSTDEV('literature entries'!D:AI,IF($J85=1,"ACTIVE     CED, FARM GATE (MJ/kg)","CED, processor gate (MJ/kg)"),INDIRECT($K85)),GETPIVOTDATA(IF($J85=1,"StdDev of ACTIVE     CED, FARM GATE (MJ/kg)","StdDev of CED, processor gate (MJ/kg)"),'Pivot Table_CED'!$A$3,"SUB TYPE",$B85))</f>
        <v>3.7394635016269362</v>
      </c>
      <c r="P85" s="135" t="str">
        <f>IF(ISERROR(GETPIVOTDATA(IF($J85=1,"Count of ACTIVE     GHGE, FARM GATE (kg CO2e/kg)","Count of GHGE, processor gate (kg CO2e/kg)"),'Pivot Table_GHG'!$A$3,"SUB TYPE",$B85)),"PROXY",IF(GETPIVOTDATA(IF($J85=1,"Count of ACTIVE     GHGE, FARM GATE (kg CO2e/kg)","Count of GHGE, processor gate (kg CO2e/kg)"),'Pivot Table_GHG'!$A$3,"SUB TYPE",$B85)=0,"PROXY","DB value"))</f>
        <v>PROXY</v>
      </c>
      <c r="Q85" s="125">
        <f ca="1">IF($P85="PROXY",DCOUNT('literature entries'!$D:$AI,IF($J85=1,"ACTIVE     GHGE, FARM GATE (kg CO2e/kg)","GHGE, processor gate (kg CO2e/kg)"),INDIRECT($K85)),GETPIVOTDATA(IF($J85=1,"ACTIVE     GHGE, FARM GATE (kg CO2e/kg)","Count of GHGE, processor gate (kg CO2e/kg)"),'Pivot Table_GHG'!$A$3,"SUB TYPE",$B85))</f>
        <v>9</v>
      </c>
      <c r="R85" s="190">
        <f ca="1">IF($P85="PROXY",DAVERAGE('literature entries'!$D:$AI,IF($J85=1,"ACTIVE     GHGE, FARM GATE (kg CO2e/kg)","GHGE, processor gate (kg CO2e/kg)"),INDIRECT($K85)),GETPIVOTDATA(IF($J85=1,"Average of ACTIVE     GHGE, FARM GATE (kg CO2e/kg)","Average of GHGE, processor gate (kg CO2e/kg)"),'Pivot Table_GHG'!$A$3,"SUB TYPE",$B85))</f>
        <v>0.30778666666666665</v>
      </c>
      <c r="S85" s="190">
        <f ca="1">IF($P85="PROXY",DSTDEV('literature entries'!$D:$AI,IF($J85=1,"ACTIVE     GHGE, FARM GATE (kg CO2e/kg)","GHGE, processor gate (kg CO2e/kg)"),INDIRECT($K85)),GETPIVOTDATA(IF($J85=1,"StdDev of ACTIVE     GHGE, FARM GATE (kg CO2e/kg)","StdDev of GHGE, processor gate (kg CO2e/kg)"),'Pivot Table_GHG'!$A$3,"SUB TYPE",$B85))</f>
        <v>0.19451811637994038</v>
      </c>
      <c r="T85" s="88"/>
      <c r="U85" s="89"/>
      <c r="W85" s="173" t="s">
        <v>3355</v>
      </c>
      <c r="X85" s="211">
        <f ca="1">IF($W85="DIRECT",M85,DCOUNT('literature entries'!$D:$AI,IF($J85=1,"ACTIVE     CED, FARM GATE (MJ/kg)","CED, processor gate (MJ/kg)"),INDIRECT($W85)))</f>
        <v>19</v>
      </c>
      <c r="Y85" s="211">
        <f ca="1">IF($W85="DIRECT","",DAVERAGE('literature entries'!$D:$AI,IF($J85=1,"ACTIVE     CED, FARM GATE (MJ/kg)","CED, processor gate (MJ/kg)"),INDIRECT($W85)))</f>
        <v>3.1899535894736837</v>
      </c>
      <c r="Z85" s="211">
        <f ca="1">IF($W85="DIRECT",$O85,DSTDEV('literature entries'!$D:$AI,IF($J85=1,"ACTIVE     CED, FARM GATE (MJ/kg)","CED, processor gate (MJ/kg)"),INDIRECT($W85)))</f>
        <v>1.8390624775878359</v>
      </c>
      <c r="AA85" s="211">
        <f t="shared" ca="1" si="11"/>
        <v>2.741799554630914</v>
      </c>
      <c r="AB85" s="220" t="s">
        <v>3355</v>
      </c>
      <c r="AC85" s="212">
        <f ca="1">IF($AB85="DIRECT",Q85,DCOUNT('literature entries'!$D:$AI,IF($J85=1,"ACTIVE     GHGE, FARM GATE (kg CO2e/kg)","GHGE, processor gate (kg CO2e/kg)"),INDIRECT($AB85)))</f>
        <v>29</v>
      </c>
      <c r="AD85" s="212">
        <f ca="1">IF($AB85="DIRECT","",DAVERAGE('literature entries'!$D:$AI,IF($J85=1,"ACTIVE     GHGE, FARM GATE (kg CO2e/kg)","GHGE, processor gate (kg CO2e/kg)"),INDIRECT($AB85)))</f>
        <v>0.73083219793103427</v>
      </c>
      <c r="AE85" s="212">
        <f ca="1">IF($AB85="DIRECT",$S85,DSTDEV('literature entries'!$D:$AI,IF($J85=1,"ACTIVE     GHGE, FARM GATE (kg CO2e/kg)","GHGE, processor gate (kg CO2e/kg)"),INDIRECT($AB85)))</f>
        <v>0.90386671550847975</v>
      </c>
      <c r="AF85" s="212">
        <f t="shared" ca="1" si="12"/>
        <v>0.38065936922986487</v>
      </c>
    </row>
    <row r="86" spans="1:32" s="19" customFormat="1" ht="17" thickBot="1" x14ac:dyDescent="0.25">
      <c r="A86" s="114">
        <v>603038000</v>
      </c>
      <c r="B86" s="115" t="s">
        <v>1796</v>
      </c>
      <c r="C86" s="115" t="s">
        <v>1784</v>
      </c>
      <c r="D86" s="115"/>
      <c r="E86" s="115">
        <v>278</v>
      </c>
      <c r="F86" s="111">
        <f t="shared" ca="1" si="9"/>
        <v>4.7558000000000007</v>
      </c>
      <c r="G86" s="112">
        <f t="shared" ca="1" si="10"/>
        <v>0.30778666666666665</v>
      </c>
      <c r="H86" s="116">
        <v>1</v>
      </c>
      <c r="I86" s="117" t="s">
        <v>594</v>
      </c>
      <c r="J86" s="79">
        <v>1</v>
      </c>
      <c r="K86" s="78" t="s">
        <v>3270</v>
      </c>
      <c r="L86" s="135" t="str">
        <f>IF(ISERROR(GETPIVOTDATA(IF($J86=1,"Count of ACTIVE     CED, FARM GATE (MJ/kg)","Count of CED, processor gate (MJ/kg)"),'Pivot Table_CED'!$A$3,"SUB TYPE",$B86)),"PROXY",IF(GETPIVOTDATA(IF($J86=1,"Count of ACTIVE     CED, FARM GATE (MJ/kg)","Count of CED, processor gate (MJ/kg)"),'Pivot Table_CED'!$A$3,"SUB TYPE",$B86)=0,"PROXY","DB value"))</f>
        <v>PROXY</v>
      </c>
      <c r="M86" s="118">
        <f ca="1">IF($L86="PROXY",DCOUNT('literature entries'!$D:$AI,IF($J86=1,"ACTIVE     CED, FARM GATE (MJ/kg)","CED, processor gate (MJ/kg)"),INDIRECT($K86)),GETPIVOTDATA(IF($J86=1,"Count of ACTIVE     CED, FARM GATE (MJ/kg)","Count of CED, processor gate (MJ/kg)"),'Pivot Table_CED'!$A$3,"SUB TYPE",$B86))</f>
        <v>2</v>
      </c>
      <c r="N86" s="119">
        <f ca="1">IF($L86="PROXY",DAVERAGE('literature entries'!$D:$AI,IF($J86=1,"ACTIVE     CED, FARM GATE (MJ/kg)","CED, processor gate (MJ/kg)"),INDIRECT($K86)),GETPIVOTDATA(IF($J86=1,"Average of ACTIVE     CED, FARM GATE (MJ/kg)","Average of CED, processor gate (MJ/kg)"),'Pivot Table_CED'!$A$3,"SUB TYPE",$B86))</f>
        <v>4.7558000000000007</v>
      </c>
      <c r="O86" s="119">
        <f ca="1">IF($L86="PROXY",DSTDEV('literature entries'!D:AI,IF($J86=1,"ACTIVE     CED, FARM GATE (MJ/kg)","CED, processor gate (MJ/kg)"),INDIRECT($K86)),GETPIVOTDATA(IF($J86=1,"StdDev of ACTIVE     CED, FARM GATE (MJ/kg)","StdDev of CED, processor gate (MJ/kg)"),'Pivot Table_CED'!$A$3,"SUB TYPE",$B86))</f>
        <v>3.7394635016269362</v>
      </c>
      <c r="P86" s="135" t="str">
        <f>IF(ISERROR(GETPIVOTDATA(IF($J86=1,"Count of ACTIVE     GHGE, FARM GATE (kg CO2e/kg)","Count of GHGE, processor gate (kg CO2e/kg)"),'Pivot Table_GHG'!$A$3,"SUB TYPE",$B86)),"PROXY",IF(GETPIVOTDATA(IF($J86=1,"Count of ACTIVE     GHGE, FARM GATE (kg CO2e/kg)","Count of GHGE, processor gate (kg CO2e/kg)"),'Pivot Table_GHG'!$A$3,"SUB TYPE",$B86)=0,"PROXY","DB value"))</f>
        <v>PROXY</v>
      </c>
      <c r="Q86" s="125">
        <f ca="1">IF($P86="PROXY",DCOUNT('literature entries'!$D:$AI,IF($J86=1,"ACTIVE     GHGE, FARM GATE (kg CO2e/kg)","GHGE, processor gate (kg CO2e/kg)"),INDIRECT($K86)),GETPIVOTDATA(IF($J86=1,"ACTIVE     GHGE, FARM GATE (kg CO2e/kg)","Count of GHGE, processor gate (kg CO2e/kg)"),'Pivot Table_GHG'!$A$3,"SUB TYPE",$B86))</f>
        <v>9</v>
      </c>
      <c r="R86" s="190">
        <f ca="1">IF($P86="PROXY",DAVERAGE('literature entries'!$D:$AI,IF($J86=1,"ACTIVE     GHGE, FARM GATE (kg CO2e/kg)","GHGE, processor gate (kg CO2e/kg)"),INDIRECT($K86)),GETPIVOTDATA(IF($J86=1,"Average of ACTIVE     GHGE, FARM GATE (kg CO2e/kg)","Average of GHGE, processor gate (kg CO2e/kg)"),'Pivot Table_GHG'!$A$3,"SUB TYPE",$B86))</f>
        <v>0.30778666666666665</v>
      </c>
      <c r="S86" s="190">
        <f ca="1">IF($P86="PROXY",DSTDEV('literature entries'!$D:$AI,IF($J86=1,"ACTIVE     GHGE, FARM GATE (kg CO2e/kg)","GHGE, processor gate (kg CO2e/kg)"),INDIRECT($K86)),GETPIVOTDATA(IF($J86=1,"StdDev of ACTIVE     GHGE, FARM GATE (kg CO2e/kg)","StdDev of GHGE, processor gate (kg CO2e/kg)"),'Pivot Table_GHG'!$A$3,"SUB TYPE",$B86))</f>
        <v>0.19451811637994038</v>
      </c>
      <c r="T86" s="88"/>
      <c r="U86" s="89"/>
      <c r="W86" s="173" t="s">
        <v>3355</v>
      </c>
      <c r="X86" s="211">
        <f ca="1">IF($W86="DIRECT",M86,DCOUNT('literature entries'!$D:$AI,IF($J86=1,"ACTIVE     CED, FARM GATE (MJ/kg)","CED, processor gate (MJ/kg)"),INDIRECT($W86)))</f>
        <v>19</v>
      </c>
      <c r="Y86" s="211">
        <f ca="1">IF($W86="DIRECT","",DAVERAGE('literature entries'!$D:$AI,IF($J86=1,"ACTIVE     CED, FARM GATE (MJ/kg)","CED, processor gate (MJ/kg)"),INDIRECT($W86)))</f>
        <v>3.1899535894736837</v>
      </c>
      <c r="Z86" s="211">
        <f ca="1">IF($W86="DIRECT",$O86,DSTDEV('literature entries'!$D:$AI,IF($J86=1,"ACTIVE     CED, FARM GATE (MJ/kg)","CED, processor gate (MJ/kg)"),INDIRECT($W86)))</f>
        <v>1.8390624775878359</v>
      </c>
      <c r="AA86" s="211">
        <f t="shared" ca="1" si="11"/>
        <v>2.741799554630914</v>
      </c>
      <c r="AB86" s="220" t="s">
        <v>3355</v>
      </c>
      <c r="AC86" s="212">
        <f ca="1">IF($AB86="DIRECT",Q86,DCOUNT('literature entries'!$D:$AI,IF($J86=1,"ACTIVE     GHGE, FARM GATE (kg CO2e/kg)","GHGE, processor gate (kg CO2e/kg)"),INDIRECT($AB86)))</f>
        <v>29</v>
      </c>
      <c r="AD86" s="212">
        <f ca="1">IF($AB86="DIRECT","",DAVERAGE('literature entries'!$D:$AI,IF($J86=1,"ACTIVE     GHGE, FARM GATE (kg CO2e/kg)","GHGE, processor gate (kg CO2e/kg)"),INDIRECT($AB86)))</f>
        <v>0.73083219793103427</v>
      </c>
      <c r="AE86" s="212">
        <f ca="1">IF($AB86="DIRECT",$S86,DSTDEV('literature entries'!$D:$AI,IF($J86=1,"ACTIVE     GHGE, FARM GATE (kg CO2e/kg)","GHGE, processor gate (kg CO2e/kg)"),INDIRECT($AB86)))</f>
        <v>0.90386671550847975</v>
      </c>
      <c r="AF86" s="212">
        <f t="shared" ca="1" si="12"/>
        <v>0.38065936922986487</v>
      </c>
    </row>
    <row r="87" spans="1:32" s="19" customFormat="1" ht="17" thickBot="1" x14ac:dyDescent="0.25">
      <c r="A87" s="114">
        <v>603039000</v>
      </c>
      <c r="B87" s="115" t="s">
        <v>1798</v>
      </c>
      <c r="C87" s="115" t="s">
        <v>1784</v>
      </c>
      <c r="D87" s="115" t="s">
        <v>1799</v>
      </c>
      <c r="E87" s="115">
        <v>1452</v>
      </c>
      <c r="F87" s="111">
        <f t="shared" ca="1" si="9"/>
        <v>1.3204500000000001</v>
      </c>
      <c r="G87" s="112">
        <f t="shared" ca="1" si="10"/>
        <v>1.88035</v>
      </c>
      <c r="H87" s="116">
        <v>1</v>
      </c>
      <c r="I87" s="117" t="s">
        <v>594</v>
      </c>
      <c r="J87" s="79">
        <v>1</v>
      </c>
      <c r="K87" s="78" t="s">
        <v>3274</v>
      </c>
      <c r="L87" s="135" t="str">
        <f>IF(ISERROR(GETPIVOTDATA(IF($J87=1,"Count of ACTIVE     CED, FARM GATE (MJ/kg)","Count of CED, processor gate (MJ/kg)"),'Pivot Table_CED'!$A$3,"SUB TYPE",$B87)),"PROXY",IF(GETPIVOTDATA(IF($J87=1,"Count of ACTIVE     CED, FARM GATE (MJ/kg)","Count of CED, processor gate (MJ/kg)"),'Pivot Table_CED'!$A$3,"SUB TYPE",$B87)=0,"PROXY","DB value"))</f>
        <v>PROXY</v>
      </c>
      <c r="M87" s="118">
        <f ca="1">IF($L87="PROXY",DCOUNT('literature entries'!$D:$AI,IF($J87=1,"ACTIVE     CED, FARM GATE (MJ/kg)","CED, processor gate (MJ/kg)"),INDIRECT($K87)),GETPIVOTDATA(IF($J87=1,"Count of ACTIVE     CED, FARM GATE (MJ/kg)","Count of CED, processor gate (MJ/kg)"),'Pivot Table_CED'!$A$3,"SUB TYPE",$B87))</f>
        <v>2</v>
      </c>
      <c r="N87" s="119">
        <f ca="1">IF($L87="PROXY",DAVERAGE('literature entries'!$D:$AI,IF($J87=1,"ACTIVE     CED, FARM GATE (MJ/kg)","CED, processor gate (MJ/kg)"),INDIRECT($K87)),GETPIVOTDATA(IF($J87=1,"Average of ACTIVE     CED, FARM GATE (MJ/kg)","Average of CED, processor gate (MJ/kg)"),'Pivot Table_CED'!$A$3,"SUB TYPE",$B87))</f>
        <v>1.3204500000000001</v>
      </c>
      <c r="O87" s="119">
        <f ca="1">IF($L87="PROXY",DSTDEV('literature entries'!D:AI,IF($J87=1,"ACTIVE     CED, FARM GATE (MJ/kg)","CED, processor gate (MJ/kg)"),INDIRECT($K87)),GETPIVOTDATA(IF($J87=1,"StdDev of ACTIVE     CED, FARM GATE (MJ/kg)","StdDev of CED, processor gate (MJ/kg)"),'Pivot Table_CED'!$A$3,"SUB TYPE",$B87))</f>
        <v>0.11646048686142442</v>
      </c>
      <c r="P87" s="135" t="str">
        <f>IF(ISERROR(GETPIVOTDATA(IF($J87=1,"Count of ACTIVE     GHGE, FARM GATE (kg CO2e/kg)","Count of GHGE, processor gate (kg CO2e/kg)"),'Pivot Table_GHG'!$A$3,"SUB TYPE",$B87)),"PROXY",IF(GETPIVOTDATA(IF($J87=1,"Count of ACTIVE     GHGE, FARM GATE (kg CO2e/kg)","Count of GHGE, processor gate (kg CO2e/kg)"),'Pivot Table_GHG'!$A$3,"SUB TYPE",$B87)=0,"PROXY","DB value"))</f>
        <v>PROXY</v>
      </c>
      <c r="Q87" s="125">
        <f ca="1">IF($P87="PROXY",DCOUNT('literature entries'!$D:$AI,IF($J87=1,"ACTIVE     GHGE, FARM GATE (kg CO2e/kg)","GHGE, processor gate (kg CO2e/kg)"),INDIRECT($K87)),GETPIVOTDATA(IF($J87=1,"ACTIVE     GHGE, FARM GATE (kg CO2e/kg)","Count of GHGE, processor gate (kg CO2e/kg)"),'Pivot Table_GHG'!$A$3,"SUB TYPE",$B87))</f>
        <v>2</v>
      </c>
      <c r="R87" s="190">
        <f ca="1">IF($P87="PROXY",DAVERAGE('literature entries'!$D:$AI,IF($J87=1,"ACTIVE     GHGE, FARM GATE (kg CO2e/kg)","GHGE, processor gate (kg CO2e/kg)"),INDIRECT($K87)),GETPIVOTDATA(IF($J87=1,"Average of ACTIVE     GHGE, FARM GATE (kg CO2e/kg)","Average of GHGE, processor gate (kg CO2e/kg)"),'Pivot Table_GHG'!$A$3,"SUB TYPE",$B87))</f>
        <v>1.88035</v>
      </c>
      <c r="S87" s="190">
        <f ca="1">IF($P87="PROXY",DSTDEV('literature entries'!$D:$AI,IF($J87=1,"ACTIVE     GHGE, FARM GATE (kg CO2e/kg)","GHGE, processor gate (kg CO2e/kg)"),INDIRECT($K87)),GETPIVOTDATA(IF($J87=1,"StdDev of ACTIVE     GHGE, FARM GATE (kg CO2e/kg)","StdDev of GHGE, processor gate (kg CO2e/kg)"),'Pivot Table_GHG'!$A$3,"SUB TYPE",$B87))</f>
        <v>2.059872764274532</v>
      </c>
      <c r="T87" s="88"/>
      <c r="U87" s="89"/>
      <c r="W87" s="173" t="s">
        <v>3355</v>
      </c>
      <c r="X87" s="211">
        <f ca="1">IF($W87="DIRECT",M87,DCOUNT('literature entries'!$D:$AI,IF($J87=1,"ACTIVE     CED, FARM GATE (MJ/kg)","CED, processor gate (MJ/kg)"),INDIRECT($W87)))</f>
        <v>19</v>
      </c>
      <c r="Y87" s="211">
        <f ca="1">IF($W87="DIRECT","",DAVERAGE('literature entries'!$D:$AI,IF($J87=1,"ACTIVE     CED, FARM GATE (MJ/kg)","CED, processor gate (MJ/kg)"),INDIRECT($W87)))</f>
        <v>3.1899535894736837</v>
      </c>
      <c r="Z87" s="211">
        <f ca="1">IF($W87="DIRECT",$O87,DSTDEV('literature entries'!$D:$AI,IF($J87=1,"ACTIVE     CED, FARM GATE (MJ/kg)","CED, processor gate (MJ/kg)"),INDIRECT($W87)))</f>
        <v>1.8390624775878359</v>
      </c>
      <c r="AA87" s="211">
        <f t="shared" ca="1" si="11"/>
        <v>0.76126187432448589</v>
      </c>
      <c r="AB87" s="220" t="s">
        <v>3355</v>
      </c>
      <c r="AC87" s="212">
        <f ca="1">IF($AB87="DIRECT",Q87,DCOUNT('literature entries'!$D:$AI,IF($J87=1,"ACTIVE     GHGE, FARM GATE (kg CO2e/kg)","GHGE, processor gate (kg CO2e/kg)"),INDIRECT($AB87)))</f>
        <v>29</v>
      </c>
      <c r="AD87" s="212">
        <f ca="1">IF($AB87="DIRECT","",DAVERAGE('literature entries'!$D:$AI,IF($J87=1,"ACTIVE     GHGE, FARM GATE (kg CO2e/kg)","GHGE, processor gate (kg CO2e/kg)"),INDIRECT($AB87)))</f>
        <v>0.73083219793103427</v>
      </c>
      <c r="AE87" s="212">
        <f ca="1">IF($AB87="DIRECT",$S87,DSTDEV('literature entries'!$D:$AI,IF($J87=1,"ACTIVE     GHGE, FARM GATE (kg CO2e/kg)","GHGE, processor gate (kg CO2e/kg)"),INDIRECT($AB87)))</f>
        <v>0.90386671550847975</v>
      </c>
      <c r="AF87" s="212">
        <f t="shared" ca="1" si="12"/>
        <v>2.3255485777964493</v>
      </c>
    </row>
    <row r="88" spans="1:32" s="19" customFormat="1" ht="17" thickBot="1" x14ac:dyDescent="0.25">
      <c r="A88" s="114">
        <v>603040000</v>
      </c>
      <c r="B88" s="115" t="s">
        <v>1800</v>
      </c>
      <c r="C88" s="115" t="s">
        <v>1784</v>
      </c>
      <c r="D88" s="115" t="s">
        <v>1801</v>
      </c>
      <c r="E88" s="115">
        <v>1997</v>
      </c>
      <c r="F88" s="111">
        <f t="shared" ca="1" si="9"/>
        <v>4.7558000000000007</v>
      </c>
      <c r="G88" s="112">
        <f t="shared" ca="1" si="10"/>
        <v>0.30778666666666665</v>
      </c>
      <c r="H88" s="116">
        <v>1</v>
      </c>
      <c r="I88" s="117" t="s">
        <v>594</v>
      </c>
      <c r="J88" s="79">
        <v>1</v>
      </c>
      <c r="K88" s="78" t="s">
        <v>3270</v>
      </c>
      <c r="L88" s="135" t="str">
        <f>IF(ISERROR(GETPIVOTDATA(IF($J88=1,"Count of ACTIVE     CED, FARM GATE (MJ/kg)","Count of CED, processor gate (MJ/kg)"),'Pivot Table_CED'!$A$3,"SUB TYPE",$B88)),"PROXY",IF(GETPIVOTDATA(IF($J88=1,"Count of ACTIVE     CED, FARM GATE (MJ/kg)","Count of CED, processor gate (MJ/kg)"),'Pivot Table_CED'!$A$3,"SUB TYPE",$B88)=0,"PROXY","DB value"))</f>
        <v>PROXY</v>
      </c>
      <c r="M88" s="118">
        <f ca="1">IF($L88="PROXY",DCOUNT('literature entries'!$D:$AI,IF($J88=1,"ACTIVE     CED, FARM GATE (MJ/kg)","CED, processor gate (MJ/kg)"),INDIRECT($K88)),GETPIVOTDATA(IF($J88=1,"Count of ACTIVE     CED, FARM GATE (MJ/kg)","Count of CED, processor gate (MJ/kg)"),'Pivot Table_CED'!$A$3,"SUB TYPE",$B88))</f>
        <v>2</v>
      </c>
      <c r="N88" s="119">
        <f ca="1">IF($L88="PROXY",DAVERAGE('literature entries'!$D:$AI,IF($J88=1,"ACTIVE     CED, FARM GATE (MJ/kg)","CED, processor gate (MJ/kg)"),INDIRECT($K88)),GETPIVOTDATA(IF($J88=1,"Average of ACTIVE     CED, FARM GATE (MJ/kg)","Average of CED, processor gate (MJ/kg)"),'Pivot Table_CED'!$A$3,"SUB TYPE",$B88))</f>
        <v>4.7558000000000007</v>
      </c>
      <c r="O88" s="119">
        <f ca="1">IF($L88="PROXY",DSTDEV('literature entries'!D:AI,IF($J88=1,"ACTIVE     CED, FARM GATE (MJ/kg)","CED, processor gate (MJ/kg)"),INDIRECT($K88)),GETPIVOTDATA(IF($J88=1,"StdDev of ACTIVE     CED, FARM GATE (MJ/kg)","StdDev of CED, processor gate (MJ/kg)"),'Pivot Table_CED'!$A$3,"SUB TYPE",$B88))</f>
        <v>3.7394635016269362</v>
      </c>
      <c r="P88" s="135" t="str">
        <f>IF(ISERROR(GETPIVOTDATA(IF($J88=1,"Count of ACTIVE     GHGE, FARM GATE (kg CO2e/kg)","Count of GHGE, processor gate (kg CO2e/kg)"),'Pivot Table_GHG'!$A$3,"SUB TYPE",$B88)),"PROXY",IF(GETPIVOTDATA(IF($J88=1,"Count of ACTIVE     GHGE, FARM GATE (kg CO2e/kg)","Count of GHGE, processor gate (kg CO2e/kg)"),'Pivot Table_GHG'!$A$3,"SUB TYPE",$B88)=0,"PROXY","DB value"))</f>
        <v>PROXY</v>
      </c>
      <c r="Q88" s="125">
        <f ca="1">IF($P88="PROXY",DCOUNT('literature entries'!$D:$AI,IF($J88=1,"ACTIVE     GHGE, FARM GATE (kg CO2e/kg)","GHGE, processor gate (kg CO2e/kg)"),INDIRECT($K88)),GETPIVOTDATA(IF($J88=1,"ACTIVE     GHGE, FARM GATE (kg CO2e/kg)","Count of GHGE, processor gate (kg CO2e/kg)"),'Pivot Table_GHG'!$A$3,"SUB TYPE",$B88))</f>
        <v>9</v>
      </c>
      <c r="R88" s="190">
        <f ca="1">IF($P88="PROXY",DAVERAGE('literature entries'!$D:$AI,IF($J88=1,"ACTIVE     GHGE, FARM GATE (kg CO2e/kg)","GHGE, processor gate (kg CO2e/kg)"),INDIRECT($K88)),GETPIVOTDATA(IF($J88=1,"Average of ACTIVE     GHGE, FARM GATE (kg CO2e/kg)","Average of GHGE, processor gate (kg CO2e/kg)"),'Pivot Table_GHG'!$A$3,"SUB TYPE",$B88))</f>
        <v>0.30778666666666665</v>
      </c>
      <c r="S88" s="190">
        <f ca="1">IF($P88="PROXY",DSTDEV('literature entries'!$D:$AI,IF($J88=1,"ACTIVE     GHGE, FARM GATE (kg CO2e/kg)","GHGE, processor gate (kg CO2e/kg)"),INDIRECT($K88)),GETPIVOTDATA(IF($J88=1,"StdDev of ACTIVE     GHGE, FARM GATE (kg CO2e/kg)","StdDev of GHGE, processor gate (kg CO2e/kg)"),'Pivot Table_GHG'!$A$3,"SUB TYPE",$B88))</f>
        <v>0.19451811637994038</v>
      </c>
      <c r="T88" s="88"/>
      <c r="U88" s="89"/>
      <c r="W88" s="173" t="s">
        <v>3355</v>
      </c>
      <c r="X88" s="211">
        <f ca="1">IF($W88="DIRECT",M88,DCOUNT('literature entries'!$D:$AI,IF($J88=1,"ACTIVE     CED, FARM GATE (MJ/kg)","CED, processor gate (MJ/kg)"),INDIRECT($W88)))</f>
        <v>19</v>
      </c>
      <c r="Y88" s="211">
        <f ca="1">IF($W88="DIRECT","",DAVERAGE('literature entries'!$D:$AI,IF($J88=1,"ACTIVE     CED, FARM GATE (MJ/kg)","CED, processor gate (MJ/kg)"),INDIRECT($W88)))</f>
        <v>3.1899535894736837</v>
      </c>
      <c r="Z88" s="211">
        <f ca="1">IF($W88="DIRECT",$O88,DSTDEV('literature entries'!$D:$AI,IF($J88=1,"ACTIVE     CED, FARM GATE (MJ/kg)","CED, processor gate (MJ/kg)"),INDIRECT($W88)))</f>
        <v>1.8390624775878359</v>
      </c>
      <c r="AA88" s="211">
        <f t="shared" ca="1" si="11"/>
        <v>2.741799554630914</v>
      </c>
      <c r="AB88" s="220" t="s">
        <v>3355</v>
      </c>
      <c r="AC88" s="212">
        <f ca="1">IF($AB88="DIRECT",Q88,DCOUNT('literature entries'!$D:$AI,IF($J88=1,"ACTIVE     GHGE, FARM GATE (kg CO2e/kg)","GHGE, processor gate (kg CO2e/kg)"),INDIRECT($AB88)))</f>
        <v>29</v>
      </c>
      <c r="AD88" s="212">
        <f ca="1">IF($AB88="DIRECT","",DAVERAGE('literature entries'!$D:$AI,IF($J88=1,"ACTIVE     GHGE, FARM GATE (kg CO2e/kg)","GHGE, processor gate (kg CO2e/kg)"),INDIRECT($AB88)))</f>
        <v>0.73083219793103427</v>
      </c>
      <c r="AE88" s="212">
        <f ca="1">IF($AB88="DIRECT",$S88,DSTDEV('literature entries'!$D:$AI,IF($J88=1,"ACTIVE     GHGE, FARM GATE (kg CO2e/kg)","GHGE, processor gate (kg CO2e/kg)"),INDIRECT($AB88)))</f>
        <v>0.90386671550847975</v>
      </c>
      <c r="AF88" s="212">
        <f t="shared" ca="1" si="12"/>
        <v>0.38065936922986487</v>
      </c>
    </row>
    <row r="89" spans="1:32" s="19" customFormat="1" ht="17" thickBot="1" x14ac:dyDescent="0.25">
      <c r="A89" s="114">
        <v>603041000</v>
      </c>
      <c r="B89" s="115" t="s">
        <v>1802</v>
      </c>
      <c r="C89" s="115" t="s">
        <v>1784</v>
      </c>
      <c r="D89" s="115"/>
      <c r="E89" s="115">
        <v>45</v>
      </c>
      <c r="F89" s="111">
        <f t="shared" ca="1" si="9"/>
        <v>4.7558000000000007</v>
      </c>
      <c r="G89" s="112">
        <f t="shared" ca="1" si="10"/>
        <v>0.30778666666666665</v>
      </c>
      <c r="H89" s="116">
        <v>1</v>
      </c>
      <c r="I89" s="117" t="s">
        <v>594</v>
      </c>
      <c r="J89" s="79">
        <v>1</v>
      </c>
      <c r="K89" s="78" t="s">
        <v>3270</v>
      </c>
      <c r="L89" s="135" t="str">
        <f>IF(ISERROR(GETPIVOTDATA(IF($J89=1,"Count of ACTIVE     CED, FARM GATE (MJ/kg)","Count of CED, processor gate (MJ/kg)"),'Pivot Table_CED'!$A$3,"SUB TYPE",$B89)),"PROXY",IF(GETPIVOTDATA(IF($J89=1,"Count of ACTIVE     CED, FARM GATE (MJ/kg)","Count of CED, processor gate (MJ/kg)"),'Pivot Table_CED'!$A$3,"SUB TYPE",$B89)=0,"PROXY","DB value"))</f>
        <v>PROXY</v>
      </c>
      <c r="M89" s="118">
        <f ca="1">IF($L89="PROXY",DCOUNT('literature entries'!$D:$AI,IF($J89=1,"ACTIVE     CED, FARM GATE (MJ/kg)","CED, processor gate (MJ/kg)"),INDIRECT($K89)),GETPIVOTDATA(IF($J89=1,"Count of ACTIVE     CED, FARM GATE (MJ/kg)","Count of CED, processor gate (MJ/kg)"),'Pivot Table_CED'!$A$3,"SUB TYPE",$B89))</f>
        <v>2</v>
      </c>
      <c r="N89" s="119">
        <f ca="1">IF($L89="PROXY",DAVERAGE('literature entries'!$D:$AI,IF($J89=1,"ACTIVE     CED, FARM GATE (MJ/kg)","CED, processor gate (MJ/kg)"),INDIRECT($K89)),GETPIVOTDATA(IF($J89=1,"Average of ACTIVE     CED, FARM GATE (MJ/kg)","Average of CED, processor gate (MJ/kg)"),'Pivot Table_CED'!$A$3,"SUB TYPE",$B89))</f>
        <v>4.7558000000000007</v>
      </c>
      <c r="O89" s="119">
        <f ca="1">IF($L89="PROXY",DSTDEV('literature entries'!D:AI,IF($J89=1,"ACTIVE     CED, FARM GATE (MJ/kg)","CED, processor gate (MJ/kg)"),INDIRECT($K89)),GETPIVOTDATA(IF($J89=1,"StdDev of ACTIVE     CED, FARM GATE (MJ/kg)","StdDev of CED, processor gate (MJ/kg)"),'Pivot Table_CED'!$A$3,"SUB TYPE",$B89))</f>
        <v>3.7394635016269362</v>
      </c>
      <c r="P89" s="135" t="str">
        <f>IF(ISERROR(GETPIVOTDATA(IF($J89=1,"Count of ACTIVE     GHGE, FARM GATE (kg CO2e/kg)","Count of GHGE, processor gate (kg CO2e/kg)"),'Pivot Table_GHG'!$A$3,"SUB TYPE",$B89)),"PROXY",IF(GETPIVOTDATA(IF($J89=1,"Count of ACTIVE     GHGE, FARM GATE (kg CO2e/kg)","Count of GHGE, processor gate (kg CO2e/kg)"),'Pivot Table_GHG'!$A$3,"SUB TYPE",$B89)=0,"PROXY","DB value"))</f>
        <v>PROXY</v>
      </c>
      <c r="Q89" s="125">
        <f ca="1">IF($P89="PROXY",DCOUNT('literature entries'!$D:$AI,IF($J89=1,"ACTIVE     GHGE, FARM GATE (kg CO2e/kg)","GHGE, processor gate (kg CO2e/kg)"),INDIRECT($K89)),GETPIVOTDATA(IF($J89=1,"ACTIVE     GHGE, FARM GATE (kg CO2e/kg)","Count of GHGE, processor gate (kg CO2e/kg)"),'Pivot Table_GHG'!$A$3,"SUB TYPE",$B89))</f>
        <v>9</v>
      </c>
      <c r="R89" s="190">
        <f ca="1">IF($P89="PROXY",DAVERAGE('literature entries'!$D:$AI,IF($J89=1,"ACTIVE     GHGE, FARM GATE (kg CO2e/kg)","GHGE, processor gate (kg CO2e/kg)"),INDIRECT($K89)),GETPIVOTDATA(IF($J89=1,"Average of ACTIVE     GHGE, FARM GATE (kg CO2e/kg)","Average of GHGE, processor gate (kg CO2e/kg)"),'Pivot Table_GHG'!$A$3,"SUB TYPE",$B89))</f>
        <v>0.30778666666666665</v>
      </c>
      <c r="S89" s="190">
        <f ca="1">IF($P89="PROXY",DSTDEV('literature entries'!$D:$AI,IF($J89=1,"ACTIVE     GHGE, FARM GATE (kg CO2e/kg)","GHGE, processor gate (kg CO2e/kg)"),INDIRECT($K89)),GETPIVOTDATA(IF($J89=1,"StdDev of ACTIVE     GHGE, FARM GATE (kg CO2e/kg)","StdDev of GHGE, processor gate (kg CO2e/kg)"),'Pivot Table_GHG'!$A$3,"SUB TYPE",$B89))</f>
        <v>0.19451811637994038</v>
      </c>
      <c r="T89" s="88"/>
      <c r="U89" s="89"/>
      <c r="W89" s="173" t="s">
        <v>3355</v>
      </c>
      <c r="X89" s="211">
        <f ca="1">IF($W89="DIRECT",M89,DCOUNT('literature entries'!$D:$AI,IF($J89=1,"ACTIVE     CED, FARM GATE (MJ/kg)","CED, processor gate (MJ/kg)"),INDIRECT($W89)))</f>
        <v>19</v>
      </c>
      <c r="Y89" s="211">
        <f ca="1">IF($W89="DIRECT","",DAVERAGE('literature entries'!$D:$AI,IF($J89=1,"ACTIVE     CED, FARM GATE (MJ/kg)","CED, processor gate (MJ/kg)"),INDIRECT($W89)))</f>
        <v>3.1899535894736837</v>
      </c>
      <c r="Z89" s="211">
        <f ca="1">IF($W89="DIRECT",$O89,DSTDEV('literature entries'!$D:$AI,IF($J89=1,"ACTIVE     CED, FARM GATE (MJ/kg)","CED, processor gate (MJ/kg)"),INDIRECT($W89)))</f>
        <v>1.8390624775878359</v>
      </c>
      <c r="AA89" s="211">
        <f t="shared" ca="1" si="11"/>
        <v>2.741799554630914</v>
      </c>
      <c r="AB89" s="220" t="s">
        <v>3355</v>
      </c>
      <c r="AC89" s="212">
        <f ca="1">IF($AB89="DIRECT",Q89,DCOUNT('literature entries'!$D:$AI,IF($J89=1,"ACTIVE     GHGE, FARM GATE (kg CO2e/kg)","GHGE, processor gate (kg CO2e/kg)"),INDIRECT($AB89)))</f>
        <v>29</v>
      </c>
      <c r="AD89" s="212">
        <f ca="1">IF($AB89="DIRECT","",DAVERAGE('literature entries'!$D:$AI,IF($J89=1,"ACTIVE     GHGE, FARM GATE (kg CO2e/kg)","GHGE, processor gate (kg CO2e/kg)"),INDIRECT($AB89)))</f>
        <v>0.73083219793103427</v>
      </c>
      <c r="AE89" s="212">
        <f ca="1">IF($AB89="DIRECT",$S89,DSTDEV('literature entries'!$D:$AI,IF($J89=1,"ACTIVE     GHGE, FARM GATE (kg CO2e/kg)","GHGE, processor gate (kg CO2e/kg)"),INDIRECT($AB89)))</f>
        <v>0.90386671550847975</v>
      </c>
      <c r="AF89" s="212">
        <f t="shared" ca="1" si="12"/>
        <v>0.38065936922986487</v>
      </c>
    </row>
    <row r="90" spans="1:32" s="19" customFormat="1" ht="17" thickBot="1" x14ac:dyDescent="0.25">
      <c r="A90" s="114">
        <v>603042000</v>
      </c>
      <c r="B90" s="115" t="s">
        <v>1803</v>
      </c>
      <c r="C90" s="115" t="s">
        <v>1784</v>
      </c>
      <c r="D90" s="115" t="s">
        <v>1804</v>
      </c>
      <c r="E90" s="115">
        <v>4336</v>
      </c>
      <c r="F90" s="111">
        <f t="shared" ca="1" si="9"/>
        <v>4.7558000000000007</v>
      </c>
      <c r="G90" s="112">
        <f t="shared" ca="1" si="10"/>
        <v>0.30778666666666665</v>
      </c>
      <c r="H90" s="116">
        <v>1</v>
      </c>
      <c r="I90" s="117" t="s">
        <v>594</v>
      </c>
      <c r="J90" s="79">
        <v>1</v>
      </c>
      <c r="K90" s="78" t="s">
        <v>3270</v>
      </c>
      <c r="L90" s="135" t="str">
        <f>IF(ISERROR(GETPIVOTDATA(IF($J90=1,"Count of ACTIVE     CED, FARM GATE (MJ/kg)","Count of CED, processor gate (MJ/kg)"),'Pivot Table_CED'!$A$3,"SUB TYPE",$B90)),"PROXY",IF(GETPIVOTDATA(IF($J90=1,"Count of ACTIVE     CED, FARM GATE (MJ/kg)","Count of CED, processor gate (MJ/kg)"),'Pivot Table_CED'!$A$3,"SUB TYPE",$B90)=0,"PROXY","DB value"))</f>
        <v>PROXY</v>
      </c>
      <c r="M90" s="118">
        <f ca="1">IF($L90="PROXY",DCOUNT('literature entries'!$D:$AI,IF($J90=1,"ACTIVE     CED, FARM GATE (MJ/kg)","CED, processor gate (MJ/kg)"),INDIRECT($K90)),GETPIVOTDATA(IF($J90=1,"Count of ACTIVE     CED, FARM GATE (MJ/kg)","Count of CED, processor gate (MJ/kg)"),'Pivot Table_CED'!$A$3,"SUB TYPE",$B90))</f>
        <v>2</v>
      </c>
      <c r="N90" s="119">
        <f ca="1">IF($L90="PROXY",DAVERAGE('literature entries'!$D:$AI,IF($J90=1,"ACTIVE     CED, FARM GATE (MJ/kg)","CED, processor gate (MJ/kg)"),INDIRECT($K90)),GETPIVOTDATA(IF($J90=1,"Average of ACTIVE     CED, FARM GATE (MJ/kg)","Average of CED, processor gate (MJ/kg)"),'Pivot Table_CED'!$A$3,"SUB TYPE",$B90))</f>
        <v>4.7558000000000007</v>
      </c>
      <c r="O90" s="119">
        <f ca="1">IF($L90="PROXY",DSTDEV('literature entries'!D:AI,IF($J90=1,"ACTIVE     CED, FARM GATE (MJ/kg)","CED, processor gate (MJ/kg)"),INDIRECT($K90)),GETPIVOTDATA(IF($J90=1,"StdDev of ACTIVE     CED, FARM GATE (MJ/kg)","StdDev of CED, processor gate (MJ/kg)"),'Pivot Table_CED'!$A$3,"SUB TYPE",$B90))</f>
        <v>3.7394635016269362</v>
      </c>
      <c r="P90" s="135" t="str">
        <f>IF(ISERROR(GETPIVOTDATA(IF($J90=1,"Count of ACTIVE     GHGE, FARM GATE (kg CO2e/kg)","Count of GHGE, processor gate (kg CO2e/kg)"),'Pivot Table_GHG'!$A$3,"SUB TYPE",$B90)),"PROXY",IF(GETPIVOTDATA(IF($J90=1,"Count of ACTIVE     GHGE, FARM GATE (kg CO2e/kg)","Count of GHGE, processor gate (kg CO2e/kg)"),'Pivot Table_GHG'!$A$3,"SUB TYPE",$B90)=0,"PROXY","DB value"))</f>
        <v>PROXY</v>
      </c>
      <c r="Q90" s="125">
        <f ca="1">IF($P90="PROXY",DCOUNT('literature entries'!$D:$AI,IF($J90=1,"ACTIVE     GHGE, FARM GATE (kg CO2e/kg)","GHGE, processor gate (kg CO2e/kg)"),INDIRECT($K90)),GETPIVOTDATA(IF($J90=1,"ACTIVE     GHGE, FARM GATE (kg CO2e/kg)","Count of GHGE, processor gate (kg CO2e/kg)"),'Pivot Table_GHG'!$A$3,"SUB TYPE",$B90))</f>
        <v>9</v>
      </c>
      <c r="R90" s="190">
        <f ca="1">IF($P90="PROXY",DAVERAGE('literature entries'!$D:$AI,IF($J90=1,"ACTIVE     GHGE, FARM GATE (kg CO2e/kg)","GHGE, processor gate (kg CO2e/kg)"),INDIRECT($K90)),GETPIVOTDATA(IF($J90=1,"Average of ACTIVE     GHGE, FARM GATE (kg CO2e/kg)","Average of GHGE, processor gate (kg CO2e/kg)"),'Pivot Table_GHG'!$A$3,"SUB TYPE",$B90))</f>
        <v>0.30778666666666665</v>
      </c>
      <c r="S90" s="190">
        <f ca="1">IF($P90="PROXY",DSTDEV('literature entries'!$D:$AI,IF($J90=1,"ACTIVE     GHGE, FARM GATE (kg CO2e/kg)","GHGE, processor gate (kg CO2e/kg)"),INDIRECT($K90)),GETPIVOTDATA(IF($J90=1,"StdDev of ACTIVE     GHGE, FARM GATE (kg CO2e/kg)","StdDev of GHGE, processor gate (kg CO2e/kg)"),'Pivot Table_GHG'!$A$3,"SUB TYPE",$B90))</f>
        <v>0.19451811637994038</v>
      </c>
      <c r="T90" s="88"/>
      <c r="U90" s="89"/>
      <c r="W90" s="173" t="s">
        <v>3355</v>
      </c>
      <c r="X90" s="211">
        <f ca="1">IF($W90="DIRECT",M90,DCOUNT('literature entries'!$D:$AI,IF($J90=1,"ACTIVE     CED, FARM GATE (MJ/kg)","CED, processor gate (MJ/kg)"),INDIRECT($W90)))</f>
        <v>19</v>
      </c>
      <c r="Y90" s="211">
        <f ca="1">IF($W90="DIRECT","",DAVERAGE('literature entries'!$D:$AI,IF($J90=1,"ACTIVE     CED, FARM GATE (MJ/kg)","CED, processor gate (MJ/kg)"),INDIRECT($W90)))</f>
        <v>3.1899535894736837</v>
      </c>
      <c r="Z90" s="211">
        <f ca="1">IF($W90="DIRECT",$O90,DSTDEV('literature entries'!$D:$AI,IF($J90=1,"ACTIVE     CED, FARM GATE (MJ/kg)","CED, processor gate (MJ/kg)"),INDIRECT($W90)))</f>
        <v>1.8390624775878359</v>
      </c>
      <c r="AA90" s="211">
        <f t="shared" ca="1" si="11"/>
        <v>2.741799554630914</v>
      </c>
      <c r="AB90" s="220" t="s">
        <v>3355</v>
      </c>
      <c r="AC90" s="212">
        <f ca="1">IF($AB90="DIRECT",Q90,DCOUNT('literature entries'!$D:$AI,IF($J90=1,"ACTIVE     GHGE, FARM GATE (kg CO2e/kg)","GHGE, processor gate (kg CO2e/kg)"),INDIRECT($AB90)))</f>
        <v>29</v>
      </c>
      <c r="AD90" s="212">
        <f ca="1">IF($AB90="DIRECT","",DAVERAGE('literature entries'!$D:$AI,IF($J90=1,"ACTIVE     GHGE, FARM GATE (kg CO2e/kg)","GHGE, processor gate (kg CO2e/kg)"),INDIRECT($AB90)))</f>
        <v>0.73083219793103427</v>
      </c>
      <c r="AE90" s="212">
        <f ca="1">IF($AB90="DIRECT",$S90,DSTDEV('literature entries'!$D:$AI,IF($J90=1,"ACTIVE     GHGE, FARM GATE (kg CO2e/kg)","GHGE, processor gate (kg CO2e/kg)"),INDIRECT($AB90)))</f>
        <v>0.90386671550847975</v>
      </c>
      <c r="AF90" s="212">
        <f t="shared" ca="1" si="12"/>
        <v>0.38065936922986487</v>
      </c>
    </row>
    <row r="91" spans="1:32" s="19" customFormat="1" ht="17" thickBot="1" x14ac:dyDescent="0.25">
      <c r="A91" s="114">
        <v>603098000</v>
      </c>
      <c r="B91" s="115" t="s">
        <v>1896</v>
      </c>
      <c r="C91" s="115" t="s">
        <v>1784</v>
      </c>
      <c r="D91" s="115" t="s">
        <v>1897</v>
      </c>
      <c r="E91" s="115">
        <v>358</v>
      </c>
      <c r="F91" s="111">
        <f t="shared" ca="1" si="9"/>
        <v>1.5431999999999999</v>
      </c>
      <c r="G91" s="112">
        <f t="shared" ca="1" si="10"/>
        <v>0.4914</v>
      </c>
      <c r="H91" s="116">
        <v>1</v>
      </c>
      <c r="I91" s="117" t="s">
        <v>594</v>
      </c>
      <c r="J91" s="79">
        <v>1</v>
      </c>
      <c r="K91" s="78"/>
      <c r="L91" s="135" t="str">
        <f>IF(ISERROR(GETPIVOTDATA(IF($J91=1,"Count of ACTIVE     CED, FARM GATE (MJ/kg)","Count of CED, processor gate (MJ/kg)"),'Pivot Table_CED'!$A$3,"SUB TYPE",$B91)),"PROXY",IF(GETPIVOTDATA(IF($J91=1,"Count of ACTIVE     CED, FARM GATE (MJ/kg)","Count of CED, processor gate (MJ/kg)"),'Pivot Table_CED'!$A$3,"SUB TYPE",$B91)=0,"PROXY","DB value"))</f>
        <v>DB value</v>
      </c>
      <c r="M91" s="118">
        <f ca="1">IF($L91="PROXY",DCOUNT('literature entries'!$D:$AI,IF($J91=1,"ACTIVE     CED, FARM GATE (MJ/kg)","CED, processor gate (MJ/kg)"),INDIRECT($K91)),GETPIVOTDATA(IF($J91=1,"Count of ACTIVE     CED, FARM GATE (MJ/kg)","Count of CED, processor gate (MJ/kg)"),'Pivot Table_CED'!$A$3,"SUB TYPE",$B91))</f>
        <v>1</v>
      </c>
      <c r="N91" s="119">
        <f ca="1">IF($L91="PROXY",DAVERAGE('literature entries'!$D:$AI,IF($J91=1,"ACTIVE     CED, FARM GATE (MJ/kg)","CED, processor gate (MJ/kg)"),INDIRECT($K91)),GETPIVOTDATA(IF($J91=1,"Average of ACTIVE     CED, FARM GATE (MJ/kg)","Average of CED, processor gate (MJ/kg)"),'Pivot Table_CED'!$A$3,"SUB TYPE",$B91))</f>
        <v>1.5431999999999999</v>
      </c>
      <c r="O91" s="119">
        <f ca="1">IF($L91="PROXY",DSTDEV('literature entries'!D:AI,IF($J91=1,"ACTIVE     CED, FARM GATE (MJ/kg)","CED, processor gate (MJ/kg)"),INDIRECT($K91)),GETPIVOTDATA(IF($J91=1,"StdDev of ACTIVE     CED, FARM GATE (MJ/kg)","StdDev of CED, processor gate (MJ/kg)"),'Pivot Table_CED'!$A$3,"SUB TYPE",$B91))</f>
        <v>0</v>
      </c>
      <c r="P91" s="135" t="str">
        <f>IF(ISERROR(GETPIVOTDATA(IF($J91=1,"Count of ACTIVE     GHGE, FARM GATE (kg CO2e/kg)","Count of GHGE, processor gate (kg CO2e/kg)"),'Pivot Table_GHG'!$A$3,"SUB TYPE",$B91)),"PROXY",IF(GETPIVOTDATA(IF($J91=1,"Count of ACTIVE     GHGE, FARM GATE (kg CO2e/kg)","Count of GHGE, processor gate (kg CO2e/kg)"),'Pivot Table_GHG'!$A$3,"SUB TYPE",$B91)=0,"PROXY","DB value"))</f>
        <v>DB value</v>
      </c>
      <c r="Q91" s="125">
        <f ca="1">IF($P91="PROXY",DCOUNT('literature entries'!$D:$AI,IF($J91=1,"ACTIVE     GHGE, FARM GATE (kg CO2e/kg)","GHGE, processor gate (kg CO2e/kg)"),INDIRECT($K91)),GETPIVOTDATA(IF($J91=1,"ACTIVE     GHGE, FARM GATE (kg CO2e/kg)","Count of GHGE, processor gate (kg CO2e/kg)"),'Pivot Table_GHG'!$A$3,"SUB TYPE",$B91))</f>
        <v>1</v>
      </c>
      <c r="R91" s="190">
        <f ca="1">IF($P91="PROXY",DAVERAGE('literature entries'!$D:$AI,IF($J91=1,"ACTIVE     GHGE, FARM GATE (kg CO2e/kg)","GHGE, processor gate (kg CO2e/kg)"),INDIRECT($K91)),GETPIVOTDATA(IF($J91=1,"Average of ACTIVE     GHGE, FARM GATE (kg CO2e/kg)","Average of GHGE, processor gate (kg CO2e/kg)"),'Pivot Table_GHG'!$A$3,"SUB TYPE",$B91))</f>
        <v>0.4914</v>
      </c>
      <c r="S91" s="190" t="e">
        <f ca="1">IF($P91="PROXY",DSTDEV('literature entries'!$D:$AI,IF($J91=1,"ACTIVE     GHGE, FARM GATE (kg CO2e/kg)","GHGE, processor gate (kg CO2e/kg)"),INDIRECT($K91)),GETPIVOTDATA(IF($J91=1,"StdDev of ACTIVE     GHGE, FARM GATE (kg CO2e/kg)","StdDev of GHGE, processor gate (kg CO2e/kg)"),'Pivot Table_GHG'!$A$3,"SUB TYPE",$B91))</f>
        <v>#DIV/0!</v>
      </c>
      <c r="T91" s="88"/>
      <c r="U91" s="89"/>
      <c r="W91" s="173" t="s">
        <v>3355</v>
      </c>
      <c r="X91" s="211">
        <f ca="1">IF($W91="DIRECT",M91,DCOUNT('literature entries'!$D:$AI,IF($J91=1,"ACTIVE     CED, FARM GATE (MJ/kg)","CED, processor gate (MJ/kg)"),INDIRECT($W91)))</f>
        <v>19</v>
      </c>
      <c r="Y91" s="211">
        <f ca="1">IF($W91="DIRECT","",DAVERAGE('literature entries'!$D:$AI,IF($J91=1,"ACTIVE     CED, FARM GATE (MJ/kg)","CED, processor gate (MJ/kg)"),INDIRECT($W91)))</f>
        <v>3.1899535894736837</v>
      </c>
      <c r="Z91" s="211">
        <f ca="1">IF($W91="DIRECT",$O91,DSTDEV('literature entries'!$D:$AI,IF($J91=1,"ACTIVE     CED, FARM GATE (MJ/kg)","CED, processor gate (MJ/kg)"),INDIRECT($W91)))</f>
        <v>1.8390624775878359</v>
      </c>
      <c r="AA91" s="211">
        <f t="shared" ca="1" si="11"/>
        <v>0.88968103635695894</v>
      </c>
      <c r="AB91" s="220" t="s">
        <v>3355</v>
      </c>
      <c r="AC91" s="212">
        <f ca="1">IF($AB91="DIRECT",Q91,DCOUNT('literature entries'!$D:$AI,IF($J91=1,"ACTIVE     GHGE, FARM GATE (kg CO2e/kg)","GHGE, processor gate (kg CO2e/kg)"),INDIRECT($AB91)))</f>
        <v>29</v>
      </c>
      <c r="AD91" s="212">
        <f ca="1">IF($AB91="DIRECT","",DAVERAGE('literature entries'!$D:$AI,IF($J91=1,"ACTIVE     GHGE, FARM GATE (kg CO2e/kg)","GHGE, processor gate (kg CO2e/kg)"),INDIRECT($AB91)))</f>
        <v>0.73083219793103427</v>
      </c>
      <c r="AE91" s="212">
        <f ca="1">IF($AB91="DIRECT",$S91,DSTDEV('literature entries'!$D:$AI,IF($J91=1,"ACTIVE     GHGE, FARM GATE (kg CO2e/kg)","GHGE, processor gate (kg CO2e/kg)"),INDIRECT($AB91)))</f>
        <v>0.90386671550847975</v>
      </c>
      <c r="AF91" s="212">
        <f t="shared" ca="1" si="12"/>
        <v>0.60774567028966686</v>
      </c>
    </row>
    <row r="92" spans="1:32" s="19" customFormat="1" ht="17" thickBot="1" x14ac:dyDescent="0.25">
      <c r="A92" s="114">
        <v>603182000</v>
      </c>
      <c r="B92" s="115" t="s">
        <v>2026</v>
      </c>
      <c r="C92" s="115" t="s">
        <v>2027</v>
      </c>
      <c r="D92" s="115"/>
      <c r="E92" s="115">
        <v>18678</v>
      </c>
      <c r="F92" s="111">
        <f t="shared" ca="1" si="9"/>
        <v>1.3204500000000001</v>
      </c>
      <c r="G92" s="112">
        <f t="shared" ca="1" si="10"/>
        <v>1.4</v>
      </c>
      <c r="H92" s="116">
        <v>1</v>
      </c>
      <c r="I92" s="117" t="s">
        <v>594</v>
      </c>
      <c r="J92" s="79">
        <v>1</v>
      </c>
      <c r="K92" s="78" t="s">
        <v>3274</v>
      </c>
      <c r="L92" s="135" t="str">
        <f>IF(ISERROR(GETPIVOTDATA(IF($J92=1,"Count of ACTIVE     CED, FARM GATE (MJ/kg)","Count of CED, processor gate (MJ/kg)"),'Pivot Table_CED'!$A$3,"SUB TYPE",$B92)),"PROXY",IF(GETPIVOTDATA(IF($J92=1,"Count of ACTIVE     CED, FARM GATE (MJ/kg)","Count of CED, processor gate (MJ/kg)"),'Pivot Table_CED'!$A$3,"SUB TYPE",$B92)=0,"PROXY","DB value"))</f>
        <v>PROXY</v>
      </c>
      <c r="M92" s="118">
        <f ca="1">IF($L92="PROXY",DCOUNT('literature entries'!$D:$AI,IF($J92=1,"ACTIVE     CED, FARM GATE (MJ/kg)","CED, processor gate (MJ/kg)"),INDIRECT($K92)),GETPIVOTDATA(IF($J92=1,"Count of ACTIVE     CED, FARM GATE (MJ/kg)","Count of CED, processor gate (MJ/kg)"),'Pivot Table_CED'!$A$3,"SUB TYPE",$B92))</f>
        <v>2</v>
      </c>
      <c r="N92" s="119">
        <f ca="1">IF($L92="PROXY",DAVERAGE('literature entries'!$D:$AI,IF($J92=1,"ACTIVE     CED, FARM GATE (MJ/kg)","CED, processor gate (MJ/kg)"),INDIRECT($K92)),GETPIVOTDATA(IF($J92=1,"Average of ACTIVE     CED, FARM GATE (MJ/kg)","Average of CED, processor gate (MJ/kg)"),'Pivot Table_CED'!$A$3,"SUB TYPE",$B92))</f>
        <v>1.3204500000000001</v>
      </c>
      <c r="O92" s="119">
        <f ca="1">IF($L92="PROXY",DSTDEV('literature entries'!D:AI,IF($J92=1,"ACTIVE     CED, FARM GATE (MJ/kg)","CED, processor gate (MJ/kg)"),INDIRECT($K92)),GETPIVOTDATA(IF($J92=1,"StdDev of ACTIVE     CED, FARM GATE (MJ/kg)","StdDev of CED, processor gate (MJ/kg)"),'Pivot Table_CED'!$A$3,"SUB TYPE",$B92))</f>
        <v>0.11646048686142442</v>
      </c>
      <c r="P92" s="135" t="str">
        <f>IF(ISERROR(GETPIVOTDATA(IF($J92=1,"Count of ACTIVE     GHGE, FARM GATE (kg CO2e/kg)","Count of GHGE, processor gate (kg CO2e/kg)"),'Pivot Table_GHG'!$A$3,"SUB TYPE",$B92)),"PROXY",IF(GETPIVOTDATA(IF($J92=1,"Count of ACTIVE     GHGE, FARM GATE (kg CO2e/kg)","Count of GHGE, processor gate (kg CO2e/kg)"),'Pivot Table_GHG'!$A$3,"SUB TYPE",$B92)=0,"PROXY","DB value"))</f>
        <v>DB value</v>
      </c>
      <c r="Q92" s="125">
        <f ca="1">IF($P92="PROXY",DCOUNT('literature entries'!$D:$AI,IF($J92=1,"ACTIVE     GHGE, FARM GATE (kg CO2e/kg)","GHGE, processor gate (kg CO2e/kg)"),INDIRECT($K92)),GETPIVOTDATA(IF($J92=1,"ACTIVE     GHGE, FARM GATE (kg CO2e/kg)","Count of GHGE, processor gate (kg CO2e/kg)"),'Pivot Table_GHG'!$A$3,"SUB TYPE",$B92))</f>
        <v>1</v>
      </c>
      <c r="R92" s="190">
        <f ca="1">IF($P92="PROXY",DAVERAGE('literature entries'!$D:$AI,IF($J92=1,"ACTIVE     GHGE, FARM GATE (kg CO2e/kg)","GHGE, processor gate (kg CO2e/kg)"),INDIRECT($K92)),GETPIVOTDATA(IF($J92=1,"Average of ACTIVE     GHGE, FARM GATE (kg CO2e/kg)","Average of GHGE, processor gate (kg CO2e/kg)"),'Pivot Table_GHG'!$A$3,"SUB TYPE",$B92))</f>
        <v>1.4</v>
      </c>
      <c r="S92" s="190" t="e">
        <f ca="1">IF($P92="PROXY",DSTDEV('literature entries'!$D:$AI,IF($J92=1,"ACTIVE     GHGE, FARM GATE (kg CO2e/kg)","GHGE, processor gate (kg CO2e/kg)"),INDIRECT($K92)),GETPIVOTDATA(IF($J92=1,"StdDev of ACTIVE     GHGE, FARM GATE (kg CO2e/kg)","StdDev of GHGE, processor gate (kg CO2e/kg)"),'Pivot Table_GHG'!$A$3,"SUB TYPE",$B92))</f>
        <v>#DIV/0!</v>
      </c>
      <c r="T92" s="88"/>
      <c r="U92" s="89"/>
      <c r="W92" s="173" t="s">
        <v>3355</v>
      </c>
      <c r="X92" s="211">
        <f ca="1">IF($W92="DIRECT",M92,DCOUNT('literature entries'!$D:$AI,IF($J92=1,"ACTIVE     CED, FARM GATE (MJ/kg)","CED, processor gate (MJ/kg)"),INDIRECT($W92)))</f>
        <v>19</v>
      </c>
      <c r="Y92" s="211">
        <f ca="1">IF($W92="DIRECT","",DAVERAGE('literature entries'!$D:$AI,IF($J92=1,"ACTIVE     CED, FARM GATE (MJ/kg)","CED, processor gate (MJ/kg)"),INDIRECT($W92)))</f>
        <v>3.1899535894736837</v>
      </c>
      <c r="Z92" s="211">
        <f ca="1">IF($W92="DIRECT",$O92,DSTDEV('literature entries'!$D:$AI,IF($J92=1,"ACTIVE     CED, FARM GATE (MJ/kg)","CED, processor gate (MJ/kg)"),INDIRECT($W92)))</f>
        <v>1.8390624775878359</v>
      </c>
      <c r="AA92" s="211">
        <f t="shared" ca="1" si="11"/>
        <v>0.76126187432448589</v>
      </c>
      <c r="AB92" s="220" t="s">
        <v>3355</v>
      </c>
      <c r="AC92" s="212">
        <f ca="1">IF($AB92="DIRECT",Q92,DCOUNT('literature entries'!$D:$AI,IF($J92=1,"ACTIVE     GHGE, FARM GATE (kg CO2e/kg)","GHGE, processor gate (kg CO2e/kg)"),INDIRECT($AB92)))</f>
        <v>29</v>
      </c>
      <c r="AD92" s="212">
        <f ca="1">IF($AB92="DIRECT","",DAVERAGE('literature entries'!$D:$AI,IF($J92=1,"ACTIVE     GHGE, FARM GATE (kg CO2e/kg)","GHGE, processor gate (kg CO2e/kg)"),INDIRECT($AB92)))</f>
        <v>0.73083219793103427</v>
      </c>
      <c r="AE92" s="212">
        <f ca="1">IF($AB92="DIRECT",$S92,DSTDEV('literature entries'!$D:$AI,IF($J92=1,"ACTIVE     GHGE, FARM GATE (kg CO2e/kg)","GHGE, processor gate (kg CO2e/kg)"),INDIRECT($AB92)))</f>
        <v>0.90386671550847975</v>
      </c>
      <c r="AF92" s="212">
        <f t="shared" ca="1" si="12"/>
        <v>1.7314691461244069</v>
      </c>
    </row>
    <row r="93" spans="1:32" s="19" customFormat="1" ht="17" thickBot="1" x14ac:dyDescent="0.25">
      <c r="A93" s="114">
        <v>603203000</v>
      </c>
      <c r="B93" s="115" t="s">
        <v>2053</v>
      </c>
      <c r="C93" s="115" t="s">
        <v>2054</v>
      </c>
      <c r="D93" s="115"/>
      <c r="E93" s="115">
        <v>256</v>
      </c>
      <c r="F93" s="111">
        <f t="shared" ca="1" si="9"/>
        <v>1.3204500000000001</v>
      </c>
      <c r="G93" s="112">
        <f t="shared" ca="1" si="10"/>
        <v>1.88035</v>
      </c>
      <c r="H93" s="116">
        <v>1</v>
      </c>
      <c r="I93" s="117" t="s">
        <v>594</v>
      </c>
      <c r="J93" s="79">
        <v>1</v>
      </c>
      <c r="K93" s="78"/>
      <c r="L93" s="135" t="str">
        <f>IF(ISERROR(GETPIVOTDATA(IF($J93=1,"Count of ACTIVE     CED, FARM GATE (MJ/kg)","Count of CED, processor gate (MJ/kg)"),'Pivot Table_CED'!$A$3,"SUB TYPE",$B93)),"PROXY",IF(GETPIVOTDATA(IF($J93=1,"Count of ACTIVE     CED, FARM GATE (MJ/kg)","Count of CED, processor gate (MJ/kg)"),'Pivot Table_CED'!$A$3,"SUB TYPE",$B93)=0,"PROXY","DB value"))</f>
        <v>DB value</v>
      </c>
      <c r="M93" s="118">
        <f ca="1">IF($L93="PROXY",DCOUNT('literature entries'!$D:$AI,IF($J93=1,"ACTIVE     CED, FARM GATE (MJ/kg)","CED, processor gate (MJ/kg)"),INDIRECT($K93)),GETPIVOTDATA(IF($J93=1,"Count of ACTIVE     CED, FARM GATE (MJ/kg)","Count of CED, processor gate (MJ/kg)"),'Pivot Table_CED'!$A$3,"SUB TYPE",$B93))</f>
        <v>2</v>
      </c>
      <c r="N93" s="119">
        <f ca="1">IF($L93="PROXY",DAVERAGE('literature entries'!$D:$AI,IF($J93=1,"ACTIVE     CED, FARM GATE (MJ/kg)","CED, processor gate (MJ/kg)"),INDIRECT($K93)),GETPIVOTDATA(IF($J93=1,"Average of ACTIVE     CED, FARM GATE (MJ/kg)","Average of CED, processor gate (MJ/kg)"),'Pivot Table_CED'!$A$3,"SUB TYPE",$B93))</f>
        <v>1.3204500000000001</v>
      </c>
      <c r="O93" s="119">
        <f ca="1">IF($L93="PROXY",DSTDEV('literature entries'!D:AI,IF($J93=1,"ACTIVE     CED, FARM GATE (MJ/kg)","CED, processor gate (MJ/kg)"),INDIRECT($K93)),GETPIVOTDATA(IF($J93=1,"StdDev of ACTIVE     CED, FARM GATE (MJ/kg)","StdDev of CED, processor gate (MJ/kg)"),'Pivot Table_CED'!$A$3,"SUB TYPE",$B93))</f>
        <v>0.11646048686142317</v>
      </c>
      <c r="P93" s="135" t="str">
        <f>IF(ISERROR(GETPIVOTDATA(IF($J93=1,"Count of ACTIVE     GHGE, FARM GATE (kg CO2e/kg)","Count of GHGE, processor gate (kg CO2e/kg)"),'Pivot Table_GHG'!$A$3,"SUB TYPE",$B93)),"PROXY",IF(GETPIVOTDATA(IF($J93=1,"Count of ACTIVE     GHGE, FARM GATE (kg CO2e/kg)","Count of GHGE, processor gate (kg CO2e/kg)"),'Pivot Table_GHG'!$A$3,"SUB TYPE",$B93)=0,"PROXY","DB value"))</f>
        <v>DB value</v>
      </c>
      <c r="Q93" s="125">
        <f ca="1">IF($P93="PROXY",DCOUNT('literature entries'!$D:$AI,IF($J93=1,"ACTIVE     GHGE, FARM GATE (kg CO2e/kg)","GHGE, processor gate (kg CO2e/kg)"),INDIRECT($K93)),GETPIVOTDATA(IF($J93=1,"ACTIVE     GHGE, FARM GATE (kg CO2e/kg)","Count of GHGE, processor gate (kg CO2e/kg)"),'Pivot Table_GHG'!$A$3,"SUB TYPE",$B93))</f>
        <v>2</v>
      </c>
      <c r="R93" s="190">
        <f ca="1">IF($P93="PROXY",DAVERAGE('literature entries'!$D:$AI,IF($J93=1,"ACTIVE     GHGE, FARM GATE (kg CO2e/kg)","GHGE, processor gate (kg CO2e/kg)"),INDIRECT($K93)),GETPIVOTDATA(IF($J93=1,"Average of ACTIVE     GHGE, FARM GATE (kg CO2e/kg)","Average of GHGE, processor gate (kg CO2e/kg)"),'Pivot Table_GHG'!$A$3,"SUB TYPE",$B93))</f>
        <v>1.88035</v>
      </c>
      <c r="S93" s="190">
        <f ca="1">IF($P93="PROXY",DSTDEV('literature entries'!$D:$AI,IF($J93=1,"ACTIVE     GHGE, FARM GATE (kg CO2e/kg)","GHGE, processor gate (kg CO2e/kg)"),INDIRECT($K93)),GETPIVOTDATA(IF($J93=1,"StdDev of ACTIVE     GHGE, FARM GATE (kg CO2e/kg)","StdDev of GHGE, processor gate (kg CO2e/kg)"),'Pivot Table_GHG'!$A$3,"SUB TYPE",$B93))</f>
        <v>2.059872764274532</v>
      </c>
      <c r="T93" s="94"/>
      <c r="U93" s="95"/>
      <c r="W93" s="173" t="s">
        <v>3355</v>
      </c>
      <c r="X93" s="211">
        <f ca="1">IF($W93="DIRECT",M93,DCOUNT('literature entries'!$D:$AI,IF($J93=1,"ACTIVE     CED, FARM GATE (MJ/kg)","CED, processor gate (MJ/kg)"),INDIRECT($W93)))</f>
        <v>19</v>
      </c>
      <c r="Y93" s="211">
        <f ca="1">IF($W93="DIRECT","",DAVERAGE('literature entries'!$D:$AI,IF($J93=1,"ACTIVE     CED, FARM GATE (MJ/kg)","CED, processor gate (MJ/kg)"),INDIRECT($W93)))</f>
        <v>3.1899535894736837</v>
      </c>
      <c r="Z93" s="211">
        <f ca="1">IF($W93="DIRECT",$O93,DSTDEV('literature entries'!$D:$AI,IF($J93=1,"ACTIVE     CED, FARM GATE (MJ/kg)","CED, processor gate (MJ/kg)"),INDIRECT($W93)))</f>
        <v>1.8390624775878359</v>
      </c>
      <c r="AA93" s="211">
        <f t="shared" ca="1" si="11"/>
        <v>0.76126187432448589</v>
      </c>
      <c r="AB93" s="220" t="s">
        <v>3355</v>
      </c>
      <c r="AC93" s="212">
        <f ca="1">IF($AB93="DIRECT",Q93,DCOUNT('literature entries'!$D:$AI,IF($J93=1,"ACTIVE     GHGE, FARM GATE (kg CO2e/kg)","GHGE, processor gate (kg CO2e/kg)"),INDIRECT($AB93)))</f>
        <v>29</v>
      </c>
      <c r="AD93" s="212">
        <f ca="1">IF($AB93="DIRECT","",DAVERAGE('literature entries'!$D:$AI,IF($J93=1,"ACTIVE     GHGE, FARM GATE (kg CO2e/kg)","GHGE, processor gate (kg CO2e/kg)"),INDIRECT($AB93)))</f>
        <v>0.73083219793103427</v>
      </c>
      <c r="AE93" s="212">
        <f ca="1">IF($AB93="DIRECT",$S93,DSTDEV('literature entries'!$D:$AI,IF($J93=1,"ACTIVE     GHGE, FARM GATE (kg CO2e/kg)","GHGE, processor gate (kg CO2e/kg)"),INDIRECT($AB93)))</f>
        <v>0.90386671550847975</v>
      </c>
      <c r="AF93" s="212">
        <f t="shared" ca="1" si="12"/>
        <v>2.3255485777964493</v>
      </c>
    </row>
    <row r="94" spans="1:32" s="19" customFormat="1" ht="17" thickBot="1" x14ac:dyDescent="0.25">
      <c r="A94" s="114">
        <v>603256000</v>
      </c>
      <c r="B94" s="115" t="s">
        <v>2126</v>
      </c>
      <c r="C94" s="115" t="s">
        <v>2127</v>
      </c>
      <c r="D94" s="115"/>
      <c r="E94" s="115">
        <v>135</v>
      </c>
      <c r="F94" s="111">
        <f t="shared" ca="1" si="9"/>
        <v>3.6471020222222226</v>
      </c>
      <c r="G94" s="112">
        <f t="shared" ca="1" si="10"/>
        <v>0.61730597111111107</v>
      </c>
      <c r="H94" s="116">
        <v>1</v>
      </c>
      <c r="I94" s="117" t="s">
        <v>594</v>
      </c>
      <c r="J94" s="79">
        <v>1</v>
      </c>
      <c r="K94" s="78"/>
      <c r="L94" s="135" t="str">
        <f>IF(ISERROR(GETPIVOTDATA(IF($J94=1,"Count of ACTIVE     CED, FARM GATE (MJ/kg)","Count of CED, processor gate (MJ/kg)"),'Pivot Table_CED'!$A$3,"SUB TYPE",$B94)),"PROXY",IF(GETPIVOTDATA(IF($J94=1,"Count of ACTIVE     CED, FARM GATE (MJ/kg)","Count of CED, processor gate (MJ/kg)"),'Pivot Table_CED'!$A$3,"SUB TYPE",$B94)=0,"PROXY","DB value"))</f>
        <v>DB value</v>
      </c>
      <c r="M94" s="118">
        <f ca="1">IF($L94="PROXY",DCOUNT('literature entries'!$D:$AI,IF($J94=1,"ACTIVE     CED, FARM GATE (MJ/kg)","CED, processor gate (MJ/kg)"),INDIRECT($K94)),GETPIVOTDATA(IF($J94=1,"Count of ACTIVE     CED, FARM GATE (MJ/kg)","Count of CED, processor gate (MJ/kg)"),'Pivot Table_CED'!$A$3,"SUB TYPE",$B94))</f>
        <v>9</v>
      </c>
      <c r="N94" s="119">
        <f ca="1">IF($L94="PROXY",DAVERAGE('literature entries'!$D:$AI,IF($J94=1,"ACTIVE     CED, FARM GATE (MJ/kg)","CED, processor gate (MJ/kg)"),INDIRECT($K94)),GETPIVOTDATA(IF($J94=1,"Average of ACTIVE     CED, FARM GATE (MJ/kg)","Average of CED, processor gate (MJ/kg)"),'Pivot Table_CED'!$A$3,"SUB TYPE",$B94))</f>
        <v>3.6471020222222226</v>
      </c>
      <c r="O94" s="119">
        <f ca="1">IF($L94="PROXY",DSTDEV('literature entries'!D:AI,IF($J94=1,"ACTIVE     CED, FARM GATE (MJ/kg)","CED, processor gate (MJ/kg)"),INDIRECT($K94)),GETPIVOTDATA(IF($J94=1,"StdDev of ACTIVE     CED, FARM GATE (MJ/kg)","StdDev of CED, processor gate (MJ/kg)"),'Pivot Table_CED'!$A$3,"SUB TYPE",$B94))</f>
        <v>1.8053178483626884</v>
      </c>
      <c r="P94" s="135" t="str">
        <f>IF(ISERROR(GETPIVOTDATA(IF($J94=1,"Count of ACTIVE     GHGE, FARM GATE (kg CO2e/kg)","Count of GHGE, processor gate (kg CO2e/kg)"),'Pivot Table_GHG'!$A$3,"SUB TYPE",$B94)),"PROXY",IF(GETPIVOTDATA(IF($J94=1,"Count of ACTIVE     GHGE, FARM GATE (kg CO2e/kg)","Count of GHGE, processor gate (kg CO2e/kg)"),'Pivot Table_GHG'!$A$3,"SUB TYPE",$B94)=0,"PROXY","DB value"))</f>
        <v>DB value</v>
      </c>
      <c r="Q94" s="125">
        <f ca="1">IF($P94="PROXY",DCOUNT('literature entries'!$D:$AI,IF($J94=1,"ACTIVE     GHGE, FARM GATE (kg CO2e/kg)","GHGE, processor gate (kg CO2e/kg)"),INDIRECT($K94)),GETPIVOTDATA(IF($J94=1,"ACTIVE     GHGE, FARM GATE (kg CO2e/kg)","Count of GHGE, processor gate (kg CO2e/kg)"),'Pivot Table_GHG'!$A$3,"SUB TYPE",$B94))</f>
        <v>9</v>
      </c>
      <c r="R94" s="190">
        <f ca="1">IF($P94="PROXY",DAVERAGE('literature entries'!$D:$AI,IF($J94=1,"ACTIVE     GHGE, FARM GATE (kg CO2e/kg)","GHGE, processor gate (kg CO2e/kg)"),INDIRECT($K94)),GETPIVOTDATA(IF($J94=1,"Average of ACTIVE     GHGE, FARM GATE (kg CO2e/kg)","Average of GHGE, processor gate (kg CO2e/kg)"),'Pivot Table_GHG'!$A$3,"SUB TYPE",$B94))</f>
        <v>0.61730597111111107</v>
      </c>
      <c r="S94" s="190">
        <f ca="1">IF($P94="PROXY",DSTDEV('literature entries'!$D:$AI,IF($J94=1,"ACTIVE     GHGE, FARM GATE (kg CO2e/kg)","GHGE, processor gate (kg CO2e/kg)"),INDIRECT($K94)),GETPIVOTDATA(IF($J94=1,"StdDev of ACTIVE     GHGE, FARM GATE (kg CO2e/kg)","StdDev of GHGE, processor gate (kg CO2e/kg)"),'Pivot Table_GHG'!$A$3,"SUB TYPE",$B94))</f>
        <v>0.55525554108424213</v>
      </c>
      <c r="T94" s="88"/>
      <c r="U94" s="89"/>
      <c r="W94" s="213" t="str">
        <f ca="1">IF(L94="PROXY",IF(M94&gt;=5,K94,"need group"),IF(M94&gt;=5,"DIRECT","need group"))</f>
        <v>DIRECT</v>
      </c>
      <c r="X94" s="211">
        <f ca="1">IF($W94="DIRECT",M94,DCOUNT('literature entries'!$D:$AI,IF($J94=1,"ACTIVE     CED, FARM GATE (MJ/kg)","CED, processor gate (MJ/kg)"),INDIRECT($W94)))</f>
        <v>9</v>
      </c>
      <c r="Y94" s="211" t="str">
        <f ca="1">IF($W94="DIRECT","",DAVERAGE('literature entries'!$D:$AI,IF($J94=1,"ACTIVE     CED, FARM GATE (MJ/kg)","CED, processor gate (MJ/kg)"),INDIRECT($W94)))</f>
        <v/>
      </c>
      <c r="Z94" s="211">
        <f ca="1">IF($W94="DIRECT",$O94,DSTDEV('literature entries'!$D:$AI,IF($J94=1,"ACTIVE     CED, FARM GATE (MJ/kg)","CED, processor gate (MJ/kg)"),INDIRECT($W94)))</f>
        <v>1.8053178483626884</v>
      </c>
      <c r="AA94" s="211">
        <f t="shared" ca="1" si="11"/>
        <v>1.8053178483626884</v>
      </c>
      <c r="AB94" s="219" t="str">
        <f ca="1">IF(P94="PROXY",IF(Q94&gt;=5,K94,"need group"),IF(Q94&gt;=5,"DIRECT","need group"))</f>
        <v>DIRECT</v>
      </c>
      <c r="AC94" s="212">
        <f ca="1">IF($AB94="DIRECT",Q94,DCOUNT('literature entries'!$D:$AI,IF($J94=1,"ACTIVE     GHGE, FARM GATE (kg CO2e/kg)","GHGE, processor gate (kg CO2e/kg)"),INDIRECT($AB94)))</f>
        <v>9</v>
      </c>
      <c r="AD94" s="212" t="str">
        <f ca="1">IF($AB94="DIRECT","",DAVERAGE('literature entries'!$D:$AI,IF($J94=1,"ACTIVE     GHGE, FARM GATE (kg CO2e/kg)","GHGE, processor gate (kg CO2e/kg)"),INDIRECT($AB94)))</f>
        <v/>
      </c>
      <c r="AE94" s="212">
        <f ca="1">IF($AB94="DIRECT",$S94,DSTDEV('literature entries'!$D:$AI,IF($J94=1,"ACTIVE     GHGE, FARM GATE (kg CO2e/kg)","GHGE, processor gate (kg CO2e/kg)"),INDIRECT($AB94)))</f>
        <v>0.55525554108424213</v>
      </c>
      <c r="AF94" s="212">
        <f t="shared" ca="1" si="12"/>
        <v>0.55525554108424213</v>
      </c>
    </row>
    <row r="95" spans="1:32" s="19" customFormat="1" ht="17" thickBot="1" x14ac:dyDescent="0.25">
      <c r="A95" s="114">
        <v>603258000</v>
      </c>
      <c r="B95" s="115" t="s">
        <v>2130</v>
      </c>
      <c r="C95" s="115" t="s">
        <v>2127</v>
      </c>
      <c r="D95" s="115"/>
      <c r="E95" s="115">
        <v>22</v>
      </c>
      <c r="F95" s="111">
        <f t="shared" ca="1" si="9"/>
        <v>3.2267999999999999</v>
      </c>
      <c r="G95" s="112">
        <f t="shared" ca="1" si="10"/>
        <v>1.0539000000000001</v>
      </c>
      <c r="H95" s="116">
        <v>1</v>
      </c>
      <c r="I95" s="117" t="s">
        <v>594</v>
      </c>
      <c r="J95" s="79">
        <v>1</v>
      </c>
      <c r="K95" s="78"/>
      <c r="L95" s="135" t="str">
        <f>IF(ISERROR(GETPIVOTDATA(IF($J95=1,"Count of ACTIVE     CED, FARM GATE (MJ/kg)","Count of CED, processor gate (MJ/kg)"),'Pivot Table_CED'!$A$3,"SUB TYPE",$B95)),"PROXY",IF(GETPIVOTDATA(IF($J95=1,"Count of ACTIVE     CED, FARM GATE (MJ/kg)","Count of CED, processor gate (MJ/kg)"),'Pivot Table_CED'!$A$3,"SUB TYPE",$B95)=0,"PROXY","DB value"))</f>
        <v>DB value</v>
      </c>
      <c r="M95" s="118">
        <f ca="1">IF($L95="PROXY",DCOUNT('literature entries'!$D:$AI,IF($J95=1,"ACTIVE     CED, FARM GATE (MJ/kg)","CED, processor gate (MJ/kg)"),INDIRECT($K95)),GETPIVOTDATA(IF($J95=1,"Count of ACTIVE     CED, FARM GATE (MJ/kg)","Count of CED, processor gate (MJ/kg)"),'Pivot Table_CED'!$A$3,"SUB TYPE",$B95))</f>
        <v>1</v>
      </c>
      <c r="N95" s="119">
        <f ca="1">IF($L95="PROXY",DAVERAGE('literature entries'!$D:$AI,IF($J95=1,"ACTIVE     CED, FARM GATE (MJ/kg)","CED, processor gate (MJ/kg)"),INDIRECT($K95)),GETPIVOTDATA(IF($J95=1,"Average of ACTIVE     CED, FARM GATE (MJ/kg)","Average of CED, processor gate (MJ/kg)"),'Pivot Table_CED'!$A$3,"SUB TYPE",$B95))</f>
        <v>3.2267999999999999</v>
      </c>
      <c r="O95" s="119">
        <f ca="1">IF($L95="PROXY",DSTDEV('literature entries'!D:AI,IF($J95=1,"ACTIVE     CED, FARM GATE (MJ/kg)","CED, processor gate (MJ/kg)"),INDIRECT($K95)),GETPIVOTDATA(IF($J95=1,"StdDev of ACTIVE     CED, FARM GATE (MJ/kg)","StdDev of CED, processor gate (MJ/kg)"),'Pivot Table_CED'!$A$3,"SUB TYPE",$B95))</f>
        <v>0</v>
      </c>
      <c r="P95" s="135" t="str">
        <f>IF(ISERROR(GETPIVOTDATA(IF($J95=1,"Count of ACTIVE     GHGE, FARM GATE (kg CO2e/kg)","Count of GHGE, processor gate (kg CO2e/kg)"),'Pivot Table_GHG'!$A$3,"SUB TYPE",$B95)),"PROXY",IF(GETPIVOTDATA(IF($J95=1,"Count of ACTIVE     GHGE, FARM GATE (kg CO2e/kg)","Count of GHGE, processor gate (kg CO2e/kg)"),'Pivot Table_GHG'!$A$3,"SUB TYPE",$B95)=0,"PROXY","DB value"))</f>
        <v>DB value</v>
      </c>
      <c r="Q95" s="125">
        <f ca="1">IF($P95="PROXY",DCOUNT('literature entries'!$D:$AI,IF($J95=1,"ACTIVE     GHGE, FARM GATE (kg CO2e/kg)","GHGE, processor gate (kg CO2e/kg)"),INDIRECT($K95)),GETPIVOTDATA(IF($J95=1,"ACTIVE     GHGE, FARM GATE (kg CO2e/kg)","Count of GHGE, processor gate (kg CO2e/kg)"),'Pivot Table_GHG'!$A$3,"SUB TYPE",$B95))</f>
        <v>1</v>
      </c>
      <c r="R95" s="190">
        <f ca="1">IF($P95="PROXY",DAVERAGE('literature entries'!$D:$AI,IF($J95=1,"ACTIVE     GHGE, FARM GATE (kg CO2e/kg)","GHGE, processor gate (kg CO2e/kg)"),INDIRECT($K95)),GETPIVOTDATA(IF($J95=1,"Average of ACTIVE     GHGE, FARM GATE (kg CO2e/kg)","Average of GHGE, processor gate (kg CO2e/kg)"),'Pivot Table_GHG'!$A$3,"SUB TYPE",$B95))</f>
        <v>1.0539000000000001</v>
      </c>
      <c r="S95" s="190" t="e">
        <f ca="1">IF($P95="PROXY",DSTDEV('literature entries'!$D:$AI,IF($J95=1,"ACTIVE     GHGE, FARM GATE (kg CO2e/kg)","GHGE, processor gate (kg CO2e/kg)"),INDIRECT($K95)),GETPIVOTDATA(IF($J95=1,"StdDev of ACTIVE     GHGE, FARM GATE (kg CO2e/kg)","StdDev of GHGE, processor gate (kg CO2e/kg)"),'Pivot Table_GHG'!$A$3,"SUB TYPE",$B95))</f>
        <v>#DIV/0!</v>
      </c>
      <c r="T95" s="88"/>
      <c r="U95" s="89"/>
      <c r="W95" s="173" t="s">
        <v>3355</v>
      </c>
      <c r="X95" s="211">
        <f ca="1">IF($W95="DIRECT",M95,DCOUNT('literature entries'!$D:$AI,IF($J95=1,"ACTIVE     CED, FARM GATE (MJ/kg)","CED, processor gate (MJ/kg)"),INDIRECT($W95)))</f>
        <v>19</v>
      </c>
      <c r="Y95" s="211">
        <f ca="1">IF($W95="DIRECT","",DAVERAGE('literature entries'!$D:$AI,IF($J95=1,"ACTIVE     CED, FARM GATE (MJ/kg)","CED, processor gate (MJ/kg)"),INDIRECT($W95)))</f>
        <v>3.1899535894736837</v>
      </c>
      <c r="Z95" s="211">
        <f ca="1">IF($W95="DIRECT",$O95,DSTDEV('literature entries'!$D:$AI,IF($J95=1,"ACTIVE     CED, FARM GATE (MJ/kg)","CED, processor gate (MJ/kg)"),INDIRECT($W95)))</f>
        <v>1.8390624775878359</v>
      </c>
      <c r="AA95" s="211">
        <f t="shared" ca="1" si="11"/>
        <v>1.8603050596919617</v>
      </c>
      <c r="AB95" s="220" t="s">
        <v>3355</v>
      </c>
      <c r="AC95" s="212">
        <f ca="1">IF($AB95="DIRECT",Q95,DCOUNT('literature entries'!$D:$AI,IF($J95=1,"ACTIVE     GHGE, FARM GATE (kg CO2e/kg)","GHGE, processor gate (kg CO2e/kg)"),INDIRECT($AB95)))</f>
        <v>29</v>
      </c>
      <c r="AD95" s="212">
        <f ca="1">IF($AB95="DIRECT","",DAVERAGE('literature entries'!$D:$AI,IF($J95=1,"ACTIVE     GHGE, FARM GATE (kg CO2e/kg)","GHGE, processor gate (kg CO2e/kg)"),INDIRECT($AB95)))</f>
        <v>0.73083219793103427</v>
      </c>
      <c r="AE95" s="212">
        <f ca="1">IF($AB95="DIRECT",$S95,DSTDEV('literature entries'!$D:$AI,IF($J95=1,"ACTIVE     GHGE, FARM GATE (kg CO2e/kg)","GHGE, processor gate (kg CO2e/kg)"),INDIRECT($AB95)))</f>
        <v>0.90386671550847975</v>
      </c>
      <c r="AF95" s="212">
        <f t="shared" ca="1" si="12"/>
        <v>1.3034252379289377</v>
      </c>
    </row>
    <row r="96" spans="1:32" s="19" customFormat="1" ht="17" thickBot="1" x14ac:dyDescent="0.25">
      <c r="A96" s="114">
        <v>801374000</v>
      </c>
      <c r="B96" s="115" t="s">
        <v>2309</v>
      </c>
      <c r="C96" s="115" t="s">
        <v>2310</v>
      </c>
      <c r="D96" s="123"/>
      <c r="E96" s="115">
        <v>644</v>
      </c>
      <c r="F96" s="111">
        <f t="shared" ca="1" si="9"/>
        <v>2.629282857142857</v>
      </c>
      <c r="G96" s="112">
        <f t="shared" ca="1" si="10"/>
        <v>0.47037382857142856</v>
      </c>
      <c r="H96" s="116">
        <v>1.1000000000000001</v>
      </c>
      <c r="I96" s="124" t="s">
        <v>839</v>
      </c>
      <c r="J96" s="79">
        <v>1</v>
      </c>
      <c r="K96" s="78" t="s">
        <v>839</v>
      </c>
      <c r="L96" s="135" t="str">
        <f>IF(ISERROR(GETPIVOTDATA(IF($J96=1,"Count of ACTIVE     CED, FARM GATE (MJ/kg)","Count of CED, processor gate (MJ/kg)"),'Pivot Table_CED'!$A$3,"SUB TYPE",$B96)),"PROXY",IF(GETPIVOTDATA(IF($J96=1,"Count of ACTIVE     CED, FARM GATE (MJ/kg)","Count of CED, processor gate (MJ/kg)"),'Pivot Table_CED'!$A$3,"SUB TYPE",$B96)=0,"PROXY","DB value"))</f>
        <v>PROXY</v>
      </c>
      <c r="M96" s="118">
        <f ca="1">IF($L96="PROXY",DCOUNT('literature entries'!$D:$AI,IF($J96=1,"ACTIVE     CED, FARM GATE (MJ/kg)","CED, processor gate (MJ/kg)"),INDIRECT($K96)),GETPIVOTDATA(IF($J96=1,"Count of ACTIVE     CED, FARM GATE (MJ/kg)","Count of CED, processor gate (MJ/kg)"),'Pivot Table_CED'!$A$3,"SUB TYPE",$B96))</f>
        <v>7</v>
      </c>
      <c r="N96" s="119">
        <f ca="1">IF($L96="PROXY",DAVERAGE('literature entries'!$D:$AI,IF($J96=1,"ACTIVE     CED, FARM GATE (MJ/kg)","CED, processor gate (MJ/kg)"),INDIRECT($K96)),GETPIVOTDATA(IF($J96=1,"Average of ACTIVE     CED, FARM GATE (MJ/kg)","Average of CED, processor gate (MJ/kg)"),'Pivot Table_CED'!$A$3,"SUB TYPE",$B96))</f>
        <v>2.3902571428571426</v>
      </c>
      <c r="O96" s="119">
        <f ca="1">IF($L96="PROXY",DSTDEV('literature entries'!D:AI,IF($J96=1,"ACTIVE     CED, FARM GATE (MJ/kg)","CED, processor gate (MJ/kg)"),INDIRECT($K96)),GETPIVOTDATA(IF($J96=1,"StdDev of ACTIVE     CED, FARM GATE (MJ/kg)","StdDev of CED, processor gate (MJ/kg)"),'Pivot Table_CED'!$A$3,"SUB TYPE",$B96))</f>
        <v>1.1507929655345519</v>
      </c>
      <c r="P96" s="135" t="str">
        <f>IF(ISERROR(GETPIVOTDATA(IF($J96=1,"Count of ACTIVE     GHGE, FARM GATE (kg CO2e/kg)","Count of GHGE, processor gate (kg CO2e/kg)"),'Pivot Table_GHG'!$A$3,"SUB TYPE",$B96)),"PROXY",IF(GETPIVOTDATA(IF($J96=1,"Count of ACTIVE     GHGE, FARM GATE (kg CO2e/kg)","Count of GHGE, processor gate (kg CO2e/kg)"),'Pivot Table_GHG'!$A$3,"SUB TYPE",$B96)=0,"PROXY","DB value"))</f>
        <v>PROXY</v>
      </c>
      <c r="Q96" s="125">
        <f ca="1">IF($P96="PROXY",DCOUNT('literature entries'!$D:$AI,IF($J96=1,"ACTIVE     GHGE, FARM GATE (kg CO2e/kg)","GHGE, processor gate (kg CO2e/kg)"),INDIRECT($K96)),GETPIVOTDATA(IF($J96=1,"ACTIVE     GHGE, FARM GATE (kg CO2e/kg)","Count of GHGE, processor gate (kg CO2e/kg)"),'Pivot Table_GHG'!$A$3,"SUB TYPE",$B96))</f>
        <v>25</v>
      </c>
      <c r="R96" s="190">
        <f ca="1">IF($P96="PROXY",DAVERAGE('literature entries'!$D:$AI,IF($J96=1,"ACTIVE     GHGE, FARM GATE (kg CO2e/kg)","GHGE, processor gate (kg CO2e/kg)"),INDIRECT($K96)),GETPIVOTDATA(IF($J96=1,"Average of ACTIVE     GHGE, FARM GATE (kg CO2e/kg)","Average of GHGE, processor gate (kg CO2e/kg)"),'Pivot Table_GHG'!$A$3,"SUB TYPE",$B96))</f>
        <v>0.4276125714285714</v>
      </c>
      <c r="S96" s="190">
        <f ca="1">IF($P96="PROXY",DSTDEV('literature entries'!$D:$AI,IF($J96=1,"ACTIVE     GHGE, FARM GATE (kg CO2e/kg)","GHGE, processor gate (kg CO2e/kg)"),INDIRECT($K96)),GETPIVOTDATA(IF($J96=1,"StdDev of ACTIVE     GHGE, FARM GATE (kg CO2e/kg)","StdDev of GHGE, processor gate (kg CO2e/kg)"),'Pivot Table_GHG'!$A$3,"SUB TYPE",$B96))</f>
        <v>1.0810218335279169</v>
      </c>
      <c r="T96" s="88"/>
      <c r="U96" s="89"/>
      <c r="W96" s="213" t="str">
        <f ca="1">IF(L96="PROXY",IF(M96&gt;=5,K96,"need group"),IF(M96&gt;=5,"DIRECT","need group"))</f>
        <v>tomato</v>
      </c>
      <c r="X96" s="211">
        <f ca="1">IF($W96="DIRECT",M96,DCOUNT('literature entries'!$D:$AI,IF($J96=1,"ACTIVE     CED, FARM GATE (MJ/kg)","CED, processor gate (MJ/kg)"),INDIRECT($W96)))</f>
        <v>7</v>
      </c>
      <c r="Y96" s="211">
        <f ca="1">IF($W96="DIRECT","",DAVERAGE('literature entries'!$D:$AI,IF($J96=1,"ACTIVE     CED, FARM GATE (MJ/kg)","CED, processor gate (MJ/kg)"),INDIRECT($W96)))</f>
        <v>2.3902571428571426</v>
      </c>
      <c r="Z96" s="211">
        <f ca="1">IF($W96="DIRECT",$O96,DSTDEV('literature entries'!$D:$AI,IF($J96=1,"ACTIVE     CED, FARM GATE (MJ/kg)","CED, processor gate (MJ/kg)"),INDIRECT($W96)))</f>
        <v>1.1507929655345519</v>
      </c>
      <c r="AA96" s="211">
        <f t="shared" ca="1" si="11"/>
        <v>1.1507929655345519</v>
      </c>
      <c r="AB96" s="219" t="str">
        <f ca="1">IF(P96="PROXY",IF(Q96&gt;=5,K96,"need group"),IF(Q96&gt;=5,"DIRECT","need group"))</f>
        <v>tomato</v>
      </c>
      <c r="AC96" s="212">
        <f ca="1">IF($AB96="DIRECT",Q96,DCOUNT('literature entries'!$D:$AI,IF($J96=1,"ACTIVE     GHGE, FARM GATE (kg CO2e/kg)","GHGE, processor gate (kg CO2e/kg)"),INDIRECT($AB96)))</f>
        <v>25</v>
      </c>
      <c r="AD96" s="212">
        <f ca="1">IF($AB96="DIRECT","",DAVERAGE('literature entries'!$D:$AI,IF($J96=1,"ACTIVE     GHGE, FARM GATE (kg CO2e/kg)","GHGE, processor gate (kg CO2e/kg)"),INDIRECT($AB96)))</f>
        <v>0.4276125714285714</v>
      </c>
      <c r="AE96" s="212">
        <f ca="1">IF($AB96="DIRECT",$S96,DSTDEV('literature entries'!$D:$AI,IF($J96=1,"ACTIVE     GHGE, FARM GATE (kg CO2e/kg)","GHGE, processor gate (kg CO2e/kg)"),INDIRECT($AB96)))</f>
        <v>1.0810218335279169</v>
      </c>
      <c r="AF96" s="212">
        <f t="shared" ca="1" si="12"/>
        <v>1.0810218335279169</v>
      </c>
    </row>
    <row r="97" spans="1:32" s="19" customFormat="1" thickBot="1" x14ac:dyDescent="0.25">
      <c r="A97" s="114">
        <v>801375000</v>
      </c>
      <c r="B97" s="115" t="s">
        <v>2311</v>
      </c>
      <c r="C97" s="115" t="s">
        <v>2312</v>
      </c>
      <c r="D97" s="123"/>
      <c r="E97" s="115">
        <v>23505</v>
      </c>
      <c r="F97" s="111">
        <f t="shared" ca="1" si="9"/>
        <v>2.629282857142857</v>
      </c>
      <c r="G97" s="112">
        <f t="shared" ca="1" si="10"/>
        <v>0.47037382857142856</v>
      </c>
      <c r="H97" s="116">
        <v>1.1000000000000001</v>
      </c>
      <c r="I97" s="116" t="s">
        <v>2724</v>
      </c>
      <c r="J97" s="79">
        <v>1</v>
      </c>
      <c r="K97" s="78"/>
      <c r="L97" s="135" t="str">
        <f>IF(ISERROR(GETPIVOTDATA(IF($J97=1,"Count of ACTIVE     CED, FARM GATE (MJ/kg)","Count of CED, processor gate (MJ/kg)"),'Pivot Table_CED'!$A$3,"SUB TYPE",$B97)),"PROXY",IF(GETPIVOTDATA(IF($J97=1,"Count of ACTIVE     CED, FARM GATE (MJ/kg)","Count of CED, processor gate (MJ/kg)"),'Pivot Table_CED'!$A$3,"SUB TYPE",$B97)=0,"PROXY","DB value"))</f>
        <v>DB value</v>
      </c>
      <c r="M97" s="118">
        <f ca="1">IF($L97="PROXY",DCOUNT('literature entries'!$D:$AI,IF($J97=1,"ACTIVE     CED, FARM GATE (MJ/kg)","CED, processor gate (MJ/kg)"),INDIRECT($K97)),GETPIVOTDATA(IF($J97=1,"Count of ACTIVE     CED, FARM GATE (MJ/kg)","Count of CED, processor gate (MJ/kg)"),'Pivot Table_CED'!$A$3,"SUB TYPE",$B97))</f>
        <v>7</v>
      </c>
      <c r="N97" s="119">
        <f ca="1">IF($L97="PROXY",DAVERAGE('literature entries'!$D:$AI,IF($J97=1,"ACTIVE     CED, FARM GATE (MJ/kg)","CED, processor gate (MJ/kg)"),INDIRECT($K97)),GETPIVOTDATA(IF($J97=1,"Average of ACTIVE     CED, FARM GATE (MJ/kg)","Average of CED, processor gate (MJ/kg)"),'Pivot Table_CED'!$A$3,"SUB TYPE",$B97))</f>
        <v>2.3902571428571426</v>
      </c>
      <c r="O97" s="119">
        <f ca="1">IF($L97="PROXY",DSTDEV('literature entries'!D:AI,IF($J97=1,"ACTIVE     CED, FARM GATE (MJ/kg)","CED, processor gate (MJ/kg)"),INDIRECT($K97)),GETPIVOTDATA(IF($J97=1,"StdDev of ACTIVE     CED, FARM GATE (MJ/kg)","StdDev of CED, processor gate (MJ/kg)"),'Pivot Table_CED'!$A$3,"SUB TYPE",$B97))</f>
        <v>1.1507929655345519</v>
      </c>
      <c r="P97" s="135" t="str">
        <f>IF(ISERROR(GETPIVOTDATA(IF($J97=1,"Count of ACTIVE     GHGE, FARM GATE (kg CO2e/kg)","Count of GHGE, processor gate (kg CO2e/kg)"),'Pivot Table_GHG'!$A$3,"SUB TYPE",$B97)),"PROXY",IF(GETPIVOTDATA(IF($J97=1,"Count of ACTIVE     GHGE, FARM GATE (kg CO2e/kg)","Count of GHGE, processor gate (kg CO2e/kg)"),'Pivot Table_GHG'!$A$3,"SUB TYPE",$B97)=0,"PROXY","DB value"))</f>
        <v>DB value</v>
      </c>
      <c r="Q97" s="125">
        <f ca="1">IF($P97="PROXY",DCOUNT('literature entries'!$D:$AI,IF($J97=1,"ACTIVE     GHGE, FARM GATE (kg CO2e/kg)","GHGE, processor gate (kg CO2e/kg)"),INDIRECT($K97)),GETPIVOTDATA(IF($J97=1,"ACTIVE     GHGE, FARM GATE (kg CO2e/kg)","Count of GHGE, processor gate (kg CO2e/kg)"),'Pivot Table_GHG'!$A$3,"SUB TYPE",$B97))</f>
        <v>25</v>
      </c>
      <c r="R97" s="190">
        <f ca="1">IF($P97="PROXY",DAVERAGE('literature entries'!$D:$AI,IF($J97=1,"ACTIVE     GHGE, FARM GATE (kg CO2e/kg)","GHGE, processor gate (kg CO2e/kg)"),INDIRECT($K97)),GETPIVOTDATA(IF($J97=1,"Average of ACTIVE     GHGE, FARM GATE (kg CO2e/kg)","Average of GHGE, processor gate (kg CO2e/kg)"),'Pivot Table_GHG'!$A$3,"SUB TYPE",$B97))</f>
        <v>0.4276125714285714</v>
      </c>
      <c r="S97" s="190">
        <f ca="1">IF($P97="PROXY",DSTDEV('literature entries'!$D:$AI,IF($J97=1,"ACTIVE     GHGE, FARM GATE (kg CO2e/kg)","GHGE, processor gate (kg CO2e/kg)"),INDIRECT($K97)),GETPIVOTDATA(IF($J97=1,"StdDev of ACTIVE     GHGE, FARM GATE (kg CO2e/kg)","StdDev of GHGE, processor gate (kg CO2e/kg)"),'Pivot Table_GHG'!$A$3,"SUB TYPE",$B97))</f>
        <v>1.0810218335279169</v>
      </c>
      <c r="T97" s="88"/>
      <c r="U97" s="89"/>
      <c r="W97" s="213" t="str">
        <f ca="1">IF(L97="PROXY",IF(M97&gt;=5,K97,"need group"),IF(M97&gt;=5,"DIRECT","need group"))</f>
        <v>DIRECT</v>
      </c>
      <c r="X97" s="211">
        <f ca="1">IF($W97="DIRECT",M97,DCOUNT('literature entries'!$D:$AI,IF($J97=1,"ACTIVE     CED, FARM GATE (MJ/kg)","CED, processor gate (MJ/kg)"),INDIRECT($W97)))</f>
        <v>7</v>
      </c>
      <c r="Y97" s="211" t="str">
        <f ca="1">IF($W97="DIRECT","",DAVERAGE('literature entries'!$D:$AI,IF($J97=1,"ACTIVE     CED, FARM GATE (MJ/kg)","CED, processor gate (MJ/kg)"),INDIRECT($W97)))</f>
        <v/>
      </c>
      <c r="Z97" s="211">
        <f ca="1">IF($W97="DIRECT",$O97,DSTDEV('literature entries'!$D:$AI,IF($J97=1,"ACTIVE     CED, FARM GATE (MJ/kg)","CED, processor gate (MJ/kg)"),INDIRECT($W97)))</f>
        <v>1.1507929655345519</v>
      </c>
      <c r="AA97" s="211">
        <f t="shared" ca="1" si="11"/>
        <v>1.1507929655345519</v>
      </c>
      <c r="AB97" s="219" t="str">
        <f ca="1">IF(P97="PROXY",IF(Q97&gt;=5,K97,"need group"),IF(Q97&gt;=5,"DIRECT","need group"))</f>
        <v>DIRECT</v>
      </c>
      <c r="AC97" s="212">
        <f ca="1">IF($AB97="DIRECT",Q97,DCOUNT('literature entries'!$D:$AI,IF($J97=1,"ACTIVE     GHGE, FARM GATE (kg CO2e/kg)","GHGE, processor gate (kg CO2e/kg)"),INDIRECT($AB97)))</f>
        <v>25</v>
      </c>
      <c r="AD97" s="212" t="str">
        <f ca="1">IF($AB97="DIRECT","",DAVERAGE('literature entries'!$D:$AI,IF($J97=1,"ACTIVE     GHGE, FARM GATE (kg CO2e/kg)","GHGE, processor gate (kg CO2e/kg)"),INDIRECT($AB97)))</f>
        <v/>
      </c>
      <c r="AE97" s="212">
        <f ca="1">IF($AB97="DIRECT",$S97,DSTDEV('literature entries'!$D:$AI,IF($J97=1,"ACTIVE     GHGE, FARM GATE (kg CO2e/kg)","GHGE, processor gate (kg CO2e/kg)"),INDIRECT($AB97)))</f>
        <v>1.0810218335279169</v>
      </c>
      <c r="AF97" s="212">
        <f t="shared" ca="1" si="12"/>
        <v>1.0810218335279169</v>
      </c>
    </row>
    <row r="98" spans="1:32" s="19" customFormat="1" ht="17" thickBot="1" x14ac:dyDescent="0.25">
      <c r="A98" s="114">
        <v>801376000</v>
      </c>
      <c r="B98" s="115" t="s">
        <v>2316</v>
      </c>
      <c r="C98" s="115" t="s">
        <v>2317</v>
      </c>
      <c r="D98" s="123"/>
      <c r="E98" s="115">
        <v>7988</v>
      </c>
      <c r="F98" s="111">
        <f t="shared" ca="1" si="9"/>
        <v>1.4378</v>
      </c>
      <c r="G98" s="112">
        <f t="shared" ca="1" si="10"/>
        <v>0.11840000000000001</v>
      </c>
      <c r="H98" s="116">
        <v>1</v>
      </c>
      <c r="I98" s="124" t="s">
        <v>628</v>
      </c>
      <c r="J98" s="79">
        <v>2</v>
      </c>
      <c r="K98" s="78"/>
      <c r="L98" s="135" t="str">
        <f>IF(ISERROR(GETPIVOTDATA(IF($J98=1,"Count of ACTIVE     CED, FARM GATE (MJ/kg)","Count of CED, processor gate (MJ/kg)"),'Pivot Table_CED'!$A$3,"SUB TYPE",$B98)),"PROXY",IF(GETPIVOTDATA(IF($J98=1,"Count of ACTIVE     CED, FARM GATE (MJ/kg)","Count of CED, processor gate (MJ/kg)"),'Pivot Table_CED'!$A$3,"SUB TYPE",$B98)=0,"PROXY","DB value"))</f>
        <v>DB value</v>
      </c>
      <c r="M98" s="118">
        <f ca="1">IF($L98="PROXY",DCOUNT('literature entries'!$D:$AI,IF($J98=1,"ACTIVE     CED, FARM GATE (MJ/kg)","CED, processor gate (MJ/kg)"),INDIRECT($K98)),GETPIVOTDATA(IF($J98=1,"Count of ACTIVE     CED, FARM GATE (MJ/kg)","Count of CED, processor gate (MJ/kg)"),'Pivot Table_CED'!$A$3,"SUB TYPE",$B98))</f>
        <v>1</v>
      </c>
      <c r="N98" s="119">
        <f ca="1">IF($L98="PROXY",DAVERAGE('literature entries'!$D:$AI,IF($J98=1,"ACTIVE     CED, FARM GATE (MJ/kg)","CED, processor gate (MJ/kg)"),INDIRECT($K98)),GETPIVOTDATA(IF($J98=1,"Average of ACTIVE     CED, FARM GATE (MJ/kg)","Average of CED, processor gate (MJ/kg)"),'Pivot Table_CED'!$A$3,"SUB TYPE",$B98))</f>
        <v>1.4378</v>
      </c>
      <c r="O98" s="119">
        <f ca="1">IF($L98="PROXY",DSTDEV('literature entries'!D:AI,IF($J98=1,"ACTIVE     CED, FARM GATE (MJ/kg)","CED, processor gate (MJ/kg)"),INDIRECT($K98)),GETPIVOTDATA(IF($J98=1,"StdDev of ACTIVE     CED, FARM GATE (MJ/kg)","StdDev of CED, processor gate (MJ/kg)"),'Pivot Table_CED'!$A$3,"SUB TYPE",$B98))</f>
        <v>0</v>
      </c>
      <c r="P98" s="135" t="str">
        <f>IF(ISERROR(GETPIVOTDATA(IF($J98=1,"Count of ACTIVE     GHGE, FARM GATE (kg CO2e/kg)","Count of GHGE, processor gate (kg CO2e/kg)"),'Pivot Table_GHG'!$A$3,"SUB TYPE",$B98)),"PROXY",IF(GETPIVOTDATA(IF($J98=1,"Count of ACTIVE     GHGE, FARM GATE (kg CO2e/kg)","Count of GHGE, processor gate (kg CO2e/kg)"),'Pivot Table_GHG'!$A$3,"SUB TYPE",$B98)=0,"PROXY","DB value"))</f>
        <v>DB value</v>
      </c>
      <c r="Q98" s="125">
        <f ca="1">IF($P98="PROXY",DCOUNT('literature entries'!$D:$AI,IF($J98=1,"ACTIVE     GHGE, FARM GATE (kg CO2e/kg)","GHGE, processor gate (kg CO2e/kg)"),INDIRECT($K98)),GETPIVOTDATA(IF($J98=1,"ACTIVE     GHGE, FARM GATE (kg CO2e/kg)","Count of GHGE, processor gate (kg CO2e/kg)"),'Pivot Table_GHG'!$A$3,"SUB TYPE",$B98))</f>
        <v>1</v>
      </c>
      <c r="R98" s="190">
        <f ca="1">IF($P98="PROXY",DAVERAGE('literature entries'!$D:$AI,IF($J98=1,"ACTIVE     GHGE, FARM GATE (kg CO2e/kg)","GHGE, processor gate (kg CO2e/kg)"),INDIRECT($K98)),GETPIVOTDATA(IF($J98=1,"Average of ACTIVE     GHGE, FARM GATE (kg CO2e/kg)","Average of GHGE, processor gate (kg CO2e/kg)"),'Pivot Table_GHG'!$A$3,"SUB TYPE",$B98))</f>
        <v>0.11840000000000001</v>
      </c>
      <c r="S98" s="190" t="e">
        <f ca="1">IF($P98="PROXY",DSTDEV('literature entries'!$D:$AI,IF($J98=1,"ACTIVE     GHGE, FARM GATE (kg CO2e/kg)","GHGE, processor gate (kg CO2e/kg)"),INDIRECT($K98)),GETPIVOTDATA(IF($J98=1,"StdDev of ACTIVE     GHGE, FARM GATE (kg CO2e/kg)","StdDev of GHGE, processor gate (kg CO2e/kg)"),'Pivot Table_GHG'!$A$3,"SUB TYPE",$B98))</f>
        <v>#DIV/0!</v>
      </c>
      <c r="T98" s="88"/>
      <c r="U98" s="89"/>
      <c r="W98" s="213" t="s">
        <v>3356</v>
      </c>
      <c r="X98" s="211">
        <f ca="1">IF($W98="DIRECT",M98,DCOUNT('literature entries'!$D:$AI,IF($J98=1,"ACTIVE     CED, FARM GATE (MJ/kg)","CED, processor gate (MJ/kg)"),INDIRECT($W98)))</f>
        <v>10</v>
      </c>
      <c r="Y98" s="211">
        <f ca="1">IF($W98="DIRECT","",DAVERAGE('literature entries'!$D:$AI,IF($J98=1,"ACTIVE     CED, FARM GATE (MJ/kg)","CED, processor gate (MJ/kg)"),INDIRECT($W98)))</f>
        <v>8.7758181999999998</v>
      </c>
      <c r="Z98" s="211">
        <f ca="1">IF($W98="DIRECT",$O98,DSTDEV('literature entries'!$D:$AI,IF($J98=1,"ACTIVE     CED, FARM GATE (MJ/kg)","CED, processor gate (MJ/kg)"),INDIRECT($W98)))</f>
        <v>4.7192764543736505</v>
      </c>
      <c r="AA98" s="211">
        <f t="shared" ca="1" si="11"/>
        <v>0.77319009253159265</v>
      </c>
      <c r="AB98" s="219" t="s">
        <v>3356</v>
      </c>
      <c r="AC98" s="212">
        <f ca="1">IF($AB98="DIRECT",Q98,DCOUNT('literature entries'!$D:$AI,IF($J98=1,"ACTIVE     GHGE, FARM GATE (kg CO2e/kg)","GHGE, processor gate (kg CO2e/kg)"),INDIRECT($AB98)))</f>
        <v>12</v>
      </c>
      <c r="AD98" s="212">
        <f ca="1">IF($AB98="DIRECT","",DAVERAGE('literature entries'!$D:$AI,IF($J98=1,"ACTIVE     GHGE, FARM GATE (kg CO2e/kg)","GHGE, processor gate (kg CO2e/kg)"),INDIRECT($AB98)))</f>
        <v>0.97445476190476166</v>
      </c>
      <c r="AE98" s="212">
        <f ca="1">IF($AB98="DIRECT",$S98,DSTDEV('literature entries'!$D:$AI,IF($J98=1,"ACTIVE     GHGE, FARM GATE (kg CO2e/kg)","GHGE, processor gate (kg CO2e/kg)"),INDIRECT($AB98)))</f>
        <v>0.80082742576445587</v>
      </c>
      <c r="AF98" s="212">
        <f t="shared" ca="1" si="12"/>
        <v>9.7303611124205908E-2</v>
      </c>
    </row>
    <row r="99" spans="1:32" s="19" customFormat="1" ht="17" thickBot="1" x14ac:dyDescent="0.25">
      <c r="A99" s="114">
        <v>801377000</v>
      </c>
      <c r="B99" s="115" t="s">
        <v>2318</v>
      </c>
      <c r="C99" s="115" t="s">
        <v>2319</v>
      </c>
      <c r="D99" s="123"/>
      <c r="E99" s="115">
        <v>19602</v>
      </c>
      <c r="F99" s="111">
        <f t="shared" ca="1" si="9"/>
        <v>10.581235249999999</v>
      </c>
      <c r="G99" s="112">
        <f t="shared" ca="1" si="10"/>
        <v>1.1474857142857142</v>
      </c>
      <c r="H99" s="116">
        <v>1</v>
      </c>
      <c r="I99" s="124" t="s">
        <v>628</v>
      </c>
      <c r="J99" s="79">
        <v>2</v>
      </c>
      <c r="K99" s="78"/>
      <c r="L99" s="135" t="str">
        <f>IF(ISERROR(GETPIVOTDATA(IF($J99=1,"Count of ACTIVE     CED, FARM GATE (MJ/kg)","Count of CED, processor gate (MJ/kg)"),'Pivot Table_CED'!$A$3,"SUB TYPE",$B99)),"PROXY",IF(GETPIVOTDATA(IF($J99=1,"Count of ACTIVE     CED, FARM GATE (MJ/kg)","Count of CED, processor gate (MJ/kg)"),'Pivot Table_CED'!$A$3,"SUB TYPE",$B99)=0,"PROXY","DB value"))</f>
        <v>DB value</v>
      </c>
      <c r="M99" s="118">
        <f ca="1">IF($L99="PROXY",DCOUNT('literature entries'!$D:$AI,IF($J99=1,"ACTIVE     CED, FARM GATE (MJ/kg)","CED, processor gate (MJ/kg)"),INDIRECT($K99)),GETPIVOTDATA(IF($J99=1,"Count of ACTIVE     CED, FARM GATE (MJ/kg)","Count of CED, processor gate (MJ/kg)"),'Pivot Table_CED'!$A$3,"SUB TYPE",$B99))</f>
        <v>8</v>
      </c>
      <c r="N99" s="119">
        <f ca="1">IF($L99="PROXY",DAVERAGE('literature entries'!$D:$AI,IF($J99=1,"ACTIVE     CED, FARM GATE (MJ/kg)","CED, processor gate (MJ/kg)"),INDIRECT($K99)),GETPIVOTDATA(IF($J99=1,"Average of ACTIVE     CED, FARM GATE (MJ/kg)","Average of CED, processor gate (MJ/kg)"),'Pivot Table_CED'!$A$3,"SUB TYPE",$B99))</f>
        <v>10.581235249999999</v>
      </c>
      <c r="O99" s="119">
        <f ca="1">IF($L99="PROXY",DSTDEV('literature entries'!D:AI,IF($J99=1,"ACTIVE     CED, FARM GATE (MJ/kg)","CED, processor gate (MJ/kg)"),INDIRECT($K99)),GETPIVOTDATA(IF($J99=1,"StdDev of ACTIVE     CED, FARM GATE (MJ/kg)","StdDev of CED, processor gate (MJ/kg)"),'Pivot Table_CED'!$A$3,"SUB TYPE",$B99))</f>
        <v>3.1630868434178518</v>
      </c>
      <c r="P99" s="135" t="str">
        <f>IF(ISERROR(GETPIVOTDATA(IF($J99=1,"Count of ACTIVE     GHGE, FARM GATE (kg CO2e/kg)","Count of GHGE, processor gate (kg CO2e/kg)"),'Pivot Table_GHG'!$A$3,"SUB TYPE",$B99)),"PROXY",IF(GETPIVOTDATA(IF($J99=1,"Count of ACTIVE     GHGE, FARM GATE (kg CO2e/kg)","Count of GHGE, processor gate (kg CO2e/kg)"),'Pivot Table_GHG'!$A$3,"SUB TYPE",$B99)=0,"PROXY","DB value"))</f>
        <v>DB value</v>
      </c>
      <c r="Q99" s="125">
        <f ca="1">IF($P99="PROXY",DCOUNT('literature entries'!$D:$AI,IF($J99=1,"ACTIVE     GHGE, FARM GATE (kg CO2e/kg)","GHGE, processor gate (kg CO2e/kg)"),INDIRECT($K99)),GETPIVOTDATA(IF($J99=1,"ACTIVE     GHGE, FARM GATE (kg CO2e/kg)","Count of GHGE, processor gate (kg CO2e/kg)"),'Pivot Table_GHG'!$A$3,"SUB TYPE",$B99))</f>
        <v>10</v>
      </c>
      <c r="R99" s="190">
        <f ca="1">IF($P99="PROXY",DAVERAGE('literature entries'!$D:$AI,IF($J99=1,"ACTIVE     GHGE, FARM GATE (kg CO2e/kg)","GHGE, processor gate (kg CO2e/kg)"),INDIRECT($K99)),GETPIVOTDATA(IF($J99=1,"Average of ACTIVE     GHGE, FARM GATE (kg CO2e/kg)","Average of GHGE, processor gate (kg CO2e/kg)"),'Pivot Table_GHG'!$A$3,"SUB TYPE",$B99))</f>
        <v>1.1474857142857142</v>
      </c>
      <c r="S99" s="190">
        <f ca="1">IF($P99="PROXY",DSTDEV('literature entries'!$D:$AI,IF($J99=1,"ACTIVE     GHGE, FARM GATE (kg CO2e/kg)","GHGE, processor gate (kg CO2e/kg)"),INDIRECT($K99)),GETPIVOTDATA(IF($J99=1,"StdDev of ACTIVE     GHGE, FARM GATE (kg CO2e/kg)","StdDev of GHGE, processor gate (kg CO2e/kg)"),'Pivot Table_GHG'!$A$3,"SUB TYPE",$B99))</f>
        <v>0.7643459059519967</v>
      </c>
      <c r="T99" s="88"/>
      <c r="U99" s="89"/>
      <c r="W99" s="213" t="str">
        <f ca="1">IF(L99="PROXY",IF(M99&gt;=5,K99,"need group"),IF(M99&gt;=5,"DIRECT","need group"))</f>
        <v>DIRECT</v>
      </c>
      <c r="X99" s="211">
        <f ca="1">IF($W99="DIRECT",M99,DCOUNT('literature entries'!$D:$AI,IF($J99=1,"ACTIVE     CED, FARM GATE (MJ/kg)","CED, processor gate (MJ/kg)"),INDIRECT($W99)))</f>
        <v>8</v>
      </c>
      <c r="Y99" s="211" t="str">
        <f ca="1">IF($W99="DIRECT","",DAVERAGE('literature entries'!$D:$AI,IF($J99=1,"ACTIVE     CED, FARM GATE (MJ/kg)","CED, processor gate (MJ/kg)"),INDIRECT($W99)))</f>
        <v/>
      </c>
      <c r="Z99" s="211">
        <f ca="1">IF($W99="DIRECT",$O99,DSTDEV('literature entries'!$D:$AI,IF($J99=1,"ACTIVE     CED, FARM GATE (MJ/kg)","CED, processor gate (MJ/kg)"),INDIRECT($W99)))</f>
        <v>3.1630868434178518</v>
      </c>
      <c r="AA99" s="211">
        <f t="shared" ca="1" si="11"/>
        <v>3.1630868434178518</v>
      </c>
      <c r="AB99" s="219" t="str">
        <f ca="1">IF(P99="PROXY",IF(Q99&gt;=5,K99,"need group"),IF(Q99&gt;=5,"DIRECT","need group"))</f>
        <v>DIRECT</v>
      </c>
      <c r="AC99" s="212">
        <f ca="1">IF($AB99="DIRECT",Q99,DCOUNT('literature entries'!$D:$AI,IF($J99=1,"ACTIVE     GHGE, FARM GATE (kg CO2e/kg)","GHGE, processor gate (kg CO2e/kg)"),INDIRECT($AB99)))</f>
        <v>10</v>
      </c>
      <c r="AD99" s="212" t="str">
        <f ca="1">IF($AB99="DIRECT","",DAVERAGE('literature entries'!$D:$AI,IF($J99=1,"ACTIVE     GHGE, FARM GATE (kg CO2e/kg)","GHGE, processor gate (kg CO2e/kg)"),INDIRECT($AB99)))</f>
        <v/>
      </c>
      <c r="AE99" s="212">
        <f ca="1">IF($AB99="DIRECT",$S99,DSTDEV('literature entries'!$D:$AI,IF($J99=1,"ACTIVE     GHGE, FARM GATE (kg CO2e/kg)","GHGE, processor gate (kg CO2e/kg)"),INDIRECT($AB99)))</f>
        <v>0.7643459059519967</v>
      </c>
      <c r="AF99" s="212">
        <f t="shared" ca="1" si="12"/>
        <v>0.7643459059519967</v>
      </c>
    </row>
    <row r="100" spans="1:32" s="19" customFormat="1" ht="17" thickBot="1" x14ac:dyDescent="0.25">
      <c r="A100" s="114">
        <v>801378000</v>
      </c>
      <c r="B100" s="115" t="s">
        <v>2313</v>
      </c>
      <c r="C100" s="115" t="s">
        <v>2314</v>
      </c>
      <c r="D100" s="123"/>
      <c r="E100" s="115">
        <v>1281</v>
      </c>
      <c r="F100" s="111">
        <f t="shared" ca="1" si="9"/>
        <v>40.825591999999993</v>
      </c>
      <c r="G100" s="112">
        <f t="shared" ca="1" si="10"/>
        <v>7.303622719999999</v>
      </c>
      <c r="H100" s="116">
        <v>17.079999999999998</v>
      </c>
      <c r="I100" s="124" t="s">
        <v>2724</v>
      </c>
      <c r="J100" s="79">
        <v>1</v>
      </c>
      <c r="K100" s="78" t="s">
        <v>839</v>
      </c>
      <c r="L100" s="135" t="str">
        <f>IF(ISERROR(GETPIVOTDATA(IF($J100=1,"Count of ACTIVE     CED, FARM GATE (MJ/kg)","Count of CED, processor gate (MJ/kg)"),'Pivot Table_CED'!$A$3,"SUB TYPE",$B100)),"PROXY",IF(GETPIVOTDATA(IF($J100=1,"Count of ACTIVE     CED, FARM GATE (MJ/kg)","Count of CED, processor gate (MJ/kg)"),'Pivot Table_CED'!$A$3,"SUB TYPE",$B100)=0,"PROXY","DB value"))</f>
        <v>PROXY</v>
      </c>
      <c r="M100" s="118">
        <f ca="1">IF($L100="PROXY",DCOUNT('literature entries'!$D:$AI,IF($J100=1,"ACTIVE     CED, FARM GATE (MJ/kg)","CED, processor gate (MJ/kg)"),INDIRECT($K100)),GETPIVOTDATA(IF($J100=1,"Count of ACTIVE     CED, FARM GATE (MJ/kg)","Count of CED, processor gate (MJ/kg)"),'Pivot Table_CED'!$A$3,"SUB TYPE",$B100))</f>
        <v>7</v>
      </c>
      <c r="N100" s="119">
        <f ca="1">IF($L100="PROXY",DAVERAGE('literature entries'!$D:$AI,IF($J100=1,"ACTIVE     CED, FARM GATE (MJ/kg)","CED, processor gate (MJ/kg)"),INDIRECT($K100)),GETPIVOTDATA(IF($J100=1,"Average of ACTIVE     CED, FARM GATE (MJ/kg)","Average of CED, processor gate (MJ/kg)"),'Pivot Table_CED'!$A$3,"SUB TYPE",$B100))</f>
        <v>2.3902571428571426</v>
      </c>
      <c r="O100" s="119">
        <f ca="1">IF($L100="PROXY",DSTDEV('literature entries'!D:AI,IF($J100=1,"ACTIVE     CED, FARM GATE (MJ/kg)","CED, processor gate (MJ/kg)"),INDIRECT($K100)),GETPIVOTDATA(IF($J100=1,"StdDev of ACTIVE     CED, FARM GATE (MJ/kg)","StdDev of CED, processor gate (MJ/kg)"),'Pivot Table_CED'!$A$3,"SUB TYPE",$B100))</f>
        <v>1.1507929655345519</v>
      </c>
      <c r="P100" s="135" t="str">
        <f>IF(ISERROR(GETPIVOTDATA(IF($J100=1,"Count of ACTIVE     GHGE, FARM GATE (kg CO2e/kg)","Count of GHGE, processor gate (kg CO2e/kg)"),'Pivot Table_GHG'!$A$3,"SUB TYPE",$B100)),"PROXY",IF(GETPIVOTDATA(IF($J100=1,"Count of ACTIVE     GHGE, FARM GATE (kg CO2e/kg)","Count of GHGE, processor gate (kg CO2e/kg)"),'Pivot Table_GHG'!$A$3,"SUB TYPE",$B100)=0,"PROXY","DB value"))</f>
        <v>PROXY</v>
      </c>
      <c r="Q100" s="125">
        <f ca="1">IF($P100="PROXY",DCOUNT('literature entries'!$D:$AI,IF($J100=1,"ACTIVE     GHGE, FARM GATE (kg CO2e/kg)","GHGE, processor gate (kg CO2e/kg)"),INDIRECT($K100)),GETPIVOTDATA(IF($J100=1,"ACTIVE     GHGE, FARM GATE (kg CO2e/kg)","Count of GHGE, processor gate (kg CO2e/kg)"),'Pivot Table_GHG'!$A$3,"SUB TYPE",$B100))</f>
        <v>25</v>
      </c>
      <c r="R100" s="190">
        <f ca="1">IF($P100="PROXY",DAVERAGE('literature entries'!$D:$AI,IF($J100=1,"ACTIVE     GHGE, FARM GATE (kg CO2e/kg)","GHGE, processor gate (kg CO2e/kg)"),INDIRECT($K100)),GETPIVOTDATA(IF($J100=1,"Average of ACTIVE     GHGE, FARM GATE (kg CO2e/kg)","Average of GHGE, processor gate (kg CO2e/kg)"),'Pivot Table_GHG'!$A$3,"SUB TYPE",$B100))</f>
        <v>0.4276125714285714</v>
      </c>
      <c r="S100" s="190">
        <f ca="1">IF($P100="PROXY",DSTDEV('literature entries'!$D:$AI,IF($J100=1,"ACTIVE     GHGE, FARM GATE (kg CO2e/kg)","GHGE, processor gate (kg CO2e/kg)"),INDIRECT($K100)),GETPIVOTDATA(IF($J100=1,"StdDev of ACTIVE     GHGE, FARM GATE (kg CO2e/kg)","StdDev of GHGE, processor gate (kg CO2e/kg)"),'Pivot Table_GHG'!$A$3,"SUB TYPE",$B100))</f>
        <v>1.0810218335279169</v>
      </c>
      <c r="T100" s="88"/>
      <c r="U100" s="89"/>
      <c r="W100" s="213" t="str">
        <f ca="1">IF(L100="PROXY",IF(M100&gt;=5,K100,"need group"),IF(M100&gt;=5,"DIRECT","need group"))</f>
        <v>tomato</v>
      </c>
      <c r="X100" s="211">
        <f ca="1">IF($W100="DIRECT",M100,DCOUNT('literature entries'!$D:$AI,IF($J100=1,"ACTIVE     CED, FARM GATE (MJ/kg)","CED, processor gate (MJ/kg)"),INDIRECT($W100)))</f>
        <v>7</v>
      </c>
      <c r="Y100" s="211">
        <f ca="1">IF($W100="DIRECT","",DAVERAGE('literature entries'!$D:$AI,IF($J100=1,"ACTIVE     CED, FARM GATE (MJ/kg)","CED, processor gate (MJ/kg)"),INDIRECT($W100)))</f>
        <v>2.3902571428571426</v>
      </c>
      <c r="Z100" s="211">
        <f ca="1">IF($W100="DIRECT",$O100,DSTDEV('literature entries'!$D:$AI,IF($J100=1,"ACTIVE     CED, FARM GATE (MJ/kg)","CED, processor gate (MJ/kg)"),INDIRECT($W100)))</f>
        <v>1.1507929655345519</v>
      </c>
      <c r="AA100" s="211">
        <f t="shared" ca="1" si="11"/>
        <v>1.1507929655345519</v>
      </c>
      <c r="AB100" s="219" t="str">
        <f ca="1">IF(P100="PROXY",IF(Q100&gt;=5,K100,"need group"),IF(Q100&gt;=5,"DIRECT","need group"))</f>
        <v>tomato</v>
      </c>
      <c r="AC100" s="212">
        <f ca="1">IF($AB100="DIRECT",Q100,DCOUNT('literature entries'!$D:$AI,IF($J100=1,"ACTIVE     GHGE, FARM GATE (kg CO2e/kg)","GHGE, processor gate (kg CO2e/kg)"),INDIRECT($AB100)))</f>
        <v>25</v>
      </c>
      <c r="AD100" s="212">
        <f ca="1">IF($AB100="DIRECT","",DAVERAGE('literature entries'!$D:$AI,IF($J100=1,"ACTIVE     GHGE, FARM GATE (kg CO2e/kg)","GHGE, processor gate (kg CO2e/kg)"),INDIRECT($AB100)))</f>
        <v>0.4276125714285714</v>
      </c>
      <c r="AE100" s="212">
        <f ca="1">IF($AB100="DIRECT",$S100,DSTDEV('literature entries'!$D:$AI,IF($J100=1,"ACTIVE     GHGE, FARM GATE (kg CO2e/kg)","GHGE, processor gate (kg CO2e/kg)"),INDIRECT($AB100)))</f>
        <v>1.0810218335279169</v>
      </c>
      <c r="AF100" s="212">
        <f t="shared" ca="1" si="12"/>
        <v>1.0810218335279169</v>
      </c>
    </row>
    <row r="101" spans="1:32" s="19" customFormat="1" ht="17" thickBot="1" x14ac:dyDescent="0.25">
      <c r="A101" s="114">
        <v>801379000</v>
      </c>
      <c r="B101" s="115" t="s">
        <v>2315</v>
      </c>
      <c r="C101" s="115" t="s">
        <v>1742</v>
      </c>
      <c r="D101" s="123"/>
      <c r="E101" s="115">
        <v>1025</v>
      </c>
      <c r="F101" s="111">
        <f t="shared" ca="1" si="9"/>
        <v>2.5558650000000003</v>
      </c>
      <c r="G101" s="112">
        <f t="shared" ca="1" si="10"/>
        <v>0.153306</v>
      </c>
      <c r="H101" s="116">
        <v>1.53</v>
      </c>
      <c r="I101" s="124" t="s">
        <v>2724</v>
      </c>
      <c r="J101" s="79">
        <v>2</v>
      </c>
      <c r="K101" s="78"/>
      <c r="L101" s="135" t="str">
        <f>IF(ISERROR(GETPIVOTDATA(IF($J101=1,"Count of ACTIVE     CED, FARM GATE (MJ/kg)","Count of CED, processor gate (MJ/kg)"),'Pivot Table_CED'!$A$3,"SUB TYPE",$B101)),"PROXY",IF(GETPIVOTDATA(IF($J101=1,"Count of ACTIVE     CED, FARM GATE (MJ/kg)","Count of CED, processor gate (MJ/kg)"),'Pivot Table_CED'!$A$3,"SUB TYPE",$B101)=0,"PROXY","DB value"))</f>
        <v>DB value</v>
      </c>
      <c r="M101" s="118">
        <f ca="1">IF($L101="PROXY",DCOUNT('literature entries'!$D:$AI,IF($J101=1,"ACTIVE     CED, FARM GATE (MJ/kg)","CED, processor gate (MJ/kg)"),INDIRECT($K101)),GETPIVOTDATA(IF($J101=1,"Count of ACTIVE     CED, FARM GATE (MJ/kg)","Count of CED, processor gate (MJ/kg)"),'Pivot Table_CED'!$A$3,"SUB TYPE",$B101))</f>
        <v>1</v>
      </c>
      <c r="N101" s="119">
        <f ca="1">IF($L101="PROXY",DAVERAGE('literature entries'!$D:$AI,IF($J101=1,"ACTIVE     CED, FARM GATE (MJ/kg)","CED, processor gate (MJ/kg)"),INDIRECT($K101)),GETPIVOTDATA(IF($J101=1,"Average of ACTIVE     CED, FARM GATE (MJ/kg)","Average of CED, processor gate (MJ/kg)"),'Pivot Table_CED'!$A$3,"SUB TYPE",$B101))</f>
        <v>1.6705000000000001</v>
      </c>
      <c r="O101" s="119">
        <f ca="1">IF($L101="PROXY",DSTDEV('literature entries'!D:AI,IF($J101=1,"ACTIVE     CED, FARM GATE (MJ/kg)","CED, processor gate (MJ/kg)"),INDIRECT($K101)),GETPIVOTDATA(IF($J101=1,"StdDev of ACTIVE     CED, FARM GATE (MJ/kg)","StdDev of CED, processor gate (MJ/kg)"),'Pivot Table_CED'!$A$3,"SUB TYPE",$B101))</f>
        <v>0</v>
      </c>
      <c r="P101" s="135" t="str">
        <f>IF(ISERROR(GETPIVOTDATA(IF($J101=1,"Count of ACTIVE     GHGE, FARM GATE (kg CO2e/kg)","Count of GHGE, processor gate (kg CO2e/kg)"),'Pivot Table_GHG'!$A$3,"SUB TYPE",$B101)),"PROXY",IF(GETPIVOTDATA(IF($J101=1,"Count of ACTIVE     GHGE, FARM GATE (kg CO2e/kg)","Count of GHGE, processor gate (kg CO2e/kg)"),'Pivot Table_GHG'!$A$3,"SUB TYPE",$B101)=0,"PROXY","DB value"))</f>
        <v>DB value</v>
      </c>
      <c r="Q101" s="125">
        <f ca="1">IF($P101="PROXY",DCOUNT('literature entries'!$D:$AI,IF($J101=1,"ACTIVE     GHGE, FARM GATE (kg CO2e/kg)","GHGE, processor gate (kg CO2e/kg)"),INDIRECT($K101)),GETPIVOTDATA(IF($J101=1,"ACTIVE     GHGE, FARM GATE (kg CO2e/kg)","Count of GHGE, processor gate (kg CO2e/kg)"),'Pivot Table_GHG'!$A$3,"SUB TYPE",$B101))</f>
        <v>1</v>
      </c>
      <c r="R101" s="190">
        <f ca="1">IF($P101="PROXY",DAVERAGE('literature entries'!$D:$AI,IF($J101=1,"ACTIVE     GHGE, FARM GATE (kg CO2e/kg)","GHGE, processor gate (kg CO2e/kg)"),INDIRECT($K101)),GETPIVOTDATA(IF($J101=1,"Average of ACTIVE     GHGE, FARM GATE (kg CO2e/kg)","Average of GHGE, processor gate (kg CO2e/kg)"),'Pivot Table_GHG'!$A$3,"SUB TYPE",$B101))</f>
        <v>0.1002</v>
      </c>
      <c r="S101" s="190" t="e">
        <f ca="1">IF($P101="PROXY",DSTDEV('literature entries'!$D:$AI,IF($J101=1,"ACTIVE     GHGE, FARM GATE (kg CO2e/kg)","GHGE, processor gate (kg CO2e/kg)"),INDIRECT($K101)),GETPIVOTDATA(IF($J101=1,"StdDev of ACTIVE     GHGE, FARM GATE (kg CO2e/kg)","StdDev of GHGE, processor gate (kg CO2e/kg)"),'Pivot Table_GHG'!$A$3,"SUB TYPE",$B101))</f>
        <v>#DIV/0!</v>
      </c>
      <c r="T101" s="88"/>
      <c r="U101" s="89"/>
      <c r="W101" s="213" t="s">
        <v>3356</v>
      </c>
      <c r="X101" s="211">
        <f ca="1">IF($W101="DIRECT",M101,DCOUNT('literature entries'!$D:$AI,IF($J101=1,"ACTIVE     CED, FARM GATE (MJ/kg)","CED, processor gate (MJ/kg)"),INDIRECT($W101)))</f>
        <v>10</v>
      </c>
      <c r="Y101" s="211">
        <f ca="1">IF($W101="DIRECT","",DAVERAGE('literature entries'!$D:$AI,IF($J101=1,"ACTIVE     CED, FARM GATE (MJ/kg)","CED, processor gate (MJ/kg)"),INDIRECT($W101)))</f>
        <v>8.7758181999999998</v>
      </c>
      <c r="Z101" s="211">
        <f ca="1">IF($W101="DIRECT",$O101,DSTDEV('literature entries'!$D:$AI,IF($J101=1,"ACTIVE     CED, FARM GATE (MJ/kg)","CED, processor gate (MJ/kg)"),INDIRECT($W101)))</f>
        <v>4.7192764543736505</v>
      </c>
      <c r="AA101" s="211">
        <f t="shared" ca="1" si="11"/>
        <v>0.89832664457784506</v>
      </c>
      <c r="AB101" s="219" t="s">
        <v>3356</v>
      </c>
      <c r="AC101" s="212">
        <f ca="1">IF($AB101="DIRECT",Q101,DCOUNT('literature entries'!$D:$AI,IF($J101=1,"ACTIVE     GHGE, FARM GATE (kg CO2e/kg)","GHGE, processor gate (kg CO2e/kg)"),INDIRECT($AB101)))</f>
        <v>12</v>
      </c>
      <c r="AD101" s="212">
        <f ca="1">IF($AB101="DIRECT","",DAVERAGE('literature entries'!$D:$AI,IF($J101=1,"ACTIVE     GHGE, FARM GATE (kg CO2e/kg)","GHGE, processor gate (kg CO2e/kg)"),INDIRECT($AB101)))</f>
        <v>0.97445476190476166</v>
      </c>
      <c r="AE101" s="212">
        <f ca="1">IF($AB101="DIRECT",$S101,DSTDEV('literature entries'!$D:$AI,IF($J101=1,"ACTIVE     GHGE, FARM GATE (kg CO2e/kg)","GHGE, processor gate (kg CO2e/kg)"),INDIRECT($AB101)))</f>
        <v>0.80082742576445587</v>
      </c>
      <c r="AF101" s="212">
        <f t="shared" ca="1" si="12"/>
        <v>8.2346468198018843E-2</v>
      </c>
    </row>
    <row r="102" spans="1:32" s="19" customFormat="1" thickBot="1" x14ac:dyDescent="0.25">
      <c r="A102" s="114">
        <v>802148000</v>
      </c>
      <c r="B102" s="115" t="s">
        <v>884</v>
      </c>
      <c r="C102" s="115" t="s">
        <v>1973</v>
      </c>
      <c r="D102" s="115"/>
      <c r="E102" s="115">
        <v>180</v>
      </c>
      <c r="F102" s="111">
        <f t="shared" ca="1" si="9"/>
        <v>2.9400162857142855</v>
      </c>
      <c r="G102" s="112">
        <f t="shared" ca="1" si="10"/>
        <v>0.52596346285714279</v>
      </c>
      <c r="H102" s="116">
        <v>1.23</v>
      </c>
      <c r="I102" s="116" t="s">
        <v>2724</v>
      </c>
      <c r="J102" s="90">
        <v>1</v>
      </c>
      <c r="K102" s="78" t="s">
        <v>3275</v>
      </c>
      <c r="L102" s="135" t="str">
        <f>IF(ISERROR(GETPIVOTDATA(IF($J102=1,"Count of ACTIVE     CED, FARM GATE (MJ/kg)","Count of CED, processor gate (MJ/kg)"),'Pivot Table_CED'!$A$3,"SUB TYPE",$B102)),"PROXY",IF(GETPIVOTDATA(IF($J102=1,"Count of ACTIVE     CED, FARM GATE (MJ/kg)","Count of CED, processor gate (MJ/kg)"),'Pivot Table_CED'!$A$3,"SUB TYPE",$B102)=0,"PROXY","DB value"))</f>
        <v>PROXY</v>
      </c>
      <c r="M102" s="118">
        <f ca="1">IF($L102="PROXY",DCOUNT('literature entries'!$D:$AI,IF($J102=1,"ACTIVE     CED, FARM GATE (MJ/kg)","CED, processor gate (MJ/kg)"),INDIRECT($K102)),GETPIVOTDATA(IF($J102=1,"Count of ACTIVE     CED, FARM GATE (MJ/kg)","Count of CED, processor gate (MJ/kg)"),'Pivot Table_CED'!$A$3,"SUB TYPE",$B102))</f>
        <v>7</v>
      </c>
      <c r="N102" s="119">
        <f ca="1">IF($L102="PROXY",DAVERAGE('literature entries'!$D:$AI,IF($J102=1,"ACTIVE     CED, FARM GATE (MJ/kg)","CED, processor gate (MJ/kg)"),INDIRECT($K102)),GETPIVOTDATA(IF($J102=1,"Average of ACTIVE     CED, FARM GATE (MJ/kg)","Average of CED, processor gate (MJ/kg)"),'Pivot Table_CED'!$A$3,"SUB TYPE",$B102))</f>
        <v>2.3902571428571426</v>
      </c>
      <c r="O102" s="119">
        <f ca="1">IF($L102="PROXY",DSTDEV('literature entries'!D:AI,IF($J102=1,"ACTIVE     CED, FARM GATE (MJ/kg)","CED, processor gate (MJ/kg)"),INDIRECT($K102)),GETPIVOTDATA(IF($J102=1,"StdDev of ACTIVE     CED, FARM GATE (MJ/kg)","StdDev of CED, processor gate (MJ/kg)"),'Pivot Table_CED'!$A$3,"SUB TYPE",$B102))</f>
        <v>1.1507929655345519</v>
      </c>
      <c r="P102" s="135" t="str">
        <f>IF(ISERROR(GETPIVOTDATA(IF($J102=1,"Count of ACTIVE     GHGE, FARM GATE (kg CO2e/kg)","Count of GHGE, processor gate (kg CO2e/kg)"),'Pivot Table_GHG'!$A$3,"SUB TYPE",$B102)),"PROXY",IF(GETPIVOTDATA(IF($J102=1,"Count of ACTIVE     GHGE, FARM GATE (kg CO2e/kg)","Count of GHGE, processor gate (kg CO2e/kg)"),'Pivot Table_GHG'!$A$3,"SUB TYPE",$B102)=0,"PROXY","DB value"))</f>
        <v>PROXY</v>
      </c>
      <c r="Q102" s="125">
        <f ca="1">IF($P102="PROXY",DCOUNT('literature entries'!$D:$AI,IF($J102=1,"ACTIVE     GHGE, FARM GATE (kg CO2e/kg)","GHGE, processor gate (kg CO2e/kg)"),INDIRECT($K102)),GETPIVOTDATA(IF($J102=1,"ACTIVE     GHGE, FARM GATE (kg CO2e/kg)","Count of GHGE, processor gate (kg CO2e/kg)"),'Pivot Table_GHG'!$A$3,"SUB TYPE",$B102))</f>
        <v>25</v>
      </c>
      <c r="R102" s="190">
        <f ca="1">IF($P102="PROXY",DAVERAGE('literature entries'!$D:$AI,IF($J102=1,"ACTIVE     GHGE, FARM GATE (kg CO2e/kg)","GHGE, processor gate (kg CO2e/kg)"),INDIRECT($K102)),GETPIVOTDATA(IF($J102=1,"Average of ACTIVE     GHGE, FARM GATE (kg CO2e/kg)","Average of GHGE, processor gate (kg CO2e/kg)"),'Pivot Table_GHG'!$A$3,"SUB TYPE",$B102))</f>
        <v>0.4276125714285714</v>
      </c>
      <c r="S102" s="190">
        <f ca="1">IF($P102="PROXY",DSTDEV('literature entries'!$D:$AI,IF($J102=1,"ACTIVE     GHGE, FARM GATE (kg CO2e/kg)","GHGE, processor gate (kg CO2e/kg)"),INDIRECT($K102)),GETPIVOTDATA(IF($J102=1,"StdDev of ACTIVE     GHGE, FARM GATE (kg CO2e/kg)","StdDev of GHGE, processor gate (kg CO2e/kg)"),'Pivot Table_GHG'!$A$3,"SUB TYPE",$B102))</f>
        <v>1.0810218335279169</v>
      </c>
      <c r="T102" s="88"/>
      <c r="U102" s="89"/>
      <c r="W102" s="213" t="str">
        <f ca="1">IF(L102="PROXY",IF(M102&gt;=5,K102,"need group"),IF(M102&gt;=5,"DIRECT","need group"))</f>
        <v>nightshades</v>
      </c>
      <c r="X102" s="211">
        <f ca="1">IF($W102="DIRECT",M102,DCOUNT('literature entries'!$D:$AI,IF($J102=1,"ACTIVE     CED, FARM GATE (MJ/kg)","CED, processor gate (MJ/kg)"),INDIRECT($W102)))</f>
        <v>7</v>
      </c>
      <c r="Y102" s="211">
        <f ca="1">IF($W102="DIRECT","",DAVERAGE('literature entries'!$D:$AI,IF($J102=1,"ACTIVE     CED, FARM GATE (MJ/kg)","CED, processor gate (MJ/kg)"),INDIRECT($W102)))</f>
        <v>2.3902571428571426</v>
      </c>
      <c r="Z102" s="211">
        <f ca="1">IF($W102="DIRECT",$O102,DSTDEV('literature entries'!$D:$AI,IF($J102=1,"ACTIVE     CED, FARM GATE (MJ/kg)","CED, processor gate (MJ/kg)"),INDIRECT($W102)))</f>
        <v>1.1507929655345519</v>
      </c>
      <c r="AA102" s="211">
        <f t="shared" ca="1" si="11"/>
        <v>1.1507929655345519</v>
      </c>
      <c r="AB102" s="219" t="str">
        <f ca="1">IF(P102="PROXY",IF(Q102&gt;=5,K102,"need group"),IF(Q102&gt;=5,"DIRECT","need group"))</f>
        <v>nightshades</v>
      </c>
      <c r="AC102" s="212">
        <f ca="1">IF($AB102="DIRECT",Q102,DCOUNT('literature entries'!$D:$AI,IF($J102=1,"ACTIVE     GHGE, FARM GATE (kg CO2e/kg)","GHGE, processor gate (kg CO2e/kg)"),INDIRECT($AB102)))</f>
        <v>25</v>
      </c>
      <c r="AD102" s="212">
        <f ca="1">IF($AB102="DIRECT","",DAVERAGE('literature entries'!$D:$AI,IF($J102=1,"ACTIVE     GHGE, FARM GATE (kg CO2e/kg)","GHGE, processor gate (kg CO2e/kg)"),INDIRECT($AB102)))</f>
        <v>0.4276125714285714</v>
      </c>
      <c r="AE102" s="212">
        <f ca="1">IF($AB102="DIRECT",$S102,DSTDEV('literature entries'!$D:$AI,IF($J102=1,"ACTIVE     GHGE, FARM GATE (kg CO2e/kg)","GHGE, processor gate (kg CO2e/kg)"),INDIRECT($AB102)))</f>
        <v>1.0810218335279169</v>
      </c>
      <c r="AF102" s="212">
        <f t="shared" ca="1" si="12"/>
        <v>1.0810218335279169</v>
      </c>
    </row>
    <row r="103" spans="1:32" s="19" customFormat="1" thickBot="1" x14ac:dyDescent="0.25">
      <c r="A103" s="114">
        <v>802234000</v>
      </c>
      <c r="B103" s="115" t="s">
        <v>2096</v>
      </c>
      <c r="C103" s="115" t="s">
        <v>2097</v>
      </c>
      <c r="D103" s="115"/>
      <c r="E103" s="115">
        <v>271</v>
      </c>
      <c r="F103" s="111">
        <f t="shared" ca="1" si="9"/>
        <v>2.7726982857142852</v>
      </c>
      <c r="G103" s="112">
        <f t="shared" ca="1" si="10"/>
        <v>0.4960305828571428</v>
      </c>
      <c r="H103" s="116">
        <v>1.1599999999999999</v>
      </c>
      <c r="I103" s="116" t="s">
        <v>2724</v>
      </c>
      <c r="J103" s="79">
        <v>1</v>
      </c>
      <c r="K103" s="78" t="s">
        <v>3275</v>
      </c>
      <c r="L103" s="135" t="str">
        <f>IF(ISERROR(GETPIVOTDATA(IF($J103=1,"Count of ACTIVE     CED, FARM GATE (MJ/kg)","Count of CED, processor gate (MJ/kg)"),'Pivot Table_CED'!$A$3,"SUB TYPE",$B103)),"PROXY",IF(GETPIVOTDATA(IF($J103=1,"Count of ACTIVE     CED, FARM GATE (MJ/kg)","Count of CED, processor gate (MJ/kg)"),'Pivot Table_CED'!$A$3,"SUB TYPE",$B103)=0,"PROXY","DB value"))</f>
        <v>PROXY</v>
      </c>
      <c r="M103" s="118">
        <f ca="1">IF($L103="PROXY",DCOUNT('literature entries'!$D:$AI,IF($J103=1,"ACTIVE     CED, FARM GATE (MJ/kg)","CED, processor gate (MJ/kg)"),INDIRECT($K103)),GETPIVOTDATA(IF($J103=1,"Count of ACTIVE     CED, FARM GATE (MJ/kg)","Count of CED, processor gate (MJ/kg)"),'Pivot Table_CED'!$A$3,"SUB TYPE",$B103))</f>
        <v>7</v>
      </c>
      <c r="N103" s="119">
        <f ca="1">IF($L103="PROXY",DAVERAGE('literature entries'!$D:$AI,IF($J103=1,"ACTIVE     CED, FARM GATE (MJ/kg)","CED, processor gate (MJ/kg)"),INDIRECT($K103)),GETPIVOTDATA(IF($J103=1,"Average of ACTIVE     CED, FARM GATE (MJ/kg)","Average of CED, processor gate (MJ/kg)"),'Pivot Table_CED'!$A$3,"SUB TYPE",$B103))</f>
        <v>2.3902571428571426</v>
      </c>
      <c r="O103" s="119">
        <f ca="1">IF($L103="PROXY",DSTDEV('literature entries'!D:AI,IF($J103=1,"ACTIVE     CED, FARM GATE (MJ/kg)","CED, processor gate (MJ/kg)"),INDIRECT($K103)),GETPIVOTDATA(IF($J103=1,"StdDev of ACTIVE     CED, FARM GATE (MJ/kg)","StdDev of CED, processor gate (MJ/kg)"),'Pivot Table_CED'!$A$3,"SUB TYPE",$B103))</f>
        <v>1.1507929655345519</v>
      </c>
      <c r="P103" s="135" t="str">
        <f>IF(ISERROR(GETPIVOTDATA(IF($J103=1,"Count of ACTIVE     GHGE, FARM GATE (kg CO2e/kg)","Count of GHGE, processor gate (kg CO2e/kg)"),'Pivot Table_GHG'!$A$3,"SUB TYPE",$B103)),"PROXY",IF(GETPIVOTDATA(IF($J103=1,"Count of ACTIVE     GHGE, FARM GATE (kg CO2e/kg)","Count of GHGE, processor gate (kg CO2e/kg)"),'Pivot Table_GHG'!$A$3,"SUB TYPE",$B103)=0,"PROXY","DB value"))</f>
        <v>PROXY</v>
      </c>
      <c r="Q103" s="125">
        <f ca="1">IF($P103="PROXY",DCOUNT('literature entries'!$D:$AI,IF($J103=1,"ACTIVE     GHGE, FARM GATE (kg CO2e/kg)","GHGE, processor gate (kg CO2e/kg)"),INDIRECT($K103)),GETPIVOTDATA(IF($J103=1,"ACTIVE     GHGE, FARM GATE (kg CO2e/kg)","Count of GHGE, processor gate (kg CO2e/kg)"),'Pivot Table_GHG'!$A$3,"SUB TYPE",$B103))</f>
        <v>25</v>
      </c>
      <c r="R103" s="190">
        <f ca="1">IF($P103="PROXY",DAVERAGE('literature entries'!$D:$AI,IF($J103=1,"ACTIVE     GHGE, FARM GATE (kg CO2e/kg)","GHGE, processor gate (kg CO2e/kg)"),INDIRECT($K103)),GETPIVOTDATA(IF($J103=1,"Average of ACTIVE     GHGE, FARM GATE (kg CO2e/kg)","Average of GHGE, processor gate (kg CO2e/kg)"),'Pivot Table_GHG'!$A$3,"SUB TYPE",$B103))</f>
        <v>0.4276125714285714</v>
      </c>
      <c r="S103" s="190">
        <f ca="1">IF($P103="PROXY",DSTDEV('literature entries'!$D:$AI,IF($J103=1,"ACTIVE     GHGE, FARM GATE (kg CO2e/kg)","GHGE, processor gate (kg CO2e/kg)"),INDIRECT($K103)),GETPIVOTDATA(IF($J103=1,"StdDev of ACTIVE     GHGE, FARM GATE (kg CO2e/kg)","StdDev of GHGE, processor gate (kg CO2e/kg)"),'Pivot Table_GHG'!$A$3,"SUB TYPE",$B103))</f>
        <v>1.0810218335279169</v>
      </c>
      <c r="T103" s="88"/>
      <c r="U103" s="89"/>
      <c r="W103" s="213" t="str">
        <f ca="1">IF(L103="PROXY",IF(M103&gt;=5,K103,"need group"),IF(M103&gt;=5,"DIRECT","need group"))</f>
        <v>nightshades</v>
      </c>
      <c r="X103" s="211">
        <f ca="1">IF($W103="DIRECT",M103,DCOUNT('literature entries'!$D:$AI,IF($J103=1,"ACTIVE     CED, FARM GATE (MJ/kg)","CED, processor gate (MJ/kg)"),INDIRECT($W103)))</f>
        <v>7</v>
      </c>
      <c r="Y103" s="211">
        <f ca="1">IF($W103="DIRECT","",DAVERAGE('literature entries'!$D:$AI,IF($J103=1,"ACTIVE     CED, FARM GATE (MJ/kg)","CED, processor gate (MJ/kg)"),INDIRECT($W103)))</f>
        <v>2.3902571428571426</v>
      </c>
      <c r="Z103" s="211">
        <f ca="1">IF($W103="DIRECT",$O103,DSTDEV('literature entries'!$D:$AI,IF($J103=1,"ACTIVE     CED, FARM GATE (MJ/kg)","CED, processor gate (MJ/kg)"),INDIRECT($W103)))</f>
        <v>1.1507929655345519</v>
      </c>
      <c r="AA103" s="211">
        <f t="shared" ca="1" si="11"/>
        <v>1.1507929655345519</v>
      </c>
      <c r="AB103" s="219" t="str">
        <f ca="1">IF(P103="PROXY",IF(Q103&gt;=5,K103,"need group"),IF(Q103&gt;=5,"DIRECT","need group"))</f>
        <v>nightshades</v>
      </c>
      <c r="AC103" s="212">
        <f ca="1">IF($AB103="DIRECT",Q103,DCOUNT('literature entries'!$D:$AI,IF($J103=1,"ACTIVE     GHGE, FARM GATE (kg CO2e/kg)","GHGE, processor gate (kg CO2e/kg)"),INDIRECT($AB103)))</f>
        <v>25</v>
      </c>
      <c r="AD103" s="212">
        <f ca="1">IF($AB103="DIRECT","",DAVERAGE('literature entries'!$D:$AI,IF($J103=1,"ACTIVE     GHGE, FARM GATE (kg CO2e/kg)","GHGE, processor gate (kg CO2e/kg)"),INDIRECT($AB103)))</f>
        <v>0.4276125714285714</v>
      </c>
      <c r="AE103" s="212">
        <f ca="1">IF($AB103="DIRECT",$S103,DSTDEV('literature entries'!$D:$AI,IF($J103=1,"ACTIVE     GHGE, FARM GATE (kg CO2e/kg)","GHGE, processor gate (kg CO2e/kg)"),INDIRECT($AB103)))</f>
        <v>1.0810218335279169</v>
      </c>
      <c r="AF103" s="212">
        <f t="shared" ca="1" si="12"/>
        <v>1.0810218335279169</v>
      </c>
    </row>
    <row r="104" spans="1:32" s="19" customFormat="1" thickBot="1" x14ac:dyDescent="0.25">
      <c r="A104" s="114">
        <v>802270000</v>
      </c>
      <c r="B104" s="115" t="s">
        <v>2152</v>
      </c>
      <c r="C104" s="115" t="s">
        <v>2153</v>
      </c>
      <c r="D104" s="115" t="s">
        <v>2154</v>
      </c>
      <c r="E104" s="115">
        <v>8602</v>
      </c>
      <c r="F104" s="111">
        <f t="shared" ca="1" si="9"/>
        <v>6.8807999999999998</v>
      </c>
      <c r="G104" s="112">
        <f t="shared" ca="1" si="10"/>
        <v>0.52459999999999996</v>
      </c>
      <c r="H104" s="116">
        <v>1.22</v>
      </c>
      <c r="I104" s="116" t="s">
        <v>2724</v>
      </c>
      <c r="J104" s="79">
        <v>1</v>
      </c>
      <c r="K104" s="78"/>
      <c r="L104" s="135" t="str">
        <f>IF(ISERROR(GETPIVOTDATA(IF($J104=1,"Count of ACTIVE     CED, FARM GATE (MJ/kg)","Count of CED, processor gate (MJ/kg)"),'Pivot Table_CED'!$A$3,"SUB TYPE",$B104)),"PROXY",IF(GETPIVOTDATA(IF($J104=1,"Count of ACTIVE     CED, FARM GATE (MJ/kg)","Count of CED, processor gate (MJ/kg)"),'Pivot Table_CED'!$A$3,"SUB TYPE",$B104)=0,"PROXY","DB value"))</f>
        <v>DB value</v>
      </c>
      <c r="M104" s="118">
        <f ca="1">IF($L104="PROXY",DCOUNT('literature entries'!$D:$AI,IF($J104=1,"ACTIVE     CED, FARM GATE (MJ/kg)","CED, processor gate (MJ/kg)"),INDIRECT($K104)),GETPIVOTDATA(IF($J104=1,"Count of ACTIVE     CED, FARM GATE (MJ/kg)","Count of CED, processor gate (MJ/kg)"),'Pivot Table_CED'!$A$3,"SUB TYPE",$B104))</f>
        <v>1</v>
      </c>
      <c r="N104" s="119">
        <f ca="1">IF($L104="PROXY",DAVERAGE('literature entries'!$D:$AI,IF($J104=1,"ACTIVE     CED, FARM GATE (MJ/kg)","CED, processor gate (MJ/kg)"),INDIRECT($K104)),GETPIVOTDATA(IF($J104=1,"Average of ACTIVE     CED, FARM GATE (MJ/kg)","Average of CED, processor gate (MJ/kg)"),'Pivot Table_CED'!$A$3,"SUB TYPE",$B104))</f>
        <v>5.64</v>
      </c>
      <c r="O104" s="119">
        <f ca="1">IF($L104="PROXY",DSTDEV('literature entries'!D:AI,IF($J104=1,"ACTIVE     CED, FARM GATE (MJ/kg)","CED, processor gate (MJ/kg)"),INDIRECT($K104)),GETPIVOTDATA(IF($J104=1,"StdDev of ACTIVE     CED, FARM GATE (MJ/kg)","StdDev of CED, processor gate (MJ/kg)"),'Pivot Table_CED'!$A$3,"SUB TYPE",$B104))</f>
        <v>0</v>
      </c>
      <c r="P104" s="135" t="str">
        <f>IF(ISERROR(GETPIVOTDATA(IF($J104=1,"Count of ACTIVE     GHGE, FARM GATE (kg CO2e/kg)","Count of GHGE, processor gate (kg CO2e/kg)"),'Pivot Table_GHG'!$A$3,"SUB TYPE",$B104)),"PROXY",IF(GETPIVOTDATA(IF($J104=1,"Count of ACTIVE     GHGE, FARM GATE (kg CO2e/kg)","Count of GHGE, processor gate (kg CO2e/kg)"),'Pivot Table_GHG'!$A$3,"SUB TYPE",$B104)=0,"PROXY","DB value"))</f>
        <v>DB value</v>
      </c>
      <c r="Q104" s="125">
        <f ca="1">IF($P104="PROXY",DCOUNT('literature entries'!$D:$AI,IF($J104=1,"ACTIVE     GHGE, FARM GATE (kg CO2e/kg)","GHGE, processor gate (kg CO2e/kg)"),INDIRECT($K104)),GETPIVOTDATA(IF($J104=1,"ACTIVE     GHGE, FARM GATE (kg CO2e/kg)","Count of GHGE, processor gate (kg CO2e/kg)"),'Pivot Table_GHG'!$A$3,"SUB TYPE",$B104))</f>
        <v>2</v>
      </c>
      <c r="R104" s="190">
        <f ca="1">IF($P104="PROXY",DAVERAGE('literature entries'!$D:$AI,IF($J104=1,"ACTIVE     GHGE, FARM GATE (kg CO2e/kg)","GHGE, processor gate (kg CO2e/kg)"),INDIRECT($K104)),GETPIVOTDATA(IF($J104=1,"Average of ACTIVE     GHGE, FARM GATE (kg CO2e/kg)","Average of GHGE, processor gate (kg CO2e/kg)"),'Pivot Table_GHG'!$A$3,"SUB TYPE",$B104))</f>
        <v>0.43</v>
      </c>
      <c r="S104" s="190">
        <f ca="1">IF($P104="PROXY",DSTDEV('literature entries'!$D:$AI,IF($J104=1,"ACTIVE     GHGE, FARM GATE (kg CO2e/kg)","GHGE, processor gate (kg CO2e/kg)"),INDIRECT($K104)),GETPIVOTDATA(IF($J104=1,"StdDev of ACTIVE     GHGE, FARM GATE (kg CO2e/kg)","StdDev of GHGE, processor gate (kg CO2e/kg)"),'Pivot Table_GHG'!$A$3,"SUB TYPE",$B104))</f>
        <v>0.22627416997969527</v>
      </c>
      <c r="T104" s="88"/>
      <c r="U104" s="89"/>
      <c r="W104" s="213" t="s">
        <v>3275</v>
      </c>
      <c r="X104" s="211">
        <f ca="1">IF($W104="DIRECT",M104,DCOUNT('literature entries'!$D:$AI,IF($J104=1,"ACTIVE     CED, FARM GATE (MJ/kg)","CED, processor gate (MJ/kg)"),INDIRECT($W104)))</f>
        <v>7</v>
      </c>
      <c r="Y104" s="211">
        <f ca="1">IF($W104="DIRECT","",DAVERAGE('literature entries'!$D:$AI,IF($J104=1,"ACTIVE     CED, FARM GATE (MJ/kg)","CED, processor gate (MJ/kg)"),INDIRECT($W104)))</f>
        <v>2.3902571428571426</v>
      </c>
      <c r="Z104" s="211">
        <f ca="1">IF($W104="DIRECT",$O104,DSTDEV('literature entries'!$D:$AI,IF($J104=1,"ACTIVE     CED, FARM GATE (MJ/kg)","CED, processor gate (MJ/kg)"),INDIRECT($W104)))</f>
        <v>1.1507929655345519</v>
      </c>
      <c r="AA104" s="211">
        <f t="shared" ca="1" si="11"/>
        <v>2.7153866457466687</v>
      </c>
      <c r="AB104" s="219" t="s">
        <v>3275</v>
      </c>
      <c r="AC104" s="212">
        <f ca="1">IF($AB104="DIRECT",Q104,DCOUNT('literature entries'!$D:$AI,IF($J104=1,"ACTIVE     GHGE, FARM GATE (kg CO2e/kg)","GHGE, processor gate (kg CO2e/kg)"),INDIRECT($AB104)))</f>
        <v>25</v>
      </c>
      <c r="AD104" s="212">
        <f ca="1">IF($AB104="DIRECT","",DAVERAGE('literature entries'!$D:$AI,IF($J104=1,"ACTIVE     GHGE, FARM GATE (kg CO2e/kg)","GHGE, processor gate (kg CO2e/kg)"),INDIRECT($AB104)))</f>
        <v>0.4276125714285714</v>
      </c>
      <c r="AE104" s="212">
        <f ca="1">IF($AB104="DIRECT",$S104,DSTDEV('literature entries'!$D:$AI,IF($J104=1,"ACTIVE     GHGE, FARM GATE (kg CO2e/kg)","GHGE, processor gate (kg CO2e/kg)"),INDIRECT($AB104)))</f>
        <v>1.0810218335279169</v>
      </c>
      <c r="AF104" s="212">
        <f t="shared" ca="1" si="12"/>
        <v>1.0870573492824713</v>
      </c>
    </row>
    <row r="105" spans="1:32" s="19" customFormat="1" ht="17" thickBot="1" x14ac:dyDescent="0.25">
      <c r="A105" s="114">
        <v>802271000</v>
      </c>
      <c r="B105" s="115" t="s">
        <v>2155</v>
      </c>
      <c r="C105" s="115" t="s">
        <v>2156</v>
      </c>
      <c r="D105" s="115" t="s">
        <v>2154</v>
      </c>
      <c r="E105" s="115">
        <v>5298</v>
      </c>
      <c r="F105" s="111">
        <f t="shared" ca="1" si="9"/>
        <v>68.796719999999993</v>
      </c>
      <c r="G105" s="112">
        <f t="shared" ca="1" si="10"/>
        <v>5.2451400000000001</v>
      </c>
      <c r="H105" s="120">
        <v>12.198</v>
      </c>
      <c r="I105" s="117" t="s">
        <v>2737</v>
      </c>
      <c r="J105" s="79">
        <v>1</v>
      </c>
      <c r="K105" s="78" t="s">
        <v>3276</v>
      </c>
      <c r="L105" s="135" t="str">
        <f>IF(ISERROR(GETPIVOTDATA(IF($J105=1,"Count of ACTIVE     CED, FARM GATE (MJ/kg)","Count of CED, processor gate (MJ/kg)"),'Pivot Table_CED'!$A$3,"SUB TYPE",$B105)),"PROXY",IF(GETPIVOTDATA(IF($J105=1,"Count of ACTIVE     CED, FARM GATE (MJ/kg)","Count of CED, processor gate (MJ/kg)"),'Pivot Table_CED'!$A$3,"SUB TYPE",$B105)=0,"PROXY","DB value"))</f>
        <v>PROXY</v>
      </c>
      <c r="M105" s="118">
        <f ca="1">IF($L105="PROXY",DCOUNT('literature entries'!$D:$AI,IF($J105=1,"ACTIVE     CED, FARM GATE (MJ/kg)","CED, processor gate (MJ/kg)"),INDIRECT($K105)),GETPIVOTDATA(IF($J105=1,"Count of ACTIVE     CED, FARM GATE (MJ/kg)","Count of CED, processor gate (MJ/kg)"),'Pivot Table_CED'!$A$3,"SUB TYPE",$B105))</f>
        <v>1</v>
      </c>
      <c r="N105" s="119">
        <f ca="1">IF($L105="PROXY",DAVERAGE('literature entries'!$D:$AI,IF($J105=1,"ACTIVE     CED, FARM GATE (MJ/kg)","CED, processor gate (MJ/kg)"),INDIRECT($K105)),GETPIVOTDATA(IF($J105=1,"Average of ACTIVE     CED, FARM GATE (MJ/kg)","Average of CED, processor gate (MJ/kg)"),'Pivot Table_CED'!$A$3,"SUB TYPE",$B105))</f>
        <v>5.64</v>
      </c>
      <c r="O105" s="119" t="e">
        <f ca="1">IF($L105="PROXY",DSTDEV('literature entries'!D:AI,IF($J105=1,"ACTIVE     CED, FARM GATE (MJ/kg)","CED, processor gate (MJ/kg)"),INDIRECT($K105)),GETPIVOTDATA(IF($J105=1,"StdDev of ACTIVE     CED, FARM GATE (MJ/kg)","StdDev of CED, processor gate (MJ/kg)"),'Pivot Table_CED'!$A$3,"SUB TYPE",$B105))</f>
        <v>#DIV/0!</v>
      </c>
      <c r="P105" s="135" t="str">
        <f>IF(ISERROR(GETPIVOTDATA(IF($J105=1,"Count of ACTIVE     GHGE, FARM GATE (kg CO2e/kg)","Count of GHGE, processor gate (kg CO2e/kg)"),'Pivot Table_GHG'!$A$3,"SUB TYPE",$B105)),"PROXY",IF(GETPIVOTDATA(IF($J105=1,"Count of ACTIVE     GHGE, FARM GATE (kg CO2e/kg)","Count of GHGE, processor gate (kg CO2e/kg)"),'Pivot Table_GHG'!$A$3,"SUB TYPE",$B105)=0,"PROXY","DB value"))</f>
        <v>PROXY</v>
      </c>
      <c r="Q105" s="125">
        <f ca="1">IF($P105="PROXY",DCOUNT('literature entries'!$D:$AI,IF($J105=1,"ACTIVE     GHGE, FARM GATE (kg CO2e/kg)","GHGE, processor gate (kg CO2e/kg)"),INDIRECT($K105)),GETPIVOTDATA(IF($J105=1,"ACTIVE     GHGE, FARM GATE (kg CO2e/kg)","Count of GHGE, processor gate (kg CO2e/kg)"),'Pivot Table_GHG'!$A$3,"SUB TYPE",$B105))</f>
        <v>2</v>
      </c>
      <c r="R105" s="190">
        <f ca="1">IF($P105="PROXY",DAVERAGE('literature entries'!$D:$AI,IF($J105=1,"ACTIVE     GHGE, FARM GATE (kg CO2e/kg)","GHGE, processor gate (kg CO2e/kg)"),INDIRECT($K105)),GETPIVOTDATA(IF($J105=1,"Average of ACTIVE     GHGE, FARM GATE (kg CO2e/kg)","Average of GHGE, processor gate (kg CO2e/kg)"),'Pivot Table_GHG'!$A$3,"SUB TYPE",$B105))</f>
        <v>0.43</v>
      </c>
      <c r="S105" s="190">
        <f ca="1">IF($P105="PROXY",DSTDEV('literature entries'!$D:$AI,IF($J105=1,"ACTIVE     GHGE, FARM GATE (kg CO2e/kg)","GHGE, processor gate (kg CO2e/kg)"),INDIRECT($K105)),GETPIVOTDATA(IF($J105=1,"StdDev of ACTIVE     GHGE, FARM GATE (kg CO2e/kg)","StdDev of GHGE, processor gate (kg CO2e/kg)"),'Pivot Table_GHG'!$A$3,"SUB TYPE",$B105))</f>
        <v>0.22627416997969527</v>
      </c>
      <c r="T105" s="88"/>
      <c r="U105" s="89"/>
      <c r="W105" s="213" t="s">
        <v>3275</v>
      </c>
      <c r="X105" s="211">
        <f ca="1">IF($W105="DIRECT",M105,DCOUNT('literature entries'!$D:$AI,IF($J105=1,"ACTIVE     CED, FARM GATE (MJ/kg)","CED, processor gate (MJ/kg)"),INDIRECT($W105)))</f>
        <v>7</v>
      </c>
      <c r="Y105" s="211">
        <f ca="1">IF($W105="DIRECT","",DAVERAGE('literature entries'!$D:$AI,IF($J105=1,"ACTIVE     CED, FARM GATE (MJ/kg)","CED, processor gate (MJ/kg)"),INDIRECT($W105)))</f>
        <v>2.3902571428571426</v>
      </c>
      <c r="Z105" s="211">
        <f ca="1">IF($W105="DIRECT",$O105,DSTDEV('literature entries'!$D:$AI,IF($J105=1,"ACTIVE     CED, FARM GATE (MJ/kg)","CED, processor gate (MJ/kg)"),INDIRECT($W105)))</f>
        <v>1.1507929655345519</v>
      </c>
      <c r="AA105" s="211">
        <f t="shared" ref="AA105:AA136" ca="1" si="13">IF($W105="DIRECT",$O105,$Z105/$Y105*$N105)</f>
        <v>2.7153866457466687</v>
      </c>
      <c r="AB105" s="219" t="s">
        <v>3275</v>
      </c>
      <c r="AC105" s="212">
        <f ca="1">IF($AB105="DIRECT",Q105,DCOUNT('literature entries'!$D:$AI,IF($J105=1,"ACTIVE     GHGE, FARM GATE (kg CO2e/kg)","GHGE, processor gate (kg CO2e/kg)"),INDIRECT($AB105)))</f>
        <v>25</v>
      </c>
      <c r="AD105" s="212">
        <f ca="1">IF($AB105="DIRECT","",DAVERAGE('literature entries'!$D:$AI,IF($J105=1,"ACTIVE     GHGE, FARM GATE (kg CO2e/kg)","GHGE, processor gate (kg CO2e/kg)"),INDIRECT($AB105)))</f>
        <v>0.4276125714285714</v>
      </c>
      <c r="AE105" s="212">
        <f ca="1">IF($AB105="DIRECT",$S105,DSTDEV('literature entries'!$D:$AI,IF($J105=1,"ACTIVE     GHGE, FARM GATE (kg CO2e/kg)","GHGE, processor gate (kg CO2e/kg)"),INDIRECT($AB105)))</f>
        <v>1.0810218335279169</v>
      </c>
      <c r="AF105" s="212">
        <f t="shared" ref="AF105:AF136" ca="1" si="14">IF($AB105="DIRECT",$S105,$AE105/$AD105*$R105)</f>
        <v>1.0870573492824713</v>
      </c>
    </row>
    <row r="106" spans="1:32" s="19" customFormat="1" ht="17" thickBot="1" x14ac:dyDescent="0.25">
      <c r="A106" s="114">
        <v>802272000</v>
      </c>
      <c r="B106" s="115" t="s">
        <v>2159</v>
      </c>
      <c r="C106" s="115" t="s">
        <v>2160</v>
      </c>
      <c r="D106" s="115"/>
      <c r="E106" s="115">
        <v>26399</v>
      </c>
      <c r="F106" s="111">
        <f t="shared" ca="1" si="9"/>
        <v>6.8243999999999998</v>
      </c>
      <c r="G106" s="112">
        <f t="shared" ca="1" si="10"/>
        <v>0.79859999999999998</v>
      </c>
      <c r="H106" s="116">
        <v>1.21</v>
      </c>
      <c r="I106" s="117" t="s">
        <v>2724</v>
      </c>
      <c r="J106" s="79">
        <v>1</v>
      </c>
      <c r="K106" s="78" t="s">
        <v>3276</v>
      </c>
      <c r="L106" s="135" t="str">
        <f>IF(ISERROR(GETPIVOTDATA(IF($J106=1,"Count of ACTIVE     CED, FARM GATE (MJ/kg)","Count of CED, processor gate (MJ/kg)"),'Pivot Table_CED'!$A$3,"SUB TYPE",$B106)),"PROXY",IF(GETPIVOTDATA(IF($J106=1,"Count of ACTIVE     CED, FARM GATE (MJ/kg)","Count of CED, processor gate (MJ/kg)"),'Pivot Table_CED'!$A$3,"SUB TYPE",$B106)=0,"PROXY","DB value"))</f>
        <v>PROXY</v>
      </c>
      <c r="M106" s="118">
        <f ca="1">IF($L106="PROXY",DCOUNT('literature entries'!$D:$AI,IF($J106=1,"ACTIVE     CED, FARM GATE (MJ/kg)","CED, processor gate (MJ/kg)"),INDIRECT($K106)),GETPIVOTDATA(IF($J106=1,"Count of ACTIVE     CED, FARM GATE (MJ/kg)","Count of CED, processor gate (MJ/kg)"),'Pivot Table_CED'!$A$3,"SUB TYPE",$B106))</f>
        <v>1</v>
      </c>
      <c r="N106" s="119">
        <f ca="1">IF($L106="PROXY",DAVERAGE('literature entries'!$D:$AI,IF($J106=1,"ACTIVE     CED, FARM GATE (MJ/kg)","CED, processor gate (MJ/kg)"),INDIRECT($K106)),GETPIVOTDATA(IF($J106=1,"Average of ACTIVE     CED, FARM GATE (MJ/kg)","Average of CED, processor gate (MJ/kg)"),'Pivot Table_CED'!$A$3,"SUB TYPE",$B106))</f>
        <v>5.64</v>
      </c>
      <c r="O106" s="119" t="e">
        <f ca="1">IF($L106="PROXY",DSTDEV('literature entries'!D:AI,IF($J106=1,"ACTIVE     CED, FARM GATE (MJ/kg)","CED, processor gate (MJ/kg)"),INDIRECT($K106)),GETPIVOTDATA(IF($J106=1,"StdDev of ACTIVE     CED, FARM GATE (MJ/kg)","StdDev of CED, processor gate (MJ/kg)"),'Pivot Table_CED'!$A$3,"SUB TYPE",$B106))</f>
        <v>#DIV/0!</v>
      </c>
      <c r="P106" s="135" t="str">
        <f>IF(ISERROR(GETPIVOTDATA(IF($J106=1,"Count of ACTIVE     GHGE, FARM GATE (kg CO2e/kg)","Count of GHGE, processor gate (kg CO2e/kg)"),'Pivot Table_GHG'!$A$3,"SUB TYPE",$B106)),"PROXY",IF(GETPIVOTDATA(IF($J106=1,"Count of ACTIVE     GHGE, FARM GATE (kg CO2e/kg)","Count of GHGE, processor gate (kg CO2e/kg)"),'Pivot Table_GHG'!$A$3,"SUB TYPE",$B106)=0,"PROXY","DB value"))</f>
        <v>DB value</v>
      </c>
      <c r="Q106" s="125">
        <f ca="1">IF($P106="PROXY",DCOUNT('literature entries'!$D:$AI,IF($J106=1,"ACTIVE     GHGE, FARM GATE (kg CO2e/kg)","GHGE, processor gate (kg CO2e/kg)"),INDIRECT($K106)),GETPIVOTDATA(IF($J106=1,"ACTIVE     GHGE, FARM GATE (kg CO2e/kg)","Count of GHGE, processor gate (kg CO2e/kg)"),'Pivot Table_GHG'!$A$3,"SUB TYPE",$B106))</f>
        <v>1</v>
      </c>
      <c r="R106" s="190">
        <f ca="1">IF($P106="PROXY",DAVERAGE('literature entries'!$D:$AI,IF($J106=1,"ACTIVE     GHGE, FARM GATE (kg CO2e/kg)","GHGE, processor gate (kg CO2e/kg)"),INDIRECT($K106)),GETPIVOTDATA(IF($J106=1,"Average of ACTIVE     GHGE, FARM GATE (kg CO2e/kg)","Average of GHGE, processor gate (kg CO2e/kg)"),'Pivot Table_GHG'!$A$3,"SUB TYPE",$B106))</f>
        <v>0.66</v>
      </c>
      <c r="S106" s="190" t="e">
        <f ca="1">IF($P106="PROXY",DSTDEV('literature entries'!$D:$AI,IF($J106=1,"ACTIVE     GHGE, FARM GATE (kg CO2e/kg)","GHGE, processor gate (kg CO2e/kg)"),INDIRECT($K106)),GETPIVOTDATA(IF($J106=1,"StdDev of ACTIVE     GHGE, FARM GATE (kg CO2e/kg)","StdDev of GHGE, processor gate (kg CO2e/kg)"),'Pivot Table_GHG'!$A$3,"SUB TYPE",$B106))</f>
        <v>#DIV/0!</v>
      </c>
      <c r="T106" s="88"/>
      <c r="U106" s="89"/>
      <c r="W106" s="213" t="s">
        <v>3275</v>
      </c>
      <c r="X106" s="211">
        <f ca="1">IF($W106="DIRECT",M106,DCOUNT('literature entries'!$D:$AI,IF($J106=1,"ACTIVE     CED, FARM GATE (MJ/kg)","CED, processor gate (MJ/kg)"),INDIRECT($W106)))</f>
        <v>7</v>
      </c>
      <c r="Y106" s="211">
        <f ca="1">IF($W106="DIRECT","",DAVERAGE('literature entries'!$D:$AI,IF($J106=1,"ACTIVE     CED, FARM GATE (MJ/kg)","CED, processor gate (MJ/kg)"),INDIRECT($W106)))</f>
        <v>2.3902571428571426</v>
      </c>
      <c r="Z106" s="211">
        <f ca="1">IF($W106="DIRECT",$O106,DSTDEV('literature entries'!$D:$AI,IF($J106=1,"ACTIVE     CED, FARM GATE (MJ/kg)","CED, processor gate (MJ/kg)"),INDIRECT($W106)))</f>
        <v>1.1507929655345519</v>
      </c>
      <c r="AA106" s="211">
        <f t="shared" ca="1" si="13"/>
        <v>2.7153866457466687</v>
      </c>
      <c r="AB106" s="219" t="s">
        <v>3275</v>
      </c>
      <c r="AC106" s="212">
        <f ca="1">IF($AB106="DIRECT",Q106,DCOUNT('literature entries'!$D:$AI,IF($J106=1,"ACTIVE     GHGE, FARM GATE (kg CO2e/kg)","GHGE, processor gate (kg CO2e/kg)"),INDIRECT($AB106)))</f>
        <v>25</v>
      </c>
      <c r="AD106" s="212">
        <f ca="1">IF($AB106="DIRECT","",DAVERAGE('literature entries'!$D:$AI,IF($J106=1,"ACTIVE     GHGE, FARM GATE (kg CO2e/kg)","GHGE, processor gate (kg CO2e/kg)"),INDIRECT($AB106)))</f>
        <v>0.4276125714285714</v>
      </c>
      <c r="AE106" s="212">
        <f ca="1">IF($AB106="DIRECT",$S106,DSTDEV('literature entries'!$D:$AI,IF($J106=1,"ACTIVE     GHGE, FARM GATE (kg CO2e/kg)","GHGE, processor gate (kg CO2e/kg)"),INDIRECT($AB106)))</f>
        <v>1.0810218335279169</v>
      </c>
      <c r="AF106" s="212">
        <f t="shared" ca="1" si="14"/>
        <v>1.6685066291312354</v>
      </c>
    </row>
    <row r="107" spans="1:32" s="19" customFormat="1" ht="17" thickBot="1" x14ac:dyDescent="0.25">
      <c r="A107" s="114">
        <v>802273000</v>
      </c>
      <c r="B107" s="115" t="s">
        <v>2161</v>
      </c>
      <c r="C107" s="115" t="s">
        <v>2162</v>
      </c>
      <c r="D107" s="115"/>
      <c r="E107" s="115">
        <v>12647</v>
      </c>
      <c r="F107" s="111">
        <f t="shared" ca="1" si="9"/>
        <v>57.217799999999997</v>
      </c>
      <c r="G107" s="112">
        <f t="shared" ca="1" si="10"/>
        <v>4.3623500000000002</v>
      </c>
      <c r="H107" s="116">
        <v>10.145</v>
      </c>
      <c r="I107" s="117" t="s">
        <v>2737</v>
      </c>
      <c r="J107" s="90">
        <v>1</v>
      </c>
      <c r="K107" s="78" t="s">
        <v>3276</v>
      </c>
      <c r="L107" s="135" t="str">
        <f>IF(ISERROR(GETPIVOTDATA(IF($J107=1,"Count of ACTIVE     CED, FARM GATE (MJ/kg)","Count of CED, processor gate (MJ/kg)"),'Pivot Table_CED'!$A$3,"SUB TYPE",$B107)),"PROXY",IF(GETPIVOTDATA(IF($J107=1,"Count of ACTIVE     CED, FARM GATE (MJ/kg)","Count of CED, processor gate (MJ/kg)"),'Pivot Table_CED'!$A$3,"SUB TYPE",$B107)=0,"PROXY","DB value"))</f>
        <v>PROXY</v>
      </c>
      <c r="M107" s="118">
        <f ca="1">IF($L107="PROXY",DCOUNT('literature entries'!$D:$AI,IF($J107=1,"ACTIVE     CED, FARM GATE (MJ/kg)","CED, processor gate (MJ/kg)"),INDIRECT($K107)),GETPIVOTDATA(IF($J107=1,"Count of ACTIVE     CED, FARM GATE (MJ/kg)","Count of CED, processor gate (MJ/kg)"),'Pivot Table_CED'!$A$3,"SUB TYPE",$B107))</f>
        <v>1</v>
      </c>
      <c r="N107" s="119">
        <f ca="1">IF($L107="PROXY",DAVERAGE('literature entries'!$D:$AI,IF($J107=1,"ACTIVE     CED, FARM GATE (MJ/kg)","CED, processor gate (MJ/kg)"),INDIRECT($K107)),GETPIVOTDATA(IF($J107=1,"Average of ACTIVE     CED, FARM GATE (MJ/kg)","Average of CED, processor gate (MJ/kg)"),'Pivot Table_CED'!$A$3,"SUB TYPE",$B107))</f>
        <v>5.64</v>
      </c>
      <c r="O107" s="119" t="e">
        <f ca="1">IF($L107="PROXY",DSTDEV('literature entries'!D:AI,IF($J107=1,"ACTIVE     CED, FARM GATE (MJ/kg)","CED, processor gate (MJ/kg)"),INDIRECT($K107)),GETPIVOTDATA(IF($J107=1,"StdDev of ACTIVE     CED, FARM GATE (MJ/kg)","StdDev of CED, processor gate (MJ/kg)"),'Pivot Table_CED'!$A$3,"SUB TYPE",$B107))</f>
        <v>#DIV/0!</v>
      </c>
      <c r="P107" s="135" t="str">
        <f>IF(ISERROR(GETPIVOTDATA(IF($J107=1,"Count of ACTIVE     GHGE, FARM GATE (kg CO2e/kg)","Count of GHGE, processor gate (kg CO2e/kg)"),'Pivot Table_GHG'!$A$3,"SUB TYPE",$B107)),"PROXY",IF(GETPIVOTDATA(IF($J107=1,"Count of ACTIVE     GHGE, FARM GATE (kg CO2e/kg)","Count of GHGE, processor gate (kg CO2e/kg)"),'Pivot Table_GHG'!$A$3,"SUB TYPE",$B107)=0,"PROXY","DB value"))</f>
        <v>PROXY</v>
      </c>
      <c r="Q107" s="125">
        <f ca="1">IF($P107="PROXY",DCOUNT('literature entries'!$D:$AI,IF($J107=1,"ACTIVE     GHGE, FARM GATE (kg CO2e/kg)","GHGE, processor gate (kg CO2e/kg)"),INDIRECT($K107)),GETPIVOTDATA(IF($J107=1,"ACTIVE     GHGE, FARM GATE (kg CO2e/kg)","Count of GHGE, processor gate (kg CO2e/kg)"),'Pivot Table_GHG'!$A$3,"SUB TYPE",$B107))</f>
        <v>2</v>
      </c>
      <c r="R107" s="190">
        <f ca="1">IF($P107="PROXY",DAVERAGE('literature entries'!$D:$AI,IF($J107=1,"ACTIVE     GHGE, FARM GATE (kg CO2e/kg)","GHGE, processor gate (kg CO2e/kg)"),INDIRECT($K107)),GETPIVOTDATA(IF($J107=1,"Average of ACTIVE     GHGE, FARM GATE (kg CO2e/kg)","Average of GHGE, processor gate (kg CO2e/kg)"),'Pivot Table_GHG'!$A$3,"SUB TYPE",$B107))</f>
        <v>0.43</v>
      </c>
      <c r="S107" s="190">
        <f ca="1">IF($P107="PROXY",DSTDEV('literature entries'!$D:$AI,IF($J107=1,"ACTIVE     GHGE, FARM GATE (kg CO2e/kg)","GHGE, processor gate (kg CO2e/kg)"),INDIRECT($K107)),GETPIVOTDATA(IF($J107=1,"StdDev of ACTIVE     GHGE, FARM GATE (kg CO2e/kg)","StdDev of GHGE, processor gate (kg CO2e/kg)"),'Pivot Table_GHG'!$A$3,"SUB TYPE",$B107))</f>
        <v>0.22627416997969527</v>
      </c>
      <c r="T107" s="88"/>
      <c r="U107" s="89"/>
      <c r="W107" s="213" t="s">
        <v>3275</v>
      </c>
      <c r="X107" s="211">
        <f ca="1">IF($W107="DIRECT",M107,DCOUNT('literature entries'!$D:$AI,IF($J107=1,"ACTIVE     CED, FARM GATE (MJ/kg)","CED, processor gate (MJ/kg)"),INDIRECT($W107)))</f>
        <v>7</v>
      </c>
      <c r="Y107" s="211">
        <f ca="1">IF($W107="DIRECT","",DAVERAGE('literature entries'!$D:$AI,IF($J107=1,"ACTIVE     CED, FARM GATE (MJ/kg)","CED, processor gate (MJ/kg)"),INDIRECT($W107)))</f>
        <v>2.3902571428571426</v>
      </c>
      <c r="Z107" s="211">
        <f ca="1">IF($W107="DIRECT",$O107,DSTDEV('literature entries'!$D:$AI,IF($J107=1,"ACTIVE     CED, FARM GATE (MJ/kg)","CED, processor gate (MJ/kg)"),INDIRECT($W107)))</f>
        <v>1.1507929655345519</v>
      </c>
      <c r="AA107" s="211">
        <f t="shared" ca="1" si="13"/>
        <v>2.7153866457466687</v>
      </c>
      <c r="AB107" s="219" t="s">
        <v>3275</v>
      </c>
      <c r="AC107" s="212">
        <f ca="1">IF($AB107="DIRECT",Q107,DCOUNT('literature entries'!$D:$AI,IF($J107=1,"ACTIVE     GHGE, FARM GATE (kg CO2e/kg)","GHGE, processor gate (kg CO2e/kg)"),INDIRECT($AB107)))</f>
        <v>25</v>
      </c>
      <c r="AD107" s="212">
        <f ca="1">IF($AB107="DIRECT","",DAVERAGE('literature entries'!$D:$AI,IF($J107=1,"ACTIVE     GHGE, FARM GATE (kg CO2e/kg)","GHGE, processor gate (kg CO2e/kg)"),INDIRECT($AB107)))</f>
        <v>0.4276125714285714</v>
      </c>
      <c r="AE107" s="212">
        <f ca="1">IF($AB107="DIRECT",$S107,DSTDEV('literature entries'!$D:$AI,IF($J107=1,"ACTIVE     GHGE, FARM GATE (kg CO2e/kg)","GHGE, processor gate (kg CO2e/kg)"),INDIRECT($AB107)))</f>
        <v>1.0810218335279169</v>
      </c>
      <c r="AF107" s="212">
        <f t="shared" ca="1" si="14"/>
        <v>1.0870573492824713</v>
      </c>
    </row>
    <row r="108" spans="1:32" s="19" customFormat="1" thickBot="1" x14ac:dyDescent="0.25">
      <c r="A108" s="114">
        <v>901075000</v>
      </c>
      <c r="B108" s="115" t="s">
        <v>1859</v>
      </c>
      <c r="C108" s="115" t="s">
        <v>1860</v>
      </c>
      <c r="D108" s="115" t="s">
        <v>1861</v>
      </c>
      <c r="E108" s="115">
        <v>1292</v>
      </c>
      <c r="F108" s="111">
        <f t="shared" ca="1" si="9"/>
        <v>2.8615999999999997</v>
      </c>
      <c r="G108" s="112">
        <f t="shared" ca="1" si="10"/>
        <v>0.49</v>
      </c>
      <c r="H108" s="116">
        <v>1.96</v>
      </c>
      <c r="I108" s="116" t="s">
        <v>2724</v>
      </c>
      <c r="J108" s="90">
        <v>1</v>
      </c>
      <c r="K108" s="78" t="s">
        <v>862</v>
      </c>
      <c r="L108" s="135" t="str">
        <f>IF(ISERROR(GETPIVOTDATA(IF($J108=1,"Count of ACTIVE     CED, FARM GATE (MJ/kg)","Count of CED, processor gate (MJ/kg)"),'Pivot Table_CED'!$A$3,"SUB TYPE",$B108)),"PROXY",IF(GETPIVOTDATA(IF($J108=1,"Count of ACTIVE     CED, FARM GATE (MJ/kg)","Count of CED, processor gate (MJ/kg)"),'Pivot Table_CED'!$A$3,"SUB TYPE",$B108)=0,"PROXY","DB value"))</f>
        <v>PROXY</v>
      </c>
      <c r="M108" s="118">
        <f ca="1">IF($L108="PROXY",DCOUNT('literature entries'!$D:$AI,IF($J108=1,"ACTIVE     CED, FARM GATE (MJ/kg)","CED, processor gate (MJ/kg)"),INDIRECT($K108)),GETPIVOTDATA(IF($J108=1,"Count of ACTIVE     CED, FARM GATE (MJ/kg)","Count of CED, processor gate (MJ/kg)"),'Pivot Table_CED'!$A$3,"SUB TYPE",$B108))</f>
        <v>1</v>
      </c>
      <c r="N108" s="119">
        <f ca="1">IF($L108="PROXY",DAVERAGE('literature entries'!$D:$AI,IF($J108=1,"ACTIVE     CED, FARM GATE (MJ/kg)","CED, processor gate (MJ/kg)"),INDIRECT($K108)),GETPIVOTDATA(IF($J108=1,"Average of ACTIVE     CED, FARM GATE (MJ/kg)","Average of CED, processor gate (MJ/kg)"),'Pivot Table_CED'!$A$3,"SUB TYPE",$B108))</f>
        <v>1.46</v>
      </c>
      <c r="O108" s="119" t="e">
        <f ca="1">IF($L108="PROXY",DSTDEV('literature entries'!D:AI,IF($J108=1,"ACTIVE     CED, FARM GATE (MJ/kg)","CED, processor gate (MJ/kg)"),INDIRECT($K108)),GETPIVOTDATA(IF($J108=1,"StdDev of ACTIVE     CED, FARM GATE (MJ/kg)","StdDev of CED, processor gate (MJ/kg)"),'Pivot Table_CED'!$A$3,"SUB TYPE",$B108))</f>
        <v>#DIV/0!</v>
      </c>
      <c r="P108" s="135" t="str">
        <f>IF(ISERROR(GETPIVOTDATA(IF($J108=1,"Count of ACTIVE     GHGE, FARM GATE (kg CO2e/kg)","Count of GHGE, processor gate (kg CO2e/kg)"),'Pivot Table_GHG'!$A$3,"SUB TYPE",$B108)),"PROXY",IF(GETPIVOTDATA(IF($J108=1,"Count of ACTIVE     GHGE, FARM GATE (kg CO2e/kg)","Count of GHGE, processor gate (kg CO2e/kg)"),'Pivot Table_GHG'!$A$3,"SUB TYPE",$B108)=0,"PROXY","DB value"))</f>
        <v>DB value</v>
      </c>
      <c r="Q108" s="125">
        <f ca="1">IF($P108="PROXY",DCOUNT('literature entries'!$D:$AI,IF($J108=1,"ACTIVE     GHGE, FARM GATE (kg CO2e/kg)","GHGE, processor gate (kg CO2e/kg)"),INDIRECT($K108)),GETPIVOTDATA(IF($J108=1,"ACTIVE     GHGE, FARM GATE (kg CO2e/kg)","Count of GHGE, processor gate (kg CO2e/kg)"),'Pivot Table_GHG'!$A$3,"SUB TYPE",$B108))</f>
        <v>1</v>
      </c>
      <c r="R108" s="190">
        <f ca="1">IF($P108="PROXY",DAVERAGE('literature entries'!$D:$AI,IF($J108=1,"ACTIVE     GHGE, FARM GATE (kg CO2e/kg)","GHGE, processor gate (kg CO2e/kg)"),INDIRECT($K108)),GETPIVOTDATA(IF($J108=1,"Average of ACTIVE     GHGE, FARM GATE (kg CO2e/kg)","Average of GHGE, processor gate (kg CO2e/kg)"),'Pivot Table_GHG'!$A$3,"SUB TYPE",$B108))</f>
        <v>0.25</v>
      </c>
      <c r="S108" s="190" t="e">
        <f ca="1">IF($P108="PROXY",DSTDEV('literature entries'!$D:$AI,IF($J108=1,"ACTIVE     GHGE, FARM GATE (kg CO2e/kg)","GHGE, processor gate (kg CO2e/kg)"),INDIRECT($K108)),GETPIVOTDATA(IF($J108=1,"StdDev of ACTIVE     GHGE, FARM GATE (kg CO2e/kg)","StdDev of GHGE, processor gate (kg CO2e/kg)"),'Pivot Table_GHG'!$A$3,"SUB TYPE",$B108))</f>
        <v>#DIV/0!</v>
      </c>
      <c r="T108" s="88"/>
      <c r="U108" s="89"/>
      <c r="W108" s="213" t="s">
        <v>3370</v>
      </c>
      <c r="X108" s="211">
        <f ca="1">IF($W108="DIRECT",M108,DCOUNT('literature entries'!$D:$AI,IF($J108=1,"ACTIVE     CED, FARM GATE (MJ/kg)","CED, processor gate (MJ/kg)"),INDIRECT($W108)))</f>
        <v>4</v>
      </c>
      <c r="Y108" s="211">
        <f ca="1">IF($W108="DIRECT","",DAVERAGE('literature entries'!$D:$AI,IF($J108=1,"ACTIVE     CED, FARM GATE (MJ/kg)","CED, processor gate (MJ/kg)"),INDIRECT($W108)))</f>
        <v>1.2949999999999999</v>
      </c>
      <c r="Z108" s="211">
        <f ca="1">IF($W108="DIRECT",$O108,DSTDEV('literature entries'!$D:$AI,IF($J108=1,"ACTIVE     CED, FARM GATE (MJ/kg)","CED, processor gate (MJ/kg)"),INDIRECT($W108)))</f>
        <v>0.49568134925574941</v>
      </c>
      <c r="AA108" s="211">
        <f t="shared" ca="1" si="13"/>
        <v>0.55883766016478309</v>
      </c>
      <c r="AB108" s="219" t="s">
        <v>3370</v>
      </c>
      <c r="AC108" s="212">
        <f ca="1">IF($AB108="DIRECT",Q108,DCOUNT('literature entries'!$D:$AI,IF($J108=1,"ACTIVE     GHGE, FARM GATE (kg CO2e/kg)","GHGE, processor gate (kg CO2e/kg)"),INDIRECT($AB108)))</f>
        <v>21</v>
      </c>
      <c r="AD108" s="212">
        <f ca="1">IF($AB108="DIRECT","",DAVERAGE('literature entries'!$D:$AI,IF($J108=1,"ACTIVE     GHGE, FARM GATE (kg CO2e/kg)","GHGE, processor gate (kg CO2e/kg)"),INDIRECT($AB108)))</f>
        <v>0.34849476190476181</v>
      </c>
      <c r="AE108" s="212">
        <f ca="1">IF($AB108="DIRECT",$S108,DSTDEV('literature entries'!$D:$AI,IF($J108=1,"ACTIVE     GHGE, FARM GATE (kg CO2e/kg)","GHGE, processor gate (kg CO2e/kg)"),INDIRECT($AB108)))</f>
        <v>0.48066612900868155</v>
      </c>
      <c r="AF108" s="212">
        <f t="shared" ca="1" si="14"/>
        <v>0.34481589219699671</v>
      </c>
    </row>
    <row r="109" spans="1:32" s="19" customFormat="1" thickBot="1" x14ac:dyDescent="0.25">
      <c r="A109" s="114">
        <v>901187000</v>
      </c>
      <c r="B109" s="115" t="s">
        <v>2034</v>
      </c>
      <c r="C109" s="115" t="s">
        <v>2023</v>
      </c>
      <c r="D109" s="115"/>
      <c r="E109" s="115">
        <v>171</v>
      </c>
      <c r="F109" s="111">
        <f t="shared" ca="1" si="9"/>
        <v>3.1681999999999997</v>
      </c>
      <c r="G109" s="112">
        <f t="shared" ca="1" si="10"/>
        <v>0.28427000000000002</v>
      </c>
      <c r="H109" s="116">
        <v>2.17</v>
      </c>
      <c r="I109" s="116" t="s">
        <v>2724</v>
      </c>
      <c r="J109" s="90">
        <v>1</v>
      </c>
      <c r="K109" s="78"/>
      <c r="L109" s="135" t="str">
        <f>IF(ISERROR(GETPIVOTDATA(IF($J109=1,"Count of ACTIVE     CED, FARM GATE (MJ/kg)","Count of CED, processor gate (MJ/kg)"),'Pivot Table_CED'!$A$3,"SUB TYPE",$B109)),"PROXY",IF(GETPIVOTDATA(IF($J109=1,"Count of ACTIVE     CED, FARM GATE (MJ/kg)","Count of CED, processor gate (MJ/kg)"),'Pivot Table_CED'!$A$3,"SUB TYPE",$B109)=0,"PROXY","DB value"))</f>
        <v>DB value</v>
      </c>
      <c r="M109" s="118">
        <f ca="1">IF($L109="PROXY",DCOUNT('literature entries'!$D:$AI,IF($J109=1,"ACTIVE     CED, FARM GATE (MJ/kg)","CED, processor gate (MJ/kg)"),INDIRECT($K109)),GETPIVOTDATA(IF($J109=1,"Count of ACTIVE     CED, FARM GATE (MJ/kg)","Count of CED, processor gate (MJ/kg)"),'Pivot Table_CED'!$A$3,"SUB TYPE",$B109))</f>
        <v>1</v>
      </c>
      <c r="N109" s="119">
        <f ca="1">IF($L109="PROXY",DAVERAGE('literature entries'!$D:$AI,IF($J109=1,"ACTIVE     CED, FARM GATE (MJ/kg)","CED, processor gate (MJ/kg)"),INDIRECT($K109)),GETPIVOTDATA(IF($J109=1,"Average of ACTIVE     CED, FARM GATE (MJ/kg)","Average of CED, processor gate (MJ/kg)"),'Pivot Table_CED'!$A$3,"SUB TYPE",$B109))</f>
        <v>1.46</v>
      </c>
      <c r="O109" s="119">
        <f ca="1">IF($L109="PROXY",DSTDEV('literature entries'!D:AI,IF($J109=1,"ACTIVE     CED, FARM GATE (MJ/kg)","CED, processor gate (MJ/kg)"),INDIRECT($K109)),GETPIVOTDATA(IF($J109=1,"StdDev of ACTIVE     CED, FARM GATE (MJ/kg)","StdDev of CED, processor gate (MJ/kg)"),'Pivot Table_CED'!$A$3,"SUB TYPE",$B109))</f>
        <v>0</v>
      </c>
      <c r="P109" s="135" t="str">
        <f>IF(ISERROR(GETPIVOTDATA(IF($J109=1,"Count of ACTIVE     GHGE, FARM GATE (kg CO2e/kg)","Count of GHGE, processor gate (kg CO2e/kg)"),'Pivot Table_GHG'!$A$3,"SUB TYPE",$B109)),"PROXY",IF(GETPIVOTDATA(IF($J109=1,"Count of ACTIVE     GHGE, FARM GATE (kg CO2e/kg)","Count of GHGE, processor gate (kg CO2e/kg)"),'Pivot Table_GHG'!$A$3,"SUB TYPE",$B109)=0,"PROXY","DB value"))</f>
        <v>DB value</v>
      </c>
      <c r="Q109" s="125">
        <f ca="1">IF($P109="PROXY",DCOUNT('literature entries'!$D:$AI,IF($J109=1,"ACTIVE     GHGE, FARM GATE (kg CO2e/kg)","GHGE, processor gate (kg CO2e/kg)"),INDIRECT($K109)),GETPIVOTDATA(IF($J109=1,"ACTIVE     GHGE, FARM GATE (kg CO2e/kg)","Count of GHGE, processor gate (kg CO2e/kg)"),'Pivot Table_GHG'!$A$3,"SUB TYPE",$B109))</f>
        <v>1</v>
      </c>
      <c r="R109" s="190">
        <f ca="1">IF($P109="PROXY",DAVERAGE('literature entries'!$D:$AI,IF($J109=1,"ACTIVE     GHGE, FARM GATE (kg CO2e/kg)","GHGE, processor gate (kg CO2e/kg)"),INDIRECT($K109)),GETPIVOTDATA(IF($J109=1,"Average of ACTIVE     GHGE, FARM GATE (kg CO2e/kg)","Average of GHGE, processor gate (kg CO2e/kg)"),'Pivot Table_GHG'!$A$3,"SUB TYPE",$B109))</f>
        <v>0.13100000000000001</v>
      </c>
      <c r="S109" s="190" t="e">
        <f ca="1">IF($P109="PROXY",DSTDEV('literature entries'!$D:$AI,IF($J109=1,"ACTIVE     GHGE, FARM GATE (kg CO2e/kg)","GHGE, processor gate (kg CO2e/kg)"),INDIRECT($K109)),GETPIVOTDATA(IF($J109=1,"StdDev of ACTIVE     GHGE, FARM GATE (kg CO2e/kg)","StdDev of GHGE, processor gate (kg CO2e/kg)"),'Pivot Table_GHG'!$A$3,"SUB TYPE",$B109))</f>
        <v>#DIV/0!</v>
      </c>
      <c r="T109" s="88"/>
      <c r="U109" s="89"/>
      <c r="W109" s="213" t="s">
        <v>3370</v>
      </c>
      <c r="X109" s="211">
        <f ca="1">IF($W109="DIRECT",M109,DCOUNT('literature entries'!$D:$AI,IF($J109=1,"ACTIVE     CED, FARM GATE (MJ/kg)","CED, processor gate (MJ/kg)"),INDIRECT($W109)))</f>
        <v>4</v>
      </c>
      <c r="Y109" s="211">
        <f ca="1">IF($W109="DIRECT","",DAVERAGE('literature entries'!$D:$AI,IF($J109=1,"ACTIVE     CED, FARM GATE (MJ/kg)","CED, processor gate (MJ/kg)"),INDIRECT($W109)))</f>
        <v>1.2949999999999999</v>
      </c>
      <c r="Z109" s="211">
        <f ca="1">IF($W109="DIRECT",$O109,DSTDEV('literature entries'!$D:$AI,IF($J109=1,"ACTIVE     CED, FARM GATE (MJ/kg)","CED, processor gate (MJ/kg)"),INDIRECT($W109)))</f>
        <v>0.49568134925574941</v>
      </c>
      <c r="AA109" s="211">
        <f t="shared" ca="1" si="13"/>
        <v>0.55883766016478309</v>
      </c>
      <c r="AB109" s="219" t="s">
        <v>3370</v>
      </c>
      <c r="AC109" s="212">
        <f ca="1">IF($AB109="DIRECT",Q109,DCOUNT('literature entries'!$D:$AI,IF($J109=1,"ACTIVE     GHGE, FARM GATE (kg CO2e/kg)","GHGE, processor gate (kg CO2e/kg)"),INDIRECT($AB109)))</f>
        <v>21</v>
      </c>
      <c r="AD109" s="212">
        <f ca="1">IF($AB109="DIRECT","",DAVERAGE('literature entries'!$D:$AI,IF($J109=1,"ACTIVE     GHGE, FARM GATE (kg CO2e/kg)","GHGE, processor gate (kg CO2e/kg)"),INDIRECT($AB109)))</f>
        <v>0.34849476190476181</v>
      </c>
      <c r="AE109" s="212">
        <f ca="1">IF($AB109="DIRECT",$S109,DSTDEV('literature entries'!$D:$AI,IF($J109=1,"ACTIVE     GHGE, FARM GATE (kg CO2e/kg)","GHGE, processor gate (kg CO2e/kg)"),INDIRECT($AB109)))</f>
        <v>0.48066612900868155</v>
      </c>
      <c r="AF109" s="212">
        <f t="shared" ca="1" si="14"/>
        <v>0.18068352751122629</v>
      </c>
    </row>
    <row r="110" spans="1:32" s="19" customFormat="1" thickBot="1" x14ac:dyDescent="0.25">
      <c r="A110" s="114">
        <v>901399000</v>
      </c>
      <c r="B110" s="115" t="s">
        <v>2343</v>
      </c>
      <c r="C110" s="115" t="s">
        <v>2344</v>
      </c>
      <c r="D110" s="115" t="s">
        <v>2345</v>
      </c>
      <c r="E110" s="115">
        <v>1250</v>
      </c>
      <c r="F110" s="111">
        <f t="shared" ca="1" si="9"/>
        <v>2.8031999999999999</v>
      </c>
      <c r="G110" s="112">
        <f t="shared" ca="1" si="10"/>
        <v>1.9456</v>
      </c>
      <c r="H110" s="116">
        <v>1.92</v>
      </c>
      <c r="I110" s="116" t="s">
        <v>2724</v>
      </c>
      <c r="J110" s="79">
        <v>1</v>
      </c>
      <c r="K110" s="78" t="s">
        <v>862</v>
      </c>
      <c r="L110" s="135" t="str">
        <f>IF(ISERROR(GETPIVOTDATA(IF($J110=1,"Count of ACTIVE     CED, FARM GATE (MJ/kg)","Count of CED, processor gate (MJ/kg)"),'Pivot Table_CED'!$A$3,"SUB TYPE",$B110)),"PROXY",IF(GETPIVOTDATA(IF($J110=1,"Count of ACTIVE     CED, FARM GATE (MJ/kg)","Count of CED, processor gate (MJ/kg)"),'Pivot Table_CED'!$A$3,"SUB TYPE",$B110)=0,"PROXY","DB value"))</f>
        <v>PROXY</v>
      </c>
      <c r="M110" s="118">
        <f ca="1">IF($L110="PROXY",DCOUNT('literature entries'!$D:$AI,IF($J110=1,"ACTIVE     CED, FARM GATE (MJ/kg)","CED, processor gate (MJ/kg)"),INDIRECT($K110)),GETPIVOTDATA(IF($J110=1,"Count of ACTIVE     CED, FARM GATE (MJ/kg)","Count of CED, processor gate (MJ/kg)"),'Pivot Table_CED'!$A$3,"SUB TYPE",$B110))</f>
        <v>1</v>
      </c>
      <c r="N110" s="119">
        <f ca="1">IF($L110="PROXY",DAVERAGE('literature entries'!$D:$AI,IF($J110=1,"ACTIVE     CED, FARM GATE (MJ/kg)","CED, processor gate (MJ/kg)"),INDIRECT($K110)),GETPIVOTDATA(IF($J110=1,"Average of ACTIVE     CED, FARM GATE (MJ/kg)","Average of CED, processor gate (MJ/kg)"),'Pivot Table_CED'!$A$3,"SUB TYPE",$B110))</f>
        <v>1.46</v>
      </c>
      <c r="O110" s="119" t="e">
        <f ca="1">IF($L110="PROXY",DSTDEV('literature entries'!D:AI,IF($J110=1,"ACTIVE     CED, FARM GATE (MJ/kg)","CED, processor gate (MJ/kg)"),INDIRECT($K110)),GETPIVOTDATA(IF($J110=1,"StdDev of ACTIVE     CED, FARM GATE (MJ/kg)","StdDev of CED, processor gate (MJ/kg)"),'Pivot Table_CED'!$A$3,"SUB TYPE",$B110))</f>
        <v>#DIV/0!</v>
      </c>
      <c r="P110" s="135" t="str">
        <f>IF(ISERROR(GETPIVOTDATA(IF($J110=1,"Count of ACTIVE     GHGE, FARM GATE (kg CO2e/kg)","Count of GHGE, processor gate (kg CO2e/kg)"),'Pivot Table_GHG'!$A$3,"SUB TYPE",$B110)),"PROXY",IF(GETPIVOTDATA(IF($J110=1,"Count of ACTIVE     GHGE, FARM GATE (kg CO2e/kg)","Count of GHGE, processor gate (kg CO2e/kg)"),'Pivot Table_GHG'!$A$3,"SUB TYPE",$B110)=0,"PROXY","DB value"))</f>
        <v>DB value</v>
      </c>
      <c r="Q110" s="125">
        <f ca="1">IF($P110="PROXY",DCOUNT('literature entries'!$D:$AI,IF($J110=1,"ACTIVE     GHGE, FARM GATE (kg CO2e/kg)","GHGE, processor gate (kg CO2e/kg)"),INDIRECT($K110)),GETPIVOTDATA(IF($J110=1,"ACTIVE     GHGE, FARM GATE (kg CO2e/kg)","Count of GHGE, processor gate (kg CO2e/kg)"),'Pivot Table_GHG'!$A$3,"SUB TYPE",$B110))</f>
        <v>3</v>
      </c>
      <c r="R110" s="190">
        <f ca="1">IF($P110="PROXY",DAVERAGE('literature entries'!$D:$AI,IF($J110=1,"ACTIVE     GHGE, FARM GATE (kg CO2e/kg)","GHGE, processor gate (kg CO2e/kg)"),INDIRECT($K110)),GETPIVOTDATA(IF($J110=1,"Average of ACTIVE     GHGE, FARM GATE (kg CO2e/kg)","Average of GHGE, processor gate (kg CO2e/kg)"),'Pivot Table_GHG'!$A$3,"SUB TYPE",$B110))</f>
        <v>1.0133333333333334</v>
      </c>
      <c r="S110" s="190">
        <f ca="1">IF($P110="PROXY",DSTDEV('literature entries'!$D:$AI,IF($J110=1,"ACTIVE     GHGE, FARM GATE (kg CO2e/kg)","GHGE, processor gate (kg CO2e/kg)"),INDIRECT($K110)),GETPIVOTDATA(IF($J110=1,"StdDev of ACTIVE     GHGE, FARM GATE (kg CO2e/kg)","StdDev of GHGE, processor gate (kg CO2e/kg)"),'Pivot Table_GHG'!$A$3,"SUB TYPE",$B110))</f>
        <v>0.5484827557301446</v>
      </c>
      <c r="T110" s="88"/>
      <c r="U110" s="89"/>
      <c r="W110" s="213" t="s">
        <v>3370</v>
      </c>
      <c r="X110" s="211">
        <f ca="1">IF($W110="DIRECT",M110,DCOUNT('literature entries'!$D:$AI,IF($J110=1,"ACTIVE     CED, FARM GATE (MJ/kg)","CED, processor gate (MJ/kg)"),INDIRECT($W110)))</f>
        <v>4</v>
      </c>
      <c r="Y110" s="211">
        <f ca="1">IF($W110="DIRECT","",DAVERAGE('literature entries'!$D:$AI,IF($J110=1,"ACTIVE     CED, FARM GATE (MJ/kg)","CED, processor gate (MJ/kg)"),INDIRECT($W110)))</f>
        <v>1.2949999999999999</v>
      </c>
      <c r="Z110" s="211">
        <f ca="1">IF($W110="DIRECT",$O110,DSTDEV('literature entries'!$D:$AI,IF($J110=1,"ACTIVE     CED, FARM GATE (MJ/kg)","CED, processor gate (MJ/kg)"),INDIRECT($W110)))</f>
        <v>0.49568134925574941</v>
      </c>
      <c r="AA110" s="211">
        <f t="shared" ca="1" si="13"/>
        <v>0.55883766016478309</v>
      </c>
      <c r="AB110" s="219" t="s">
        <v>3370</v>
      </c>
      <c r="AC110" s="212">
        <f ca="1">IF($AB110="DIRECT",Q110,DCOUNT('literature entries'!$D:$AI,IF($J110=1,"ACTIVE     GHGE, FARM GATE (kg CO2e/kg)","GHGE, processor gate (kg CO2e/kg)"),INDIRECT($AB110)))</f>
        <v>21</v>
      </c>
      <c r="AD110" s="212">
        <f ca="1">IF($AB110="DIRECT","",DAVERAGE('literature entries'!$D:$AI,IF($J110=1,"ACTIVE     GHGE, FARM GATE (kg CO2e/kg)","GHGE, processor gate (kg CO2e/kg)"),INDIRECT($AB110)))</f>
        <v>0.34849476190476181</v>
      </c>
      <c r="AE110" s="212">
        <f ca="1">IF($AB110="DIRECT",$S110,DSTDEV('literature entries'!$D:$AI,IF($J110=1,"ACTIVE     GHGE, FARM GATE (kg CO2e/kg)","GHGE, processor gate (kg CO2e/kg)"),INDIRECT($AB110)))</f>
        <v>0.48066612900868155</v>
      </c>
      <c r="AF110" s="212">
        <f t="shared" ca="1" si="14"/>
        <v>1.3976537497051602</v>
      </c>
    </row>
    <row r="111" spans="1:32" s="19" customFormat="1" ht="17" thickBot="1" x14ac:dyDescent="0.25">
      <c r="A111" s="114">
        <v>901400000</v>
      </c>
      <c r="B111" s="115" t="s">
        <v>2346</v>
      </c>
      <c r="C111" s="115" t="s">
        <v>1742</v>
      </c>
      <c r="D111" s="115"/>
      <c r="E111" s="115">
        <v>19</v>
      </c>
      <c r="F111" s="111">
        <f t="shared" ca="1" si="9"/>
        <v>8.0852000000000004</v>
      </c>
      <c r="G111" s="112">
        <f t="shared" ca="1" si="10"/>
        <v>2.29274312608</v>
      </c>
      <c r="H111" s="116">
        <v>1.92</v>
      </c>
      <c r="I111" s="117" t="s">
        <v>2724</v>
      </c>
      <c r="J111" s="79">
        <v>1</v>
      </c>
      <c r="K111" s="78" t="s">
        <v>862</v>
      </c>
      <c r="L111" s="135" t="str">
        <f>IF(ISERROR(GETPIVOTDATA(IF($J111=1,"Count of ACTIVE     CED, FARM GATE (MJ/kg)","Count of CED, processor gate (MJ/kg)"),'Pivot Table_CED'!$A$3,"SUB TYPE",$B111)),"PROXY",IF(GETPIVOTDATA(IF($J111=1,"Count of ACTIVE     CED, FARM GATE (MJ/kg)","Count of CED, processor gate (MJ/kg)"),'Pivot Table_CED'!$A$3,"SUB TYPE",$B111)=0,"PROXY","DB value"))</f>
        <v>PROXY</v>
      </c>
      <c r="M111" s="118">
        <f ca="1">IF($L111="PROXY",DCOUNT('literature entries'!$D:$AI,IF($J111=1,"ACTIVE     CED, FARM GATE (MJ/kg)","CED, processor gate (MJ/kg)"),INDIRECT($K111)),GETPIVOTDATA(IF($J111=1,"Count of ACTIVE     CED, FARM GATE (MJ/kg)","Count of CED, processor gate (MJ/kg)"),'Pivot Table_CED'!$A$3,"SUB TYPE",$B111))</f>
        <v>1</v>
      </c>
      <c r="N111" s="119">
        <f ca="1">IF($L111="PROXY",DAVERAGE('literature entries'!$D:$AI,IF($J111=1,"ACTIVE     CED, FARM GATE (MJ/kg)","CED, processor gate (MJ/kg)"),INDIRECT($K111)),GETPIVOTDATA(IF($J111=1,"Average of ACTIVE     CED, FARM GATE (MJ/kg)","Average of CED, processor gate (MJ/kg)"),'Pivot Table_CED'!$A$3,"SUB TYPE",$B111))</f>
        <v>1.46</v>
      </c>
      <c r="O111" s="119" t="e">
        <f ca="1">IF($L111="PROXY",DSTDEV('literature entries'!D:AI,IF($J111=1,"ACTIVE     CED, FARM GATE (MJ/kg)","CED, processor gate (MJ/kg)"),INDIRECT($K111)),GETPIVOTDATA(IF($J111=1,"StdDev of ACTIVE     CED, FARM GATE (MJ/kg)","StdDev of CED, processor gate (MJ/kg)"),'Pivot Table_CED'!$A$3,"SUB TYPE",$B111))</f>
        <v>#DIV/0!</v>
      </c>
      <c r="P111" s="135" t="str">
        <f>IF(ISERROR(GETPIVOTDATA(IF($J111=1,"Count of ACTIVE     GHGE, FARM GATE (kg CO2e/kg)","Count of GHGE, processor gate (kg CO2e/kg)"),'Pivot Table_GHG'!$A$3,"SUB TYPE",$B111)),"PROXY",IF(GETPIVOTDATA(IF($J111=1,"Count of ACTIVE     GHGE, FARM GATE (kg CO2e/kg)","Count of GHGE, processor gate (kg CO2e/kg)"),'Pivot Table_GHG'!$A$3,"SUB TYPE",$B111)=0,"PROXY","DB value"))</f>
        <v>PROXY</v>
      </c>
      <c r="Q111" s="125">
        <f ca="1">IF($P111="PROXY",DCOUNT('literature entries'!$D:$AI,IF($J111=1,"ACTIVE     GHGE, FARM GATE (kg CO2e/kg)","GHGE, processor gate (kg CO2e/kg)"),INDIRECT($K111)),GETPIVOTDATA(IF($J111=1,"ACTIVE     GHGE, FARM GATE (kg CO2e/kg)","Count of GHGE, processor gate (kg CO2e/kg)"),'Pivot Table_GHG'!$A$3,"SUB TYPE",$B111))</f>
        <v>5</v>
      </c>
      <c r="R111" s="190">
        <f ca="1">IF($P111="PROXY",DAVERAGE('literature entries'!$D:$AI,IF($J111=1,"ACTIVE     GHGE, FARM GATE (kg CO2e/kg)","GHGE, processor gate (kg CO2e/kg)"),INDIRECT($K111)),GETPIVOTDATA(IF($J111=1,"Average of ACTIVE     GHGE, FARM GATE (kg CO2e/kg)","Average of GHGE, processor gate (kg CO2e/kg)"),'Pivot Table_GHG'!$A$3,"SUB TYPE",$B111))</f>
        <v>0.68420000000000003</v>
      </c>
      <c r="S111" s="190">
        <f ca="1">IF($P111="PROXY",DSTDEV('literature entries'!$D:$AI,IF($J111=1,"ACTIVE     GHGE, FARM GATE (kg CO2e/kg)","GHGE, processor gate (kg CO2e/kg)"),INDIRECT($K111)),GETPIVOTDATA(IF($J111=1,"StdDev of ACTIVE     GHGE, FARM GATE (kg CO2e/kg)","StdDev of GHGE, processor gate (kg CO2e/kg)"),'Pivot Table_GHG'!$A$3,"SUB TYPE",$B111))</f>
        <v>0.59607314987340276</v>
      </c>
      <c r="T111" s="86">
        <v>5.282</v>
      </c>
      <c r="U111" s="87">
        <v>0.97907912607999992</v>
      </c>
      <c r="W111" s="213" t="s">
        <v>3370</v>
      </c>
      <c r="X111" s="211">
        <f ca="1">IF($W111="DIRECT",M111,DCOUNT('literature entries'!$D:$AI,IF($J111=1,"ACTIVE     CED, FARM GATE (MJ/kg)","CED, processor gate (MJ/kg)"),INDIRECT($W111)))</f>
        <v>4</v>
      </c>
      <c r="Y111" s="211">
        <f ca="1">IF($W111="DIRECT","",DAVERAGE('literature entries'!$D:$AI,IF($J111=1,"ACTIVE     CED, FARM GATE (MJ/kg)","CED, processor gate (MJ/kg)"),INDIRECT($W111)))</f>
        <v>1.2949999999999999</v>
      </c>
      <c r="Z111" s="211">
        <f ca="1">IF($W111="DIRECT",$O111,DSTDEV('literature entries'!$D:$AI,IF($J111=1,"ACTIVE     CED, FARM GATE (MJ/kg)","CED, processor gate (MJ/kg)"),INDIRECT($W111)))</f>
        <v>0.49568134925574941</v>
      </c>
      <c r="AA111" s="211">
        <f t="shared" ca="1" si="13"/>
        <v>0.55883766016478309</v>
      </c>
      <c r="AB111" s="219" t="s">
        <v>3370</v>
      </c>
      <c r="AC111" s="212">
        <f ca="1">IF($AB111="DIRECT",Q111,DCOUNT('literature entries'!$D:$AI,IF($J111=1,"ACTIVE     GHGE, FARM GATE (kg CO2e/kg)","GHGE, processor gate (kg CO2e/kg)"),INDIRECT($AB111)))</f>
        <v>21</v>
      </c>
      <c r="AD111" s="212">
        <f ca="1">IF($AB111="DIRECT","",DAVERAGE('literature entries'!$D:$AI,IF($J111=1,"ACTIVE     GHGE, FARM GATE (kg CO2e/kg)","GHGE, processor gate (kg CO2e/kg)"),INDIRECT($AB111)))</f>
        <v>0.34849476190476181</v>
      </c>
      <c r="AE111" s="212">
        <f ca="1">IF($AB111="DIRECT",$S111,DSTDEV('literature entries'!$D:$AI,IF($J111=1,"ACTIVE     GHGE, FARM GATE (kg CO2e/kg)","GHGE, processor gate (kg CO2e/kg)"),INDIRECT($AB111)))</f>
        <v>0.48066612900868155</v>
      </c>
      <c r="AF111" s="212">
        <f t="shared" ca="1" si="14"/>
        <v>0.94369213376474059</v>
      </c>
    </row>
    <row r="112" spans="1:32" s="19" customFormat="1" ht="17" thickBot="1" x14ac:dyDescent="0.25">
      <c r="A112" s="114">
        <v>902021000</v>
      </c>
      <c r="B112" s="115" t="s">
        <v>1763</v>
      </c>
      <c r="C112" s="115" t="s">
        <v>1764</v>
      </c>
      <c r="D112" s="115" t="s">
        <v>1765</v>
      </c>
      <c r="E112" s="115">
        <v>3</v>
      </c>
      <c r="F112" s="111">
        <f t="shared" ca="1" si="9"/>
        <v>0.84</v>
      </c>
      <c r="G112" s="112">
        <f t="shared" ca="1" si="10"/>
        <v>0.39734749999999996</v>
      </c>
      <c r="H112" s="117">
        <v>1</v>
      </c>
      <c r="I112" s="117" t="s">
        <v>594</v>
      </c>
      <c r="J112" s="79">
        <v>1</v>
      </c>
      <c r="K112" s="78" t="s">
        <v>846</v>
      </c>
      <c r="L112" s="135" t="str">
        <f>IF(ISERROR(GETPIVOTDATA(IF($J112=1,"Count of ACTIVE     CED, FARM GATE (MJ/kg)","Count of CED, processor gate (MJ/kg)"),'Pivot Table_CED'!$A$3,"SUB TYPE",$B112)),"PROXY",IF(GETPIVOTDATA(IF($J112=1,"Count of ACTIVE     CED, FARM GATE (MJ/kg)","Count of CED, processor gate (MJ/kg)"),'Pivot Table_CED'!$A$3,"SUB TYPE",$B112)=0,"PROXY","DB value"))</f>
        <v>PROXY</v>
      </c>
      <c r="M112" s="118">
        <f ca="1">IF($L112="PROXY",DCOUNT('literature entries'!$D:$AI,IF($J112=1,"ACTIVE     CED, FARM GATE (MJ/kg)","CED, processor gate (MJ/kg)"),INDIRECT($K112)),GETPIVOTDATA(IF($J112=1,"Count of ACTIVE     CED, FARM GATE (MJ/kg)","Count of CED, processor gate (MJ/kg)"),'Pivot Table_CED'!$A$3,"SUB TYPE",$B112))</f>
        <v>1</v>
      </c>
      <c r="N112" s="119">
        <f ca="1">IF($L112="PROXY",DAVERAGE('literature entries'!$D:$AI,IF($J112=1,"ACTIVE     CED, FARM GATE (MJ/kg)","CED, processor gate (MJ/kg)"),INDIRECT($K112)),GETPIVOTDATA(IF($J112=1,"Average of ACTIVE     CED, FARM GATE (MJ/kg)","Average of CED, processor gate (MJ/kg)"),'Pivot Table_CED'!$A$3,"SUB TYPE",$B112))</f>
        <v>0.84</v>
      </c>
      <c r="O112" s="119" t="e">
        <f ca="1">IF($L112="PROXY",DSTDEV('literature entries'!D:AI,IF($J112=1,"ACTIVE     CED, FARM GATE (MJ/kg)","CED, processor gate (MJ/kg)"),INDIRECT($K112)),GETPIVOTDATA(IF($J112=1,"StdDev of ACTIVE     CED, FARM GATE (MJ/kg)","StdDev of CED, processor gate (MJ/kg)"),'Pivot Table_CED'!$A$3,"SUB TYPE",$B112))</f>
        <v>#DIV/0!</v>
      </c>
      <c r="P112" s="135" t="str">
        <f>IF(ISERROR(GETPIVOTDATA(IF($J112=1,"Count of ACTIVE     GHGE, FARM GATE (kg CO2e/kg)","Count of GHGE, processor gate (kg CO2e/kg)"),'Pivot Table_GHG'!$A$3,"SUB TYPE",$B112)),"PROXY",IF(GETPIVOTDATA(IF($J112=1,"Count of ACTIVE     GHGE, FARM GATE (kg CO2e/kg)","Count of GHGE, processor gate (kg CO2e/kg)"),'Pivot Table_GHG'!$A$3,"SUB TYPE",$B112)=0,"PROXY","DB value"))</f>
        <v>PROXY</v>
      </c>
      <c r="Q112" s="125">
        <f ca="1">IF($P112="PROXY",DCOUNT('literature entries'!$D:$AI,IF($J112=1,"ACTIVE     GHGE, FARM GATE (kg CO2e/kg)","GHGE, processor gate (kg CO2e/kg)"),INDIRECT($K112)),GETPIVOTDATA(IF($J112=1,"ACTIVE     GHGE, FARM GATE (kg CO2e/kg)","Count of GHGE, processor gate (kg CO2e/kg)"),'Pivot Table_GHG'!$A$3,"SUB TYPE",$B112))</f>
        <v>4</v>
      </c>
      <c r="R112" s="190">
        <f ca="1">IF($P112="PROXY",DAVERAGE('literature entries'!$D:$AI,IF($J112=1,"ACTIVE     GHGE, FARM GATE (kg CO2e/kg)","GHGE, processor gate (kg CO2e/kg)"),INDIRECT($K112)),GETPIVOTDATA(IF($J112=1,"Average of ACTIVE     GHGE, FARM GATE (kg CO2e/kg)","Average of GHGE, processor gate (kg CO2e/kg)"),'Pivot Table_GHG'!$A$3,"SUB TYPE",$B112))</f>
        <v>0.39734749999999996</v>
      </c>
      <c r="S112" s="190">
        <f ca="1">IF($P112="PROXY",DSTDEV('literature entries'!$D:$AI,IF($J112=1,"ACTIVE     GHGE, FARM GATE (kg CO2e/kg)","GHGE, processor gate (kg CO2e/kg)"),INDIRECT($K112)),GETPIVOTDATA(IF($J112=1,"StdDev of ACTIVE     GHGE, FARM GATE (kg CO2e/kg)","StdDev of GHGE, processor gate (kg CO2e/kg)"),'Pivot Table_GHG'!$A$3,"SUB TYPE",$B112))</f>
        <v>0.56891757723915215</v>
      </c>
      <c r="T112" s="88"/>
      <c r="U112" s="89"/>
      <c r="W112" s="213" t="s">
        <v>3370</v>
      </c>
      <c r="X112" s="211">
        <f ca="1">IF($W112="DIRECT",M112,DCOUNT('literature entries'!$D:$AI,IF($J112=1,"ACTIVE     CED, FARM GATE (MJ/kg)","CED, processor gate (MJ/kg)"),INDIRECT($W112)))</f>
        <v>4</v>
      </c>
      <c r="Y112" s="211">
        <f ca="1">IF($W112="DIRECT","",DAVERAGE('literature entries'!$D:$AI,IF($J112=1,"ACTIVE     CED, FARM GATE (MJ/kg)","CED, processor gate (MJ/kg)"),INDIRECT($W112)))</f>
        <v>1.2949999999999999</v>
      </c>
      <c r="Z112" s="211">
        <f ca="1">IF($W112="DIRECT",$O112,DSTDEV('literature entries'!$D:$AI,IF($J112=1,"ACTIVE     CED, FARM GATE (MJ/kg)","CED, processor gate (MJ/kg)"),INDIRECT($W112)))</f>
        <v>0.49568134925574941</v>
      </c>
      <c r="AA112" s="211">
        <f t="shared" ca="1" si="13"/>
        <v>0.3215230373550807</v>
      </c>
      <c r="AB112" s="219" t="s">
        <v>3370</v>
      </c>
      <c r="AC112" s="212">
        <f ca="1">IF($AB112="DIRECT",Q112,DCOUNT('literature entries'!$D:$AI,IF($J112=1,"ACTIVE     GHGE, FARM GATE (kg CO2e/kg)","GHGE, processor gate (kg CO2e/kg)"),INDIRECT($AB112)))</f>
        <v>21</v>
      </c>
      <c r="AD112" s="212">
        <f ca="1">IF($AB112="DIRECT","",DAVERAGE('literature entries'!$D:$AI,IF($J112=1,"ACTIVE     GHGE, FARM GATE (kg CO2e/kg)","GHGE, processor gate (kg CO2e/kg)"),INDIRECT($AB112)))</f>
        <v>0.34849476190476181</v>
      </c>
      <c r="AE112" s="212">
        <f ca="1">IF($AB112="DIRECT",$S112,DSTDEV('literature entries'!$D:$AI,IF($J112=1,"ACTIVE     GHGE, FARM GATE (kg CO2e/kg)","GHGE, processor gate (kg CO2e/kg)"),INDIRECT($AB112)))</f>
        <v>0.48066612900868155</v>
      </c>
      <c r="AF112" s="212">
        <f t="shared" ca="1" si="14"/>
        <v>0.5480469308989846</v>
      </c>
    </row>
    <row r="113" spans="1:32" s="19" customFormat="1" ht="17" thickBot="1" x14ac:dyDescent="0.25">
      <c r="A113" s="114">
        <v>902088000</v>
      </c>
      <c r="B113" s="115" t="s">
        <v>1876</v>
      </c>
      <c r="C113" s="115" t="s">
        <v>1877</v>
      </c>
      <c r="D113" s="115" t="s">
        <v>1878</v>
      </c>
      <c r="E113" s="115">
        <v>38</v>
      </c>
      <c r="F113" s="111">
        <f t="shared" ca="1" si="9"/>
        <v>0.84</v>
      </c>
      <c r="G113" s="112">
        <f t="shared" ca="1" si="10"/>
        <v>0.39734749999999996</v>
      </c>
      <c r="H113" s="116">
        <v>1</v>
      </c>
      <c r="I113" s="117" t="s">
        <v>594</v>
      </c>
      <c r="J113" s="79">
        <v>1</v>
      </c>
      <c r="K113" s="78" t="s">
        <v>846</v>
      </c>
      <c r="L113" s="135" t="str">
        <f>IF(ISERROR(GETPIVOTDATA(IF($J113=1,"Count of ACTIVE     CED, FARM GATE (MJ/kg)","Count of CED, processor gate (MJ/kg)"),'Pivot Table_CED'!$A$3,"SUB TYPE",$B113)),"PROXY",IF(GETPIVOTDATA(IF($J113=1,"Count of ACTIVE     CED, FARM GATE (MJ/kg)","Count of CED, processor gate (MJ/kg)"),'Pivot Table_CED'!$A$3,"SUB TYPE",$B113)=0,"PROXY","DB value"))</f>
        <v>PROXY</v>
      </c>
      <c r="M113" s="118">
        <f ca="1">IF($L113="PROXY",DCOUNT('literature entries'!$D:$AI,IF($J113=1,"ACTIVE     CED, FARM GATE (MJ/kg)","CED, processor gate (MJ/kg)"),INDIRECT($K113)),GETPIVOTDATA(IF($J113=1,"Count of ACTIVE     CED, FARM GATE (MJ/kg)","Count of CED, processor gate (MJ/kg)"),'Pivot Table_CED'!$A$3,"SUB TYPE",$B113))</f>
        <v>1</v>
      </c>
      <c r="N113" s="119">
        <f ca="1">IF($L113="PROXY",DAVERAGE('literature entries'!$D:$AI,IF($J113=1,"ACTIVE     CED, FARM GATE (MJ/kg)","CED, processor gate (MJ/kg)"),INDIRECT($K113)),GETPIVOTDATA(IF($J113=1,"Average of ACTIVE     CED, FARM GATE (MJ/kg)","Average of CED, processor gate (MJ/kg)"),'Pivot Table_CED'!$A$3,"SUB TYPE",$B113))</f>
        <v>0.84</v>
      </c>
      <c r="O113" s="119" t="e">
        <f ca="1">IF($L113="PROXY",DSTDEV('literature entries'!D:AI,IF($J113=1,"ACTIVE     CED, FARM GATE (MJ/kg)","CED, processor gate (MJ/kg)"),INDIRECT($K113)),GETPIVOTDATA(IF($J113=1,"StdDev of ACTIVE     CED, FARM GATE (MJ/kg)","StdDev of CED, processor gate (MJ/kg)"),'Pivot Table_CED'!$A$3,"SUB TYPE",$B113))</f>
        <v>#DIV/0!</v>
      </c>
      <c r="P113" s="135" t="str">
        <f>IF(ISERROR(GETPIVOTDATA(IF($J113=1,"Count of ACTIVE     GHGE, FARM GATE (kg CO2e/kg)","Count of GHGE, processor gate (kg CO2e/kg)"),'Pivot Table_GHG'!$A$3,"SUB TYPE",$B113)),"PROXY",IF(GETPIVOTDATA(IF($J113=1,"Count of ACTIVE     GHGE, FARM GATE (kg CO2e/kg)","Count of GHGE, processor gate (kg CO2e/kg)"),'Pivot Table_GHG'!$A$3,"SUB TYPE",$B113)=0,"PROXY","DB value"))</f>
        <v>PROXY</v>
      </c>
      <c r="Q113" s="125">
        <f ca="1">IF($P113="PROXY",DCOUNT('literature entries'!$D:$AI,IF($J113=1,"ACTIVE     GHGE, FARM GATE (kg CO2e/kg)","GHGE, processor gate (kg CO2e/kg)"),INDIRECT($K113)),GETPIVOTDATA(IF($J113=1,"ACTIVE     GHGE, FARM GATE (kg CO2e/kg)","Count of GHGE, processor gate (kg CO2e/kg)"),'Pivot Table_GHG'!$A$3,"SUB TYPE",$B113))</f>
        <v>4</v>
      </c>
      <c r="R113" s="190">
        <f ca="1">IF($P113="PROXY",DAVERAGE('literature entries'!$D:$AI,IF($J113=1,"ACTIVE     GHGE, FARM GATE (kg CO2e/kg)","GHGE, processor gate (kg CO2e/kg)"),INDIRECT($K113)),GETPIVOTDATA(IF($J113=1,"Average of ACTIVE     GHGE, FARM GATE (kg CO2e/kg)","Average of GHGE, processor gate (kg CO2e/kg)"),'Pivot Table_GHG'!$A$3,"SUB TYPE",$B113))</f>
        <v>0.39734749999999996</v>
      </c>
      <c r="S113" s="190">
        <f ca="1">IF($P113="PROXY",DSTDEV('literature entries'!$D:$AI,IF($J113=1,"ACTIVE     GHGE, FARM GATE (kg CO2e/kg)","GHGE, processor gate (kg CO2e/kg)"),INDIRECT($K113)),GETPIVOTDATA(IF($J113=1,"StdDev of ACTIVE     GHGE, FARM GATE (kg CO2e/kg)","StdDev of GHGE, processor gate (kg CO2e/kg)"),'Pivot Table_GHG'!$A$3,"SUB TYPE",$B113))</f>
        <v>0.56891757723915215</v>
      </c>
      <c r="T113" s="88"/>
      <c r="U113" s="89"/>
      <c r="W113" s="213" t="s">
        <v>3370</v>
      </c>
      <c r="X113" s="211">
        <f ca="1">IF($W113="DIRECT",M113,DCOUNT('literature entries'!$D:$AI,IF($J113=1,"ACTIVE     CED, FARM GATE (MJ/kg)","CED, processor gate (MJ/kg)"),INDIRECT($W113)))</f>
        <v>4</v>
      </c>
      <c r="Y113" s="211">
        <f ca="1">IF($W113="DIRECT","",DAVERAGE('literature entries'!$D:$AI,IF($J113=1,"ACTIVE     CED, FARM GATE (MJ/kg)","CED, processor gate (MJ/kg)"),INDIRECT($W113)))</f>
        <v>1.2949999999999999</v>
      </c>
      <c r="Z113" s="211">
        <f ca="1">IF($W113="DIRECT",$O113,DSTDEV('literature entries'!$D:$AI,IF($J113=1,"ACTIVE     CED, FARM GATE (MJ/kg)","CED, processor gate (MJ/kg)"),INDIRECT($W113)))</f>
        <v>0.49568134925574941</v>
      </c>
      <c r="AA113" s="211">
        <f t="shared" ca="1" si="13"/>
        <v>0.3215230373550807</v>
      </c>
      <c r="AB113" s="219" t="s">
        <v>3370</v>
      </c>
      <c r="AC113" s="212">
        <f ca="1">IF($AB113="DIRECT",Q113,DCOUNT('literature entries'!$D:$AI,IF($J113=1,"ACTIVE     GHGE, FARM GATE (kg CO2e/kg)","GHGE, processor gate (kg CO2e/kg)"),INDIRECT($AB113)))</f>
        <v>21</v>
      </c>
      <c r="AD113" s="212">
        <f ca="1">IF($AB113="DIRECT","",DAVERAGE('literature entries'!$D:$AI,IF($J113=1,"ACTIVE     GHGE, FARM GATE (kg CO2e/kg)","GHGE, processor gate (kg CO2e/kg)"),INDIRECT($AB113)))</f>
        <v>0.34849476190476181</v>
      </c>
      <c r="AE113" s="212">
        <f ca="1">IF($AB113="DIRECT",$S113,DSTDEV('literature entries'!$D:$AI,IF($J113=1,"ACTIVE     GHGE, FARM GATE (kg CO2e/kg)","GHGE, processor gate (kg CO2e/kg)"),INDIRECT($AB113)))</f>
        <v>0.48066612900868155</v>
      </c>
      <c r="AF113" s="212">
        <f t="shared" ca="1" si="14"/>
        <v>0.5480469308989846</v>
      </c>
    </row>
    <row r="114" spans="1:32" s="19" customFormat="1" thickBot="1" x14ac:dyDescent="0.25">
      <c r="A114" s="114">
        <v>902102000</v>
      </c>
      <c r="B114" s="115" t="s">
        <v>1900</v>
      </c>
      <c r="C114" s="115" t="s">
        <v>1901</v>
      </c>
      <c r="D114" s="115" t="s">
        <v>1902</v>
      </c>
      <c r="E114" s="115">
        <v>2</v>
      </c>
      <c r="F114" s="111">
        <f t="shared" ca="1" si="9"/>
        <v>2.0448</v>
      </c>
      <c r="G114" s="112">
        <f t="shared" ca="1" si="10"/>
        <v>0.14690545454545453</v>
      </c>
      <c r="H114" s="116">
        <v>1.42</v>
      </c>
      <c r="I114" s="116" t="s">
        <v>2724</v>
      </c>
      <c r="J114" s="79">
        <v>1</v>
      </c>
      <c r="K114" s="78" t="s">
        <v>3277</v>
      </c>
      <c r="L114" s="135" t="str">
        <f>IF(ISERROR(GETPIVOTDATA(IF($J114=1,"Count of ACTIVE     CED, FARM GATE (MJ/kg)","Count of CED, processor gate (MJ/kg)"),'Pivot Table_CED'!$A$3,"SUB TYPE",$B114)),"PROXY",IF(GETPIVOTDATA(IF($J114=1,"Count of ACTIVE     CED, FARM GATE (MJ/kg)","Count of CED, processor gate (MJ/kg)"),'Pivot Table_CED'!$A$3,"SUB TYPE",$B114)=0,"PROXY","DB value"))</f>
        <v>PROXY</v>
      </c>
      <c r="M114" s="118">
        <f ca="1">IF($L114="PROXY",DCOUNT('literature entries'!$D:$AI,IF($J114=1,"ACTIVE     CED, FARM GATE (MJ/kg)","CED, processor gate (MJ/kg)"),INDIRECT($K114)),GETPIVOTDATA(IF($J114=1,"Count of ACTIVE     CED, FARM GATE (MJ/kg)","Count of CED, processor gate (MJ/kg)"),'Pivot Table_CED'!$A$3,"SUB TYPE",$B114))</f>
        <v>2</v>
      </c>
      <c r="N114" s="119">
        <f ca="1">IF($L114="PROXY",DAVERAGE('literature entries'!$D:$AI,IF($J114=1,"ACTIVE     CED, FARM GATE (MJ/kg)","CED, processor gate (MJ/kg)"),INDIRECT($K114)),GETPIVOTDATA(IF($J114=1,"Average of ACTIVE     CED, FARM GATE (MJ/kg)","Average of CED, processor gate (MJ/kg)"),'Pivot Table_CED'!$A$3,"SUB TYPE",$B114))</f>
        <v>1.44</v>
      </c>
      <c r="O114" s="119">
        <f ca="1">IF($L114="PROXY",DSTDEV('literature entries'!D:AI,IF($J114=1,"ACTIVE     CED, FARM GATE (MJ/kg)","CED, processor gate (MJ/kg)"),INDIRECT($K114)),GETPIVOTDATA(IF($J114=1,"StdDev of ACTIVE     CED, FARM GATE (MJ/kg)","StdDev of CED, processor gate (MJ/kg)"),'Pivot Table_CED'!$A$3,"SUB TYPE",$B114))</f>
        <v>0.67882250993908555</v>
      </c>
      <c r="P114" s="135" t="str">
        <f>IF(ISERROR(GETPIVOTDATA(IF($J114=1,"Count of ACTIVE     GHGE, FARM GATE (kg CO2e/kg)","Count of GHGE, processor gate (kg CO2e/kg)"),'Pivot Table_GHG'!$A$3,"SUB TYPE",$B114)),"PROXY",IF(GETPIVOTDATA(IF($J114=1,"Count of ACTIVE     GHGE, FARM GATE (kg CO2e/kg)","Count of GHGE, processor gate (kg CO2e/kg)"),'Pivot Table_GHG'!$A$3,"SUB TYPE",$B114)=0,"PROXY","DB value"))</f>
        <v>PROXY</v>
      </c>
      <c r="Q114" s="125">
        <f ca="1">IF($P114="PROXY",DCOUNT('literature entries'!$D:$AI,IF($J114=1,"ACTIVE     GHGE, FARM GATE (kg CO2e/kg)","GHGE, processor gate (kg CO2e/kg)"),INDIRECT($K114)),GETPIVOTDATA(IF($J114=1,"ACTIVE     GHGE, FARM GATE (kg CO2e/kg)","Count of GHGE, processor gate (kg CO2e/kg)"),'Pivot Table_GHG'!$A$3,"SUB TYPE",$B114))</f>
        <v>11</v>
      </c>
      <c r="R114" s="190">
        <f ca="1">IF($P114="PROXY",DAVERAGE('literature entries'!$D:$AI,IF($J114=1,"ACTIVE     GHGE, FARM GATE (kg CO2e/kg)","GHGE, processor gate (kg CO2e/kg)"),INDIRECT($K114)),GETPIVOTDATA(IF($J114=1,"Average of ACTIVE     GHGE, FARM GATE (kg CO2e/kg)","Average of GHGE, processor gate (kg CO2e/kg)"),'Pivot Table_GHG'!$A$3,"SUB TYPE",$B114))</f>
        <v>0.10345454545454545</v>
      </c>
      <c r="S114" s="190">
        <f ca="1">IF($P114="PROXY",DSTDEV('literature entries'!$D:$AI,IF($J114=1,"ACTIVE     GHGE, FARM GATE (kg CO2e/kg)","GHGE, processor gate (kg CO2e/kg)"),INDIRECT($K114)),GETPIVOTDATA(IF($J114=1,"StdDev of ACTIVE     GHGE, FARM GATE (kg CO2e/kg)","StdDev of GHGE, processor gate (kg CO2e/kg)"),'Pivot Table_GHG'!$A$3,"SUB TYPE",$B114))</f>
        <v>0.17893716418696459</v>
      </c>
      <c r="T114" s="88"/>
      <c r="U114" s="89"/>
      <c r="W114" s="213" t="s">
        <v>3370</v>
      </c>
      <c r="X114" s="211">
        <f ca="1">IF($W114="DIRECT",M114,DCOUNT('literature entries'!$D:$AI,IF($J114=1,"ACTIVE     CED, FARM GATE (MJ/kg)","CED, processor gate (MJ/kg)"),INDIRECT($W114)))</f>
        <v>4</v>
      </c>
      <c r="Y114" s="211">
        <f ca="1">IF($W114="DIRECT","",DAVERAGE('literature entries'!$D:$AI,IF($J114=1,"ACTIVE     CED, FARM GATE (MJ/kg)","CED, processor gate (MJ/kg)"),INDIRECT($W114)))</f>
        <v>1.2949999999999999</v>
      </c>
      <c r="Z114" s="211">
        <f ca="1">IF($W114="DIRECT",$O114,DSTDEV('literature entries'!$D:$AI,IF($J114=1,"ACTIVE     CED, FARM GATE (MJ/kg)","CED, processor gate (MJ/kg)"),INDIRECT($W114)))</f>
        <v>0.49568134925574941</v>
      </c>
      <c r="AA114" s="211">
        <f t="shared" ca="1" si="13"/>
        <v>0.55118234975156688</v>
      </c>
      <c r="AB114" s="219" t="s">
        <v>3370</v>
      </c>
      <c r="AC114" s="212">
        <f ca="1">IF($AB114="DIRECT",Q114,DCOUNT('literature entries'!$D:$AI,IF($J114=1,"ACTIVE     GHGE, FARM GATE (kg CO2e/kg)","GHGE, processor gate (kg CO2e/kg)"),INDIRECT($AB114)))</f>
        <v>21</v>
      </c>
      <c r="AD114" s="212">
        <f ca="1">IF($AB114="DIRECT","",DAVERAGE('literature entries'!$D:$AI,IF($J114=1,"ACTIVE     GHGE, FARM GATE (kg CO2e/kg)","GHGE, processor gate (kg CO2e/kg)"),INDIRECT($AB114)))</f>
        <v>0.34849476190476181</v>
      </c>
      <c r="AE114" s="212">
        <f ca="1">IF($AB114="DIRECT",$S114,DSTDEV('literature entries'!$D:$AI,IF($J114=1,"ACTIVE     GHGE, FARM GATE (kg CO2e/kg)","GHGE, processor gate (kg CO2e/kg)"),INDIRECT($AB114)))</f>
        <v>0.48066612900868155</v>
      </c>
      <c r="AF114" s="212">
        <f t="shared" ca="1" si="14"/>
        <v>0.14269108557097537</v>
      </c>
    </row>
    <row r="115" spans="1:32" s="19" customFormat="1" thickBot="1" x14ac:dyDescent="0.25">
      <c r="A115" s="114">
        <v>902135000</v>
      </c>
      <c r="B115" s="115" t="s">
        <v>845</v>
      </c>
      <c r="C115" s="115" t="s">
        <v>1953</v>
      </c>
      <c r="D115" s="115"/>
      <c r="E115" s="115">
        <v>9894</v>
      </c>
      <c r="F115" s="111">
        <f t="shared" ca="1" si="9"/>
        <v>0.86519999999999997</v>
      </c>
      <c r="G115" s="112">
        <f t="shared" ca="1" si="10"/>
        <v>0.40926792499999998</v>
      </c>
      <c r="H115" s="116">
        <v>1.03</v>
      </c>
      <c r="I115" s="116" t="s">
        <v>2724</v>
      </c>
      <c r="J115" s="79">
        <v>1</v>
      </c>
      <c r="K115" s="78"/>
      <c r="L115" s="135" t="str">
        <f>IF(ISERROR(GETPIVOTDATA(IF($J115=1,"Count of ACTIVE     CED, FARM GATE (MJ/kg)","Count of CED, processor gate (MJ/kg)"),'Pivot Table_CED'!$A$3,"SUB TYPE",$B115)),"PROXY",IF(GETPIVOTDATA(IF($J115=1,"Count of ACTIVE     CED, FARM GATE (MJ/kg)","Count of CED, processor gate (MJ/kg)"),'Pivot Table_CED'!$A$3,"SUB TYPE",$B115)=0,"PROXY","DB value"))</f>
        <v>DB value</v>
      </c>
      <c r="M115" s="118">
        <f ca="1">IF($L115="PROXY",DCOUNT('literature entries'!$D:$AI,IF($J115=1,"ACTIVE     CED, FARM GATE (MJ/kg)","CED, processor gate (MJ/kg)"),INDIRECT($K115)),GETPIVOTDATA(IF($J115=1,"Count of ACTIVE     CED, FARM GATE (MJ/kg)","Count of CED, processor gate (MJ/kg)"),'Pivot Table_CED'!$A$3,"SUB TYPE",$B115))</f>
        <v>1</v>
      </c>
      <c r="N115" s="119">
        <f ca="1">IF($L115="PROXY",DAVERAGE('literature entries'!$D:$AI,IF($J115=1,"ACTIVE     CED, FARM GATE (MJ/kg)","CED, processor gate (MJ/kg)"),INDIRECT($K115)),GETPIVOTDATA(IF($J115=1,"Average of ACTIVE     CED, FARM GATE (MJ/kg)","Average of CED, processor gate (MJ/kg)"),'Pivot Table_CED'!$A$3,"SUB TYPE",$B115))</f>
        <v>0.84</v>
      </c>
      <c r="O115" s="119">
        <f ca="1">IF($L115="PROXY",DSTDEV('literature entries'!D:AI,IF($J115=1,"ACTIVE     CED, FARM GATE (MJ/kg)","CED, processor gate (MJ/kg)"),INDIRECT($K115)),GETPIVOTDATA(IF($J115=1,"StdDev of ACTIVE     CED, FARM GATE (MJ/kg)","StdDev of CED, processor gate (MJ/kg)"),'Pivot Table_CED'!$A$3,"SUB TYPE",$B115))</f>
        <v>0</v>
      </c>
      <c r="P115" s="135" t="str">
        <f>IF(ISERROR(GETPIVOTDATA(IF($J115=1,"Count of ACTIVE     GHGE, FARM GATE (kg CO2e/kg)","Count of GHGE, processor gate (kg CO2e/kg)"),'Pivot Table_GHG'!$A$3,"SUB TYPE",$B115)),"PROXY",IF(GETPIVOTDATA(IF($J115=1,"Count of ACTIVE     GHGE, FARM GATE (kg CO2e/kg)","Count of GHGE, processor gate (kg CO2e/kg)"),'Pivot Table_GHG'!$A$3,"SUB TYPE",$B115)=0,"PROXY","DB value"))</f>
        <v>DB value</v>
      </c>
      <c r="Q115" s="125">
        <f ca="1">IF($P115="PROXY",DCOUNT('literature entries'!$D:$AI,IF($J115=1,"ACTIVE     GHGE, FARM GATE (kg CO2e/kg)","GHGE, processor gate (kg CO2e/kg)"),INDIRECT($K115)),GETPIVOTDATA(IF($J115=1,"ACTIVE     GHGE, FARM GATE (kg CO2e/kg)","Count of GHGE, processor gate (kg CO2e/kg)"),'Pivot Table_GHG'!$A$3,"SUB TYPE",$B115))</f>
        <v>4</v>
      </c>
      <c r="R115" s="190">
        <f ca="1">IF($P115="PROXY",DAVERAGE('literature entries'!$D:$AI,IF($J115=1,"ACTIVE     GHGE, FARM GATE (kg CO2e/kg)","GHGE, processor gate (kg CO2e/kg)"),INDIRECT($K115)),GETPIVOTDATA(IF($J115=1,"Average of ACTIVE     GHGE, FARM GATE (kg CO2e/kg)","Average of GHGE, processor gate (kg CO2e/kg)"),'Pivot Table_GHG'!$A$3,"SUB TYPE",$B115))</f>
        <v>0.39734749999999996</v>
      </c>
      <c r="S115" s="190">
        <f ca="1">IF($P115="PROXY",DSTDEV('literature entries'!$D:$AI,IF($J115=1,"ACTIVE     GHGE, FARM GATE (kg CO2e/kg)","GHGE, processor gate (kg CO2e/kg)"),INDIRECT($K115)),GETPIVOTDATA(IF($J115=1,"StdDev of ACTIVE     GHGE, FARM GATE (kg CO2e/kg)","StdDev of GHGE, processor gate (kg CO2e/kg)"),'Pivot Table_GHG'!$A$3,"SUB TYPE",$B115))</f>
        <v>0.56891757723915215</v>
      </c>
      <c r="T115" s="88"/>
      <c r="U115" s="89"/>
      <c r="W115" s="213" t="s">
        <v>3370</v>
      </c>
      <c r="X115" s="211">
        <f ca="1">IF($W115="DIRECT",M115,DCOUNT('literature entries'!$D:$AI,IF($J115=1,"ACTIVE     CED, FARM GATE (MJ/kg)","CED, processor gate (MJ/kg)"),INDIRECT($W115)))</f>
        <v>4</v>
      </c>
      <c r="Y115" s="211">
        <f ca="1">IF($W115="DIRECT","",DAVERAGE('literature entries'!$D:$AI,IF($J115=1,"ACTIVE     CED, FARM GATE (MJ/kg)","CED, processor gate (MJ/kg)"),INDIRECT($W115)))</f>
        <v>1.2949999999999999</v>
      </c>
      <c r="Z115" s="211">
        <f ca="1">IF($W115="DIRECT",$O115,DSTDEV('literature entries'!$D:$AI,IF($J115=1,"ACTIVE     CED, FARM GATE (MJ/kg)","CED, processor gate (MJ/kg)"),INDIRECT($W115)))</f>
        <v>0.49568134925574941</v>
      </c>
      <c r="AA115" s="211">
        <f t="shared" ca="1" si="13"/>
        <v>0.3215230373550807</v>
      </c>
      <c r="AB115" s="219" t="s">
        <v>3370</v>
      </c>
      <c r="AC115" s="212">
        <f ca="1">IF($AB115="DIRECT",Q115,DCOUNT('literature entries'!$D:$AI,IF($J115=1,"ACTIVE     GHGE, FARM GATE (kg CO2e/kg)","GHGE, processor gate (kg CO2e/kg)"),INDIRECT($AB115)))</f>
        <v>21</v>
      </c>
      <c r="AD115" s="212">
        <f ca="1">IF($AB115="DIRECT","",DAVERAGE('literature entries'!$D:$AI,IF($J115=1,"ACTIVE     GHGE, FARM GATE (kg CO2e/kg)","GHGE, processor gate (kg CO2e/kg)"),INDIRECT($AB115)))</f>
        <v>0.34849476190476181</v>
      </c>
      <c r="AE115" s="212">
        <f ca="1">IF($AB115="DIRECT",$S115,DSTDEV('literature entries'!$D:$AI,IF($J115=1,"ACTIVE     GHGE, FARM GATE (kg CO2e/kg)","GHGE, processor gate (kg CO2e/kg)"),INDIRECT($AB115)))</f>
        <v>0.48066612900868155</v>
      </c>
      <c r="AF115" s="212">
        <f t="shared" ca="1" si="14"/>
        <v>0.5480469308989846</v>
      </c>
    </row>
    <row r="116" spans="1:32" s="19" customFormat="1" thickBot="1" x14ac:dyDescent="0.25">
      <c r="A116" s="114">
        <v>902308000</v>
      </c>
      <c r="B116" s="115" t="s">
        <v>2221</v>
      </c>
      <c r="C116" s="115" t="s">
        <v>2023</v>
      </c>
      <c r="D116" s="115"/>
      <c r="E116" s="115">
        <v>367</v>
      </c>
      <c r="F116" s="111">
        <f t="shared" ca="1" si="9"/>
        <v>2.7455999999999996</v>
      </c>
      <c r="G116" s="112">
        <f t="shared" ca="1" si="10"/>
        <v>0.21807499999999999</v>
      </c>
      <c r="H116" s="116">
        <v>1.43</v>
      </c>
      <c r="I116" s="116" t="s">
        <v>2724</v>
      </c>
      <c r="J116" s="79">
        <v>1</v>
      </c>
      <c r="K116" s="78"/>
      <c r="L116" s="135" t="str">
        <f>IF(ISERROR(GETPIVOTDATA(IF($J116=1,"Count of ACTIVE     CED, FARM GATE (MJ/kg)","Count of CED, processor gate (MJ/kg)"),'Pivot Table_CED'!$A$3,"SUB TYPE",$B116)),"PROXY",IF(GETPIVOTDATA(IF($J116=1,"Count of ACTIVE     CED, FARM GATE (MJ/kg)","Count of CED, processor gate (MJ/kg)"),'Pivot Table_CED'!$A$3,"SUB TYPE",$B116)=0,"PROXY","DB value"))</f>
        <v>DB value</v>
      </c>
      <c r="M116" s="118">
        <f ca="1">IF($L116="PROXY",DCOUNT('literature entries'!$D:$AI,IF($J116=1,"ACTIVE     CED, FARM GATE (MJ/kg)","CED, processor gate (MJ/kg)"),INDIRECT($K116)),GETPIVOTDATA(IF($J116=1,"Count of ACTIVE     CED, FARM GATE (MJ/kg)","Count of CED, processor gate (MJ/kg)"),'Pivot Table_CED'!$A$3,"SUB TYPE",$B116))</f>
        <v>1</v>
      </c>
      <c r="N116" s="119">
        <f ca="1">IF($L116="PROXY",DAVERAGE('literature entries'!$D:$AI,IF($J116=1,"ACTIVE     CED, FARM GATE (MJ/kg)","CED, processor gate (MJ/kg)"),INDIRECT($K116)),GETPIVOTDATA(IF($J116=1,"Average of ACTIVE     CED, FARM GATE (MJ/kg)","Average of CED, processor gate (MJ/kg)"),'Pivot Table_CED'!$A$3,"SUB TYPE",$B116))</f>
        <v>1.92</v>
      </c>
      <c r="O116" s="119">
        <f ca="1">IF($L116="PROXY",DSTDEV('literature entries'!D:AI,IF($J116=1,"ACTIVE     CED, FARM GATE (MJ/kg)","CED, processor gate (MJ/kg)"),INDIRECT($K116)),GETPIVOTDATA(IF($J116=1,"StdDev of ACTIVE     CED, FARM GATE (MJ/kg)","StdDev of CED, processor gate (MJ/kg)"),'Pivot Table_CED'!$A$3,"SUB TYPE",$B116))</f>
        <v>0</v>
      </c>
      <c r="P116" s="135" t="str">
        <f>IF(ISERROR(GETPIVOTDATA(IF($J116=1,"Count of ACTIVE     GHGE, FARM GATE (kg CO2e/kg)","Count of GHGE, processor gate (kg CO2e/kg)"),'Pivot Table_GHG'!$A$3,"SUB TYPE",$B116)),"PROXY",IF(GETPIVOTDATA(IF($J116=1,"Count of ACTIVE     GHGE, FARM GATE (kg CO2e/kg)","Count of GHGE, processor gate (kg CO2e/kg)"),'Pivot Table_GHG'!$A$3,"SUB TYPE",$B116)=0,"PROXY","DB value"))</f>
        <v>DB value</v>
      </c>
      <c r="Q116" s="125">
        <f ca="1">IF($P116="PROXY",DCOUNT('literature entries'!$D:$AI,IF($J116=1,"ACTIVE     GHGE, FARM GATE (kg CO2e/kg)","GHGE, processor gate (kg CO2e/kg)"),INDIRECT($K116)),GETPIVOTDATA(IF($J116=1,"ACTIVE     GHGE, FARM GATE (kg CO2e/kg)","Count of GHGE, processor gate (kg CO2e/kg)"),'Pivot Table_GHG'!$A$3,"SUB TYPE",$B116))</f>
        <v>6</v>
      </c>
      <c r="R116" s="190">
        <f ca="1">IF($P116="PROXY",DAVERAGE('literature entries'!$D:$AI,IF($J116=1,"ACTIVE     GHGE, FARM GATE (kg CO2e/kg)","GHGE, processor gate (kg CO2e/kg)"),INDIRECT($K116)),GETPIVOTDATA(IF($J116=1,"Average of ACTIVE     GHGE, FARM GATE (kg CO2e/kg)","Average of GHGE, processor gate (kg CO2e/kg)"),'Pivot Table_GHG'!$A$3,"SUB TYPE",$B116))</f>
        <v>0.1525</v>
      </c>
      <c r="S116" s="190">
        <f ca="1">IF($P116="PROXY",DSTDEV('literature entries'!$D:$AI,IF($J116=1,"ACTIVE     GHGE, FARM GATE (kg CO2e/kg)","GHGE, processor gate (kg CO2e/kg)"),INDIRECT($K116)),GETPIVOTDATA(IF($J116=1,"StdDev of ACTIVE     GHGE, FARM GATE (kg CO2e/kg)","StdDev of GHGE, processor gate (kg CO2e/kg)"),'Pivot Table_GHG'!$A$3,"SUB TYPE",$B116))</f>
        <v>0.23890277520363803</v>
      </c>
      <c r="T116" s="88"/>
      <c r="U116" s="89"/>
      <c r="W116" s="213" t="s">
        <v>3370</v>
      </c>
      <c r="X116" s="211">
        <f ca="1">IF($W116="DIRECT",M116,DCOUNT('literature entries'!$D:$AI,IF($J116=1,"ACTIVE     CED, FARM GATE (MJ/kg)","CED, processor gate (MJ/kg)"),INDIRECT($W116)))</f>
        <v>4</v>
      </c>
      <c r="Y116" s="211">
        <f ca="1">IF($W116="DIRECT","",DAVERAGE('literature entries'!$D:$AI,IF($J116=1,"ACTIVE     CED, FARM GATE (MJ/kg)","CED, processor gate (MJ/kg)"),INDIRECT($W116)))</f>
        <v>1.2949999999999999</v>
      </c>
      <c r="Z116" s="211">
        <f ca="1">IF($W116="DIRECT",$O116,DSTDEV('literature entries'!$D:$AI,IF($J116=1,"ACTIVE     CED, FARM GATE (MJ/kg)","CED, processor gate (MJ/kg)"),INDIRECT($W116)))</f>
        <v>0.49568134925574941</v>
      </c>
      <c r="AA116" s="211">
        <f t="shared" ca="1" si="13"/>
        <v>0.73490979966875591</v>
      </c>
      <c r="AB116" s="219" t="str">
        <f ca="1">IF(P116="PROXY",IF(Q116&gt;=5,K116,"need group"),IF(Q116&gt;=5,"DIRECT","need group"))</f>
        <v>DIRECT</v>
      </c>
      <c r="AC116" s="212">
        <f ca="1">IF($AB116="DIRECT",Q116,DCOUNT('literature entries'!$D:$AI,IF($J116=1,"ACTIVE     GHGE, FARM GATE (kg CO2e/kg)","GHGE, processor gate (kg CO2e/kg)"),INDIRECT($AB116)))</f>
        <v>6</v>
      </c>
      <c r="AD116" s="212" t="str">
        <f ca="1">IF($AB116="DIRECT","",DAVERAGE('literature entries'!$D:$AI,IF($J116=1,"ACTIVE     GHGE, FARM GATE (kg CO2e/kg)","GHGE, processor gate (kg CO2e/kg)"),INDIRECT($AB116)))</f>
        <v/>
      </c>
      <c r="AE116" s="212">
        <f ca="1">IF($AB116="DIRECT",$S116,DSTDEV('literature entries'!$D:$AI,IF($J116=1,"ACTIVE     GHGE, FARM GATE (kg CO2e/kg)","GHGE, processor gate (kg CO2e/kg)"),INDIRECT($AB116)))</f>
        <v>0.23890277520363803</v>
      </c>
      <c r="AF116" s="212">
        <f t="shared" ca="1" si="14"/>
        <v>0.23890277520363803</v>
      </c>
    </row>
    <row r="117" spans="1:32" s="19" customFormat="1" ht="17" thickBot="1" x14ac:dyDescent="0.25">
      <c r="A117" s="114">
        <v>902309000</v>
      </c>
      <c r="B117" s="115" t="s">
        <v>2222</v>
      </c>
      <c r="C117" s="115" t="s">
        <v>2223</v>
      </c>
      <c r="D117" s="115"/>
      <c r="E117" s="115">
        <v>231</v>
      </c>
      <c r="F117" s="111">
        <f t="shared" ca="1" si="9"/>
        <v>1.44</v>
      </c>
      <c r="G117" s="112">
        <f t="shared" ca="1" si="10"/>
        <v>0.10345454545454545</v>
      </c>
      <c r="H117" s="116">
        <v>1</v>
      </c>
      <c r="I117" s="117" t="s">
        <v>594</v>
      </c>
      <c r="J117" s="79">
        <v>1</v>
      </c>
      <c r="K117" s="78" t="s">
        <v>3277</v>
      </c>
      <c r="L117" s="135" t="str">
        <f>IF(ISERROR(GETPIVOTDATA(IF($J117=1,"Count of ACTIVE     CED, FARM GATE (MJ/kg)","Count of CED, processor gate (MJ/kg)"),'Pivot Table_CED'!$A$3,"SUB TYPE",$B117)),"PROXY",IF(GETPIVOTDATA(IF($J117=1,"Count of ACTIVE     CED, FARM GATE (MJ/kg)","Count of CED, processor gate (MJ/kg)"),'Pivot Table_CED'!$A$3,"SUB TYPE",$B117)=0,"PROXY","DB value"))</f>
        <v>PROXY</v>
      </c>
      <c r="M117" s="118">
        <f ca="1">IF($L117="PROXY",DCOUNT('literature entries'!$D:$AI,IF($J117=1,"ACTIVE     CED, FARM GATE (MJ/kg)","CED, processor gate (MJ/kg)"),INDIRECT($K117)),GETPIVOTDATA(IF($J117=1,"Count of ACTIVE     CED, FARM GATE (MJ/kg)","Count of CED, processor gate (MJ/kg)"),'Pivot Table_CED'!$A$3,"SUB TYPE",$B117))</f>
        <v>2</v>
      </c>
      <c r="N117" s="119">
        <f ca="1">IF($L117="PROXY",DAVERAGE('literature entries'!$D:$AI,IF($J117=1,"ACTIVE     CED, FARM GATE (MJ/kg)","CED, processor gate (MJ/kg)"),INDIRECT($K117)),GETPIVOTDATA(IF($J117=1,"Average of ACTIVE     CED, FARM GATE (MJ/kg)","Average of CED, processor gate (MJ/kg)"),'Pivot Table_CED'!$A$3,"SUB TYPE",$B117))</f>
        <v>1.44</v>
      </c>
      <c r="O117" s="119">
        <f ca="1">IF($L117="PROXY",DSTDEV('literature entries'!D:AI,IF($J117=1,"ACTIVE     CED, FARM GATE (MJ/kg)","CED, processor gate (MJ/kg)"),INDIRECT($K117)),GETPIVOTDATA(IF($J117=1,"StdDev of ACTIVE     CED, FARM GATE (MJ/kg)","StdDev of CED, processor gate (MJ/kg)"),'Pivot Table_CED'!$A$3,"SUB TYPE",$B117))</f>
        <v>0.67882250993908555</v>
      </c>
      <c r="P117" s="135" t="str">
        <f>IF(ISERROR(GETPIVOTDATA(IF($J117=1,"Count of ACTIVE     GHGE, FARM GATE (kg CO2e/kg)","Count of GHGE, processor gate (kg CO2e/kg)"),'Pivot Table_GHG'!$A$3,"SUB TYPE",$B117)),"PROXY",IF(GETPIVOTDATA(IF($J117=1,"Count of ACTIVE     GHGE, FARM GATE (kg CO2e/kg)","Count of GHGE, processor gate (kg CO2e/kg)"),'Pivot Table_GHG'!$A$3,"SUB TYPE",$B117)=0,"PROXY","DB value"))</f>
        <v>PROXY</v>
      </c>
      <c r="Q117" s="125">
        <f ca="1">IF($P117="PROXY",DCOUNT('literature entries'!$D:$AI,IF($J117=1,"ACTIVE     GHGE, FARM GATE (kg CO2e/kg)","GHGE, processor gate (kg CO2e/kg)"),INDIRECT($K117)),GETPIVOTDATA(IF($J117=1,"ACTIVE     GHGE, FARM GATE (kg CO2e/kg)","Count of GHGE, processor gate (kg CO2e/kg)"),'Pivot Table_GHG'!$A$3,"SUB TYPE",$B117))</f>
        <v>11</v>
      </c>
      <c r="R117" s="190">
        <f ca="1">IF($P117="PROXY",DAVERAGE('literature entries'!$D:$AI,IF($J117=1,"ACTIVE     GHGE, FARM GATE (kg CO2e/kg)","GHGE, processor gate (kg CO2e/kg)"),INDIRECT($K117)),GETPIVOTDATA(IF($J117=1,"Average of ACTIVE     GHGE, FARM GATE (kg CO2e/kg)","Average of GHGE, processor gate (kg CO2e/kg)"),'Pivot Table_GHG'!$A$3,"SUB TYPE",$B117))</f>
        <v>0.10345454545454545</v>
      </c>
      <c r="S117" s="190">
        <f ca="1">IF($P117="PROXY",DSTDEV('literature entries'!$D:$AI,IF($J117=1,"ACTIVE     GHGE, FARM GATE (kg CO2e/kg)","GHGE, processor gate (kg CO2e/kg)"),INDIRECT($K117)),GETPIVOTDATA(IF($J117=1,"StdDev of ACTIVE     GHGE, FARM GATE (kg CO2e/kg)","StdDev of GHGE, processor gate (kg CO2e/kg)"),'Pivot Table_GHG'!$A$3,"SUB TYPE",$B117))</f>
        <v>0.17893716418696459</v>
      </c>
      <c r="T117" s="88"/>
      <c r="U117" s="89"/>
      <c r="W117" s="213" t="s">
        <v>3370</v>
      </c>
      <c r="X117" s="211">
        <f ca="1">IF($W117="DIRECT",M117,DCOUNT('literature entries'!$D:$AI,IF($J117=1,"ACTIVE     CED, FARM GATE (MJ/kg)","CED, processor gate (MJ/kg)"),INDIRECT($W117)))</f>
        <v>4</v>
      </c>
      <c r="Y117" s="211">
        <f ca="1">IF($W117="DIRECT","",DAVERAGE('literature entries'!$D:$AI,IF($J117=1,"ACTIVE     CED, FARM GATE (MJ/kg)","CED, processor gate (MJ/kg)"),INDIRECT($W117)))</f>
        <v>1.2949999999999999</v>
      </c>
      <c r="Z117" s="211">
        <f ca="1">IF($W117="DIRECT",$O117,DSTDEV('literature entries'!$D:$AI,IF($J117=1,"ACTIVE     CED, FARM GATE (MJ/kg)","CED, processor gate (MJ/kg)"),INDIRECT($W117)))</f>
        <v>0.49568134925574941</v>
      </c>
      <c r="AA117" s="211">
        <f t="shared" ca="1" si="13"/>
        <v>0.55118234975156688</v>
      </c>
      <c r="AB117" s="219" t="s">
        <v>3370</v>
      </c>
      <c r="AC117" s="212">
        <f ca="1">IF($AB117="DIRECT",Q117,DCOUNT('literature entries'!$D:$AI,IF($J117=1,"ACTIVE     GHGE, FARM GATE (kg CO2e/kg)","GHGE, processor gate (kg CO2e/kg)"),INDIRECT($AB117)))</f>
        <v>21</v>
      </c>
      <c r="AD117" s="212">
        <f ca="1">IF($AB117="DIRECT","",DAVERAGE('literature entries'!$D:$AI,IF($J117=1,"ACTIVE     GHGE, FARM GATE (kg CO2e/kg)","GHGE, processor gate (kg CO2e/kg)"),INDIRECT($AB117)))</f>
        <v>0.34849476190476181</v>
      </c>
      <c r="AE117" s="212">
        <f ca="1">IF($AB117="DIRECT",$S117,DSTDEV('literature entries'!$D:$AI,IF($J117=1,"ACTIVE     GHGE, FARM GATE (kg CO2e/kg)","GHGE, processor gate (kg CO2e/kg)"),INDIRECT($AB117)))</f>
        <v>0.48066612900868155</v>
      </c>
      <c r="AF117" s="212">
        <f t="shared" ca="1" si="14"/>
        <v>0.14269108557097537</v>
      </c>
    </row>
    <row r="118" spans="1:32" s="19" customFormat="1" ht="17" thickBot="1" x14ac:dyDescent="0.25">
      <c r="A118" s="114">
        <v>902356000</v>
      </c>
      <c r="B118" s="115" t="s">
        <v>2276</v>
      </c>
      <c r="C118" s="115" t="s">
        <v>2277</v>
      </c>
      <c r="D118" s="115" t="s">
        <v>2278</v>
      </c>
      <c r="E118" s="115">
        <v>1642</v>
      </c>
      <c r="F118" s="111">
        <f t="shared" ca="1" si="9"/>
        <v>0.19336799999999998</v>
      </c>
      <c r="G118" s="112">
        <f t="shared" ca="1" si="10"/>
        <v>1.2284999999999999</v>
      </c>
      <c r="H118" s="116">
        <v>1.05</v>
      </c>
      <c r="I118" s="117" t="s">
        <v>2724</v>
      </c>
      <c r="J118" s="79">
        <v>1</v>
      </c>
      <c r="K118" s="78" t="s">
        <v>890</v>
      </c>
      <c r="L118" s="135" t="str">
        <f>IF(ISERROR(GETPIVOTDATA(IF($J118=1,"Count of ACTIVE     CED, FARM GATE (MJ/kg)","Count of CED, processor gate (MJ/kg)"),'Pivot Table_CED'!$A$3,"SUB TYPE",$B118)),"PROXY",IF(GETPIVOTDATA(IF($J118=1,"Count of ACTIVE     CED, FARM GATE (MJ/kg)","Count of CED, processor gate (MJ/kg)"),'Pivot Table_CED'!$A$3,"SUB TYPE",$B118)=0,"PROXY","DB value"))</f>
        <v>PROXY</v>
      </c>
      <c r="M118" s="118">
        <f ca="1">IF($L118="PROXY",DCOUNT('literature entries'!$D:$AI,IF($J118=1,"ACTIVE     CED, FARM GATE (MJ/kg)","CED, processor gate (MJ/kg)"),INDIRECT($K118)),GETPIVOTDATA(IF($J118=1,"Count of ACTIVE     CED, FARM GATE (MJ/kg)","Count of CED, processor gate (MJ/kg)"),'Pivot Table_CED'!$A$3,"SUB TYPE",$B118))</f>
        <v>1</v>
      </c>
      <c r="N118" s="119">
        <f ca="1">IF($L118="PROXY",DAVERAGE('literature entries'!$D:$AI,IF($J118=1,"ACTIVE     CED, FARM GATE (MJ/kg)","CED, processor gate (MJ/kg)"),INDIRECT($K118)),GETPIVOTDATA(IF($J118=1,"Average of ACTIVE     CED, FARM GATE (MJ/kg)","Average of CED, processor gate (MJ/kg)"),'Pivot Table_CED'!$A$3,"SUB TYPE",$B118))</f>
        <v>0.18415999999999999</v>
      </c>
      <c r="O118" s="119" t="e">
        <f ca="1">IF($L118="PROXY",DSTDEV('literature entries'!D:AI,IF($J118=1,"ACTIVE     CED, FARM GATE (MJ/kg)","CED, processor gate (MJ/kg)"),INDIRECT($K118)),GETPIVOTDATA(IF($J118=1,"StdDev of ACTIVE     CED, FARM GATE (MJ/kg)","StdDev of CED, processor gate (MJ/kg)"),'Pivot Table_CED'!$A$3,"SUB TYPE",$B118))</f>
        <v>#DIV/0!</v>
      </c>
      <c r="P118" s="135" t="str">
        <f>IF(ISERROR(GETPIVOTDATA(IF($J118=1,"Count of ACTIVE     GHGE, FARM GATE (kg CO2e/kg)","Count of GHGE, processor gate (kg CO2e/kg)"),'Pivot Table_GHG'!$A$3,"SUB TYPE",$B118)),"PROXY",IF(GETPIVOTDATA(IF($J118=1,"Count of ACTIVE     GHGE, FARM GATE (kg CO2e/kg)","Count of GHGE, processor gate (kg CO2e/kg)"),'Pivot Table_GHG'!$A$3,"SUB TYPE",$B118)=0,"PROXY","DB value"))</f>
        <v>DB value</v>
      </c>
      <c r="Q118" s="125">
        <f ca="1">IF($P118="PROXY",DCOUNT('literature entries'!$D:$AI,IF($J118=1,"ACTIVE     GHGE, FARM GATE (kg CO2e/kg)","GHGE, processor gate (kg CO2e/kg)"),INDIRECT($K118)),GETPIVOTDATA(IF($J118=1,"ACTIVE     GHGE, FARM GATE (kg CO2e/kg)","Count of GHGE, processor gate (kg CO2e/kg)"),'Pivot Table_GHG'!$A$3,"SUB TYPE",$B118))</f>
        <v>1</v>
      </c>
      <c r="R118" s="190">
        <f ca="1">IF($P118="PROXY",DAVERAGE('literature entries'!$D:$AI,IF($J118=1,"ACTIVE     GHGE, FARM GATE (kg CO2e/kg)","GHGE, processor gate (kg CO2e/kg)"),INDIRECT($K118)),GETPIVOTDATA(IF($J118=1,"Average of ACTIVE     GHGE, FARM GATE (kg CO2e/kg)","Average of GHGE, processor gate (kg CO2e/kg)"),'Pivot Table_GHG'!$A$3,"SUB TYPE",$B118))</f>
        <v>1.17</v>
      </c>
      <c r="S118" s="190" t="e">
        <f ca="1">IF($P118="PROXY",DSTDEV('literature entries'!$D:$AI,IF($J118=1,"ACTIVE     GHGE, FARM GATE (kg CO2e/kg)","GHGE, processor gate (kg CO2e/kg)"),INDIRECT($K118)),GETPIVOTDATA(IF($J118=1,"StdDev of ACTIVE     GHGE, FARM GATE (kg CO2e/kg)","StdDev of GHGE, processor gate (kg CO2e/kg)"),'Pivot Table_GHG'!$A$3,"SUB TYPE",$B118))</f>
        <v>#DIV/0!</v>
      </c>
      <c r="T118" s="88"/>
      <c r="U118" s="89"/>
      <c r="W118" s="213" t="s">
        <v>3370</v>
      </c>
      <c r="X118" s="211">
        <f ca="1">IF($W118="DIRECT",M118,DCOUNT('literature entries'!$D:$AI,IF($J118=1,"ACTIVE     CED, FARM GATE (MJ/kg)","CED, processor gate (MJ/kg)"),INDIRECT($W118)))</f>
        <v>4</v>
      </c>
      <c r="Y118" s="211">
        <f ca="1">IF($W118="DIRECT","",DAVERAGE('literature entries'!$D:$AI,IF($J118=1,"ACTIVE     CED, FARM GATE (MJ/kg)","CED, processor gate (MJ/kg)"),INDIRECT($W118)))</f>
        <v>1.2949999999999999</v>
      </c>
      <c r="Z118" s="211">
        <f ca="1">IF($W118="DIRECT",$O118,DSTDEV('literature entries'!$D:$AI,IF($J118=1,"ACTIVE     CED, FARM GATE (MJ/kg)","CED, processor gate (MJ/kg)"),INDIRECT($W118)))</f>
        <v>0.49568134925574941</v>
      </c>
      <c r="AA118" s="211">
        <f t="shared" ca="1" si="13"/>
        <v>7.0490098284894831E-2</v>
      </c>
      <c r="AB118" s="219" t="s">
        <v>3370</v>
      </c>
      <c r="AC118" s="212">
        <f ca="1">IF($AB118="DIRECT",Q118,DCOUNT('literature entries'!$D:$AI,IF($J118=1,"ACTIVE     GHGE, FARM GATE (kg CO2e/kg)","GHGE, processor gate (kg CO2e/kg)"),INDIRECT($AB118)))</f>
        <v>21</v>
      </c>
      <c r="AD118" s="212">
        <f ca="1">IF($AB118="DIRECT","",DAVERAGE('literature entries'!$D:$AI,IF($J118=1,"ACTIVE     GHGE, FARM GATE (kg CO2e/kg)","GHGE, processor gate (kg CO2e/kg)"),INDIRECT($AB118)))</f>
        <v>0.34849476190476181</v>
      </c>
      <c r="AE118" s="212">
        <f ca="1">IF($AB118="DIRECT",$S118,DSTDEV('literature entries'!$D:$AI,IF($J118=1,"ACTIVE     GHGE, FARM GATE (kg CO2e/kg)","GHGE, processor gate (kg CO2e/kg)"),INDIRECT($AB118)))</f>
        <v>0.48066612900868155</v>
      </c>
      <c r="AF118" s="212">
        <f t="shared" ca="1" si="14"/>
        <v>1.6137383754819445</v>
      </c>
    </row>
    <row r="119" spans="1:32" s="19" customFormat="1" ht="17" thickBot="1" x14ac:dyDescent="0.25">
      <c r="A119" s="114">
        <v>902357000</v>
      </c>
      <c r="B119" s="115" t="s">
        <v>2279</v>
      </c>
      <c r="C119" s="115" t="s">
        <v>2280</v>
      </c>
      <c r="D119" s="115" t="s">
        <v>2281</v>
      </c>
      <c r="E119" s="115">
        <v>392</v>
      </c>
      <c r="F119" s="111">
        <f t="shared" ca="1" si="9"/>
        <v>1.3535999999999999</v>
      </c>
      <c r="G119" s="112">
        <f t="shared" ca="1" si="10"/>
        <v>6.2885999999999997E-2</v>
      </c>
      <c r="H119" s="116">
        <v>1.41</v>
      </c>
      <c r="I119" s="117" t="s">
        <v>2724</v>
      </c>
      <c r="J119" s="79">
        <v>1</v>
      </c>
      <c r="K119" s="78"/>
      <c r="L119" s="135" t="str">
        <f>IF(ISERROR(GETPIVOTDATA(IF($J119=1,"Count of ACTIVE     CED, FARM GATE (MJ/kg)","Count of CED, processor gate (MJ/kg)"),'Pivot Table_CED'!$A$3,"SUB TYPE",$B119)),"PROXY",IF(GETPIVOTDATA(IF($J119=1,"Count of ACTIVE     CED, FARM GATE (MJ/kg)","Count of CED, processor gate (MJ/kg)"),'Pivot Table_CED'!$A$3,"SUB TYPE",$B119)=0,"PROXY","DB value"))</f>
        <v>DB value</v>
      </c>
      <c r="M119" s="118">
        <f ca="1">IF($L119="PROXY",DCOUNT('literature entries'!$D:$AI,IF($J119=1,"ACTIVE     CED, FARM GATE (MJ/kg)","CED, processor gate (MJ/kg)"),INDIRECT($K119)),GETPIVOTDATA(IF($J119=1,"Count of ACTIVE     CED, FARM GATE (MJ/kg)","Count of CED, processor gate (MJ/kg)"),'Pivot Table_CED'!$A$3,"SUB TYPE",$B119))</f>
        <v>1</v>
      </c>
      <c r="N119" s="119">
        <f ca="1">IF($L119="PROXY",DAVERAGE('literature entries'!$D:$AI,IF($J119=1,"ACTIVE     CED, FARM GATE (MJ/kg)","CED, processor gate (MJ/kg)"),INDIRECT($K119)),GETPIVOTDATA(IF($J119=1,"Average of ACTIVE     CED, FARM GATE (MJ/kg)","Average of CED, processor gate (MJ/kg)"),'Pivot Table_CED'!$A$3,"SUB TYPE",$B119))</f>
        <v>0.96</v>
      </c>
      <c r="O119" s="119">
        <f ca="1">IF($L119="PROXY",DSTDEV('literature entries'!D:AI,IF($J119=1,"ACTIVE     CED, FARM GATE (MJ/kg)","CED, processor gate (MJ/kg)"),INDIRECT($K119)),GETPIVOTDATA(IF($J119=1,"StdDev of ACTIVE     CED, FARM GATE (MJ/kg)","StdDev of CED, processor gate (MJ/kg)"),'Pivot Table_CED'!$A$3,"SUB TYPE",$B119))</f>
        <v>0</v>
      </c>
      <c r="P119" s="135" t="str">
        <f>IF(ISERROR(GETPIVOTDATA(IF($J119=1,"Count of ACTIVE     GHGE, FARM GATE (kg CO2e/kg)","Count of GHGE, processor gate (kg CO2e/kg)"),'Pivot Table_GHG'!$A$3,"SUB TYPE",$B119)),"PROXY",IF(GETPIVOTDATA(IF($J119=1,"Count of ACTIVE     GHGE, FARM GATE (kg CO2e/kg)","Count of GHGE, processor gate (kg CO2e/kg)"),'Pivot Table_GHG'!$A$3,"SUB TYPE",$B119)=0,"PROXY","DB value"))</f>
        <v>DB value</v>
      </c>
      <c r="Q119" s="125">
        <f ca="1">IF($P119="PROXY",DCOUNT('literature entries'!$D:$AI,IF($J119=1,"ACTIVE     GHGE, FARM GATE (kg CO2e/kg)","GHGE, processor gate (kg CO2e/kg)"),INDIRECT($K119)),GETPIVOTDATA(IF($J119=1,"ACTIVE     GHGE, FARM GATE (kg CO2e/kg)","Count of GHGE, processor gate (kg CO2e/kg)"),'Pivot Table_GHG'!$A$3,"SUB TYPE",$B119))</f>
        <v>5</v>
      </c>
      <c r="R119" s="190">
        <f ca="1">IF($P119="PROXY",DAVERAGE('literature entries'!$D:$AI,IF($J119=1,"ACTIVE     GHGE, FARM GATE (kg CO2e/kg)","GHGE, processor gate (kg CO2e/kg)"),INDIRECT($K119)),GETPIVOTDATA(IF($J119=1,"Average of ACTIVE     GHGE, FARM GATE (kg CO2e/kg)","Average of GHGE, processor gate (kg CO2e/kg)"),'Pivot Table_GHG'!$A$3,"SUB TYPE",$B119))</f>
        <v>4.4600000000000001E-2</v>
      </c>
      <c r="S119" s="190">
        <f ca="1">IF($P119="PROXY",DSTDEV('literature entries'!$D:$AI,IF($J119=1,"ACTIVE     GHGE, FARM GATE (kg CO2e/kg)","GHGE, processor gate (kg CO2e/kg)"),INDIRECT($K119)),GETPIVOTDATA(IF($J119=1,"StdDev of ACTIVE     GHGE, FARM GATE (kg CO2e/kg)","StdDev of GHGE, processor gate (kg CO2e/kg)"),'Pivot Table_GHG'!$A$3,"SUB TYPE",$B119))</f>
        <v>2.7660350684689455E-2</v>
      </c>
      <c r="T119" s="88"/>
      <c r="U119" s="89"/>
      <c r="W119" s="213" t="s">
        <v>3370</v>
      </c>
      <c r="X119" s="211">
        <f ca="1">IF($W119="DIRECT",M119,DCOUNT('literature entries'!$D:$AI,IF($J119=1,"ACTIVE     CED, FARM GATE (MJ/kg)","CED, processor gate (MJ/kg)"),INDIRECT($W119)))</f>
        <v>4</v>
      </c>
      <c r="Y119" s="211">
        <f ca="1">IF($W119="DIRECT","",DAVERAGE('literature entries'!$D:$AI,IF($J119=1,"ACTIVE     CED, FARM GATE (MJ/kg)","CED, processor gate (MJ/kg)"),INDIRECT($W119)))</f>
        <v>1.2949999999999999</v>
      </c>
      <c r="Z119" s="211">
        <f ca="1">IF($W119="DIRECT",$O119,DSTDEV('literature entries'!$D:$AI,IF($J119=1,"ACTIVE     CED, FARM GATE (MJ/kg)","CED, processor gate (MJ/kg)"),INDIRECT($W119)))</f>
        <v>0.49568134925574941</v>
      </c>
      <c r="AA119" s="211">
        <f t="shared" ca="1" si="13"/>
        <v>0.36745489983437796</v>
      </c>
      <c r="AB119" s="219" t="str">
        <f t="shared" ref="AB119:AB127" ca="1" si="15">IF(P119="PROXY",IF(Q119&gt;=5,K119,"need group"),IF(Q119&gt;=5,"DIRECT","need group"))</f>
        <v>DIRECT</v>
      </c>
      <c r="AC119" s="212">
        <f ca="1">IF($AB119="DIRECT",Q119,DCOUNT('literature entries'!$D:$AI,IF($J119=1,"ACTIVE     GHGE, FARM GATE (kg CO2e/kg)","GHGE, processor gate (kg CO2e/kg)"),INDIRECT($AB119)))</f>
        <v>5</v>
      </c>
      <c r="AD119" s="212" t="str">
        <f ca="1">IF($AB119="DIRECT","",DAVERAGE('literature entries'!$D:$AI,IF($J119=1,"ACTIVE     GHGE, FARM GATE (kg CO2e/kg)","GHGE, processor gate (kg CO2e/kg)"),INDIRECT($AB119)))</f>
        <v/>
      </c>
      <c r="AE119" s="212">
        <f ca="1">IF($AB119="DIRECT",$S119,DSTDEV('literature entries'!$D:$AI,IF($J119=1,"ACTIVE     GHGE, FARM GATE (kg CO2e/kg)","GHGE, processor gate (kg CO2e/kg)"),INDIRECT($AB119)))</f>
        <v>2.7660350684689455E-2</v>
      </c>
      <c r="AF119" s="212">
        <f t="shared" ca="1" si="14"/>
        <v>2.7660350684689455E-2</v>
      </c>
    </row>
    <row r="120" spans="1:32" s="19" customFormat="1" ht="17" thickBot="1" x14ac:dyDescent="0.25">
      <c r="A120" s="114">
        <v>1001106000</v>
      </c>
      <c r="B120" s="115" t="s">
        <v>1910</v>
      </c>
      <c r="C120" s="115" t="s">
        <v>1842</v>
      </c>
      <c r="D120" s="115"/>
      <c r="E120" s="115">
        <v>37</v>
      </c>
      <c r="F120" s="111">
        <f t="shared" ca="1" si="9"/>
        <v>5.2766666666666664</v>
      </c>
      <c r="G120" s="112">
        <f t="shared" ca="1" si="10"/>
        <v>0.59301426805976853</v>
      </c>
      <c r="H120" s="116">
        <v>2</v>
      </c>
      <c r="I120" s="117" t="s">
        <v>2751</v>
      </c>
      <c r="J120" s="79">
        <v>1</v>
      </c>
      <c r="K120" s="78" t="s">
        <v>2458</v>
      </c>
      <c r="L120" s="135" t="str">
        <f>IF(ISERROR(GETPIVOTDATA(IF($J120=1,"Count of ACTIVE     CED, FARM GATE (MJ/kg)","Count of CED, processor gate (MJ/kg)"),'Pivot Table_CED'!$A$3,"SUB TYPE",$B120)),"PROXY",IF(GETPIVOTDATA(IF($J120=1,"Count of ACTIVE     CED, FARM GATE (MJ/kg)","Count of CED, processor gate (MJ/kg)"),'Pivot Table_CED'!$A$3,"SUB TYPE",$B120)=0,"PROXY","DB value"))</f>
        <v>PROXY</v>
      </c>
      <c r="M120" s="118">
        <f ca="1">IF($L120="PROXY",DCOUNT('literature entries'!$D:$AI,IF($J120=1,"ACTIVE     CED, FARM GATE (MJ/kg)","CED, processor gate (MJ/kg)"),INDIRECT($K120)),GETPIVOTDATA(IF($J120=1,"Count of ACTIVE     CED, FARM GATE (MJ/kg)","Count of CED, processor gate (MJ/kg)"),'Pivot Table_CED'!$A$3,"SUB TYPE",$B120))</f>
        <v>6</v>
      </c>
      <c r="N120" s="119">
        <f ca="1">IF($L120="PROXY",DAVERAGE('literature entries'!$D:$AI,IF($J120=1,"ACTIVE     CED, FARM GATE (MJ/kg)","CED, processor gate (MJ/kg)"),INDIRECT($K120)),GETPIVOTDATA(IF($J120=1,"Average of ACTIVE     CED, FARM GATE (MJ/kg)","Average of CED, processor gate (MJ/kg)"),'Pivot Table_CED'!$A$3,"SUB TYPE",$B120))</f>
        <v>2.6383333333333332</v>
      </c>
      <c r="O120" s="119">
        <f ca="1">IF($L120="PROXY",DSTDEV('literature entries'!D:AI,IF($J120=1,"ACTIVE     CED, FARM GATE (MJ/kg)","CED, processor gate (MJ/kg)"),INDIRECT($K120)),GETPIVOTDATA(IF($J120=1,"StdDev of ACTIVE     CED, FARM GATE (MJ/kg)","StdDev of CED, processor gate (MJ/kg)"),'Pivot Table_CED'!$A$3,"SUB TYPE",$B120))</f>
        <v>0.64558242437869295</v>
      </c>
      <c r="P120" s="135" t="str">
        <f>IF(ISERROR(GETPIVOTDATA(IF($J120=1,"Count of ACTIVE     GHGE, FARM GATE (kg CO2e/kg)","Count of GHGE, processor gate (kg CO2e/kg)"),'Pivot Table_GHG'!$A$3,"SUB TYPE",$B120)),"PROXY",IF(GETPIVOTDATA(IF($J120=1,"Count of ACTIVE     GHGE, FARM GATE (kg CO2e/kg)","Count of GHGE, processor gate (kg CO2e/kg)"),'Pivot Table_GHG'!$A$3,"SUB TYPE",$B120)=0,"PROXY","DB value"))</f>
        <v>PROXY</v>
      </c>
      <c r="Q120" s="125">
        <f ca="1">IF($P120="PROXY",DCOUNT('literature entries'!$D:$AI,IF($J120=1,"ACTIVE     GHGE, FARM GATE (kg CO2e/kg)","GHGE, processor gate (kg CO2e/kg)"),INDIRECT($K120)),GETPIVOTDATA(IF($J120=1,"ACTIVE     GHGE, FARM GATE (kg CO2e/kg)","Count of GHGE, processor gate (kg CO2e/kg)"),'Pivot Table_GHG'!$A$3,"SUB TYPE",$B120))</f>
        <v>23</v>
      </c>
      <c r="R120" s="190">
        <f ca="1">IF($P120="PROXY",DAVERAGE('literature entries'!$D:$AI,IF($J120=1,"ACTIVE     GHGE, FARM GATE (kg CO2e/kg)","GHGE, processor gate (kg CO2e/kg)"),INDIRECT($K120)),GETPIVOTDATA(IF($J120=1,"Average of ACTIVE     GHGE, FARM GATE (kg CO2e/kg)","Average of GHGE, processor gate (kg CO2e/kg)"),'Pivot Table_GHG'!$A$3,"SUB TYPE",$B120))</f>
        <v>0.29650713402988427</v>
      </c>
      <c r="S120" s="190">
        <f ca="1">IF($P120="PROXY",DSTDEV('literature entries'!$D:$AI,IF($J120=1,"ACTIVE     GHGE, FARM GATE (kg CO2e/kg)","GHGE, processor gate (kg CO2e/kg)"),INDIRECT($K120)),GETPIVOTDATA(IF($J120=1,"StdDev of ACTIVE     GHGE, FARM GATE (kg CO2e/kg)","StdDev of GHGE, processor gate (kg CO2e/kg)"),'Pivot Table_GHG'!$A$3,"SUB TYPE",$B120))</f>
        <v>0.21093968918220651</v>
      </c>
      <c r="T120" s="88"/>
      <c r="U120" s="89"/>
      <c r="W120" s="213" t="str">
        <f ca="1">IF(L120="PROXY",IF(M120&gt;=5,K120,"need group"),IF(M120&gt;=5,"DIRECT","need group"))</f>
        <v>citrus</v>
      </c>
      <c r="X120" s="211">
        <f ca="1">IF($W120="DIRECT",M120,DCOUNT('literature entries'!$D:$AI,IF($J120=1,"ACTIVE     CED, FARM GATE (MJ/kg)","CED, processor gate (MJ/kg)"),INDIRECT($W120)))</f>
        <v>6</v>
      </c>
      <c r="Y120" s="211">
        <f ca="1">IF($W120="DIRECT","",DAVERAGE('literature entries'!$D:$AI,IF($J120=1,"ACTIVE     CED, FARM GATE (MJ/kg)","CED, processor gate (MJ/kg)"),INDIRECT($W120)))</f>
        <v>2.6383333333333332</v>
      </c>
      <c r="Z120" s="211">
        <f ca="1">IF($W120="DIRECT",$O120,DSTDEV('literature entries'!$D:$AI,IF($J120=1,"ACTIVE     CED, FARM GATE (MJ/kg)","CED, processor gate (MJ/kg)"),INDIRECT($W120)))</f>
        <v>0.64558242437869295</v>
      </c>
      <c r="AA120" s="211">
        <f t="shared" ca="1" si="13"/>
        <v>0.64558242437869295</v>
      </c>
      <c r="AB120" s="219" t="str">
        <f t="shared" ca="1" si="15"/>
        <v>citrus</v>
      </c>
      <c r="AC120" s="212">
        <f ca="1">IF($AB120="DIRECT",Q120,DCOUNT('literature entries'!$D:$AI,IF($J120=1,"ACTIVE     GHGE, FARM GATE (kg CO2e/kg)","GHGE, processor gate (kg CO2e/kg)"),INDIRECT($AB120)))</f>
        <v>23</v>
      </c>
      <c r="AD120" s="212">
        <f ca="1">IF($AB120="DIRECT","",DAVERAGE('literature entries'!$D:$AI,IF($J120=1,"ACTIVE     GHGE, FARM GATE (kg CO2e/kg)","GHGE, processor gate (kg CO2e/kg)"),INDIRECT($AB120)))</f>
        <v>0.29650713402988427</v>
      </c>
      <c r="AE120" s="212">
        <f ca="1">IF($AB120="DIRECT",$S120,DSTDEV('literature entries'!$D:$AI,IF($J120=1,"ACTIVE     GHGE, FARM GATE (kg CO2e/kg)","GHGE, processor gate (kg CO2e/kg)"),INDIRECT($AB120)))</f>
        <v>0.21093968918220651</v>
      </c>
      <c r="AF120" s="212">
        <f t="shared" ca="1" si="14"/>
        <v>0.21093968918220649</v>
      </c>
    </row>
    <row r="121" spans="1:32" s="19" customFormat="1" ht="17" thickBot="1" x14ac:dyDescent="0.25">
      <c r="A121" s="114">
        <v>1001107000</v>
      </c>
      <c r="B121" s="115" t="s">
        <v>1911</v>
      </c>
      <c r="C121" s="115" t="s">
        <v>1912</v>
      </c>
      <c r="D121" s="115" t="s">
        <v>1913</v>
      </c>
      <c r="E121" s="115">
        <v>20</v>
      </c>
      <c r="F121" s="111">
        <f t="shared" ca="1" si="9"/>
        <v>3.56175</v>
      </c>
      <c r="G121" s="112">
        <f t="shared" ca="1" si="10"/>
        <v>0.40028463094034378</v>
      </c>
      <c r="H121" s="116">
        <v>1.35</v>
      </c>
      <c r="I121" s="117" t="s">
        <v>2752</v>
      </c>
      <c r="J121" s="79">
        <v>1</v>
      </c>
      <c r="K121" s="78" t="s">
        <v>2458</v>
      </c>
      <c r="L121" s="135" t="str">
        <f>IF(ISERROR(GETPIVOTDATA(IF($J121=1,"Count of ACTIVE     CED, FARM GATE (MJ/kg)","Count of CED, processor gate (MJ/kg)"),'Pivot Table_CED'!$A$3,"SUB TYPE",$B121)),"PROXY",IF(GETPIVOTDATA(IF($J121=1,"Count of ACTIVE     CED, FARM GATE (MJ/kg)","Count of CED, processor gate (MJ/kg)"),'Pivot Table_CED'!$A$3,"SUB TYPE",$B121)=0,"PROXY","DB value"))</f>
        <v>PROXY</v>
      </c>
      <c r="M121" s="118">
        <f ca="1">IF($L121="PROXY",DCOUNT('literature entries'!$D:$AI,IF($J121=1,"ACTIVE     CED, FARM GATE (MJ/kg)","CED, processor gate (MJ/kg)"),INDIRECT($K121)),GETPIVOTDATA(IF($J121=1,"Count of ACTIVE     CED, FARM GATE (MJ/kg)","Count of CED, processor gate (MJ/kg)"),'Pivot Table_CED'!$A$3,"SUB TYPE",$B121))</f>
        <v>6</v>
      </c>
      <c r="N121" s="119">
        <f ca="1">IF($L121="PROXY",DAVERAGE('literature entries'!$D:$AI,IF($J121=1,"ACTIVE     CED, FARM GATE (MJ/kg)","CED, processor gate (MJ/kg)"),INDIRECT($K121)),GETPIVOTDATA(IF($J121=1,"Average of ACTIVE     CED, FARM GATE (MJ/kg)","Average of CED, processor gate (MJ/kg)"),'Pivot Table_CED'!$A$3,"SUB TYPE",$B121))</f>
        <v>2.6383333333333332</v>
      </c>
      <c r="O121" s="119">
        <f ca="1">IF($L121="PROXY",DSTDEV('literature entries'!D:AI,IF($J121=1,"ACTIVE     CED, FARM GATE (MJ/kg)","CED, processor gate (MJ/kg)"),INDIRECT($K121)),GETPIVOTDATA(IF($J121=1,"StdDev of ACTIVE     CED, FARM GATE (MJ/kg)","StdDev of CED, processor gate (MJ/kg)"),'Pivot Table_CED'!$A$3,"SUB TYPE",$B121))</f>
        <v>0.64558242437869295</v>
      </c>
      <c r="P121" s="135" t="str">
        <f>IF(ISERROR(GETPIVOTDATA(IF($J121=1,"Count of ACTIVE     GHGE, FARM GATE (kg CO2e/kg)","Count of GHGE, processor gate (kg CO2e/kg)"),'Pivot Table_GHG'!$A$3,"SUB TYPE",$B121)),"PROXY",IF(GETPIVOTDATA(IF($J121=1,"Count of ACTIVE     GHGE, FARM GATE (kg CO2e/kg)","Count of GHGE, processor gate (kg CO2e/kg)"),'Pivot Table_GHG'!$A$3,"SUB TYPE",$B121)=0,"PROXY","DB value"))</f>
        <v>PROXY</v>
      </c>
      <c r="Q121" s="125">
        <f ca="1">IF($P121="PROXY",DCOUNT('literature entries'!$D:$AI,IF($J121=1,"ACTIVE     GHGE, FARM GATE (kg CO2e/kg)","GHGE, processor gate (kg CO2e/kg)"),INDIRECT($K121)),GETPIVOTDATA(IF($J121=1,"ACTIVE     GHGE, FARM GATE (kg CO2e/kg)","Count of GHGE, processor gate (kg CO2e/kg)"),'Pivot Table_GHG'!$A$3,"SUB TYPE",$B121))</f>
        <v>23</v>
      </c>
      <c r="R121" s="190">
        <f ca="1">IF($P121="PROXY",DAVERAGE('literature entries'!$D:$AI,IF($J121=1,"ACTIVE     GHGE, FARM GATE (kg CO2e/kg)","GHGE, processor gate (kg CO2e/kg)"),INDIRECT($K121)),GETPIVOTDATA(IF($J121=1,"Average of ACTIVE     GHGE, FARM GATE (kg CO2e/kg)","Average of GHGE, processor gate (kg CO2e/kg)"),'Pivot Table_GHG'!$A$3,"SUB TYPE",$B121))</f>
        <v>0.29650713402988427</v>
      </c>
      <c r="S121" s="190">
        <f ca="1">IF($P121="PROXY",DSTDEV('literature entries'!$D:$AI,IF($J121=1,"ACTIVE     GHGE, FARM GATE (kg CO2e/kg)","GHGE, processor gate (kg CO2e/kg)"),INDIRECT($K121)),GETPIVOTDATA(IF($J121=1,"StdDev of ACTIVE     GHGE, FARM GATE (kg CO2e/kg)","StdDev of GHGE, processor gate (kg CO2e/kg)"),'Pivot Table_GHG'!$A$3,"SUB TYPE",$B121))</f>
        <v>0.21093968918220651</v>
      </c>
      <c r="T121" s="88"/>
      <c r="U121" s="89"/>
      <c r="W121" s="213" t="str">
        <f ca="1">IF(L121="PROXY",IF(M121&gt;=5,K121,"need group"),IF(M121&gt;=5,"DIRECT","need group"))</f>
        <v>citrus</v>
      </c>
      <c r="X121" s="211">
        <f ca="1">IF($W121="DIRECT",M121,DCOUNT('literature entries'!$D:$AI,IF($J121=1,"ACTIVE     CED, FARM GATE (MJ/kg)","CED, processor gate (MJ/kg)"),INDIRECT($W121)))</f>
        <v>6</v>
      </c>
      <c r="Y121" s="211">
        <f ca="1">IF($W121="DIRECT","",DAVERAGE('literature entries'!$D:$AI,IF($J121=1,"ACTIVE     CED, FARM GATE (MJ/kg)","CED, processor gate (MJ/kg)"),INDIRECT($W121)))</f>
        <v>2.6383333333333332</v>
      </c>
      <c r="Z121" s="211">
        <f ca="1">IF($W121="DIRECT",$O121,DSTDEV('literature entries'!$D:$AI,IF($J121=1,"ACTIVE     CED, FARM GATE (MJ/kg)","CED, processor gate (MJ/kg)"),INDIRECT($W121)))</f>
        <v>0.64558242437869295</v>
      </c>
      <c r="AA121" s="211">
        <f t="shared" ca="1" si="13"/>
        <v>0.64558242437869295</v>
      </c>
      <c r="AB121" s="219" t="str">
        <f t="shared" ca="1" si="15"/>
        <v>citrus</v>
      </c>
      <c r="AC121" s="212">
        <f ca="1">IF($AB121="DIRECT",Q121,DCOUNT('literature entries'!$D:$AI,IF($J121=1,"ACTIVE     GHGE, FARM GATE (kg CO2e/kg)","GHGE, processor gate (kg CO2e/kg)"),INDIRECT($AB121)))</f>
        <v>23</v>
      </c>
      <c r="AD121" s="212">
        <f ca="1">IF($AB121="DIRECT","",DAVERAGE('literature entries'!$D:$AI,IF($J121=1,"ACTIVE     GHGE, FARM GATE (kg CO2e/kg)","GHGE, processor gate (kg CO2e/kg)"),INDIRECT($AB121)))</f>
        <v>0.29650713402988427</v>
      </c>
      <c r="AE121" s="212">
        <f ca="1">IF($AB121="DIRECT",$S121,DSTDEV('literature entries'!$D:$AI,IF($J121=1,"ACTIVE     GHGE, FARM GATE (kg CO2e/kg)","GHGE, processor gate (kg CO2e/kg)"),INDIRECT($AB121)))</f>
        <v>0.21093968918220651</v>
      </c>
      <c r="AF121" s="212">
        <f t="shared" ca="1" si="14"/>
        <v>0.21093968918220649</v>
      </c>
    </row>
    <row r="122" spans="1:32" s="19" customFormat="1" thickBot="1" x14ac:dyDescent="0.25">
      <c r="A122" s="114">
        <v>1001240000</v>
      </c>
      <c r="B122" s="115" t="s">
        <v>2109</v>
      </c>
      <c r="C122" s="115" t="s">
        <v>1912</v>
      </c>
      <c r="D122" s="115"/>
      <c r="E122" s="115">
        <v>3262</v>
      </c>
      <c r="F122" s="111">
        <f t="shared" ca="1" si="9"/>
        <v>3.7263999999999999</v>
      </c>
      <c r="G122" s="112">
        <f t="shared" ca="1" si="10"/>
        <v>0.2936715225601273</v>
      </c>
      <c r="H122" s="116">
        <v>1.37</v>
      </c>
      <c r="I122" s="116" t="s">
        <v>2724</v>
      </c>
      <c r="J122" s="79">
        <v>1</v>
      </c>
      <c r="K122" s="78"/>
      <c r="L122" s="135" t="str">
        <f>IF(ISERROR(GETPIVOTDATA(IF($J122=1,"Count of ACTIVE     CED, FARM GATE (MJ/kg)","Count of CED, processor gate (MJ/kg)"),'Pivot Table_CED'!$A$3,"SUB TYPE",$B122)),"PROXY",IF(GETPIVOTDATA(IF($J122=1,"Count of ACTIVE     CED, FARM GATE (MJ/kg)","Count of CED, processor gate (MJ/kg)"),'Pivot Table_CED'!$A$3,"SUB TYPE",$B122)=0,"PROXY","DB value"))</f>
        <v>DB value</v>
      </c>
      <c r="M122" s="118">
        <f ca="1">IF($L122="PROXY",DCOUNT('literature entries'!$D:$AI,IF($J122=1,"ACTIVE     CED, FARM GATE (MJ/kg)","CED, processor gate (MJ/kg)"),INDIRECT($K122)),GETPIVOTDATA(IF($J122=1,"Count of ACTIVE     CED, FARM GATE (MJ/kg)","Count of CED, processor gate (MJ/kg)"),'Pivot Table_CED'!$A$3,"SUB TYPE",$B122))</f>
        <v>4</v>
      </c>
      <c r="N122" s="119">
        <f ca="1">IF($L122="PROXY",DAVERAGE('literature entries'!$D:$AI,IF($J122=1,"ACTIVE     CED, FARM GATE (MJ/kg)","CED, processor gate (MJ/kg)"),INDIRECT($K122)),GETPIVOTDATA(IF($J122=1,"Average of ACTIVE     CED, FARM GATE (MJ/kg)","Average of CED, processor gate (MJ/kg)"),'Pivot Table_CED'!$A$3,"SUB TYPE",$B122))</f>
        <v>2.7199999999999998</v>
      </c>
      <c r="O122" s="119">
        <f ca="1">IF($L122="PROXY",DSTDEV('literature entries'!D:AI,IF($J122=1,"ACTIVE     CED, FARM GATE (MJ/kg)","CED, processor gate (MJ/kg)"),INDIRECT($K122)),GETPIVOTDATA(IF($J122=1,"StdDev of ACTIVE     CED, FARM GATE (MJ/kg)","StdDev of CED, processor gate (MJ/kg)"),'Pivot Table_CED'!$A$3,"SUB TYPE",$B122))</f>
        <v>0.75775985641890686</v>
      </c>
      <c r="P122" s="135" t="str">
        <f>IF(ISERROR(GETPIVOTDATA(IF($J122=1,"Count of ACTIVE     GHGE, FARM GATE (kg CO2e/kg)","Count of GHGE, processor gate (kg CO2e/kg)"),'Pivot Table_GHG'!$A$3,"SUB TYPE",$B122)),"PROXY",IF(GETPIVOTDATA(IF($J122=1,"Count of ACTIVE     GHGE, FARM GATE (kg CO2e/kg)","Count of GHGE, processor gate (kg CO2e/kg)"),'Pivot Table_GHG'!$A$3,"SUB TYPE",$B122)=0,"PROXY","DB value"))</f>
        <v>DB value</v>
      </c>
      <c r="Q122" s="125">
        <f ca="1">IF($P122="PROXY",DCOUNT('literature entries'!$D:$AI,IF($J122=1,"ACTIVE     GHGE, FARM GATE (kg CO2e/kg)","GHGE, processor gate (kg CO2e/kg)"),INDIRECT($K122)),GETPIVOTDATA(IF($J122=1,"ACTIVE     GHGE, FARM GATE (kg CO2e/kg)","Count of GHGE, processor gate (kg CO2e/kg)"),'Pivot Table_GHG'!$A$3,"SUB TYPE",$B122))</f>
        <v>13</v>
      </c>
      <c r="R122" s="190">
        <f ca="1">IF($P122="PROXY",DAVERAGE('literature entries'!$D:$AI,IF($J122=1,"ACTIVE     GHGE, FARM GATE (kg CO2e/kg)","GHGE, processor gate (kg CO2e/kg)"),INDIRECT($K122)),GETPIVOTDATA(IF($J122=1,"Average of ACTIVE     GHGE, FARM GATE (kg CO2e/kg)","Average of GHGE, processor gate (kg CO2e/kg)"),'Pivot Table_GHG'!$A$3,"SUB TYPE",$B122))</f>
        <v>0.21435877559133376</v>
      </c>
      <c r="S122" s="190">
        <f ca="1">IF($P122="PROXY",DSTDEV('literature entries'!$D:$AI,IF($J122=1,"ACTIVE     GHGE, FARM GATE (kg CO2e/kg)","GHGE, processor gate (kg CO2e/kg)"),INDIRECT($K122)),GETPIVOTDATA(IF($J122=1,"StdDev of ACTIVE     GHGE, FARM GATE (kg CO2e/kg)","StdDev of GHGE, processor gate (kg CO2e/kg)"),'Pivot Table_GHG'!$A$3,"SUB TYPE",$B122))</f>
        <v>8.445428045459806E-2</v>
      </c>
      <c r="T122" s="88"/>
      <c r="U122" s="89"/>
      <c r="W122" s="213" t="s">
        <v>2458</v>
      </c>
      <c r="X122" s="211">
        <f ca="1">IF($W122="DIRECT",M122,DCOUNT('literature entries'!$D:$AI,IF($J122=1,"ACTIVE     CED, FARM GATE (MJ/kg)","CED, processor gate (MJ/kg)"),INDIRECT($W122)))</f>
        <v>6</v>
      </c>
      <c r="Y122" s="211">
        <f ca="1">IF($W122="DIRECT","",DAVERAGE('literature entries'!$D:$AI,IF($J122=1,"ACTIVE     CED, FARM GATE (MJ/kg)","CED, processor gate (MJ/kg)"),INDIRECT($W122)))</f>
        <v>2.6383333333333332</v>
      </c>
      <c r="Z122" s="211">
        <f ca="1">IF($W122="DIRECT",$O122,DSTDEV('literature entries'!$D:$AI,IF($J122=1,"ACTIVE     CED, FARM GATE (MJ/kg)","CED, processor gate (MJ/kg)"),INDIRECT($W122)))</f>
        <v>0.64558242437869295</v>
      </c>
      <c r="AA122" s="211">
        <f t="shared" ca="1" si="13"/>
        <v>0.6655657085192842</v>
      </c>
      <c r="AB122" s="219" t="str">
        <f t="shared" ca="1" si="15"/>
        <v>DIRECT</v>
      </c>
      <c r="AC122" s="212">
        <f ca="1">IF($AB122="DIRECT",Q122,DCOUNT('literature entries'!$D:$AI,IF($J122=1,"ACTIVE     GHGE, FARM GATE (kg CO2e/kg)","GHGE, processor gate (kg CO2e/kg)"),INDIRECT($AB122)))</f>
        <v>13</v>
      </c>
      <c r="AD122" s="212" t="str">
        <f ca="1">IF($AB122="DIRECT","",DAVERAGE('literature entries'!$D:$AI,IF($J122=1,"ACTIVE     GHGE, FARM GATE (kg CO2e/kg)","GHGE, processor gate (kg CO2e/kg)"),INDIRECT($AB122)))</f>
        <v/>
      </c>
      <c r="AE122" s="212">
        <f ca="1">IF($AB122="DIRECT",$S122,DSTDEV('literature entries'!$D:$AI,IF($J122=1,"ACTIVE     GHGE, FARM GATE (kg CO2e/kg)","GHGE, processor gate (kg CO2e/kg)"),INDIRECT($AB122)))</f>
        <v>8.445428045459806E-2</v>
      </c>
      <c r="AF122" s="212">
        <f t="shared" ca="1" si="14"/>
        <v>8.445428045459806E-2</v>
      </c>
    </row>
    <row r="123" spans="1:32" s="19" customFormat="1" ht="17" thickBot="1" x14ac:dyDescent="0.25">
      <c r="A123" s="114">
        <v>1001241000</v>
      </c>
      <c r="B123" s="115" t="s">
        <v>2110</v>
      </c>
      <c r="C123" s="120" t="s">
        <v>1742</v>
      </c>
      <c r="D123" s="115"/>
      <c r="E123" s="115">
        <v>18007</v>
      </c>
      <c r="F123" s="111">
        <f t="shared" ca="1" si="9"/>
        <v>5.5726145038167934</v>
      </c>
      <c r="G123" s="112">
        <f t="shared" ca="1" si="10"/>
        <v>0.50938628992632562</v>
      </c>
      <c r="H123" s="116">
        <v>1</v>
      </c>
      <c r="I123" s="117" t="s">
        <v>628</v>
      </c>
      <c r="J123" s="79">
        <v>2</v>
      </c>
      <c r="K123" s="201"/>
      <c r="L123" s="135" t="str">
        <f>IF(ISERROR(GETPIVOTDATA(IF($J123=1,"Count of ACTIVE     CED, FARM GATE (MJ/kg)","Count of CED, processor gate (MJ/kg)"),'Pivot Table_CED'!$A$3,"SUB TYPE",$B123)),"PROXY",IF(GETPIVOTDATA(IF($J123=1,"Count of ACTIVE     CED, FARM GATE (MJ/kg)","Count of CED, processor gate (MJ/kg)"),'Pivot Table_CED'!$A$3,"SUB TYPE",$B123)=0,"PROXY","DB value"))</f>
        <v>DB value</v>
      </c>
      <c r="M123" s="118">
        <f ca="1">IF($L123="PROXY",DCOUNT('literature entries'!$D:$AI,IF($J123=1,"ACTIVE     CED, FARM GATE (MJ/kg)","CED, processor gate (MJ/kg)"),INDIRECT($K123)),GETPIVOTDATA(IF($J123=1,"Count of ACTIVE     CED, FARM GATE (MJ/kg)","Count of CED, processor gate (MJ/kg)"),'Pivot Table_CED'!$A$3,"SUB TYPE",$B123))</f>
        <v>2</v>
      </c>
      <c r="N123" s="119">
        <f ca="1">IF($L123="PROXY",DAVERAGE('literature entries'!$D:$AI,IF($J123=1,"ACTIVE     CED, FARM GATE (MJ/kg)","CED, processor gate (MJ/kg)"),INDIRECT($K123)),GETPIVOTDATA(IF($J123=1,"Average of ACTIVE     CED, FARM GATE (MJ/kg)","Average of CED, processor gate (MJ/kg)"),'Pivot Table_CED'!$A$3,"SUB TYPE",$B123))</f>
        <v>5.5726145038167934</v>
      </c>
      <c r="O123" s="119">
        <f ca="1">IF($L123="PROXY",DSTDEV('literature entries'!D:AI,IF($J123=1,"ACTIVE     CED, FARM GATE (MJ/kg)","CED, processor gate (MJ/kg)"),INDIRECT($K123)),GETPIVOTDATA(IF($J123=1,"StdDev of ACTIVE     CED, FARM GATE (MJ/kg)","StdDev of CED, processor gate (MJ/kg)"),'Pivot Table_CED'!$A$3,"SUB TYPE",$B123))</f>
        <v>3.998526914759271</v>
      </c>
      <c r="P123" s="135" t="str">
        <f>IF(ISERROR(GETPIVOTDATA(IF($J123=1,"Count of ACTIVE     GHGE, FARM GATE (kg CO2e/kg)","Count of GHGE, processor gate (kg CO2e/kg)"),'Pivot Table_GHG'!$A$3,"SUB TYPE",$B123)),"PROXY",IF(GETPIVOTDATA(IF($J123=1,"Count of ACTIVE     GHGE, FARM GATE (kg CO2e/kg)","Count of GHGE, processor gate (kg CO2e/kg)"),'Pivot Table_GHG'!$A$3,"SUB TYPE",$B123)=0,"PROXY","DB value"))</f>
        <v>DB value</v>
      </c>
      <c r="Q123" s="125">
        <f ca="1">IF($P123="PROXY",DCOUNT('literature entries'!$D:$AI,IF($J123=1,"ACTIVE     GHGE, FARM GATE (kg CO2e/kg)","GHGE, processor gate (kg CO2e/kg)"),INDIRECT($K123)),GETPIVOTDATA(IF($J123=1,"ACTIVE     GHGE, FARM GATE (kg CO2e/kg)","Count of GHGE, processor gate (kg CO2e/kg)"),'Pivot Table_GHG'!$A$3,"SUB TYPE",$B123))</f>
        <v>5</v>
      </c>
      <c r="R123" s="190">
        <f ca="1">IF($P123="PROXY",DAVERAGE('literature entries'!$D:$AI,IF($J123=1,"ACTIVE     GHGE, FARM GATE (kg CO2e/kg)","GHGE, processor gate (kg CO2e/kg)"),INDIRECT($K123)),GETPIVOTDATA(IF($J123=1,"Average of ACTIVE     GHGE, FARM GATE (kg CO2e/kg)","Average of GHGE, processor gate (kg CO2e/kg)"),'Pivot Table_GHG'!$A$3,"SUB TYPE",$B123))</f>
        <v>0.50938628992632562</v>
      </c>
      <c r="S123" s="190">
        <f ca="1">IF($P123="PROXY",DSTDEV('literature entries'!$D:$AI,IF($J123=1,"ACTIVE     GHGE, FARM GATE (kg CO2e/kg)","GHGE, processor gate (kg CO2e/kg)"),INDIRECT($K123)),GETPIVOTDATA(IF($J123=1,"StdDev of ACTIVE     GHGE, FARM GATE (kg CO2e/kg)","StdDev of GHGE, processor gate (kg CO2e/kg)"),'Pivot Table_GHG'!$A$3,"SUB TYPE",$B123))</f>
        <v>0.2724524805172428</v>
      </c>
      <c r="T123" s="88"/>
      <c r="U123" s="89"/>
      <c r="W123" s="223" t="s">
        <v>2458</v>
      </c>
      <c r="X123" s="211">
        <f ca="1">IF($W123="DIRECT",M123,DCOUNT('literature entries'!$D:$AI,"ACTIVE     CED, FARM GATE (MJ/kg)",INDIRECT($W123)))</f>
        <v>6</v>
      </c>
      <c r="Y123" s="211">
        <f ca="1">IF($W123="DIRECT","",DAVERAGE('literature entries'!$D:$AI,"ACTIVE     CED, FARM GATE (MJ/kg)",INDIRECT($W123)))</f>
        <v>2.6383333333333332</v>
      </c>
      <c r="Z123" s="211">
        <f ca="1">IF($W123="DIRECT",$O123,DSTDEV('literature entries'!$D:$AI,"ACTIVE     CED, FARM GATE (MJ/kg)",INDIRECT($W123)))</f>
        <v>0.64558242437869295</v>
      </c>
      <c r="AA123" s="211">
        <f t="shared" ca="1" si="13"/>
        <v>1.3635812943153176</v>
      </c>
      <c r="AB123" s="219" t="str">
        <f t="shared" ca="1" si="15"/>
        <v>DIRECT</v>
      </c>
      <c r="AC123" s="212">
        <f ca="1">IF($AB123="DIRECT",Q123,DCOUNT('literature entries'!$D:$AI,IF($J123=1,"ACTIVE     GHGE, FARM GATE (kg CO2e/kg)","GHGE, processor gate (kg CO2e/kg)"),INDIRECT($AB123)))</f>
        <v>5</v>
      </c>
      <c r="AD123" s="212" t="str">
        <f ca="1">IF($AB123="DIRECT","",DAVERAGE('literature entries'!$D:$AI,IF($J123=1,"ACTIVE     GHGE, FARM GATE (kg CO2e/kg)","GHGE, processor gate (kg CO2e/kg)"),INDIRECT($AB123)))</f>
        <v/>
      </c>
      <c r="AE123" s="212">
        <f ca="1">IF($AB123="DIRECT",$S123,DSTDEV('literature entries'!$D:$AI,IF($J123=1,"ACTIVE     GHGE, FARM GATE (kg CO2e/kg)","GHGE, processor gate (kg CO2e/kg)"),INDIRECT($AB123)))</f>
        <v>0.2724524805172428</v>
      </c>
      <c r="AF123" s="212">
        <f t="shared" ca="1" si="14"/>
        <v>0.2724524805172428</v>
      </c>
    </row>
    <row r="124" spans="1:32" s="19" customFormat="1" ht="17" thickBot="1" x14ac:dyDescent="0.25">
      <c r="A124" s="114">
        <v>1001242000</v>
      </c>
      <c r="B124" s="115" t="s">
        <v>2111</v>
      </c>
      <c r="C124" s="115" t="s">
        <v>2052</v>
      </c>
      <c r="D124" s="115"/>
      <c r="E124" s="115">
        <v>202</v>
      </c>
      <c r="F124" s="111">
        <f t="shared" ca="1" si="9"/>
        <v>2.7199999999999998</v>
      </c>
      <c r="G124" s="112">
        <f t="shared" ca="1" si="10"/>
        <v>0.21435877559133376</v>
      </c>
      <c r="H124" s="116">
        <v>1</v>
      </c>
      <c r="I124" s="117" t="s">
        <v>594</v>
      </c>
      <c r="J124" s="79">
        <v>1</v>
      </c>
      <c r="K124" s="78" t="s">
        <v>2769</v>
      </c>
      <c r="L124" s="135" t="str">
        <f>IF(ISERROR(GETPIVOTDATA(IF($J124=1,"Count of ACTIVE     CED, FARM GATE (MJ/kg)","Count of CED, processor gate (MJ/kg)"),'Pivot Table_CED'!$A$3,"SUB TYPE",$B124)),"PROXY",IF(GETPIVOTDATA(IF($J124=1,"Count of ACTIVE     CED, FARM GATE (MJ/kg)","Count of CED, processor gate (MJ/kg)"),'Pivot Table_CED'!$A$3,"SUB TYPE",$B124)=0,"PROXY","DB value"))</f>
        <v>PROXY</v>
      </c>
      <c r="M124" s="118">
        <f ca="1">IF($L124="PROXY",DCOUNT('literature entries'!$D:$AI,IF($J124=1,"ACTIVE     CED, FARM GATE (MJ/kg)","CED, processor gate (MJ/kg)"),INDIRECT($K124)),GETPIVOTDATA(IF($J124=1,"Count of ACTIVE     CED, FARM GATE (MJ/kg)","Count of CED, processor gate (MJ/kg)"),'Pivot Table_CED'!$A$3,"SUB TYPE",$B124))</f>
        <v>4</v>
      </c>
      <c r="N124" s="119">
        <f ca="1">IF($L124="PROXY",DAVERAGE('literature entries'!$D:$AI,IF($J124=1,"ACTIVE     CED, FARM GATE (MJ/kg)","CED, processor gate (MJ/kg)"),INDIRECT($K124)),GETPIVOTDATA(IF($J124=1,"Average of ACTIVE     CED, FARM GATE (MJ/kg)","Average of CED, processor gate (MJ/kg)"),'Pivot Table_CED'!$A$3,"SUB TYPE",$B124))</f>
        <v>2.7199999999999998</v>
      </c>
      <c r="O124" s="119">
        <f ca="1">IF($L124="PROXY",DSTDEV('literature entries'!D:AI,IF($J124=1,"ACTIVE     CED, FARM GATE (MJ/kg)","CED, processor gate (MJ/kg)"),INDIRECT($K124)),GETPIVOTDATA(IF($J124=1,"StdDev of ACTIVE     CED, FARM GATE (MJ/kg)","StdDev of CED, processor gate (MJ/kg)"),'Pivot Table_CED'!$A$3,"SUB TYPE",$B124))</f>
        <v>0.75775985641890686</v>
      </c>
      <c r="P124" s="135" t="str">
        <f>IF(ISERROR(GETPIVOTDATA(IF($J124=1,"Count of ACTIVE     GHGE, FARM GATE (kg CO2e/kg)","Count of GHGE, processor gate (kg CO2e/kg)"),'Pivot Table_GHG'!$A$3,"SUB TYPE",$B124)),"PROXY",IF(GETPIVOTDATA(IF($J124=1,"Count of ACTIVE     GHGE, FARM GATE (kg CO2e/kg)","Count of GHGE, processor gate (kg CO2e/kg)"),'Pivot Table_GHG'!$A$3,"SUB TYPE",$B124)=0,"PROXY","DB value"))</f>
        <v>PROXY</v>
      </c>
      <c r="Q124" s="125">
        <f ca="1">IF($P124="PROXY",DCOUNT('literature entries'!$D:$AI,IF($J124=1,"ACTIVE     GHGE, FARM GATE (kg CO2e/kg)","GHGE, processor gate (kg CO2e/kg)"),INDIRECT($K124)),GETPIVOTDATA(IF($J124=1,"ACTIVE     GHGE, FARM GATE (kg CO2e/kg)","Count of GHGE, processor gate (kg CO2e/kg)"),'Pivot Table_GHG'!$A$3,"SUB TYPE",$B124))</f>
        <v>13</v>
      </c>
      <c r="R124" s="190">
        <f ca="1">IF($P124="PROXY",DAVERAGE('literature entries'!$D:$AI,IF($J124=1,"ACTIVE     GHGE, FARM GATE (kg CO2e/kg)","GHGE, processor gate (kg CO2e/kg)"),INDIRECT($K124)),GETPIVOTDATA(IF($J124=1,"Average of ACTIVE     GHGE, FARM GATE (kg CO2e/kg)","Average of GHGE, processor gate (kg CO2e/kg)"),'Pivot Table_GHG'!$A$3,"SUB TYPE",$B124))</f>
        <v>0.21435877559133376</v>
      </c>
      <c r="S124" s="190">
        <f ca="1">IF($P124="PROXY",DSTDEV('literature entries'!$D:$AI,IF($J124=1,"ACTIVE     GHGE, FARM GATE (kg CO2e/kg)","GHGE, processor gate (kg CO2e/kg)"),INDIRECT($K124)),GETPIVOTDATA(IF($J124=1,"StdDev of ACTIVE     GHGE, FARM GATE (kg CO2e/kg)","StdDev of GHGE, processor gate (kg CO2e/kg)"),'Pivot Table_GHG'!$A$3,"SUB TYPE",$B124))</f>
        <v>8.445428045459806E-2</v>
      </c>
      <c r="T124" s="88"/>
      <c r="U124" s="89"/>
      <c r="W124" s="213" t="s">
        <v>2458</v>
      </c>
      <c r="X124" s="211">
        <f ca="1">IF($W124="DIRECT",M124,DCOUNT('literature entries'!$D:$AI,IF($J124=1,"ACTIVE     CED, FARM GATE (MJ/kg)","CED, processor gate (MJ/kg)"),INDIRECT($W124)))</f>
        <v>6</v>
      </c>
      <c r="Y124" s="211">
        <f ca="1">IF($W124="DIRECT","",DAVERAGE('literature entries'!$D:$AI,IF($J124=1,"ACTIVE     CED, FARM GATE (MJ/kg)","CED, processor gate (MJ/kg)"),INDIRECT($W124)))</f>
        <v>2.6383333333333332</v>
      </c>
      <c r="Z124" s="211">
        <f ca="1">IF($W124="DIRECT",$O124,DSTDEV('literature entries'!$D:$AI,IF($J124=1,"ACTIVE     CED, FARM GATE (MJ/kg)","CED, processor gate (MJ/kg)"),INDIRECT($W124)))</f>
        <v>0.64558242437869295</v>
      </c>
      <c r="AA124" s="211">
        <f t="shared" ca="1" si="13"/>
        <v>0.6655657085192842</v>
      </c>
      <c r="AB124" s="219" t="str">
        <f t="shared" ca="1" si="15"/>
        <v>orange</v>
      </c>
      <c r="AC124" s="212">
        <f ca="1">IF($AB124="DIRECT",Q124,DCOUNT('literature entries'!$D:$AI,IF($J124=1,"ACTIVE     GHGE, FARM GATE (kg CO2e/kg)","GHGE, processor gate (kg CO2e/kg)"),INDIRECT($AB124)))</f>
        <v>13</v>
      </c>
      <c r="AD124" s="212">
        <f ca="1">IF($AB124="DIRECT","",DAVERAGE('literature entries'!$D:$AI,IF($J124=1,"ACTIVE     GHGE, FARM GATE (kg CO2e/kg)","GHGE, processor gate (kg CO2e/kg)"),INDIRECT($AB124)))</f>
        <v>0.21435877559133376</v>
      </c>
      <c r="AE124" s="212">
        <f ca="1">IF($AB124="DIRECT",$S124,DSTDEV('literature entries'!$D:$AI,IF($J124=1,"ACTIVE     GHGE, FARM GATE (kg CO2e/kg)","GHGE, processor gate (kg CO2e/kg)"),INDIRECT($AB124)))</f>
        <v>8.445428045459806E-2</v>
      </c>
      <c r="AF124" s="212">
        <f t="shared" ca="1" si="14"/>
        <v>8.445428045459806E-2</v>
      </c>
    </row>
    <row r="125" spans="1:32" s="19" customFormat="1" thickBot="1" x14ac:dyDescent="0.25">
      <c r="A125" s="114">
        <v>1001369000</v>
      </c>
      <c r="B125" s="115" t="s">
        <v>2298</v>
      </c>
      <c r="C125" s="115" t="s">
        <v>1912</v>
      </c>
      <c r="D125" s="115" t="s">
        <v>2299</v>
      </c>
      <c r="E125" s="115">
        <v>720</v>
      </c>
      <c r="F125" s="111">
        <f t="shared" ca="1" si="9"/>
        <v>3.56175</v>
      </c>
      <c r="G125" s="112">
        <f t="shared" ca="1" si="10"/>
        <v>0.40028463094034378</v>
      </c>
      <c r="H125" s="116">
        <v>1.35</v>
      </c>
      <c r="I125" s="116" t="s">
        <v>2724</v>
      </c>
      <c r="J125" s="79">
        <v>1</v>
      </c>
      <c r="K125" s="78" t="s">
        <v>2458</v>
      </c>
      <c r="L125" s="135" t="str">
        <f>IF(ISERROR(GETPIVOTDATA(IF($J125=1,"Count of ACTIVE     CED, FARM GATE (MJ/kg)","Count of CED, processor gate (MJ/kg)"),'Pivot Table_CED'!$A$3,"SUB TYPE",$B125)),"PROXY",IF(GETPIVOTDATA(IF($J125=1,"Count of ACTIVE     CED, FARM GATE (MJ/kg)","Count of CED, processor gate (MJ/kg)"),'Pivot Table_CED'!$A$3,"SUB TYPE",$B125)=0,"PROXY","DB value"))</f>
        <v>PROXY</v>
      </c>
      <c r="M125" s="118">
        <f ca="1">IF($L125="PROXY",DCOUNT('literature entries'!$D:$AI,IF($J125=1,"ACTIVE     CED, FARM GATE (MJ/kg)","CED, processor gate (MJ/kg)"),INDIRECT($K125)),GETPIVOTDATA(IF($J125=1,"Count of ACTIVE     CED, FARM GATE (MJ/kg)","Count of CED, processor gate (MJ/kg)"),'Pivot Table_CED'!$A$3,"SUB TYPE",$B125))</f>
        <v>6</v>
      </c>
      <c r="N125" s="119">
        <f ca="1">IF($L125="PROXY",DAVERAGE('literature entries'!$D:$AI,IF($J125=1,"ACTIVE     CED, FARM GATE (MJ/kg)","CED, processor gate (MJ/kg)"),INDIRECT($K125)),GETPIVOTDATA(IF($J125=1,"Average of ACTIVE     CED, FARM GATE (MJ/kg)","Average of CED, processor gate (MJ/kg)"),'Pivot Table_CED'!$A$3,"SUB TYPE",$B125))</f>
        <v>2.6383333333333332</v>
      </c>
      <c r="O125" s="119">
        <f ca="1">IF($L125="PROXY",DSTDEV('literature entries'!D:AI,IF($J125=1,"ACTIVE     CED, FARM GATE (MJ/kg)","CED, processor gate (MJ/kg)"),INDIRECT($K125)),GETPIVOTDATA(IF($J125=1,"StdDev of ACTIVE     CED, FARM GATE (MJ/kg)","StdDev of CED, processor gate (MJ/kg)"),'Pivot Table_CED'!$A$3,"SUB TYPE",$B125))</f>
        <v>0.64558242437869295</v>
      </c>
      <c r="P125" s="135" t="str">
        <f>IF(ISERROR(GETPIVOTDATA(IF($J125=1,"Count of ACTIVE     GHGE, FARM GATE (kg CO2e/kg)","Count of GHGE, processor gate (kg CO2e/kg)"),'Pivot Table_GHG'!$A$3,"SUB TYPE",$B125)),"PROXY",IF(GETPIVOTDATA(IF($J125=1,"Count of ACTIVE     GHGE, FARM GATE (kg CO2e/kg)","Count of GHGE, processor gate (kg CO2e/kg)"),'Pivot Table_GHG'!$A$3,"SUB TYPE",$B125)=0,"PROXY","DB value"))</f>
        <v>PROXY</v>
      </c>
      <c r="Q125" s="125">
        <f ca="1">IF($P125="PROXY",DCOUNT('literature entries'!$D:$AI,IF($J125=1,"ACTIVE     GHGE, FARM GATE (kg CO2e/kg)","GHGE, processor gate (kg CO2e/kg)"),INDIRECT($K125)),GETPIVOTDATA(IF($J125=1,"ACTIVE     GHGE, FARM GATE (kg CO2e/kg)","Count of GHGE, processor gate (kg CO2e/kg)"),'Pivot Table_GHG'!$A$3,"SUB TYPE",$B125))</f>
        <v>23</v>
      </c>
      <c r="R125" s="190">
        <f ca="1">IF($P125="PROXY",DAVERAGE('literature entries'!$D:$AI,IF($J125=1,"ACTIVE     GHGE, FARM GATE (kg CO2e/kg)","GHGE, processor gate (kg CO2e/kg)"),INDIRECT($K125)),GETPIVOTDATA(IF($J125=1,"Average of ACTIVE     GHGE, FARM GATE (kg CO2e/kg)","Average of GHGE, processor gate (kg CO2e/kg)"),'Pivot Table_GHG'!$A$3,"SUB TYPE",$B125))</f>
        <v>0.29650713402988427</v>
      </c>
      <c r="S125" s="190">
        <f ca="1">IF($P125="PROXY",DSTDEV('literature entries'!$D:$AI,IF($J125=1,"ACTIVE     GHGE, FARM GATE (kg CO2e/kg)","GHGE, processor gate (kg CO2e/kg)"),INDIRECT($K125)),GETPIVOTDATA(IF($J125=1,"StdDev of ACTIVE     GHGE, FARM GATE (kg CO2e/kg)","StdDev of GHGE, processor gate (kg CO2e/kg)"),'Pivot Table_GHG'!$A$3,"SUB TYPE",$B125))</f>
        <v>0.21093968918220651</v>
      </c>
      <c r="T125" s="88"/>
      <c r="U125" s="89"/>
      <c r="W125" s="213" t="str">
        <f ca="1">IF(L125="PROXY",IF(M125&gt;=5,K125,"need group"),IF(M125&gt;=5,"DIRECT","need group"))</f>
        <v>citrus</v>
      </c>
      <c r="X125" s="211">
        <f ca="1">IF($W125="DIRECT",M125,DCOUNT('literature entries'!$D:$AI,IF($J125=1,"ACTIVE     CED, FARM GATE (MJ/kg)","CED, processor gate (MJ/kg)"),INDIRECT($W125)))</f>
        <v>6</v>
      </c>
      <c r="Y125" s="211">
        <f ca="1">IF($W125="DIRECT","",DAVERAGE('literature entries'!$D:$AI,IF($J125=1,"ACTIVE     CED, FARM GATE (MJ/kg)","CED, processor gate (MJ/kg)"),INDIRECT($W125)))</f>
        <v>2.6383333333333332</v>
      </c>
      <c r="Z125" s="211">
        <f ca="1">IF($W125="DIRECT",$O125,DSTDEV('literature entries'!$D:$AI,IF($J125=1,"ACTIVE     CED, FARM GATE (MJ/kg)","CED, processor gate (MJ/kg)"),INDIRECT($W125)))</f>
        <v>0.64558242437869295</v>
      </c>
      <c r="AA125" s="211">
        <f t="shared" ca="1" si="13"/>
        <v>0.64558242437869295</v>
      </c>
      <c r="AB125" s="219" t="str">
        <f t="shared" ca="1" si="15"/>
        <v>citrus</v>
      </c>
      <c r="AC125" s="212">
        <f ca="1">IF($AB125="DIRECT",Q125,DCOUNT('literature entries'!$D:$AI,IF($J125=1,"ACTIVE     GHGE, FARM GATE (kg CO2e/kg)","GHGE, processor gate (kg CO2e/kg)"),INDIRECT($AB125)))</f>
        <v>23</v>
      </c>
      <c r="AD125" s="212">
        <f ca="1">IF($AB125="DIRECT","",DAVERAGE('literature entries'!$D:$AI,IF($J125=1,"ACTIVE     GHGE, FARM GATE (kg CO2e/kg)","GHGE, processor gate (kg CO2e/kg)"),INDIRECT($AB125)))</f>
        <v>0.29650713402988427</v>
      </c>
      <c r="AE125" s="212">
        <f ca="1">IF($AB125="DIRECT",$S125,DSTDEV('literature entries'!$D:$AI,IF($J125=1,"ACTIVE     GHGE, FARM GATE (kg CO2e/kg)","GHGE, processor gate (kg CO2e/kg)"),INDIRECT($AB125)))</f>
        <v>0.21093968918220651</v>
      </c>
      <c r="AF125" s="212">
        <f t="shared" ca="1" si="14"/>
        <v>0.21093968918220649</v>
      </c>
    </row>
    <row r="126" spans="1:32" s="19" customFormat="1" ht="17" thickBot="1" x14ac:dyDescent="0.25">
      <c r="A126" s="114">
        <v>1001370000</v>
      </c>
      <c r="B126" s="115" t="s">
        <v>2300</v>
      </c>
      <c r="C126" s="115" t="s">
        <v>1742</v>
      </c>
      <c r="D126" s="115" t="s">
        <v>2301</v>
      </c>
      <c r="E126" s="115">
        <v>6891</v>
      </c>
      <c r="F126" s="111">
        <f t="shared" ca="1" si="9"/>
        <v>10.558666666666667</v>
      </c>
      <c r="G126" s="112">
        <f t="shared" ca="1" si="10"/>
        <v>1.5720933941397686</v>
      </c>
      <c r="H126" s="116">
        <v>2</v>
      </c>
      <c r="I126" s="117" t="s">
        <v>2724</v>
      </c>
      <c r="J126" s="79">
        <v>1</v>
      </c>
      <c r="K126" s="78" t="s">
        <v>2458</v>
      </c>
      <c r="L126" s="135" t="str">
        <f>IF(ISERROR(GETPIVOTDATA(IF($J126=1,"Count of ACTIVE     CED, FARM GATE (MJ/kg)","Count of CED, processor gate (MJ/kg)"),'Pivot Table_CED'!$A$3,"SUB TYPE",$B126)),"PROXY",IF(GETPIVOTDATA(IF($J126=1,"Count of ACTIVE     CED, FARM GATE (MJ/kg)","Count of CED, processor gate (MJ/kg)"),'Pivot Table_CED'!$A$3,"SUB TYPE",$B126)=0,"PROXY","DB value"))</f>
        <v>PROXY</v>
      </c>
      <c r="M126" s="118">
        <f ca="1">IF($L126="PROXY",DCOUNT('literature entries'!$D:$AI,IF($J126=1,"ACTIVE     CED, FARM GATE (MJ/kg)","CED, processor gate (MJ/kg)"),INDIRECT($K126)),GETPIVOTDATA(IF($J126=1,"Count of ACTIVE     CED, FARM GATE (MJ/kg)","Count of CED, processor gate (MJ/kg)"),'Pivot Table_CED'!$A$3,"SUB TYPE",$B126))</f>
        <v>6</v>
      </c>
      <c r="N126" s="119">
        <f ca="1">IF($L126="PROXY",DAVERAGE('literature entries'!$D:$AI,IF($J126=1,"ACTIVE     CED, FARM GATE (MJ/kg)","CED, processor gate (MJ/kg)"),INDIRECT($K126)),GETPIVOTDATA(IF($J126=1,"Average of ACTIVE     CED, FARM GATE (MJ/kg)","Average of CED, processor gate (MJ/kg)"),'Pivot Table_CED'!$A$3,"SUB TYPE",$B126))</f>
        <v>2.6383333333333332</v>
      </c>
      <c r="O126" s="119">
        <f ca="1">IF($L126="PROXY",DSTDEV('literature entries'!D:AI,IF($J126=1,"ACTIVE     CED, FARM GATE (MJ/kg)","CED, processor gate (MJ/kg)"),INDIRECT($K126)),GETPIVOTDATA(IF($J126=1,"StdDev of ACTIVE     CED, FARM GATE (MJ/kg)","StdDev of CED, processor gate (MJ/kg)"),'Pivot Table_CED'!$A$3,"SUB TYPE",$B126))</f>
        <v>0.64558242437869295</v>
      </c>
      <c r="P126" s="135" t="str">
        <f>IF(ISERROR(GETPIVOTDATA(IF($J126=1,"Count of ACTIVE     GHGE, FARM GATE (kg CO2e/kg)","Count of GHGE, processor gate (kg CO2e/kg)"),'Pivot Table_GHG'!$A$3,"SUB TYPE",$B126)),"PROXY",IF(GETPIVOTDATA(IF($J126=1,"Count of ACTIVE     GHGE, FARM GATE (kg CO2e/kg)","Count of GHGE, processor gate (kg CO2e/kg)"),'Pivot Table_GHG'!$A$3,"SUB TYPE",$B126)=0,"PROXY","DB value"))</f>
        <v>PROXY</v>
      </c>
      <c r="Q126" s="125">
        <f ca="1">IF($P126="PROXY",DCOUNT('literature entries'!$D:$AI,IF($J126=1,"ACTIVE     GHGE, FARM GATE (kg CO2e/kg)","GHGE, processor gate (kg CO2e/kg)"),INDIRECT($K126)),GETPIVOTDATA(IF($J126=1,"ACTIVE     GHGE, FARM GATE (kg CO2e/kg)","Count of GHGE, processor gate (kg CO2e/kg)"),'Pivot Table_GHG'!$A$3,"SUB TYPE",$B126))</f>
        <v>23</v>
      </c>
      <c r="R126" s="190">
        <f ca="1">IF($P126="PROXY",DAVERAGE('literature entries'!$D:$AI,IF($J126=1,"ACTIVE     GHGE, FARM GATE (kg CO2e/kg)","GHGE, processor gate (kg CO2e/kg)"),INDIRECT($K126)),GETPIVOTDATA(IF($J126=1,"Average of ACTIVE     GHGE, FARM GATE (kg CO2e/kg)","Average of GHGE, processor gate (kg CO2e/kg)"),'Pivot Table_GHG'!$A$3,"SUB TYPE",$B126))</f>
        <v>0.29650713402988427</v>
      </c>
      <c r="S126" s="190">
        <f ca="1">IF($P126="PROXY",DSTDEV('literature entries'!$D:$AI,IF($J126=1,"ACTIVE     GHGE, FARM GATE (kg CO2e/kg)","GHGE, processor gate (kg CO2e/kg)"),INDIRECT($K126)),GETPIVOTDATA(IF($J126=1,"StdDev of ACTIVE     GHGE, FARM GATE (kg CO2e/kg)","StdDev of GHGE, processor gate (kg CO2e/kg)"),'Pivot Table_GHG'!$A$3,"SUB TYPE",$B126))</f>
        <v>0.21093968918220651</v>
      </c>
      <c r="T126" s="86">
        <v>5.282</v>
      </c>
      <c r="U126" s="87">
        <v>0.97907912607999992</v>
      </c>
      <c r="W126" s="213" t="str">
        <f ca="1">IF(L126="PROXY",IF(M126&gt;=5,K126,"need group"),IF(M126&gt;=5,"DIRECT","need group"))</f>
        <v>citrus</v>
      </c>
      <c r="X126" s="211">
        <f ca="1">IF($W126="DIRECT",M126,DCOUNT('literature entries'!$D:$AI,IF($J126=1,"ACTIVE     CED, FARM GATE (MJ/kg)","CED, processor gate (MJ/kg)"),INDIRECT($W126)))</f>
        <v>6</v>
      </c>
      <c r="Y126" s="211">
        <f ca="1">IF($W126="DIRECT","",DAVERAGE('literature entries'!$D:$AI,IF($J126=1,"ACTIVE     CED, FARM GATE (MJ/kg)","CED, processor gate (MJ/kg)"),INDIRECT($W126)))</f>
        <v>2.6383333333333332</v>
      </c>
      <c r="Z126" s="211">
        <f ca="1">IF($W126="DIRECT",$O126,DSTDEV('literature entries'!$D:$AI,IF($J126=1,"ACTIVE     CED, FARM GATE (MJ/kg)","CED, processor gate (MJ/kg)"),INDIRECT($W126)))</f>
        <v>0.64558242437869295</v>
      </c>
      <c r="AA126" s="211">
        <f t="shared" ca="1" si="13"/>
        <v>0.64558242437869295</v>
      </c>
      <c r="AB126" s="219" t="str">
        <f t="shared" ca="1" si="15"/>
        <v>citrus</v>
      </c>
      <c r="AC126" s="212">
        <f ca="1">IF($AB126="DIRECT",Q126,DCOUNT('literature entries'!$D:$AI,IF($J126=1,"ACTIVE     GHGE, FARM GATE (kg CO2e/kg)","GHGE, processor gate (kg CO2e/kg)"),INDIRECT($AB126)))</f>
        <v>23</v>
      </c>
      <c r="AD126" s="212">
        <f ca="1">IF($AB126="DIRECT","",DAVERAGE('literature entries'!$D:$AI,IF($J126=1,"ACTIVE     GHGE, FARM GATE (kg CO2e/kg)","GHGE, processor gate (kg CO2e/kg)"),INDIRECT($AB126)))</f>
        <v>0.29650713402988427</v>
      </c>
      <c r="AE126" s="212">
        <f ca="1">IF($AB126="DIRECT",$S126,DSTDEV('literature entries'!$D:$AI,IF($J126=1,"ACTIVE     GHGE, FARM GATE (kg CO2e/kg)","GHGE, processor gate (kg CO2e/kg)"),INDIRECT($AB126)))</f>
        <v>0.21093968918220651</v>
      </c>
      <c r="AF126" s="212">
        <f t="shared" ca="1" si="14"/>
        <v>0.21093968918220649</v>
      </c>
    </row>
    <row r="127" spans="1:32" s="19" customFormat="1" thickBot="1" x14ac:dyDescent="0.25">
      <c r="A127" s="114">
        <v>1002197000</v>
      </c>
      <c r="B127" s="115" t="s">
        <v>2045</v>
      </c>
      <c r="C127" s="115" t="s">
        <v>2046</v>
      </c>
      <c r="D127" s="115"/>
      <c r="E127" s="115">
        <v>1</v>
      </c>
      <c r="F127" s="111">
        <f t="shared" ca="1" si="9"/>
        <v>2.8494000000000002</v>
      </c>
      <c r="G127" s="112">
        <f t="shared" ca="1" si="10"/>
        <v>0.32022770475227502</v>
      </c>
      <c r="H127" s="116">
        <v>1.08</v>
      </c>
      <c r="I127" s="116" t="s">
        <v>2724</v>
      </c>
      <c r="J127" s="79">
        <v>1</v>
      </c>
      <c r="K127" s="78" t="s">
        <v>2458</v>
      </c>
      <c r="L127" s="135" t="str">
        <f>IF(ISERROR(GETPIVOTDATA(IF($J127=1,"Count of ACTIVE     CED, FARM GATE (MJ/kg)","Count of CED, processor gate (MJ/kg)"),'Pivot Table_CED'!$A$3,"SUB TYPE",$B127)),"PROXY",IF(GETPIVOTDATA(IF($J127=1,"Count of ACTIVE     CED, FARM GATE (MJ/kg)","Count of CED, processor gate (MJ/kg)"),'Pivot Table_CED'!$A$3,"SUB TYPE",$B127)=0,"PROXY","DB value"))</f>
        <v>PROXY</v>
      </c>
      <c r="M127" s="118">
        <f ca="1">IF($L127="PROXY",DCOUNT('literature entries'!$D:$AI,IF($J127=1,"ACTIVE     CED, FARM GATE (MJ/kg)","CED, processor gate (MJ/kg)"),INDIRECT($K127)),GETPIVOTDATA(IF($J127=1,"Count of ACTIVE     CED, FARM GATE (MJ/kg)","Count of CED, processor gate (MJ/kg)"),'Pivot Table_CED'!$A$3,"SUB TYPE",$B127))</f>
        <v>6</v>
      </c>
      <c r="N127" s="119">
        <f ca="1">IF($L127="PROXY",DAVERAGE('literature entries'!$D:$AI,IF($J127=1,"ACTIVE     CED, FARM GATE (MJ/kg)","CED, processor gate (MJ/kg)"),INDIRECT($K127)),GETPIVOTDATA(IF($J127=1,"Average of ACTIVE     CED, FARM GATE (MJ/kg)","Average of CED, processor gate (MJ/kg)"),'Pivot Table_CED'!$A$3,"SUB TYPE",$B127))</f>
        <v>2.6383333333333332</v>
      </c>
      <c r="O127" s="119">
        <f ca="1">IF($L127="PROXY",DSTDEV('literature entries'!D:AI,IF($J127=1,"ACTIVE     CED, FARM GATE (MJ/kg)","CED, processor gate (MJ/kg)"),INDIRECT($K127)),GETPIVOTDATA(IF($J127=1,"StdDev of ACTIVE     CED, FARM GATE (MJ/kg)","StdDev of CED, processor gate (MJ/kg)"),'Pivot Table_CED'!$A$3,"SUB TYPE",$B127))</f>
        <v>0.64558242437869295</v>
      </c>
      <c r="P127" s="135" t="str">
        <f>IF(ISERROR(GETPIVOTDATA(IF($J127=1,"Count of ACTIVE     GHGE, FARM GATE (kg CO2e/kg)","Count of GHGE, processor gate (kg CO2e/kg)"),'Pivot Table_GHG'!$A$3,"SUB TYPE",$B127)),"PROXY",IF(GETPIVOTDATA(IF($J127=1,"Count of ACTIVE     GHGE, FARM GATE (kg CO2e/kg)","Count of GHGE, processor gate (kg CO2e/kg)"),'Pivot Table_GHG'!$A$3,"SUB TYPE",$B127)=0,"PROXY","DB value"))</f>
        <v>PROXY</v>
      </c>
      <c r="Q127" s="125">
        <f ca="1">IF($P127="PROXY",DCOUNT('literature entries'!$D:$AI,IF($J127=1,"ACTIVE     GHGE, FARM GATE (kg CO2e/kg)","GHGE, processor gate (kg CO2e/kg)"),INDIRECT($K127)),GETPIVOTDATA(IF($J127=1,"ACTIVE     GHGE, FARM GATE (kg CO2e/kg)","Count of GHGE, processor gate (kg CO2e/kg)"),'Pivot Table_GHG'!$A$3,"SUB TYPE",$B127))</f>
        <v>23</v>
      </c>
      <c r="R127" s="190">
        <f ca="1">IF($P127="PROXY",DAVERAGE('literature entries'!$D:$AI,IF($J127=1,"ACTIVE     GHGE, FARM GATE (kg CO2e/kg)","GHGE, processor gate (kg CO2e/kg)"),INDIRECT($K127)),GETPIVOTDATA(IF($J127=1,"Average of ACTIVE     GHGE, FARM GATE (kg CO2e/kg)","Average of GHGE, processor gate (kg CO2e/kg)"),'Pivot Table_GHG'!$A$3,"SUB TYPE",$B127))</f>
        <v>0.29650713402988427</v>
      </c>
      <c r="S127" s="190">
        <f ca="1">IF($P127="PROXY",DSTDEV('literature entries'!$D:$AI,IF($J127=1,"ACTIVE     GHGE, FARM GATE (kg CO2e/kg)","GHGE, processor gate (kg CO2e/kg)"),INDIRECT($K127)),GETPIVOTDATA(IF($J127=1,"StdDev of ACTIVE     GHGE, FARM GATE (kg CO2e/kg)","StdDev of GHGE, processor gate (kg CO2e/kg)"),'Pivot Table_GHG'!$A$3,"SUB TYPE",$B127))</f>
        <v>0.21093968918220651</v>
      </c>
      <c r="T127" s="88"/>
      <c r="U127" s="89"/>
      <c r="W127" s="213" t="str">
        <f ca="1">IF(L127="PROXY",IF(M127&gt;=5,K127,"need group"),IF(M127&gt;=5,"DIRECT","need group"))</f>
        <v>citrus</v>
      </c>
      <c r="X127" s="211">
        <f ca="1">IF($W127="DIRECT",M127,DCOUNT('literature entries'!$D:$AI,IF($J127=1,"ACTIVE     CED, FARM GATE (MJ/kg)","CED, processor gate (MJ/kg)"),INDIRECT($W127)))</f>
        <v>6</v>
      </c>
      <c r="Y127" s="211">
        <f ca="1">IF($W127="DIRECT","",DAVERAGE('literature entries'!$D:$AI,IF($J127=1,"ACTIVE     CED, FARM GATE (MJ/kg)","CED, processor gate (MJ/kg)"),INDIRECT($W127)))</f>
        <v>2.6383333333333332</v>
      </c>
      <c r="Z127" s="211">
        <f ca="1">IF($W127="DIRECT",$O127,DSTDEV('literature entries'!$D:$AI,IF($J127=1,"ACTIVE     CED, FARM GATE (MJ/kg)","CED, processor gate (MJ/kg)"),INDIRECT($W127)))</f>
        <v>0.64558242437869295</v>
      </c>
      <c r="AA127" s="211">
        <f t="shared" ca="1" si="13"/>
        <v>0.64558242437869295</v>
      </c>
      <c r="AB127" s="219" t="str">
        <f t="shared" ca="1" si="15"/>
        <v>citrus</v>
      </c>
      <c r="AC127" s="212">
        <f ca="1">IF($AB127="DIRECT",Q127,DCOUNT('literature entries'!$D:$AI,IF($J127=1,"ACTIVE     GHGE, FARM GATE (kg CO2e/kg)","GHGE, processor gate (kg CO2e/kg)"),INDIRECT($AB127)))</f>
        <v>23</v>
      </c>
      <c r="AD127" s="212">
        <f ca="1">IF($AB127="DIRECT","",DAVERAGE('literature entries'!$D:$AI,IF($J127=1,"ACTIVE     GHGE, FARM GATE (kg CO2e/kg)","GHGE, processor gate (kg CO2e/kg)"),INDIRECT($AB127)))</f>
        <v>0.29650713402988427</v>
      </c>
      <c r="AE127" s="212">
        <f ca="1">IF($AB127="DIRECT",$S127,DSTDEV('literature entries'!$D:$AI,IF($J127=1,"ACTIVE     GHGE, FARM GATE (kg CO2e/kg)","GHGE, processor gate (kg CO2e/kg)"),INDIRECT($AB127)))</f>
        <v>0.21093968918220651</v>
      </c>
      <c r="AF127" s="212">
        <f t="shared" ca="1" si="14"/>
        <v>0.21093968918220649</v>
      </c>
    </row>
    <row r="128" spans="1:32" s="19" customFormat="1" thickBot="1" x14ac:dyDescent="0.25">
      <c r="A128" s="114">
        <v>1002199000</v>
      </c>
      <c r="B128" s="115" t="s">
        <v>2049</v>
      </c>
      <c r="C128" s="115" t="s">
        <v>1912</v>
      </c>
      <c r="D128" s="115"/>
      <c r="E128" s="115">
        <v>2076</v>
      </c>
      <c r="F128" s="111">
        <f t="shared" ca="1" si="9"/>
        <v>4.6777499999999996</v>
      </c>
      <c r="G128" s="112">
        <f t="shared" ca="1" si="10"/>
        <v>0.42210000000000003</v>
      </c>
      <c r="H128" s="116">
        <v>1.89</v>
      </c>
      <c r="I128" s="116" t="s">
        <v>2724</v>
      </c>
      <c r="J128" s="79">
        <v>1</v>
      </c>
      <c r="K128" s="78"/>
      <c r="L128" s="135" t="str">
        <f>IF(ISERROR(GETPIVOTDATA(IF($J128=1,"Count of ACTIVE     CED, FARM GATE (MJ/kg)","Count of CED, processor gate (MJ/kg)"),'Pivot Table_CED'!$A$3,"SUB TYPE",$B128)),"PROXY",IF(GETPIVOTDATA(IF($J128=1,"Count of ACTIVE     CED, FARM GATE (MJ/kg)","Count of CED, processor gate (MJ/kg)"),'Pivot Table_CED'!$A$3,"SUB TYPE",$B128)=0,"PROXY","DB value"))</f>
        <v>DB value</v>
      </c>
      <c r="M128" s="118">
        <f ca="1">IF($L128="PROXY",DCOUNT('literature entries'!$D:$AI,IF($J128=1,"ACTIVE     CED, FARM GATE (MJ/kg)","CED, processor gate (MJ/kg)"),INDIRECT($K128)),GETPIVOTDATA(IF($J128=1,"Count of ACTIVE     CED, FARM GATE (MJ/kg)","Count of CED, processor gate (MJ/kg)"),'Pivot Table_CED'!$A$3,"SUB TYPE",$B128))</f>
        <v>2</v>
      </c>
      <c r="N128" s="119">
        <f ca="1">IF($L128="PROXY",DAVERAGE('literature entries'!$D:$AI,IF($J128=1,"ACTIVE     CED, FARM GATE (MJ/kg)","CED, processor gate (MJ/kg)"),INDIRECT($K128)),GETPIVOTDATA(IF($J128=1,"Average of ACTIVE     CED, FARM GATE (MJ/kg)","Average of CED, processor gate (MJ/kg)"),'Pivot Table_CED'!$A$3,"SUB TYPE",$B128))</f>
        <v>2.4750000000000001</v>
      </c>
      <c r="O128" s="119">
        <f ca="1">IF($L128="PROXY",DSTDEV('literature entries'!D:AI,IF($J128=1,"ACTIVE     CED, FARM GATE (MJ/kg)","CED, processor gate (MJ/kg)"),INDIRECT($K128)),GETPIVOTDATA(IF($J128=1,"StdDev of ACTIVE     CED, FARM GATE (MJ/kg)","StdDev of CED, processor gate (MJ/kg)"),'Pivot Table_CED'!$A$3,"SUB TYPE",$B128))</f>
        <v>0.5303300858899106</v>
      </c>
      <c r="P128" s="135" t="str">
        <f>IF(ISERROR(GETPIVOTDATA(IF($J128=1,"Count of ACTIVE     GHGE, FARM GATE (kg CO2e/kg)","Count of GHGE, processor gate (kg CO2e/kg)"),'Pivot Table_GHG'!$A$3,"SUB TYPE",$B128)),"PROXY",IF(GETPIVOTDATA(IF($J128=1,"Count of ACTIVE     GHGE, FARM GATE (kg CO2e/kg)","Count of GHGE, processor gate (kg CO2e/kg)"),'Pivot Table_GHG'!$A$3,"SUB TYPE",$B128)=0,"PROXY","DB value"))</f>
        <v>DB value</v>
      </c>
      <c r="Q128" s="125">
        <f ca="1">IF($P128="PROXY",DCOUNT('literature entries'!$D:$AI,IF($J128=1,"ACTIVE     GHGE, FARM GATE (kg CO2e/kg)","GHGE, processor gate (kg CO2e/kg)"),INDIRECT($K128)),GETPIVOTDATA(IF($J128=1,"ACTIVE     GHGE, FARM GATE (kg CO2e/kg)","Count of GHGE, processor gate (kg CO2e/kg)"),'Pivot Table_GHG'!$A$3,"SUB TYPE",$B128))</f>
        <v>3</v>
      </c>
      <c r="R128" s="190">
        <f ca="1">IF($P128="PROXY",DAVERAGE('literature entries'!$D:$AI,IF($J128=1,"ACTIVE     GHGE, FARM GATE (kg CO2e/kg)","GHGE, processor gate (kg CO2e/kg)"),INDIRECT($K128)),GETPIVOTDATA(IF($J128=1,"Average of ACTIVE     GHGE, FARM GATE (kg CO2e/kg)","Average of GHGE, processor gate (kg CO2e/kg)"),'Pivot Table_GHG'!$A$3,"SUB TYPE",$B128))</f>
        <v>0.22333333333333336</v>
      </c>
      <c r="S128" s="190">
        <f ca="1">IF($P128="PROXY",DSTDEV('literature entries'!$D:$AI,IF($J128=1,"ACTIVE     GHGE, FARM GATE (kg CO2e/kg)","GHGE, processor gate (kg CO2e/kg)"),INDIRECT($K128)),GETPIVOTDATA(IF($J128=1,"StdDev of ACTIVE     GHGE, FARM GATE (kg CO2e/kg)","StdDev of GHGE, processor gate (kg CO2e/kg)"),'Pivot Table_GHG'!$A$3,"SUB TYPE",$B128))</f>
        <v>0.25146238950056393</v>
      </c>
      <c r="T128" s="88"/>
      <c r="U128" s="89"/>
      <c r="W128" s="213" t="s">
        <v>2458</v>
      </c>
      <c r="X128" s="211">
        <f ca="1">IF($W128="DIRECT",M128,DCOUNT('literature entries'!$D:$AI,IF($J128=1,"ACTIVE     CED, FARM GATE (MJ/kg)","CED, processor gate (MJ/kg)"),INDIRECT($W128)))</f>
        <v>6</v>
      </c>
      <c r="Y128" s="211">
        <f ca="1">IF($W128="DIRECT","",DAVERAGE('literature entries'!$D:$AI,IF($J128=1,"ACTIVE     CED, FARM GATE (MJ/kg)","CED, processor gate (MJ/kg)"),INDIRECT($W128)))</f>
        <v>2.6383333333333332</v>
      </c>
      <c r="Z128" s="211">
        <f ca="1">IF($W128="DIRECT",$O128,DSTDEV('literature entries'!$D:$AI,IF($J128=1,"ACTIVE     CED, FARM GATE (MJ/kg)","CED, processor gate (MJ/kg)"),INDIRECT($W128)))</f>
        <v>0.64558242437869295</v>
      </c>
      <c r="AA128" s="211">
        <f t="shared" ca="1" si="13"/>
        <v>0.60561585609751056</v>
      </c>
      <c r="AB128" s="219" t="s">
        <v>2458</v>
      </c>
      <c r="AC128" s="212">
        <f ca="1">IF($AB128="DIRECT",Q128,DCOUNT('literature entries'!$D:$AI,IF($J128=1,"ACTIVE     GHGE, FARM GATE (kg CO2e/kg)","GHGE, processor gate (kg CO2e/kg)"),INDIRECT($AB128)))</f>
        <v>23</v>
      </c>
      <c r="AD128" s="212">
        <f ca="1">IF($AB128="DIRECT","",DAVERAGE('literature entries'!$D:$AI,IF($J128=1,"ACTIVE     GHGE, FARM GATE (kg CO2e/kg)","GHGE, processor gate (kg CO2e/kg)"),INDIRECT($AB128)))</f>
        <v>0.29650713402988427</v>
      </c>
      <c r="AE128" s="212">
        <f ca="1">IF($AB128="DIRECT",$S128,DSTDEV('literature entries'!$D:$AI,IF($J128=1,"ACTIVE     GHGE, FARM GATE (kg CO2e/kg)","GHGE, processor gate (kg CO2e/kg)"),INDIRECT($AB128)))</f>
        <v>0.21093968918220651</v>
      </c>
      <c r="AF128" s="212">
        <f t="shared" ca="1" si="14"/>
        <v>0.15888273336658187</v>
      </c>
    </row>
    <row r="129" spans="1:32" s="19" customFormat="1" ht="17" thickBot="1" x14ac:dyDescent="0.25">
      <c r="A129" s="114">
        <v>1002200000</v>
      </c>
      <c r="B129" s="115" t="s">
        <v>2050</v>
      </c>
      <c r="C129" s="120" t="s">
        <v>1742</v>
      </c>
      <c r="D129" s="115"/>
      <c r="E129" s="115">
        <v>21356</v>
      </c>
      <c r="F129" s="111">
        <f t="shared" ca="1" si="9"/>
        <v>6</v>
      </c>
      <c r="G129" s="112">
        <f t="shared" ca="1" si="10"/>
        <v>0.33160000000000001</v>
      </c>
      <c r="H129" s="116">
        <v>1</v>
      </c>
      <c r="I129" s="117" t="s">
        <v>628</v>
      </c>
      <c r="J129" s="79">
        <v>2</v>
      </c>
      <c r="K129" s="201"/>
      <c r="L129" s="135" t="str">
        <f>IF(ISERROR(GETPIVOTDATA(IF($J129=1,"Count of ACTIVE     CED, FARM GATE (MJ/kg)","Count of CED, processor gate (MJ/kg)"),'Pivot Table_CED'!$A$3,"SUB TYPE",$B129)),"PROXY",IF(GETPIVOTDATA(IF($J129=1,"Count of ACTIVE     CED, FARM GATE (MJ/kg)","Count of CED, processor gate (MJ/kg)"),'Pivot Table_CED'!$A$3,"SUB TYPE",$B129)=0,"PROXY","DB value"))</f>
        <v>DB value</v>
      </c>
      <c r="M129" s="118">
        <f ca="1">IF($L129="PROXY",DCOUNT('literature entries'!$D:$AI,IF($J129=1,"ACTIVE     CED, FARM GATE (MJ/kg)","CED, processor gate (MJ/kg)"),INDIRECT($K129)),GETPIVOTDATA(IF($J129=1,"Count of ACTIVE     CED, FARM GATE (MJ/kg)","Count of CED, processor gate (MJ/kg)"),'Pivot Table_CED'!$A$3,"SUB TYPE",$B129))</f>
        <v>1</v>
      </c>
      <c r="N129" s="119">
        <f ca="1">IF($L129="PROXY",DAVERAGE('literature entries'!$D:$AI,IF($J129=1,"ACTIVE     CED, FARM GATE (MJ/kg)","CED, processor gate (MJ/kg)"),INDIRECT($K129)),GETPIVOTDATA(IF($J129=1,"Average of ACTIVE     CED, FARM GATE (MJ/kg)","Average of CED, processor gate (MJ/kg)"),'Pivot Table_CED'!$A$3,"SUB TYPE",$B129))</f>
        <v>6</v>
      </c>
      <c r="O129" s="119">
        <f ca="1">IF($L129="PROXY",DSTDEV('literature entries'!D:AI,IF($J129=1,"ACTIVE     CED, FARM GATE (MJ/kg)","CED, processor gate (MJ/kg)"),INDIRECT($K129)),GETPIVOTDATA(IF($J129=1,"StdDev of ACTIVE     CED, FARM GATE (MJ/kg)","StdDev of CED, processor gate (MJ/kg)"),'Pivot Table_CED'!$A$3,"SUB TYPE",$B129))</f>
        <v>0</v>
      </c>
      <c r="P129" s="135" t="str">
        <f>IF(ISERROR(GETPIVOTDATA(IF($J129=1,"Count of ACTIVE     GHGE, FARM GATE (kg CO2e/kg)","Count of GHGE, processor gate (kg CO2e/kg)"),'Pivot Table_GHG'!$A$3,"SUB TYPE",$B129)),"PROXY",IF(GETPIVOTDATA(IF($J129=1,"Count of ACTIVE     GHGE, FARM GATE (kg CO2e/kg)","Count of GHGE, processor gate (kg CO2e/kg)"),'Pivot Table_GHG'!$A$3,"SUB TYPE",$B129)=0,"PROXY","DB value"))</f>
        <v>DB value</v>
      </c>
      <c r="Q129" s="125">
        <f ca="1">IF($P129="PROXY",DCOUNT('literature entries'!$D:$AI,IF($J129=1,"ACTIVE     GHGE, FARM GATE (kg CO2e/kg)","GHGE, processor gate (kg CO2e/kg)"),INDIRECT($K129)),GETPIVOTDATA(IF($J129=1,"ACTIVE     GHGE, FARM GATE (kg CO2e/kg)","Count of GHGE, processor gate (kg CO2e/kg)"),'Pivot Table_GHG'!$A$3,"SUB TYPE",$B129))</f>
        <v>1</v>
      </c>
      <c r="R129" s="190">
        <f ca="1">IF($P129="PROXY",DAVERAGE('literature entries'!$D:$AI,IF($J129=1,"ACTIVE     GHGE, FARM GATE (kg CO2e/kg)","GHGE, processor gate (kg CO2e/kg)"),INDIRECT($K129)),GETPIVOTDATA(IF($J129=1,"Average of ACTIVE     GHGE, FARM GATE (kg CO2e/kg)","Average of GHGE, processor gate (kg CO2e/kg)"),'Pivot Table_GHG'!$A$3,"SUB TYPE",$B129))</f>
        <v>0.33160000000000001</v>
      </c>
      <c r="S129" s="190" t="e">
        <f ca="1">IF($P129="PROXY",DSTDEV('literature entries'!$D:$AI,IF($J129=1,"ACTIVE     GHGE, FARM GATE (kg CO2e/kg)","GHGE, processor gate (kg CO2e/kg)"),INDIRECT($K129)),GETPIVOTDATA(IF($J129=1,"StdDev of ACTIVE     GHGE, FARM GATE (kg CO2e/kg)","StdDev of GHGE, processor gate (kg CO2e/kg)"),'Pivot Table_GHG'!$A$3,"SUB TYPE",$B129))</f>
        <v>#DIV/0!</v>
      </c>
      <c r="T129" s="88"/>
      <c r="U129" s="89"/>
      <c r="W129" s="223" t="s">
        <v>2458</v>
      </c>
      <c r="X129" s="211">
        <f ca="1">IF($W129="DIRECT",M129,DCOUNT('literature entries'!$D:$AI,"ACTIVE     CED, FARM GATE (MJ/kg)",INDIRECT($W129)))</f>
        <v>6</v>
      </c>
      <c r="Y129" s="211">
        <f ca="1">IF($W129="DIRECT","",DAVERAGE('literature entries'!$D:$AI,"ACTIVE     CED, FARM GATE (MJ/kg)",INDIRECT($W129)))</f>
        <v>2.6383333333333332</v>
      </c>
      <c r="Z129" s="211">
        <f ca="1">IF($W129="DIRECT",$O129,DSTDEV('literature entries'!$D:$AI,"ACTIVE     CED, FARM GATE (MJ/kg)",INDIRECT($W129)))</f>
        <v>0.64558242437869295</v>
      </c>
      <c r="AA129" s="211">
        <f t="shared" ca="1" si="13"/>
        <v>1.46815965114548</v>
      </c>
      <c r="AB129" s="223" t="s">
        <v>2458</v>
      </c>
      <c r="AC129" s="212">
        <f ca="1">IF($AB129="DIRECT",Q129,DCOUNT('literature entries'!$D:$AI,"ACTIVE     GHGE, FARM GATE (kg CO2e/kg)",INDIRECT($AB129)))</f>
        <v>23</v>
      </c>
      <c r="AD129" s="212">
        <f ca="1">IF($AB129="DIRECT","",DAVERAGE('literature entries'!$D:$AI,"ACTIVE     GHGE, FARM GATE (kg CO2e/kg)",INDIRECT($AB129)))</f>
        <v>0.29650713402988427</v>
      </c>
      <c r="AE129" s="212">
        <f ca="1">IF($AB129="DIRECT",$S129,DSTDEV('literature entries'!$D:$AI,"ACTIVE     GHGE, FARM GATE (kg CO2e/kg)",INDIRECT($AB129)))</f>
        <v>0.21093968918220651</v>
      </c>
      <c r="AF129" s="212">
        <f t="shared" ca="1" si="14"/>
        <v>0.23590528828817259</v>
      </c>
    </row>
    <row r="130" spans="1:32" s="19" customFormat="1" ht="17" thickBot="1" x14ac:dyDescent="0.25">
      <c r="A130" s="114">
        <v>1002201000</v>
      </c>
      <c r="B130" s="115" t="s">
        <v>2051</v>
      </c>
      <c r="C130" s="115" t="s">
        <v>2052</v>
      </c>
      <c r="D130" s="115"/>
      <c r="E130" s="115">
        <v>770</v>
      </c>
      <c r="F130" s="111">
        <f t="shared" ca="1" si="9"/>
        <v>2.6383333333333332</v>
      </c>
      <c r="G130" s="112">
        <f t="shared" ca="1" si="10"/>
        <v>0.29650713402988427</v>
      </c>
      <c r="H130" s="116">
        <v>1</v>
      </c>
      <c r="I130" s="117" t="s">
        <v>594</v>
      </c>
      <c r="J130" s="79">
        <v>1</v>
      </c>
      <c r="K130" s="78" t="s">
        <v>2458</v>
      </c>
      <c r="L130" s="135" t="str">
        <f>IF(ISERROR(GETPIVOTDATA(IF($J130=1,"Count of ACTIVE     CED, FARM GATE (MJ/kg)","Count of CED, processor gate (MJ/kg)"),'Pivot Table_CED'!$A$3,"SUB TYPE",$B130)),"PROXY",IF(GETPIVOTDATA(IF($J130=1,"Count of ACTIVE     CED, FARM GATE (MJ/kg)","Count of CED, processor gate (MJ/kg)"),'Pivot Table_CED'!$A$3,"SUB TYPE",$B130)=0,"PROXY","DB value"))</f>
        <v>PROXY</v>
      </c>
      <c r="M130" s="118">
        <f ca="1">IF($L130="PROXY",DCOUNT('literature entries'!$D:$AI,IF($J130=1,"ACTIVE     CED, FARM GATE (MJ/kg)","CED, processor gate (MJ/kg)"),INDIRECT($K130)),GETPIVOTDATA(IF($J130=1,"Count of ACTIVE     CED, FARM GATE (MJ/kg)","Count of CED, processor gate (MJ/kg)"),'Pivot Table_CED'!$A$3,"SUB TYPE",$B130))</f>
        <v>6</v>
      </c>
      <c r="N130" s="119">
        <f ca="1">IF($L130="PROXY",DAVERAGE('literature entries'!$D:$AI,IF($J130=1,"ACTIVE     CED, FARM GATE (MJ/kg)","CED, processor gate (MJ/kg)"),INDIRECT($K130)),GETPIVOTDATA(IF($J130=1,"Average of ACTIVE     CED, FARM GATE (MJ/kg)","Average of CED, processor gate (MJ/kg)"),'Pivot Table_CED'!$A$3,"SUB TYPE",$B130))</f>
        <v>2.6383333333333332</v>
      </c>
      <c r="O130" s="119">
        <f ca="1">IF($L130="PROXY",DSTDEV('literature entries'!D:AI,IF($J130=1,"ACTIVE     CED, FARM GATE (MJ/kg)","CED, processor gate (MJ/kg)"),INDIRECT($K130)),GETPIVOTDATA(IF($J130=1,"StdDev of ACTIVE     CED, FARM GATE (MJ/kg)","StdDev of CED, processor gate (MJ/kg)"),'Pivot Table_CED'!$A$3,"SUB TYPE",$B130))</f>
        <v>0.64558242437869295</v>
      </c>
      <c r="P130" s="135" t="str">
        <f>IF(ISERROR(GETPIVOTDATA(IF($J130=1,"Count of ACTIVE     GHGE, FARM GATE (kg CO2e/kg)","Count of GHGE, processor gate (kg CO2e/kg)"),'Pivot Table_GHG'!$A$3,"SUB TYPE",$B130)),"PROXY",IF(GETPIVOTDATA(IF($J130=1,"Count of ACTIVE     GHGE, FARM GATE (kg CO2e/kg)","Count of GHGE, processor gate (kg CO2e/kg)"),'Pivot Table_GHG'!$A$3,"SUB TYPE",$B130)=0,"PROXY","DB value"))</f>
        <v>PROXY</v>
      </c>
      <c r="Q130" s="125">
        <f ca="1">IF($P130="PROXY",DCOUNT('literature entries'!$D:$AI,IF($J130=1,"ACTIVE     GHGE, FARM GATE (kg CO2e/kg)","GHGE, processor gate (kg CO2e/kg)"),INDIRECT($K130)),GETPIVOTDATA(IF($J130=1,"ACTIVE     GHGE, FARM GATE (kg CO2e/kg)","Count of GHGE, processor gate (kg CO2e/kg)"),'Pivot Table_GHG'!$A$3,"SUB TYPE",$B130))</f>
        <v>23</v>
      </c>
      <c r="R130" s="190">
        <f ca="1">IF($P130="PROXY",DAVERAGE('literature entries'!$D:$AI,IF($J130=1,"ACTIVE     GHGE, FARM GATE (kg CO2e/kg)","GHGE, processor gate (kg CO2e/kg)"),INDIRECT($K130)),GETPIVOTDATA(IF($J130=1,"Average of ACTIVE     GHGE, FARM GATE (kg CO2e/kg)","Average of GHGE, processor gate (kg CO2e/kg)"),'Pivot Table_GHG'!$A$3,"SUB TYPE",$B130))</f>
        <v>0.29650713402988427</v>
      </c>
      <c r="S130" s="190">
        <f ca="1">IF($P130="PROXY",DSTDEV('literature entries'!$D:$AI,IF($J130=1,"ACTIVE     GHGE, FARM GATE (kg CO2e/kg)","GHGE, processor gate (kg CO2e/kg)"),INDIRECT($K130)),GETPIVOTDATA(IF($J130=1,"StdDev of ACTIVE     GHGE, FARM GATE (kg CO2e/kg)","StdDev of GHGE, processor gate (kg CO2e/kg)"),'Pivot Table_GHG'!$A$3,"SUB TYPE",$B130))</f>
        <v>0.21093968918220651</v>
      </c>
      <c r="T130" s="88"/>
      <c r="U130" s="89"/>
      <c r="W130" s="213" t="s">
        <v>2458</v>
      </c>
      <c r="X130" s="211">
        <f ca="1">IF($W130="DIRECT",M130,DCOUNT('literature entries'!$D:$AI,IF($J130=1,"ACTIVE     CED, FARM GATE (MJ/kg)","CED, processor gate (MJ/kg)"),INDIRECT($W130)))</f>
        <v>6</v>
      </c>
      <c r="Y130" s="211">
        <f ca="1">IF($W130="DIRECT","",DAVERAGE('literature entries'!$D:$AI,IF($J130=1,"ACTIVE     CED, FARM GATE (MJ/kg)","CED, processor gate (MJ/kg)"),INDIRECT($W130)))</f>
        <v>2.6383333333333332</v>
      </c>
      <c r="Z130" s="211">
        <f ca="1">IF($W130="DIRECT",$O130,DSTDEV('literature entries'!$D:$AI,IF($J130=1,"ACTIVE     CED, FARM GATE (MJ/kg)","CED, processor gate (MJ/kg)"),INDIRECT($W130)))</f>
        <v>0.64558242437869295</v>
      </c>
      <c r="AA130" s="211">
        <f t="shared" ca="1" si="13"/>
        <v>0.64558242437869295</v>
      </c>
      <c r="AB130" s="219" t="str">
        <f ca="1">IF(P130="PROXY",IF(Q130&gt;=5,K130,"need group"),IF(Q130&gt;=5,"DIRECT","need group"))</f>
        <v>citrus</v>
      </c>
      <c r="AC130" s="212">
        <f ca="1">IF($AB130="DIRECT",Q130,DCOUNT('literature entries'!$D:$AI,IF($J130=1,"ACTIVE     GHGE, FARM GATE (kg CO2e/kg)","GHGE, processor gate (kg CO2e/kg)"),INDIRECT($AB130)))</f>
        <v>23</v>
      </c>
      <c r="AD130" s="212">
        <f ca="1">IF($AB130="DIRECT","",DAVERAGE('literature entries'!$D:$AI,IF($J130=1,"ACTIVE     GHGE, FARM GATE (kg CO2e/kg)","GHGE, processor gate (kg CO2e/kg)"),INDIRECT($AB130)))</f>
        <v>0.29650713402988427</v>
      </c>
      <c r="AE130" s="212">
        <f ca="1">IF($AB130="DIRECT",$S130,DSTDEV('literature entries'!$D:$AI,IF($J130=1,"ACTIVE     GHGE, FARM GATE (kg CO2e/kg)","GHGE, processor gate (kg CO2e/kg)"),INDIRECT($AB130)))</f>
        <v>0.21093968918220651</v>
      </c>
      <c r="AF130" s="212">
        <f t="shared" ca="1" si="14"/>
        <v>0.21093968918220649</v>
      </c>
    </row>
    <row r="131" spans="1:32" s="19" customFormat="1" thickBot="1" x14ac:dyDescent="0.25">
      <c r="A131" s="114">
        <v>1002206000</v>
      </c>
      <c r="B131" s="115" t="s">
        <v>2059</v>
      </c>
      <c r="C131" s="115" t="s">
        <v>1912</v>
      </c>
      <c r="D131" s="115" t="s">
        <v>2060</v>
      </c>
      <c r="E131" s="115">
        <v>34</v>
      </c>
      <c r="F131" s="111">
        <f t="shared" ca="1" si="9"/>
        <v>3.1659999999999999</v>
      </c>
      <c r="G131" s="112">
        <f t="shared" ca="1" si="10"/>
        <v>0.61199999999999999</v>
      </c>
      <c r="H131" s="116">
        <v>1.2</v>
      </c>
      <c r="I131" s="116" t="s">
        <v>2724</v>
      </c>
      <c r="J131" s="79">
        <v>1</v>
      </c>
      <c r="K131" s="78" t="s">
        <v>2458</v>
      </c>
      <c r="L131" s="135" t="str">
        <f>IF(ISERROR(GETPIVOTDATA(IF($J131=1,"Count of ACTIVE     CED, FARM GATE (MJ/kg)","Count of CED, processor gate (MJ/kg)"),'Pivot Table_CED'!$A$3,"SUB TYPE",$B131)),"PROXY",IF(GETPIVOTDATA(IF($J131=1,"Count of ACTIVE     CED, FARM GATE (MJ/kg)","Count of CED, processor gate (MJ/kg)"),'Pivot Table_CED'!$A$3,"SUB TYPE",$B131)=0,"PROXY","DB value"))</f>
        <v>PROXY</v>
      </c>
      <c r="M131" s="118">
        <f ca="1">IF($L131="PROXY",DCOUNT('literature entries'!$D:$AI,IF($J131=1,"ACTIVE     CED, FARM GATE (MJ/kg)","CED, processor gate (MJ/kg)"),INDIRECT($K131)),GETPIVOTDATA(IF($J131=1,"Count of ACTIVE     CED, FARM GATE (MJ/kg)","Count of CED, processor gate (MJ/kg)"),'Pivot Table_CED'!$A$3,"SUB TYPE",$B131))</f>
        <v>6</v>
      </c>
      <c r="N131" s="119">
        <f ca="1">IF($L131="PROXY",DAVERAGE('literature entries'!$D:$AI,IF($J131=1,"ACTIVE     CED, FARM GATE (MJ/kg)","CED, processor gate (MJ/kg)"),INDIRECT($K131)),GETPIVOTDATA(IF($J131=1,"Average of ACTIVE     CED, FARM GATE (MJ/kg)","Average of CED, processor gate (MJ/kg)"),'Pivot Table_CED'!$A$3,"SUB TYPE",$B131))</f>
        <v>2.6383333333333332</v>
      </c>
      <c r="O131" s="119">
        <f ca="1">IF($L131="PROXY",DSTDEV('literature entries'!D:AI,IF($J131=1,"ACTIVE     CED, FARM GATE (MJ/kg)","CED, processor gate (MJ/kg)"),INDIRECT($K131)),GETPIVOTDATA(IF($J131=1,"StdDev of ACTIVE     CED, FARM GATE (MJ/kg)","StdDev of CED, processor gate (MJ/kg)"),'Pivot Table_CED'!$A$3,"SUB TYPE",$B131))</f>
        <v>0.64558242437869295</v>
      </c>
      <c r="P131" s="135" t="str">
        <f>IF(ISERROR(GETPIVOTDATA(IF($J131=1,"Count of ACTIVE     GHGE, FARM GATE (kg CO2e/kg)","Count of GHGE, processor gate (kg CO2e/kg)"),'Pivot Table_GHG'!$A$3,"SUB TYPE",$B131)),"PROXY",IF(GETPIVOTDATA(IF($J131=1,"Count of ACTIVE     GHGE, FARM GATE (kg CO2e/kg)","Count of GHGE, processor gate (kg CO2e/kg)"),'Pivot Table_GHG'!$A$3,"SUB TYPE",$B131)=0,"PROXY","DB value"))</f>
        <v>DB value</v>
      </c>
      <c r="Q131" s="125">
        <f ca="1">IF($P131="PROXY",DCOUNT('literature entries'!$D:$AI,IF($J131=1,"ACTIVE     GHGE, FARM GATE (kg CO2e/kg)","GHGE, processor gate (kg CO2e/kg)"),INDIRECT($K131)),GETPIVOTDATA(IF($J131=1,"ACTIVE     GHGE, FARM GATE (kg CO2e/kg)","Count of GHGE, processor gate (kg CO2e/kg)"),'Pivot Table_GHG'!$A$3,"SUB TYPE",$B131))</f>
        <v>1</v>
      </c>
      <c r="R131" s="190">
        <f ca="1">IF($P131="PROXY",DAVERAGE('literature entries'!$D:$AI,IF($J131=1,"ACTIVE     GHGE, FARM GATE (kg CO2e/kg)","GHGE, processor gate (kg CO2e/kg)"),INDIRECT($K131)),GETPIVOTDATA(IF($J131=1,"Average of ACTIVE     GHGE, FARM GATE (kg CO2e/kg)","Average of GHGE, processor gate (kg CO2e/kg)"),'Pivot Table_GHG'!$A$3,"SUB TYPE",$B131))</f>
        <v>0.51</v>
      </c>
      <c r="S131" s="190" t="e">
        <f ca="1">IF($P131="PROXY",DSTDEV('literature entries'!$D:$AI,IF($J131=1,"ACTIVE     GHGE, FARM GATE (kg CO2e/kg)","GHGE, processor gate (kg CO2e/kg)"),INDIRECT($K131)),GETPIVOTDATA(IF($J131=1,"StdDev of ACTIVE     GHGE, FARM GATE (kg CO2e/kg)","StdDev of GHGE, processor gate (kg CO2e/kg)"),'Pivot Table_GHG'!$A$3,"SUB TYPE",$B131))</f>
        <v>#DIV/0!</v>
      </c>
      <c r="T131" s="88"/>
      <c r="U131" s="89"/>
      <c r="W131" s="213" t="s">
        <v>2458</v>
      </c>
      <c r="X131" s="211">
        <f ca="1">IF($W131="DIRECT",M131,DCOUNT('literature entries'!$D:$AI,IF($J131=1,"ACTIVE     CED, FARM GATE (MJ/kg)","CED, processor gate (MJ/kg)"),INDIRECT($W131)))</f>
        <v>6</v>
      </c>
      <c r="Y131" s="211">
        <f ca="1">IF($W131="DIRECT","",DAVERAGE('literature entries'!$D:$AI,IF($J131=1,"ACTIVE     CED, FARM GATE (MJ/kg)","CED, processor gate (MJ/kg)"),INDIRECT($W131)))</f>
        <v>2.6383333333333332</v>
      </c>
      <c r="Z131" s="211">
        <f ca="1">IF($W131="DIRECT",$O131,DSTDEV('literature entries'!$D:$AI,IF($J131=1,"ACTIVE     CED, FARM GATE (MJ/kg)","CED, processor gate (MJ/kg)"),INDIRECT($W131)))</f>
        <v>0.64558242437869295</v>
      </c>
      <c r="AA131" s="211">
        <f t="shared" ca="1" si="13"/>
        <v>0.64558242437869295</v>
      </c>
      <c r="AB131" s="290" t="s">
        <v>2458</v>
      </c>
      <c r="AC131" s="212">
        <f ca="1">IF($AB131="DIRECT",Q131,DCOUNT('literature entries'!$D:$AI,IF($J131=1,"ACTIVE     GHGE, FARM GATE (kg CO2e/kg)","GHGE, processor gate (kg CO2e/kg)"),INDIRECT($AB131)))</f>
        <v>23</v>
      </c>
      <c r="AD131" s="212">
        <f ca="1">IF($AB131="DIRECT","",DAVERAGE('literature entries'!$D:$AI,IF($J131=1,"ACTIVE     GHGE, FARM GATE (kg CO2e/kg)","GHGE, processor gate (kg CO2e/kg)"),INDIRECT($AB131)))</f>
        <v>0.29650713402988427</v>
      </c>
      <c r="AE131" s="212">
        <f ca="1">IF($AB131="DIRECT",$S131,DSTDEV('literature entries'!$D:$AI,IF($J131=1,"ACTIVE     GHGE, FARM GATE (kg CO2e/kg)","GHGE, processor gate (kg CO2e/kg)"),INDIRECT($AB131)))</f>
        <v>0.21093968918220651</v>
      </c>
      <c r="AF131" s="212">
        <f t="shared" ca="1" si="14"/>
        <v>0.36282176425503021</v>
      </c>
    </row>
    <row r="132" spans="1:32" s="19" customFormat="1" thickBot="1" x14ac:dyDescent="0.25">
      <c r="A132" s="114">
        <v>1002207000</v>
      </c>
      <c r="B132" s="115" t="s">
        <v>2061</v>
      </c>
      <c r="C132" s="115" t="s">
        <v>1742</v>
      </c>
      <c r="D132" s="115" t="s">
        <v>2062</v>
      </c>
      <c r="E132" s="115">
        <v>7724</v>
      </c>
      <c r="F132" s="111">
        <f t="shared" ref="F132:F195" ca="1" si="16">N132*H132+T132</f>
        <v>13.856583333333333</v>
      </c>
      <c r="G132" s="112">
        <f t="shared" ref="G132:G195" ca="1" si="17">R132*H132+U132</f>
        <v>1.9427273116771238</v>
      </c>
      <c r="H132" s="116">
        <v>3.25</v>
      </c>
      <c r="I132" s="116" t="s">
        <v>2724</v>
      </c>
      <c r="J132" s="79">
        <v>1</v>
      </c>
      <c r="K132" s="78" t="s">
        <v>2458</v>
      </c>
      <c r="L132" s="135" t="str">
        <f>IF(ISERROR(GETPIVOTDATA(IF($J132=1,"Count of ACTIVE     CED, FARM GATE (MJ/kg)","Count of CED, processor gate (MJ/kg)"),'Pivot Table_CED'!$A$3,"SUB TYPE",$B132)),"PROXY",IF(GETPIVOTDATA(IF($J132=1,"Count of ACTIVE     CED, FARM GATE (MJ/kg)","Count of CED, processor gate (MJ/kg)"),'Pivot Table_CED'!$A$3,"SUB TYPE",$B132)=0,"PROXY","DB value"))</f>
        <v>PROXY</v>
      </c>
      <c r="M132" s="118">
        <f ca="1">IF($L132="PROXY",DCOUNT('literature entries'!$D:$AI,IF($J132=1,"ACTIVE     CED, FARM GATE (MJ/kg)","CED, processor gate (MJ/kg)"),INDIRECT($K132)),GETPIVOTDATA(IF($J132=1,"Count of ACTIVE     CED, FARM GATE (MJ/kg)","Count of CED, processor gate (MJ/kg)"),'Pivot Table_CED'!$A$3,"SUB TYPE",$B132))</f>
        <v>6</v>
      </c>
      <c r="N132" s="119">
        <f ca="1">IF($L132="PROXY",DAVERAGE('literature entries'!$D:$AI,IF($J132=1,"ACTIVE     CED, FARM GATE (MJ/kg)","CED, processor gate (MJ/kg)"),INDIRECT($K132)),GETPIVOTDATA(IF($J132=1,"Average of ACTIVE     CED, FARM GATE (MJ/kg)","Average of CED, processor gate (MJ/kg)"),'Pivot Table_CED'!$A$3,"SUB TYPE",$B132))</f>
        <v>2.6383333333333332</v>
      </c>
      <c r="O132" s="119">
        <f ca="1">IF($L132="PROXY",DSTDEV('literature entries'!D:AI,IF($J132=1,"ACTIVE     CED, FARM GATE (MJ/kg)","CED, processor gate (MJ/kg)"),INDIRECT($K132)),GETPIVOTDATA(IF($J132=1,"StdDev of ACTIVE     CED, FARM GATE (MJ/kg)","StdDev of CED, processor gate (MJ/kg)"),'Pivot Table_CED'!$A$3,"SUB TYPE",$B132))</f>
        <v>0.64558242437869295</v>
      </c>
      <c r="P132" s="135" t="str">
        <f>IF(ISERROR(GETPIVOTDATA(IF($J132=1,"Count of ACTIVE     GHGE, FARM GATE (kg CO2e/kg)","Count of GHGE, processor gate (kg CO2e/kg)"),'Pivot Table_GHG'!$A$3,"SUB TYPE",$B132)),"PROXY",IF(GETPIVOTDATA(IF($J132=1,"Count of ACTIVE     GHGE, FARM GATE (kg CO2e/kg)","Count of GHGE, processor gate (kg CO2e/kg)"),'Pivot Table_GHG'!$A$3,"SUB TYPE",$B132)=0,"PROXY","DB value"))</f>
        <v>PROXY</v>
      </c>
      <c r="Q132" s="125">
        <f ca="1">IF($P132="PROXY",DCOUNT('literature entries'!$D:$AI,IF($J132=1,"ACTIVE     GHGE, FARM GATE (kg CO2e/kg)","GHGE, processor gate (kg CO2e/kg)"),INDIRECT($K132)),GETPIVOTDATA(IF($J132=1,"ACTIVE     GHGE, FARM GATE (kg CO2e/kg)","Count of GHGE, processor gate (kg CO2e/kg)"),'Pivot Table_GHG'!$A$3,"SUB TYPE",$B132))</f>
        <v>23</v>
      </c>
      <c r="R132" s="190">
        <f ca="1">IF($P132="PROXY",DAVERAGE('literature entries'!$D:$AI,IF($J132=1,"ACTIVE     GHGE, FARM GATE (kg CO2e/kg)","GHGE, processor gate (kg CO2e/kg)"),INDIRECT($K132)),GETPIVOTDATA(IF($J132=1,"Average of ACTIVE     GHGE, FARM GATE (kg CO2e/kg)","Average of GHGE, processor gate (kg CO2e/kg)"),'Pivot Table_GHG'!$A$3,"SUB TYPE",$B132))</f>
        <v>0.29650713402988427</v>
      </c>
      <c r="S132" s="190">
        <f ca="1">IF($P132="PROXY",DSTDEV('literature entries'!$D:$AI,IF($J132=1,"ACTIVE     GHGE, FARM GATE (kg CO2e/kg)","GHGE, processor gate (kg CO2e/kg)"),INDIRECT($K132)),GETPIVOTDATA(IF($J132=1,"StdDev of ACTIVE     GHGE, FARM GATE (kg CO2e/kg)","StdDev of GHGE, processor gate (kg CO2e/kg)"),'Pivot Table_GHG'!$A$3,"SUB TYPE",$B132))</f>
        <v>0.21093968918220651</v>
      </c>
      <c r="T132" s="86">
        <v>5.282</v>
      </c>
      <c r="U132" s="87">
        <v>0.97907912607999992</v>
      </c>
      <c r="W132" s="213" t="s">
        <v>2458</v>
      </c>
      <c r="X132" s="211">
        <f ca="1">IF($W132="DIRECT",M132,DCOUNT('literature entries'!$D:$AI,IF($J132=1,"ACTIVE     CED, FARM GATE (MJ/kg)","CED, processor gate (MJ/kg)"),INDIRECT($W132)))</f>
        <v>6</v>
      </c>
      <c r="Y132" s="211">
        <f ca="1">IF($W132="DIRECT","",DAVERAGE('literature entries'!$D:$AI,IF($J132=1,"ACTIVE     CED, FARM GATE (MJ/kg)","CED, processor gate (MJ/kg)"),INDIRECT($W132)))</f>
        <v>2.6383333333333332</v>
      </c>
      <c r="Z132" s="211">
        <f ca="1">IF($W132="DIRECT",$O132,DSTDEV('literature entries'!$D:$AI,IF($J132=1,"ACTIVE     CED, FARM GATE (MJ/kg)","CED, processor gate (MJ/kg)"),INDIRECT($W132)))</f>
        <v>0.64558242437869295</v>
      </c>
      <c r="AA132" s="211">
        <f t="shared" ca="1" si="13"/>
        <v>0.64558242437869295</v>
      </c>
      <c r="AB132" s="219" t="str">
        <f ca="1">IF(P132="PROXY",IF(Q132&gt;=5,K132,"need group"),IF(Q132&gt;=5,"DIRECT","need group"))</f>
        <v>citrus</v>
      </c>
      <c r="AC132" s="212">
        <f ca="1">IF($AB132="DIRECT",Q132,DCOUNT('literature entries'!$D:$AI,IF($J132=1,"ACTIVE     GHGE, FARM GATE (kg CO2e/kg)","GHGE, processor gate (kg CO2e/kg)"),INDIRECT($AB132)))</f>
        <v>23</v>
      </c>
      <c r="AD132" s="212">
        <f ca="1">IF($AB132="DIRECT","",DAVERAGE('literature entries'!$D:$AI,IF($J132=1,"ACTIVE     GHGE, FARM GATE (kg CO2e/kg)","GHGE, processor gate (kg CO2e/kg)"),INDIRECT($AB132)))</f>
        <v>0.29650713402988427</v>
      </c>
      <c r="AE132" s="212">
        <f ca="1">IF($AB132="DIRECT",$S132,DSTDEV('literature entries'!$D:$AI,IF($J132=1,"ACTIVE     GHGE, FARM GATE (kg CO2e/kg)","GHGE, processor gate (kg CO2e/kg)"),INDIRECT($AB132)))</f>
        <v>0.21093968918220651</v>
      </c>
      <c r="AF132" s="212">
        <f t="shared" ca="1" si="14"/>
        <v>0.21093968918220649</v>
      </c>
    </row>
    <row r="133" spans="1:32" s="19" customFormat="1" thickBot="1" x14ac:dyDescent="0.25">
      <c r="A133" s="114">
        <v>1003180000</v>
      </c>
      <c r="B133" s="115" t="s">
        <v>2022</v>
      </c>
      <c r="C133" s="115" t="s">
        <v>2023</v>
      </c>
      <c r="D133" s="115" t="s">
        <v>2024</v>
      </c>
      <c r="E133" s="115">
        <v>618</v>
      </c>
      <c r="F133" s="111">
        <f t="shared" ca="1" si="16"/>
        <v>5.2766666666666664</v>
      </c>
      <c r="G133" s="112">
        <f t="shared" ca="1" si="17"/>
        <v>1.21</v>
      </c>
      <c r="H133" s="116">
        <v>2</v>
      </c>
      <c r="I133" s="116" t="s">
        <v>2724</v>
      </c>
      <c r="J133" s="79">
        <v>1</v>
      </c>
      <c r="K133" s="78" t="s">
        <v>2458</v>
      </c>
      <c r="L133" s="135" t="str">
        <f>IF(ISERROR(GETPIVOTDATA(IF($J133=1,"Count of ACTIVE     CED, FARM GATE (MJ/kg)","Count of CED, processor gate (MJ/kg)"),'Pivot Table_CED'!$A$3,"SUB TYPE",$B133)),"PROXY",IF(GETPIVOTDATA(IF($J133=1,"Count of ACTIVE     CED, FARM GATE (MJ/kg)","Count of CED, processor gate (MJ/kg)"),'Pivot Table_CED'!$A$3,"SUB TYPE",$B133)=0,"PROXY","DB value"))</f>
        <v>PROXY</v>
      </c>
      <c r="M133" s="118">
        <f ca="1">IF($L133="PROXY",DCOUNT('literature entries'!$D:$AI,IF($J133=1,"ACTIVE     CED, FARM GATE (MJ/kg)","CED, processor gate (MJ/kg)"),INDIRECT($K133)),GETPIVOTDATA(IF($J133=1,"Count of ACTIVE     CED, FARM GATE (MJ/kg)","Count of CED, processor gate (MJ/kg)"),'Pivot Table_CED'!$A$3,"SUB TYPE",$B133))</f>
        <v>6</v>
      </c>
      <c r="N133" s="119">
        <f ca="1">IF($L133="PROXY",DAVERAGE('literature entries'!$D:$AI,IF($J133=1,"ACTIVE     CED, FARM GATE (MJ/kg)","CED, processor gate (MJ/kg)"),INDIRECT($K133)),GETPIVOTDATA(IF($J133=1,"Average of ACTIVE     CED, FARM GATE (MJ/kg)","Average of CED, processor gate (MJ/kg)"),'Pivot Table_CED'!$A$3,"SUB TYPE",$B133))</f>
        <v>2.6383333333333332</v>
      </c>
      <c r="O133" s="119">
        <f ca="1">IF($L133="PROXY",DSTDEV('literature entries'!D:AI,IF($J133=1,"ACTIVE     CED, FARM GATE (MJ/kg)","CED, processor gate (MJ/kg)"),INDIRECT($K133)),GETPIVOTDATA(IF($J133=1,"StdDev of ACTIVE     CED, FARM GATE (MJ/kg)","StdDev of CED, processor gate (MJ/kg)"),'Pivot Table_CED'!$A$3,"SUB TYPE",$B133))</f>
        <v>0.64558242437869295</v>
      </c>
      <c r="P133" s="135" t="str">
        <f>IF(ISERROR(GETPIVOTDATA(IF($J133=1,"Count of ACTIVE     GHGE, FARM GATE (kg CO2e/kg)","Count of GHGE, processor gate (kg CO2e/kg)"),'Pivot Table_GHG'!$A$3,"SUB TYPE",$B133)),"PROXY",IF(GETPIVOTDATA(IF($J133=1,"Count of ACTIVE     GHGE, FARM GATE (kg CO2e/kg)","Count of GHGE, processor gate (kg CO2e/kg)"),'Pivot Table_GHG'!$A$3,"SUB TYPE",$B133)=0,"PROXY","DB value"))</f>
        <v>DB value</v>
      </c>
      <c r="Q133" s="125">
        <f ca="1">IF($P133="PROXY",DCOUNT('literature entries'!$D:$AI,IF($J133=1,"ACTIVE     GHGE, FARM GATE (kg CO2e/kg)","GHGE, processor gate (kg CO2e/kg)"),INDIRECT($K133)),GETPIVOTDATA(IF($J133=1,"ACTIVE     GHGE, FARM GATE (kg CO2e/kg)","Count of GHGE, processor gate (kg CO2e/kg)"),'Pivot Table_GHG'!$A$3,"SUB TYPE",$B133))</f>
        <v>2</v>
      </c>
      <c r="R133" s="190">
        <f ca="1">IF($P133="PROXY",DAVERAGE('literature entries'!$D:$AI,IF($J133=1,"ACTIVE     GHGE, FARM GATE (kg CO2e/kg)","GHGE, processor gate (kg CO2e/kg)"),INDIRECT($K133)),GETPIVOTDATA(IF($J133=1,"Average of ACTIVE     GHGE, FARM GATE (kg CO2e/kg)","Average of GHGE, processor gate (kg CO2e/kg)"),'Pivot Table_GHG'!$A$3,"SUB TYPE",$B133))</f>
        <v>0.60499999999999998</v>
      </c>
      <c r="S133" s="190">
        <f ca="1">IF($P133="PROXY",DSTDEV('literature entries'!$D:$AI,IF($J133=1,"ACTIVE     GHGE, FARM GATE (kg CO2e/kg)","GHGE, processor gate (kg CO2e/kg)"),INDIRECT($K133)),GETPIVOTDATA(IF($J133=1,"StdDev of ACTIVE     GHGE, FARM GATE (kg CO2e/kg)","StdDev of GHGE, processor gate (kg CO2e/kg)"),'Pivot Table_GHG'!$A$3,"SUB TYPE",$B133))</f>
        <v>0.13435028842544408</v>
      </c>
      <c r="T133" s="88"/>
      <c r="U133" s="89"/>
      <c r="W133" s="213" t="s">
        <v>2458</v>
      </c>
      <c r="X133" s="211">
        <f ca="1">IF($W133="DIRECT",M133,DCOUNT('literature entries'!$D:$AI,IF($J133=1,"ACTIVE     CED, FARM GATE (MJ/kg)","CED, processor gate (MJ/kg)"),INDIRECT($W133)))</f>
        <v>6</v>
      </c>
      <c r="Y133" s="211">
        <f ca="1">IF($W133="DIRECT","",DAVERAGE('literature entries'!$D:$AI,IF($J133=1,"ACTIVE     CED, FARM GATE (MJ/kg)","CED, processor gate (MJ/kg)"),INDIRECT($W133)))</f>
        <v>2.6383333333333332</v>
      </c>
      <c r="Z133" s="211">
        <f ca="1">IF($W133="DIRECT",$O133,DSTDEV('literature entries'!$D:$AI,IF($J133=1,"ACTIVE     CED, FARM GATE (MJ/kg)","CED, processor gate (MJ/kg)"),INDIRECT($W133)))</f>
        <v>0.64558242437869295</v>
      </c>
      <c r="AA133" s="211">
        <f t="shared" ca="1" si="13"/>
        <v>0.64558242437869295</v>
      </c>
      <c r="AB133" s="290" t="s">
        <v>2458</v>
      </c>
      <c r="AC133" s="212">
        <f ca="1">IF($AB133="DIRECT",Q133,DCOUNT('literature entries'!$D:$AI,IF($J133=1,"ACTIVE     GHGE, FARM GATE (kg CO2e/kg)","GHGE, processor gate (kg CO2e/kg)"),INDIRECT($AB133)))</f>
        <v>23</v>
      </c>
      <c r="AD133" s="212">
        <f ca="1">IF($AB133="DIRECT","",DAVERAGE('literature entries'!$D:$AI,IF($J133=1,"ACTIVE     GHGE, FARM GATE (kg CO2e/kg)","GHGE, processor gate (kg CO2e/kg)"),INDIRECT($AB133)))</f>
        <v>0.29650713402988427</v>
      </c>
      <c r="AE133" s="212">
        <f ca="1">IF($AB133="DIRECT",$S133,DSTDEV('literature entries'!$D:$AI,IF($J133=1,"ACTIVE     GHGE, FARM GATE (kg CO2e/kg)","GHGE, processor gate (kg CO2e/kg)"),INDIRECT($AB133)))</f>
        <v>0.21093968918220651</v>
      </c>
      <c r="AF133" s="212">
        <f t="shared" ca="1" si="14"/>
        <v>0.43040621053782996</v>
      </c>
    </row>
    <row r="134" spans="1:32" s="19" customFormat="1" ht="17" thickBot="1" x14ac:dyDescent="0.25">
      <c r="A134" s="114">
        <v>1003181000</v>
      </c>
      <c r="B134" s="115" t="s">
        <v>2025</v>
      </c>
      <c r="C134" s="115" t="s">
        <v>1742</v>
      </c>
      <c r="D134" s="115"/>
      <c r="E134" s="115">
        <v>7511</v>
      </c>
      <c r="F134" s="111">
        <f t="shared" ca="1" si="16"/>
        <v>11.218249999999999</v>
      </c>
      <c r="G134" s="112">
        <f t="shared" ca="1" si="17"/>
        <v>1.6462201776472396</v>
      </c>
      <c r="H134" s="116">
        <v>2.25</v>
      </c>
      <c r="I134" s="117" t="s">
        <v>2724</v>
      </c>
      <c r="J134" s="79">
        <v>1</v>
      </c>
      <c r="K134" s="78" t="s">
        <v>2458</v>
      </c>
      <c r="L134" s="135" t="str">
        <f>IF(ISERROR(GETPIVOTDATA(IF($J134=1,"Count of ACTIVE     CED, FARM GATE (MJ/kg)","Count of CED, processor gate (MJ/kg)"),'Pivot Table_CED'!$A$3,"SUB TYPE",$B134)),"PROXY",IF(GETPIVOTDATA(IF($J134=1,"Count of ACTIVE     CED, FARM GATE (MJ/kg)","Count of CED, processor gate (MJ/kg)"),'Pivot Table_CED'!$A$3,"SUB TYPE",$B134)=0,"PROXY","DB value"))</f>
        <v>PROXY</v>
      </c>
      <c r="M134" s="118">
        <f ca="1">IF($L134="PROXY",DCOUNT('literature entries'!$D:$AI,IF($J134=1,"ACTIVE     CED, FARM GATE (MJ/kg)","CED, processor gate (MJ/kg)"),INDIRECT($K134)),GETPIVOTDATA(IF($J134=1,"Count of ACTIVE     CED, FARM GATE (MJ/kg)","Count of CED, processor gate (MJ/kg)"),'Pivot Table_CED'!$A$3,"SUB TYPE",$B134))</f>
        <v>6</v>
      </c>
      <c r="N134" s="119">
        <f ca="1">IF($L134="PROXY",DAVERAGE('literature entries'!$D:$AI,IF($J134=1,"ACTIVE     CED, FARM GATE (MJ/kg)","CED, processor gate (MJ/kg)"),INDIRECT($K134)),GETPIVOTDATA(IF($J134=1,"Average of ACTIVE     CED, FARM GATE (MJ/kg)","Average of CED, processor gate (MJ/kg)"),'Pivot Table_CED'!$A$3,"SUB TYPE",$B134))</f>
        <v>2.6383333333333332</v>
      </c>
      <c r="O134" s="119">
        <f ca="1">IF($L134="PROXY",DSTDEV('literature entries'!D:AI,IF($J134=1,"ACTIVE     CED, FARM GATE (MJ/kg)","CED, processor gate (MJ/kg)"),INDIRECT($K134)),GETPIVOTDATA(IF($J134=1,"StdDev of ACTIVE     CED, FARM GATE (MJ/kg)","StdDev of CED, processor gate (MJ/kg)"),'Pivot Table_CED'!$A$3,"SUB TYPE",$B134))</f>
        <v>0.64558242437869295</v>
      </c>
      <c r="P134" s="135" t="str">
        <f>IF(ISERROR(GETPIVOTDATA(IF($J134=1,"Count of ACTIVE     GHGE, FARM GATE (kg CO2e/kg)","Count of GHGE, processor gate (kg CO2e/kg)"),'Pivot Table_GHG'!$A$3,"SUB TYPE",$B134)),"PROXY",IF(GETPIVOTDATA(IF($J134=1,"Count of ACTIVE     GHGE, FARM GATE (kg CO2e/kg)","Count of GHGE, processor gate (kg CO2e/kg)"),'Pivot Table_GHG'!$A$3,"SUB TYPE",$B134)=0,"PROXY","DB value"))</f>
        <v>PROXY</v>
      </c>
      <c r="Q134" s="125">
        <f ca="1">IF($P134="PROXY",DCOUNT('literature entries'!$D:$AI,IF($J134=1,"ACTIVE     GHGE, FARM GATE (kg CO2e/kg)","GHGE, processor gate (kg CO2e/kg)"),INDIRECT($K134)),GETPIVOTDATA(IF($J134=1,"ACTIVE     GHGE, FARM GATE (kg CO2e/kg)","Count of GHGE, processor gate (kg CO2e/kg)"),'Pivot Table_GHG'!$A$3,"SUB TYPE",$B134))</f>
        <v>23</v>
      </c>
      <c r="R134" s="190">
        <f ca="1">IF($P134="PROXY",DAVERAGE('literature entries'!$D:$AI,IF($J134=1,"ACTIVE     GHGE, FARM GATE (kg CO2e/kg)","GHGE, processor gate (kg CO2e/kg)"),INDIRECT($K134)),GETPIVOTDATA(IF($J134=1,"Average of ACTIVE     GHGE, FARM GATE (kg CO2e/kg)","Average of GHGE, processor gate (kg CO2e/kg)"),'Pivot Table_GHG'!$A$3,"SUB TYPE",$B134))</f>
        <v>0.29650713402988427</v>
      </c>
      <c r="S134" s="190">
        <f ca="1">IF($P134="PROXY",DSTDEV('literature entries'!$D:$AI,IF($J134=1,"ACTIVE     GHGE, FARM GATE (kg CO2e/kg)","GHGE, processor gate (kg CO2e/kg)"),INDIRECT($K134)),GETPIVOTDATA(IF($J134=1,"StdDev of ACTIVE     GHGE, FARM GATE (kg CO2e/kg)","StdDev of GHGE, processor gate (kg CO2e/kg)"),'Pivot Table_GHG'!$A$3,"SUB TYPE",$B134))</f>
        <v>0.21093968918220651</v>
      </c>
      <c r="T134" s="86">
        <v>5.282</v>
      </c>
      <c r="U134" s="87">
        <v>0.97907912607999992</v>
      </c>
      <c r="W134" s="213" t="s">
        <v>2458</v>
      </c>
      <c r="X134" s="211">
        <f ca="1">IF($W134="DIRECT",M134,DCOUNT('literature entries'!$D:$AI,IF($J134=1,"ACTIVE     CED, FARM GATE (MJ/kg)","CED, processor gate (MJ/kg)"),INDIRECT($W134)))</f>
        <v>6</v>
      </c>
      <c r="Y134" s="211">
        <f ca="1">IF($W134="DIRECT","",DAVERAGE('literature entries'!$D:$AI,IF($J134=1,"ACTIVE     CED, FARM GATE (MJ/kg)","CED, processor gate (MJ/kg)"),INDIRECT($W134)))</f>
        <v>2.6383333333333332</v>
      </c>
      <c r="Z134" s="211">
        <f ca="1">IF($W134="DIRECT",$O134,DSTDEV('literature entries'!$D:$AI,IF($J134=1,"ACTIVE     CED, FARM GATE (MJ/kg)","CED, processor gate (MJ/kg)"),INDIRECT($W134)))</f>
        <v>0.64558242437869295</v>
      </c>
      <c r="AA134" s="211">
        <f t="shared" ca="1" si="13"/>
        <v>0.64558242437869295</v>
      </c>
      <c r="AB134" s="219" t="str">
        <f t="shared" ref="AB134:AB144" ca="1" si="18">IF(P134="PROXY",IF(Q134&gt;=5,K134,"need group"),IF(Q134&gt;=5,"DIRECT","need group"))</f>
        <v>citrus</v>
      </c>
      <c r="AC134" s="212">
        <f ca="1">IF($AB134="DIRECT",Q134,DCOUNT('literature entries'!$D:$AI,IF($J134=1,"ACTIVE     GHGE, FARM GATE (kg CO2e/kg)","GHGE, processor gate (kg CO2e/kg)"),INDIRECT($AB134)))</f>
        <v>23</v>
      </c>
      <c r="AD134" s="212">
        <f ca="1">IF($AB134="DIRECT","",DAVERAGE('literature entries'!$D:$AI,IF($J134=1,"ACTIVE     GHGE, FARM GATE (kg CO2e/kg)","GHGE, processor gate (kg CO2e/kg)"),INDIRECT($AB134)))</f>
        <v>0.29650713402988427</v>
      </c>
      <c r="AE134" s="212">
        <f ca="1">IF($AB134="DIRECT",$S134,DSTDEV('literature entries'!$D:$AI,IF($J134=1,"ACTIVE     GHGE, FARM GATE (kg CO2e/kg)","GHGE, processor gate (kg CO2e/kg)"),INDIRECT($AB134)))</f>
        <v>0.21093968918220651</v>
      </c>
      <c r="AF134" s="212">
        <f t="shared" ca="1" si="14"/>
        <v>0.21093968918220649</v>
      </c>
    </row>
    <row r="135" spans="1:32" s="19" customFormat="1" ht="17" thickBot="1" x14ac:dyDescent="0.25">
      <c r="A135" s="114">
        <v>1100007000</v>
      </c>
      <c r="B135" s="115" t="s">
        <v>1739</v>
      </c>
      <c r="C135" s="115" t="s">
        <v>1740</v>
      </c>
      <c r="D135" s="115"/>
      <c r="E135" s="115">
        <v>6912</v>
      </c>
      <c r="F135" s="111">
        <f t="shared" ca="1" si="16"/>
        <v>1.5952550000000008</v>
      </c>
      <c r="G135" s="112">
        <f t="shared" ca="1" si="17"/>
        <v>0.2283983960562633</v>
      </c>
      <c r="H135" s="116">
        <v>1.1100000000000001</v>
      </c>
      <c r="I135" s="117" t="s">
        <v>2735</v>
      </c>
      <c r="J135" s="79">
        <v>1</v>
      </c>
      <c r="K135" s="78"/>
      <c r="L135" s="135" t="str">
        <f>IF(ISERROR(GETPIVOTDATA(IF($J135=1,"Count of ACTIVE     CED, FARM GATE (MJ/kg)","Count of CED, processor gate (MJ/kg)"),'Pivot Table_CED'!$A$3,"SUB TYPE",$B135)),"PROXY",IF(GETPIVOTDATA(IF($J135=1,"Count of ACTIVE     CED, FARM GATE (MJ/kg)","Count of CED, processor gate (MJ/kg)"),'Pivot Table_CED'!$A$3,"SUB TYPE",$B135)=0,"PROXY","DB value"))</f>
        <v>DB value</v>
      </c>
      <c r="M135" s="118">
        <f ca="1">IF($L135="PROXY",DCOUNT('literature entries'!$D:$AI,IF($J135=1,"ACTIVE     CED, FARM GATE (MJ/kg)","CED, processor gate (MJ/kg)"),INDIRECT($K135)),GETPIVOTDATA(IF($J135=1,"Count of ACTIVE     CED, FARM GATE (MJ/kg)","Count of CED, processor gate (MJ/kg)"),'Pivot Table_CED'!$A$3,"SUB TYPE",$B135))</f>
        <v>18</v>
      </c>
      <c r="N135" s="119">
        <f ca="1">IF($L135="PROXY",DAVERAGE('literature entries'!$D:$AI,IF($J135=1,"ACTIVE     CED, FARM GATE (MJ/kg)","CED, processor gate (MJ/kg)"),INDIRECT($K135)),GETPIVOTDATA(IF($J135=1,"Average of ACTIVE     CED, FARM GATE (MJ/kg)","Average of CED, processor gate (MJ/kg)"),'Pivot Table_CED'!$A$3,"SUB TYPE",$B135))</f>
        <v>1.4371666666666671</v>
      </c>
      <c r="O135" s="119">
        <f ca="1">IF($L135="PROXY",DSTDEV('literature entries'!D:AI,IF($J135=1,"ACTIVE     CED, FARM GATE (MJ/kg)","CED, processor gate (MJ/kg)"),INDIRECT($K135)),GETPIVOTDATA(IF($J135=1,"StdDev of ACTIVE     CED, FARM GATE (MJ/kg)","StdDev of CED, processor gate (MJ/kg)"),'Pivot Table_CED'!$A$3,"SUB TYPE",$B135))</f>
        <v>1.3479662458681962</v>
      </c>
      <c r="P135" s="135" t="str">
        <f>IF(ISERROR(GETPIVOTDATA(IF($J135=1,"Count of ACTIVE     GHGE, FARM GATE (kg CO2e/kg)","Count of GHGE, processor gate (kg CO2e/kg)"),'Pivot Table_GHG'!$A$3,"SUB TYPE",$B135)),"PROXY",IF(GETPIVOTDATA(IF($J135=1,"Count of ACTIVE     GHGE, FARM GATE (kg CO2e/kg)","Count of GHGE, processor gate (kg CO2e/kg)"),'Pivot Table_GHG'!$A$3,"SUB TYPE",$B135)=0,"PROXY","DB value"))</f>
        <v>DB value</v>
      </c>
      <c r="Q135" s="125">
        <f ca="1">IF($P135="PROXY",DCOUNT('literature entries'!$D:$AI,IF($J135=1,"ACTIVE     GHGE, FARM GATE (kg CO2e/kg)","GHGE, processor gate (kg CO2e/kg)"),INDIRECT($K135)),GETPIVOTDATA(IF($J135=1,"ACTIVE     GHGE, FARM GATE (kg CO2e/kg)","Count of GHGE, processor gate (kg CO2e/kg)"),'Pivot Table_GHG'!$A$3,"SUB TYPE",$B135))</f>
        <v>36</v>
      </c>
      <c r="R135" s="190">
        <f ca="1">IF($P135="PROXY",DAVERAGE('literature entries'!$D:$AI,IF($J135=1,"ACTIVE     GHGE, FARM GATE (kg CO2e/kg)","GHGE, processor gate (kg CO2e/kg)"),INDIRECT($K135)),GETPIVOTDATA(IF($J135=1,"Average of ACTIVE     GHGE, FARM GATE (kg CO2e/kg)","Average of GHGE, processor gate (kg CO2e/kg)"),'Pivot Table_GHG'!$A$3,"SUB TYPE",$B135))</f>
        <v>0.20576432077140835</v>
      </c>
      <c r="S135" s="190">
        <f ca="1">IF($P135="PROXY",DSTDEV('literature entries'!$D:$AI,IF($J135=1,"ACTIVE     GHGE, FARM GATE (kg CO2e/kg)","GHGE, processor gate (kg CO2e/kg)"),INDIRECT($K135)),GETPIVOTDATA(IF($J135=1,"StdDev of ACTIVE     GHGE, FARM GATE (kg CO2e/kg)","StdDev of GHGE, processor gate (kg CO2e/kg)"),'Pivot Table_GHG'!$A$3,"SUB TYPE",$B135))</f>
        <v>0.21608589641208981</v>
      </c>
      <c r="T135" s="82"/>
      <c r="U135" s="83"/>
      <c r="W135" s="213" t="str">
        <f t="shared" ref="W135:W142" ca="1" si="19">IF(L135="PROXY",IF(M135&gt;=5,K135,"need group"),IF(M135&gt;=5,"DIRECT","need group"))</f>
        <v>DIRECT</v>
      </c>
      <c r="X135" s="211">
        <f ca="1">IF($W135="DIRECT",M135,DCOUNT('literature entries'!$D:$AI,IF($J135=1,"ACTIVE     CED, FARM GATE (MJ/kg)","CED, processor gate (MJ/kg)"),INDIRECT($W135)))</f>
        <v>18</v>
      </c>
      <c r="Y135" s="211" t="str">
        <f ca="1">IF($W135="DIRECT","",DAVERAGE('literature entries'!$D:$AI,IF($J135=1,"ACTIVE     CED, FARM GATE (MJ/kg)","CED, processor gate (MJ/kg)"),INDIRECT($W135)))</f>
        <v/>
      </c>
      <c r="Z135" s="211">
        <f ca="1">IF($W135="DIRECT",$O135,DSTDEV('literature entries'!$D:$AI,IF($J135=1,"ACTIVE     CED, FARM GATE (MJ/kg)","CED, processor gate (MJ/kg)"),INDIRECT($W135)))</f>
        <v>1.3479662458681962</v>
      </c>
      <c r="AA135" s="211">
        <f t="shared" ca="1" si="13"/>
        <v>1.3479662458681962</v>
      </c>
      <c r="AB135" s="219" t="str">
        <f t="shared" ca="1" si="18"/>
        <v>DIRECT</v>
      </c>
      <c r="AC135" s="212">
        <f ca="1">IF($AB135="DIRECT",Q135,DCOUNT('literature entries'!$D:$AI,IF($J135=1,"ACTIVE     GHGE, FARM GATE (kg CO2e/kg)","GHGE, processor gate (kg CO2e/kg)"),INDIRECT($AB135)))</f>
        <v>36</v>
      </c>
      <c r="AD135" s="212" t="str">
        <f ca="1">IF($AB135="DIRECT","",DAVERAGE('literature entries'!$D:$AI,IF($J135=1,"ACTIVE     GHGE, FARM GATE (kg CO2e/kg)","GHGE, processor gate (kg CO2e/kg)"),INDIRECT($AB135)))</f>
        <v/>
      </c>
      <c r="AE135" s="212">
        <f ca="1">IF($AB135="DIRECT",$S135,DSTDEV('literature entries'!$D:$AI,IF($J135=1,"ACTIVE     GHGE, FARM GATE (kg CO2e/kg)","GHGE, processor gate (kg CO2e/kg)"),INDIRECT($AB135)))</f>
        <v>0.21608589641208981</v>
      </c>
      <c r="AF135" s="212">
        <f t="shared" ca="1" si="14"/>
        <v>0.21608589641208981</v>
      </c>
    </row>
    <row r="136" spans="1:32" s="19" customFormat="1" ht="17" thickBot="1" x14ac:dyDescent="0.25">
      <c r="A136" s="114">
        <v>1100008000</v>
      </c>
      <c r="B136" s="115" t="s">
        <v>1743</v>
      </c>
      <c r="C136" s="115" t="s">
        <v>1744</v>
      </c>
      <c r="D136" s="115"/>
      <c r="E136" s="115">
        <v>1123</v>
      </c>
      <c r="F136" s="111">
        <f t="shared" ca="1" si="16"/>
        <v>1.8683166666666673</v>
      </c>
      <c r="G136" s="112">
        <f t="shared" ca="1" si="17"/>
        <v>0.26749361700283086</v>
      </c>
      <c r="H136" s="120">
        <v>1.3</v>
      </c>
      <c r="I136" s="117" t="s">
        <v>2737</v>
      </c>
      <c r="J136" s="79">
        <v>1</v>
      </c>
      <c r="K136" s="78" t="s">
        <v>848</v>
      </c>
      <c r="L136" s="135" t="str">
        <f>IF(ISERROR(GETPIVOTDATA(IF($J136=1,"Count of ACTIVE     CED, FARM GATE (MJ/kg)","Count of CED, processor gate (MJ/kg)"),'Pivot Table_CED'!$A$3,"SUB TYPE",$B136)),"PROXY",IF(GETPIVOTDATA(IF($J136=1,"Count of ACTIVE     CED, FARM GATE (MJ/kg)","Count of CED, processor gate (MJ/kg)"),'Pivot Table_CED'!$A$3,"SUB TYPE",$B136)=0,"PROXY","DB value"))</f>
        <v>PROXY</v>
      </c>
      <c r="M136" s="118">
        <f ca="1">IF($L136="PROXY",DCOUNT('literature entries'!$D:$AI,IF($J136=1,"ACTIVE     CED, FARM GATE (MJ/kg)","CED, processor gate (MJ/kg)"),INDIRECT($K136)),GETPIVOTDATA(IF($J136=1,"Count of ACTIVE     CED, FARM GATE (MJ/kg)","Count of CED, processor gate (MJ/kg)"),'Pivot Table_CED'!$A$3,"SUB TYPE",$B136))</f>
        <v>18</v>
      </c>
      <c r="N136" s="119">
        <f ca="1">IF($L136="PROXY",DAVERAGE('literature entries'!$D:$AI,IF($J136=1,"ACTIVE     CED, FARM GATE (MJ/kg)","CED, processor gate (MJ/kg)"),INDIRECT($K136)),GETPIVOTDATA(IF($J136=1,"Average of ACTIVE     CED, FARM GATE (MJ/kg)","Average of CED, processor gate (MJ/kg)"),'Pivot Table_CED'!$A$3,"SUB TYPE",$B136))</f>
        <v>1.4371666666666671</v>
      </c>
      <c r="O136" s="119">
        <f ca="1">IF($L136="PROXY",DSTDEV('literature entries'!D:AI,IF($J136=1,"ACTIVE     CED, FARM GATE (MJ/kg)","CED, processor gate (MJ/kg)"),INDIRECT($K136)),GETPIVOTDATA(IF($J136=1,"StdDev of ACTIVE     CED, FARM GATE (MJ/kg)","StdDev of CED, processor gate (MJ/kg)"),'Pivot Table_CED'!$A$3,"SUB TYPE",$B136))</f>
        <v>1.3479662458681962</v>
      </c>
      <c r="P136" s="135" t="str">
        <f>IF(ISERROR(GETPIVOTDATA(IF($J136=1,"Count of ACTIVE     GHGE, FARM GATE (kg CO2e/kg)","Count of GHGE, processor gate (kg CO2e/kg)"),'Pivot Table_GHG'!$A$3,"SUB TYPE",$B136)),"PROXY",IF(GETPIVOTDATA(IF($J136=1,"Count of ACTIVE     GHGE, FARM GATE (kg CO2e/kg)","Count of GHGE, processor gate (kg CO2e/kg)"),'Pivot Table_GHG'!$A$3,"SUB TYPE",$B136)=0,"PROXY","DB value"))</f>
        <v>PROXY</v>
      </c>
      <c r="Q136" s="125">
        <f ca="1">IF($P136="PROXY",DCOUNT('literature entries'!$D:$AI,IF($J136=1,"ACTIVE     GHGE, FARM GATE (kg CO2e/kg)","GHGE, processor gate (kg CO2e/kg)"),INDIRECT($K136)),GETPIVOTDATA(IF($J136=1,"ACTIVE     GHGE, FARM GATE (kg CO2e/kg)","Count of GHGE, processor gate (kg CO2e/kg)"),'Pivot Table_GHG'!$A$3,"SUB TYPE",$B136))</f>
        <v>36</v>
      </c>
      <c r="R136" s="190">
        <f ca="1">IF($P136="PROXY",DAVERAGE('literature entries'!$D:$AI,IF($J136=1,"ACTIVE     GHGE, FARM GATE (kg CO2e/kg)","GHGE, processor gate (kg CO2e/kg)"),INDIRECT($K136)),GETPIVOTDATA(IF($J136=1,"Average of ACTIVE     GHGE, FARM GATE (kg CO2e/kg)","Average of GHGE, processor gate (kg CO2e/kg)"),'Pivot Table_GHG'!$A$3,"SUB TYPE",$B136))</f>
        <v>0.20576432077140835</v>
      </c>
      <c r="S136" s="190">
        <f ca="1">IF($P136="PROXY",DSTDEV('literature entries'!$D:$AI,IF($J136=1,"ACTIVE     GHGE, FARM GATE (kg CO2e/kg)","GHGE, processor gate (kg CO2e/kg)"),INDIRECT($K136)),GETPIVOTDATA(IF($J136=1,"StdDev of ACTIVE     GHGE, FARM GATE (kg CO2e/kg)","StdDev of GHGE, processor gate (kg CO2e/kg)"),'Pivot Table_GHG'!$A$3,"SUB TYPE",$B136))</f>
        <v>0.21608589641208981</v>
      </c>
      <c r="T136" s="82"/>
      <c r="U136" s="83"/>
      <c r="W136" s="213" t="str">
        <f t="shared" ca="1" si="19"/>
        <v>apple</v>
      </c>
      <c r="X136" s="211">
        <f ca="1">IF($W136="DIRECT",M136,DCOUNT('literature entries'!$D:$AI,IF($J136=1,"ACTIVE     CED, FARM GATE (MJ/kg)","CED, processor gate (MJ/kg)"),INDIRECT($W136)))</f>
        <v>18</v>
      </c>
      <c r="Y136" s="211">
        <f ca="1">IF($W136="DIRECT","",DAVERAGE('literature entries'!$D:$AI,IF($J136=1,"ACTIVE     CED, FARM GATE (MJ/kg)","CED, processor gate (MJ/kg)"),INDIRECT($W136)))</f>
        <v>1.4371666666666671</v>
      </c>
      <c r="Z136" s="211">
        <f ca="1">IF($W136="DIRECT",$O136,DSTDEV('literature entries'!$D:$AI,IF($J136=1,"ACTIVE     CED, FARM GATE (MJ/kg)","CED, processor gate (MJ/kg)"),INDIRECT($W136)))</f>
        <v>1.3479662458681962</v>
      </c>
      <c r="AA136" s="211">
        <f t="shared" ca="1" si="13"/>
        <v>1.3479662458681962</v>
      </c>
      <c r="AB136" s="219" t="str">
        <f t="shared" ca="1" si="18"/>
        <v>apple</v>
      </c>
      <c r="AC136" s="212">
        <f ca="1">IF($AB136="DIRECT",Q136,DCOUNT('literature entries'!$D:$AI,IF($J136=1,"ACTIVE     GHGE, FARM GATE (kg CO2e/kg)","GHGE, processor gate (kg CO2e/kg)"),INDIRECT($AB136)))</f>
        <v>36</v>
      </c>
      <c r="AD136" s="212">
        <f ca="1">IF($AB136="DIRECT","",DAVERAGE('literature entries'!$D:$AI,IF($J136=1,"ACTIVE     GHGE, FARM GATE (kg CO2e/kg)","GHGE, processor gate (kg CO2e/kg)"),INDIRECT($AB136)))</f>
        <v>0.20576432077140835</v>
      </c>
      <c r="AE136" s="212">
        <f ca="1">IF($AB136="DIRECT",$S136,DSTDEV('literature entries'!$D:$AI,IF($J136=1,"ACTIVE     GHGE, FARM GATE (kg CO2e/kg)","GHGE, processor gate (kg CO2e/kg)"),INDIRECT($AB136)))</f>
        <v>0.21608589641208981</v>
      </c>
      <c r="AF136" s="212">
        <f t="shared" ca="1" si="14"/>
        <v>0.21608589641208981</v>
      </c>
    </row>
    <row r="137" spans="1:32" s="19" customFormat="1" thickBot="1" x14ac:dyDescent="0.25">
      <c r="A137" s="114">
        <v>1100009000</v>
      </c>
      <c r="B137" s="115" t="s">
        <v>1737</v>
      </c>
      <c r="C137" s="115" t="s">
        <v>1738</v>
      </c>
      <c r="D137" s="115"/>
      <c r="E137" s="115">
        <v>2932</v>
      </c>
      <c r="F137" s="111">
        <f t="shared" ca="1" si="16"/>
        <v>8.8385750000000041</v>
      </c>
      <c r="G137" s="112">
        <f t="shared" ca="1" si="17"/>
        <v>1.2654505727441614</v>
      </c>
      <c r="H137" s="116">
        <v>6.15</v>
      </c>
      <c r="I137" s="116" t="s">
        <v>2724</v>
      </c>
      <c r="J137" s="79">
        <v>1</v>
      </c>
      <c r="K137" s="78" t="s">
        <v>848</v>
      </c>
      <c r="L137" s="135" t="str">
        <f>IF(ISERROR(GETPIVOTDATA(IF($J137=1,"Count of ACTIVE     CED, FARM GATE (MJ/kg)","Count of CED, processor gate (MJ/kg)"),'Pivot Table_CED'!$A$3,"SUB TYPE",$B137)),"PROXY",IF(GETPIVOTDATA(IF($J137=1,"Count of ACTIVE     CED, FARM GATE (MJ/kg)","Count of CED, processor gate (MJ/kg)"),'Pivot Table_CED'!$A$3,"SUB TYPE",$B137)=0,"PROXY","DB value"))</f>
        <v>PROXY</v>
      </c>
      <c r="M137" s="118">
        <f ca="1">IF($L137="PROXY",DCOUNT('literature entries'!$D:$AI,IF($J137=1,"ACTIVE     CED, FARM GATE (MJ/kg)","CED, processor gate (MJ/kg)"),INDIRECT($K137)),GETPIVOTDATA(IF($J137=1,"Count of ACTIVE     CED, FARM GATE (MJ/kg)","Count of CED, processor gate (MJ/kg)"),'Pivot Table_CED'!$A$3,"SUB TYPE",$B137))</f>
        <v>18</v>
      </c>
      <c r="N137" s="119">
        <f ca="1">IF($L137="PROXY",DAVERAGE('literature entries'!$D:$AI,IF($J137=1,"ACTIVE     CED, FARM GATE (MJ/kg)","CED, processor gate (MJ/kg)"),INDIRECT($K137)),GETPIVOTDATA(IF($J137=1,"Average of ACTIVE     CED, FARM GATE (MJ/kg)","Average of CED, processor gate (MJ/kg)"),'Pivot Table_CED'!$A$3,"SUB TYPE",$B137))</f>
        <v>1.4371666666666671</v>
      </c>
      <c r="O137" s="119">
        <f ca="1">IF($L137="PROXY",DSTDEV('literature entries'!D:AI,IF($J137=1,"ACTIVE     CED, FARM GATE (MJ/kg)","CED, processor gate (MJ/kg)"),INDIRECT($K137)),GETPIVOTDATA(IF($J137=1,"StdDev of ACTIVE     CED, FARM GATE (MJ/kg)","StdDev of CED, processor gate (MJ/kg)"),'Pivot Table_CED'!$A$3,"SUB TYPE",$B137))</f>
        <v>1.3479662458681962</v>
      </c>
      <c r="P137" s="135" t="str">
        <f>IF(ISERROR(GETPIVOTDATA(IF($J137=1,"Count of ACTIVE     GHGE, FARM GATE (kg CO2e/kg)","Count of GHGE, processor gate (kg CO2e/kg)"),'Pivot Table_GHG'!$A$3,"SUB TYPE",$B137)),"PROXY",IF(GETPIVOTDATA(IF($J137=1,"Count of ACTIVE     GHGE, FARM GATE (kg CO2e/kg)","Count of GHGE, processor gate (kg CO2e/kg)"),'Pivot Table_GHG'!$A$3,"SUB TYPE",$B137)=0,"PROXY","DB value"))</f>
        <v>PROXY</v>
      </c>
      <c r="Q137" s="125">
        <f ca="1">IF($P137="PROXY",DCOUNT('literature entries'!$D:$AI,IF($J137=1,"ACTIVE     GHGE, FARM GATE (kg CO2e/kg)","GHGE, processor gate (kg CO2e/kg)"),INDIRECT($K137)),GETPIVOTDATA(IF($J137=1,"ACTIVE     GHGE, FARM GATE (kg CO2e/kg)","Count of GHGE, processor gate (kg CO2e/kg)"),'Pivot Table_GHG'!$A$3,"SUB TYPE",$B137))</f>
        <v>36</v>
      </c>
      <c r="R137" s="190">
        <f ca="1">IF($P137="PROXY",DAVERAGE('literature entries'!$D:$AI,IF($J137=1,"ACTIVE     GHGE, FARM GATE (kg CO2e/kg)","GHGE, processor gate (kg CO2e/kg)"),INDIRECT($K137)),GETPIVOTDATA(IF($J137=1,"Average of ACTIVE     GHGE, FARM GATE (kg CO2e/kg)","Average of GHGE, processor gate (kg CO2e/kg)"),'Pivot Table_GHG'!$A$3,"SUB TYPE",$B137))</f>
        <v>0.20576432077140835</v>
      </c>
      <c r="S137" s="190">
        <f ca="1">IF($P137="PROXY",DSTDEV('literature entries'!$D:$AI,IF($J137=1,"ACTIVE     GHGE, FARM GATE (kg CO2e/kg)","GHGE, processor gate (kg CO2e/kg)"),INDIRECT($K137)),GETPIVOTDATA(IF($J137=1,"StdDev of ACTIVE     GHGE, FARM GATE (kg CO2e/kg)","StdDev of GHGE, processor gate (kg CO2e/kg)"),'Pivot Table_GHG'!$A$3,"SUB TYPE",$B137))</f>
        <v>0.21608589641208981</v>
      </c>
      <c r="T137" s="84"/>
      <c r="U137" s="85"/>
      <c r="W137" s="213" t="str">
        <f t="shared" ca="1" si="19"/>
        <v>apple</v>
      </c>
      <c r="X137" s="211">
        <f ca="1">IF($W137="DIRECT",M137,DCOUNT('literature entries'!$D:$AI,IF($J137=1,"ACTIVE     CED, FARM GATE (MJ/kg)","CED, processor gate (MJ/kg)"),INDIRECT($W137)))</f>
        <v>18</v>
      </c>
      <c r="Y137" s="211">
        <f ca="1">IF($W137="DIRECT","",DAVERAGE('literature entries'!$D:$AI,IF($J137=1,"ACTIVE     CED, FARM GATE (MJ/kg)","CED, processor gate (MJ/kg)"),INDIRECT($W137)))</f>
        <v>1.4371666666666671</v>
      </c>
      <c r="Z137" s="211">
        <f ca="1">IF($W137="DIRECT",$O137,DSTDEV('literature entries'!$D:$AI,IF($J137=1,"ACTIVE     CED, FARM GATE (MJ/kg)","CED, processor gate (MJ/kg)"),INDIRECT($W137)))</f>
        <v>1.3479662458681962</v>
      </c>
      <c r="AA137" s="211">
        <f t="shared" ref="AA137:AA168" ca="1" si="20">IF($W137="DIRECT",$O137,$Z137/$Y137*$N137)</f>
        <v>1.3479662458681962</v>
      </c>
      <c r="AB137" s="219" t="str">
        <f t="shared" ca="1" si="18"/>
        <v>apple</v>
      </c>
      <c r="AC137" s="212">
        <f ca="1">IF($AB137="DIRECT",Q137,DCOUNT('literature entries'!$D:$AI,IF($J137=1,"ACTIVE     GHGE, FARM GATE (kg CO2e/kg)","GHGE, processor gate (kg CO2e/kg)"),INDIRECT($AB137)))</f>
        <v>36</v>
      </c>
      <c r="AD137" s="212">
        <f ca="1">IF($AB137="DIRECT","",DAVERAGE('literature entries'!$D:$AI,IF($J137=1,"ACTIVE     GHGE, FARM GATE (kg CO2e/kg)","GHGE, processor gate (kg CO2e/kg)"),INDIRECT($AB137)))</f>
        <v>0.20576432077140835</v>
      </c>
      <c r="AE137" s="212">
        <f ca="1">IF($AB137="DIRECT",$S137,DSTDEV('literature entries'!$D:$AI,IF($J137=1,"ACTIVE     GHGE, FARM GATE (kg CO2e/kg)","GHGE, processor gate (kg CO2e/kg)"),INDIRECT($AB137)))</f>
        <v>0.21608589641208981</v>
      </c>
      <c r="AF137" s="212">
        <f t="shared" ref="AF137:AF168" ca="1" si="21">IF($AB137="DIRECT",$S137,$AE137/$AD137*$R137)</f>
        <v>0.21608589641208981</v>
      </c>
    </row>
    <row r="138" spans="1:32" s="19" customFormat="1" thickBot="1" x14ac:dyDescent="0.25">
      <c r="A138" s="114">
        <v>1100010000</v>
      </c>
      <c r="B138" s="115" t="s">
        <v>1741</v>
      </c>
      <c r="C138" s="115" t="s">
        <v>1742</v>
      </c>
      <c r="D138" s="115"/>
      <c r="E138" s="115">
        <v>14568</v>
      </c>
      <c r="F138" s="111">
        <f t="shared" ca="1" si="16"/>
        <v>7.4377500000000012</v>
      </c>
      <c r="G138" s="112">
        <f t="shared" ca="1" si="17"/>
        <v>1.2877256072371124</v>
      </c>
      <c r="H138" s="116">
        <v>1.5</v>
      </c>
      <c r="I138" s="116" t="s">
        <v>2724</v>
      </c>
      <c r="J138" s="79">
        <v>1</v>
      </c>
      <c r="K138" s="78" t="s">
        <v>848</v>
      </c>
      <c r="L138" s="135" t="str">
        <f>IF(ISERROR(GETPIVOTDATA(IF($J138=1,"Count of ACTIVE     CED, FARM GATE (MJ/kg)","Count of CED, processor gate (MJ/kg)"),'Pivot Table_CED'!$A$3,"SUB TYPE",$B138)),"PROXY",IF(GETPIVOTDATA(IF($J138=1,"Count of ACTIVE     CED, FARM GATE (MJ/kg)","Count of CED, processor gate (MJ/kg)"),'Pivot Table_CED'!$A$3,"SUB TYPE",$B138)=0,"PROXY","DB value"))</f>
        <v>PROXY</v>
      </c>
      <c r="M138" s="118">
        <f ca="1">IF($L138="PROXY",DCOUNT('literature entries'!$D:$AI,IF($J138=1,"ACTIVE     CED, FARM GATE (MJ/kg)","CED, processor gate (MJ/kg)"),INDIRECT($K138)),GETPIVOTDATA(IF($J138=1,"Count of ACTIVE     CED, FARM GATE (MJ/kg)","Count of CED, processor gate (MJ/kg)"),'Pivot Table_CED'!$A$3,"SUB TYPE",$B138))</f>
        <v>18</v>
      </c>
      <c r="N138" s="119">
        <f ca="1">IF($L138="PROXY",DAVERAGE('literature entries'!$D:$AI,IF($J138=1,"ACTIVE     CED, FARM GATE (MJ/kg)","CED, processor gate (MJ/kg)"),INDIRECT($K138)),GETPIVOTDATA(IF($J138=1,"Average of ACTIVE     CED, FARM GATE (MJ/kg)","Average of CED, processor gate (MJ/kg)"),'Pivot Table_CED'!$A$3,"SUB TYPE",$B138))</f>
        <v>1.4371666666666671</v>
      </c>
      <c r="O138" s="119">
        <f ca="1">IF($L138="PROXY",DSTDEV('literature entries'!D:AI,IF($J138=1,"ACTIVE     CED, FARM GATE (MJ/kg)","CED, processor gate (MJ/kg)"),INDIRECT($K138)),GETPIVOTDATA(IF($J138=1,"StdDev of ACTIVE     CED, FARM GATE (MJ/kg)","StdDev of CED, processor gate (MJ/kg)"),'Pivot Table_CED'!$A$3,"SUB TYPE",$B138))</f>
        <v>1.3479662458681962</v>
      </c>
      <c r="P138" s="135" t="str">
        <f>IF(ISERROR(GETPIVOTDATA(IF($J138=1,"Count of ACTIVE     GHGE, FARM GATE (kg CO2e/kg)","Count of GHGE, processor gate (kg CO2e/kg)"),'Pivot Table_GHG'!$A$3,"SUB TYPE",$B138)),"PROXY",IF(GETPIVOTDATA(IF($J138=1,"Count of ACTIVE     GHGE, FARM GATE (kg CO2e/kg)","Count of GHGE, processor gate (kg CO2e/kg)"),'Pivot Table_GHG'!$A$3,"SUB TYPE",$B138)=0,"PROXY","DB value"))</f>
        <v>PROXY</v>
      </c>
      <c r="Q138" s="125">
        <f ca="1">IF($P138="PROXY",DCOUNT('literature entries'!$D:$AI,IF($J138=1,"ACTIVE     GHGE, FARM GATE (kg CO2e/kg)","GHGE, processor gate (kg CO2e/kg)"),INDIRECT($K138)),GETPIVOTDATA(IF($J138=1,"ACTIVE     GHGE, FARM GATE (kg CO2e/kg)","Count of GHGE, processor gate (kg CO2e/kg)"),'Pivot Table_GHG'!$A$3,"SUB TYPE",$B138))</f>
        <v>36</v>
      </c>
      <c r="R138" s="190">
        <f ca="1">IF($P138="PROXY",DAVERAGE('literature entries'!$D:$AI,IF($J138=1,"ACTIVE     GHGE, FARM GATE (kg CO2e/kg)","GHGE, processor gate (kg CO2e/kg)"),INDIRECT($K138)),GETPIVOTDATA(IF($J138=1,"Average of ACTIVE     GHGE, FARM GATE (kg CO2e/kg)","Average of GHGE, processor gate (kg CO2e/kg)"),'Pivot Table_GHG'!$A$3,"SUB TYPE",$B138))</f>
        <v>0.20576432077140835</v>
      </c>
      <c r="S138" s="190">
        <f ca="1">IF($P138="PROXY",DSTDEV('literature entries'!$D:$AI,IF($J138=1,"ACTIVE     GHGE, FARM GATE (kg CO2e/kg)","GHGE, processor gate (kg CO2e/kg)"),INDIRECT($K138)),GETPIVOTDATA(IF($J138=1,"StdDev of ACTIVE     GHGE, FARM GATE (kg CO2e/kg)","StdDev of GHGE, processor gate (kg CO2e/kg)"),'Pivot Table_GHG'!$A$3,"SUB TYPE",$B138))</f>
        <v>0.21608589641208981</v>
      </c>
      <c r="T138" s="86">
        <v>5.282</v>
      </c>
      <c r="U138" s="87">
        <v>0.97907912607999992</v>
      </c>
      <c r="W138" s="213" t="str">
        <f t="shared" ca="1" si="19"/>
        <v>apple</v>
      </c>
      <c r="X138" s="211">
        <f ca="1">IF($W138="DIRECT",M138,DCOUNT('literature entries'!$D:$AI,IF($J138=1,"ACTIVE     CED, FARM GATE (MJ/kg)","CED, processor gate (MJ/kg)"),INDIRECT($W138)))</f>
        <v>18</v>
      </c>
      <c r="Y138" s="211">
        <f ca="1">IF($W138="DIRECT","",DAVERAGE('literature entries'!$D:$AI,IF($J138=1,"ACTIVE     CED, FARM GATE (MJ/kg)","CED, processor gate (MJ/kg)"),INDIRECT($W138)))</f>
        <v>1.4371666666666671</v>
      </c>
      <c r="Z138" s="211">
        <f ca="1">IF($W138="DIRECT",$O138,DSTDEV('literature entries'!$D:$AI,IF($J138=1,"ACTIVE     CED, FARM GATE (MJ/kg)","CED, processor gate (MJ/kg)"),INDIRECT($W138)))</f>
        <v>1.3479662458681962</v>
      </c>
      <c r="AA138" s="211">
        <f t="shared" ca="1" si="20"/>
        <v>1.3479662458681962</v>
      </c>
      <c r="AB138" s="219" t="str">
        <f t="shared" ca="1" si="18"/>
        <v>apple</v>
      </c>
      <c r="AC138" s="212">
        <f ca="1">IF($AB138="DIRECT",Q138,DCOUNT('literature entries'!$D:$AI,IF($J138=1,"ACTIVE     GHGE, FARM GATE (kg CO2e/kg)","GHGE, processor gate (kg CO2e/kg)"),INDIRECT($AB138)))</f>
        <v>36</v>
      </c>
      <c r="AD138" s="212">
        <f ca="1">IF($AB138="DIRECT","",DAVERAGE('literature entries'!$D:$AI,IF($J138=1,"ACTIVE     GHGE, FARM GATE (kg CO2e/kg)","GHGE, processor gate (kg CO2e/kg)"),INDIRECT($AB138)))</f>
        <v>0.20576432077140835</v>
      </c>
      <c r="AE138" s="212">
        <f ca="1">IF($AB138="DIRECT",$S138,DSTDEV('literature entries'!$D:$AI,IF($J138=1,"ACTIVE     GHGE, FARM GATE (kg CO2e/kg)","GHGE, processor gate (kg CO2e/kg)"),INDIRECT($AB138)))</f>
        <v>0.21608589641208981</v>
      </c>
      <c r="AF138" s="212">
        <f t="shared" ca="1" si="21"/>
        <v>0.21608589641208981</v>
      </c>
    </row>
    <row r="139" spans="1:32" s="19" customFormat="1" thickBot="1" x14ac:dyDescent="0.25">
      <c r="A139" s="114">
        <v>1100011000</v>
      </c>
      <c r="B139" s="115" t="s">
        <v>1745</v>
      </c>
      <c r="C139" s="115" t="s">
        <v>1746</v>
      </c>
      <c r="D139" s="115"/>
      <c r="E139" s="115">
        <v>1353</v>
      </c>
      <c r="F139" s="111">
        <f t="shared" ca="1" si="16"/>
        <v>2.012033333333334</v>
      </c>
      <c r="G139" s="112">
        <f t="shared" ca="1" si="17"/>
        <v>0.28807004907997169</v>
      </c>
      <c r="H139" s="116">
        <v>1.4</v>
      </c>
      <c r="I139" s="116" t="s">
        <v>2724</v>
      </c>
      <c r="J139" s="79">
        <v>1</v>
      </c>
      <c r="K139" s="78" t="s">
        <v>848</v>
      </c>
      <c r="L139" s="135" t="str">
        <f>IF(ISERROR(GETPIVOTDATA(IF($J139=1,"Count of ACTIVE     CED, FARM GATE (MJ/kg)","Count of CED, processor gate (MJ/kg)"),'Pivot Table_CED'!$A$3,"SUB TYPE",$B139)),"PROXY",IF(GETPIVOTDATA(IF($J139=1,"Count of ACTIVE     CED, FARM GATE (MJ/kg)","Count of CED, processor gate (MJ/kg)"),'Pivot Table_CED'!$A$3,"SUB TYPE",$B139)=0,"PROXY","DB value"))</f>
        <v>PROXY</v>
      </c>
      <c r="M139" s="118">
        <f ca="1">IF($L139="PROXY",DCOUNT('literature entries'!$D:$AI,IF($J139=1,"ACTIVE     CED, FARM GATE (MJ/kg)","CED, processor gate (MJ/kg)"),INDIRECT($K139)),GETPIVOTDATA(IF($J139=1,"Count of ACTIVE     CED, FARM GATE (MJ/kg)","Count of CED, processor gate (MJ/kg)"),'Pivot Table_CED'!$A$3,"SUB TYPE",$B139))</f>
        <v>18</v>
      </c>
      <c r="N139" s="119">
        <f ca="1">IF($L139="PROXY",DAVERAGE('literature entries'!$D:$AI,IF($J139=1,"ACTIVE     CED, FARM GATE (MJ/kg)","CED, processor gate (MJ/kg)"),INDIRECT($K139)),GETPIVOTDATA(IF($J139=1,"Average of ACTIVE     CED, FARM GATE (MJ/kg)","Average of CED, processor gate (MJ/kg)"),'Pivot Table_CED'!$A$3,"SUB TYPE",$B139))</f>
        <v>1.4371666666666671</v>
      </c>
      <c r="O139" s="119">
        <f ca="1">IF($L139="PROXY",DSTDEV('literature entries'!D:AI,IF($J139=1,"ACTIVE     CED, FARM GATE (MJ/kg)","CED, processor gate (MJ/kg)"),INDIRECT($K139)),GETPIVOTDATA(IF($J139=1,"StdDev of ACTIVE     CED, FARM GATE (MJ/kg)","StdDev of CED, processor gate (MJ/kg)"),'Pivot Table_CED'!$A$3,"SUB TYPE",$B139))</f>
        <v>1.3479662458681962</v>
      </c>
      <c r="P139" s="135" t="str">
        <f>IF(ISERROR(GETPIVOTDATA(IF($J139=1,"Count of ACTIVE     GHGE, FARM GATE (kg CO2e/kg)","Count of GHGE, processor gate (kg CO2e/kg)"),'Pivot Table_GHG'!$A$3,"SUB TYPE",$B139)),"PROXY",IF(GETPIVOTDATA(IF($J139=1,"Count of ACTIVE     GHGE, FARM GATE (kg CO2e/kg)","Count of GHGE, processor gate (kg CO2e/kg)"),'Pivot Table_GHG'!$A$3,"SUB TYPE",$B139)=0,"PROXY","DB value"))</f>
        <v>PROXY</v>
      </c>
      <c r="Q139" s="125">
        <f ca="1">IF($P139="PROXY",DCOUNT('literature entries'!$D:$AI,IF($J139=1,"ACTIVE     GHGE, FARM GATE (kg CO2e/kg)","GHGE, processor gate (kg CO2e/kg)"),INDIRECT($K139)),GETPIVOTDATA(IF($J139=1,"ACTIVE     GHGE, FARM GATE (kg CO2e/kg)","Count of GHGE, processor gate (kg CO2e/kg)"),'Pivot Table_GHG'!$A$3,"SUB TYPE",$B139))</f>
        <v>36</v>
      </c>
      <c r="R139" s="190">
        <f ca="1">IF($P139="PROXY",DAVERAGE('literature entries'!$D:$AI,IF($J139=1,"ACTIVE     GHGE, FARM GATE (kg CO2e/kg)","GHGE, processor gate (kg CO2e/kg)"),INDIRECT($K139)),GETPIVOTDATA(IF($J139=1,"Average of ACTIVE     GHGE, FARM GATE (kg CO2e/kg)","Average of GHGE, processor gate (kg CO2e/kg)"),'Pivot Table_GHG'!$A$3,"SUB TYPE",$B139))</f>
        <v>0.20576432077140835</v>
      </c>
      <c r="S139" s="190">
        <f ca="1">IF($P139="PROXY",DSTDEV('literature entries'!$D:$AI,IF($J139=1,"ACTIVE     GHGE, FARM GATE (kg CO2e/kg)","GHGE, processor gate (kg CO2e/kg)"),INDIRECT($K139)),GETPIVOTDATA(IF($J139=1,"StdDev of ACTIVE     GHGE, FARM GATE (kg CO2e/kg)","StdDev of GHGE, processor gate (kg CO2e/kg)"),'Pivot Table_GHG'!$A$3,"SUB TYPE",$B139))</f>
        <v>0.21608589641208981</v>
      </c>
      <c r="T139" s="82"/>
      <c r="U139" s="83"/>
      <c r="W139" s="213" t="str">
        <f t="shared" ca="1" si="19"/>
        <v>apple</v>
      </c>
      <c r="X139" s="211">
        <f ca="1">IF($W139="DIRECT",M139,DCOUNT('literature entries'!$D:$AI,IF($J139=1,"ACTIVE     CED, FARM GATE (MJ/kg)","CED, processor gate (MJ/kg)"),INDIRECT($W139)))</f>
        <v>18</v>
      </c>
      <c r="Y139" s="211">
        <f ca="1">IF($W139="DIRECT","",DAVERAGE('literature entries'!$D:$AI,IF($J139=1,"ACTIVE     CED, FARM GATE (MJ/kg)","CED, processor gate (MJ/kg)"),INDIRECT($W139)))</f>
        <v>1.4371666666666671</v>
      </c>
      <c r="Z139" s="211">
        <f ca="1">IF($W139="DIRECT",$O139,DSTDEV('literature entries'!$D:$AI,IF($J139=1,"ACTIVE     CED, FARM GATE (MJ/kg)","CED, processor gate (MJ/kg)"),INDIRECT($W139)))</f>
        <v>1.3479662458681962</v>
      </c>
      <c r="AA139" s="211">
        <f t="shared" ca="1" si="20"/>
        <v>1.3479662458681962</v>
      </c>
      <c r="AB139" s="219" t="str">
        <f t="shared" ca="1" si="18"/>
        <v>apple</v>
      </c>
      <c r="AC139" s="212">
        <f ca="1">IF($AB139="DIRECT",Q139,DCOUNT('literature entries'!$D:$AI,IF($J139=1,"ACTIVE     GHGE, FARM GATE (kg CO2e/kg)","GHGE, processor gate (kg CO2e/kg)"),INDIRECT($AB139)))</f>
        <v>36</v>
      </c>
      <c r="AD139" s="212">
        <f ca="1">IF($AB139="DIRECT","",DAVERAGE('literature entries'!$D:$AI,IF($J139=1,"ACTIVE     GHGE, FARM GATE (kg CO2e/kg)","GHGE, processor gate (kg CO2e/kg)"),INDIRECT($AB139)))</f>
        <v>0.20576432077140835</v>
      </c>
      <c r="AE139" s="212">
        <f ca="1">IF($AB139="DIRECT",$S139,DSTDEV('literature entries'!$D:$AI,IF($J139=1,"ACTIVE     GHGE, FARM GATE (kg CO2e/kg)","GHGE, processor gate (kg CO2e/kg)"),INDIRECT($AB139)))</f>
        <v>0.21608589641208981</v>
      </c>
      <c r="AF139" s="212">
        <f t="shared" ca="1" si="21"/>
        <v>0.21608589641208981</v>
      </c>
    </row>
    <row r="140" spans="1:32" s="19" customFormat="1" thickBot="1" x14ac:dyDescent="0.25">
      <c r="A140" s="114">
        <v>1100266000</v>
      </c>
      <c r="B140" s="115" t="s">
        <v>2145</v>
      </c>
      <c r="C140" s="115" t="s">
        <v>2146</v>
      </c>
      <c r="D140" s="115" t="s">
        <v>2147</v>
      </c>
      <c r="E140" s="115">
        <v>3209</v>
      </c>
      <c r="F140" s="111">
        <f t="shared" ca="1" si="16"/>
        <v>2.9215200000000006</v>
      </c>
      <c r="G140" s="112">
        <f t="shared" ca="1" si="17"/>
        <v>0.24879781662857142</v>
      </c>
      <c r="H140" s="116">
        <v>1.1100000000000001</v>
      </c>
      <c r="I140" s="116" t="s">
        <v>2724</v>
      </c>
      <c r="J140" s="79">
        <v>1</v>
      </c>
      <c r="K140" s="78"/>
      <c r="L140" s="135" t="str">
        <f>IF(ISERROR(GETPIVOTDATA(IF($J140=1,"Count of ACTIVE     CED, FARM GATE (MJ/kg)","Count of CED, processor gate (MJ/kg)"),'Pivot Table_CED'!$A$3,"SUB TYPE",$B140)),"PROXY",IF(GETPIVOTDATA(IF($J140=1,"Count of ACTIVE     CED, FARM GATE (MJ/kg)","Count of CED, processor gate (MJ/kg)"),'Pivot Table_CED'!$A$3,"SUB TYPE",$B140)=0,"PROXY","DB value"))</f>
        <v>DB value</v>
      </c>
      <c r="M140" s="118">
        <f ca="1">IF($L140="PROXY",DCOUNT('literature entries'!$D:$AI,IF($J140=1,"ACTIVE     CED, FARM GATE (MJ/kg)","CED, processor gate (MJ/kg)"),INDIRECT($K140)),GETPIVOTDATA(IF($J140=1,"Count of ACTIVE     CED, FARM GATE (MJ/kg)","Count of CED, processor gate (MJ/kg)"),'Pivot Table_CED'!$A$3,"SUB TYPE",$B140))</f>
        <v>5</v>
      </c>
      <c r="N140" s="119">
        <f ca="1">IF($L140="PROXY",DAVERAGE('literature entries'!$D:$AI,IF($J140=1,"ACTIVE     CED, FARM GATE (MJ/kg)","CED, processor gate (MJ/kg)"),INDIRECT($K140)),GETPIVOTDATA(IF($J140=1,"Average of ACTIVE     CED, FARM GATE (MJ/kg)","Average of CED, processor gate (MJ/kg)"),'Pivot Table_CED'!$A$3,"SUB TYPE",$B140))</f>
        <v>2.6320000000000001</v>
      </c>
      <c r="O140" s="119">
        <f ca="1">IF($L140="PROXY",DSTDEV('literature entries'!D:AI,IF($J140=1,"ACTIVE     CED, FARM GATE (MJ/kg)","CED, processor gate (MJ/kg)"),INDIRECT($K140)),GETPIVOTDATA(IF($J140=1,"StdDev of ACTIVE     CED, FARM GATE (MJ/kg)","StdDev of CED, processor gate (MJ/kg)"),'Pivot Table_CED'!$A$3,"SUB TYPE",$B140))</f>
        <v>2.0091103752656303</v>
      </c>
      <c r="P140" s="135" t="str">
        <f>IF(ISERROR(GETPIVOTDATA(IF($J140=1,"Count of ACTIVE     GHGE, FARM GATE (kg CO2e/kg)","Count of GHGE, processor gate (kg CO2e/kg)"),'Pivot Table_GHG'!$A$3,"SUB TYPE",$B140)),"PROXY",IF(GETPIVOTDATA(IF($J140=1,"Count of ACTIVE     GHGE, FARM GATE (kg CO2e/kg)","Count of GHGE, processor gate (kg CO2e/kg)"),'Pivot Table_GHG'!$A$3,"SUB TYPE",$B140)=0,"PROXY","DB value"))</f>
        <v>DB value</v>
      </c>
      <c r="Q140" s="125">
        <f ca="1">IF($P140="PROXY",DCOUNT('literature entries'!$D:$AI,IF($J140=1,"ACTIVE     GHGE, FARM GATE (kg CO2e/kg)","GHGE, processor gate (kg CO2e/kg)"),INDIRECT($K140)),GETPIVOTDATA(IF($J140=1,"ACTIVE     GHGE, FARM GATE (kg CO2e/kg)","Count of GHGE, processor gate (kg CO2e/kg)"),'Pivot Table_GHG'!$A$3,"SUB TYPE",$B140))</f>
        <v>7</v>
      </c>
      <c r="R140" s="190">
        <f ca="1">IF($P140="PROXY",DAVERAGE('literature entries'!$D:$AI,IF($J140=1,"ACTIVE     GHGE, FARM GATE (kg CO2e/kg)","GHGE, processor gate (kg CO2e/kg)"),INDIRECT($K140)),GETPIVOTDATA(IF($J140=1,"Average of ACTIVE     GHGE, FARM GATE (kg CO2e/kg)","Average of GHGE, processor gate (kg CO2e/kg)"),'Pivot Table_GHG'!$A$3,"SUB TYPE",$B140))</f>
        <v>0.22414217714285711</v>
      </c>
      <c r="S140" s="190">
        <f ca="1">IF($P140="PROXY",DSTDEV('literature entries'!$D:$AI,IF($J140=1,"ACTIVE     GHGE, FARM GATE (kg CO2e/kg)","GHGE, processor gate (kg CO2e/kg)"),INDIRECT($K140)),GETPIVOTDATA(IF($J140=1,"StdDev of ACTIVE     GHGE, FARM GATE (kg CO2e/kg)","StdDev of GHGE, processor gate (kg CO2e/kg)"),'Pivot Table_GHG'!$A$3,"SUB TYPE",$B140))</f>
        <v>0.13023470319022629</v>
      </c>
      <c r="T140" s="88"/>
      <c r="U140" s="89"/>
      <c r="W140" s="213" t="str">
        <f t="shared" ca="1" si="19"/>
        <v>DIRECT</v>
      </c>
      <c r="X140" s="211">
        <f ca="1">IF($W140="DIRECT",M140,DCOUNT('literature entries'!$D:$AI,IF($J140=1,"ACTIVE     CED, FARM GATE (MJ/kg)","CED, processor gate (MJ/kg)"),INDIRECT($W140)))</f>
        <v>5</v>
      </c>
      <c r="Y140" s="211" t="str">
        <f ca="1">IF($W140="DIRECT","",DAVERAGE('literature entries'!$D:$AI,IF($J140=1,"ACTIVE     CED, FARM GATE (MJ/kg)","CED, processor gate (MJ/kg)"),INDIRECT($W140)))</f>
        <v/>
      </c>
      <c r="Z140" s="211">
        <f ca="1">IF($W140="DIRECT",$O140,DSTDEV('literature entries'!$D:$AI,IF($J140=1,"ACTIVE     CED, FARM GATE (MJ/kg)","CED, processor gate (MJ/kg)"),INDIRECT($W140)))</f>
        <v>2.0091103752656303</v>
      </c>
      <c r="AA140" s="211">
        <f t="shared" ca="1" si="20"/>
        <v>2.0091103752656303</v>
      </c>
      <c r="AB140" s="219" t="str">
        <f t="shared" ca="1" si="18"/>
        <v>DIRECT</v>
      </c>
      <c r="AC140" s="212">
        <f ca="1">IF($AB140="DIRECT",Q140,DCOUNT('literature entries'!$D:$AI,IF($J140=1,"ACTIVE     GHGE, FARM GATE (kg CO2e/kg)","GHGE, processor gate (kg CO2e/kg)"),INDIRECT($AB140)))</f>
        <v>7</v>
      </c>
      <c r="AD140" s="212" t="str">
        <f ca="1">IF($AB140="DIRECT","",DAVERAGE('literature entries'!$D:$AI,IF($J140=1,"ACTIVE     GHGE, FARM GATE (kg CO2e/kg)","GHGE, processor gate (kg CO2e/kg)"),INDIRECT($AB140)))</f>
        <v/>
      </c>
      <c r="AE140" s="212">
        <f ca="1">IF($AB140="DIRECT",$S140,DSTDEV('literature entries'!$D:$AI,IF($J140=1,"ACTIVE     GHGE, FARM GATE (kg CO2e/kg)","GHGE, processor gate (kg CO2e/kg)"),INDIRECT($AB140)))</f>
        <v>0.13023470319022629</v>
      </c>
      <c r="AF140" s="212">
        <f t="shared" ca="1" si="21"/>
        <v>0.13023470319022629</v>
      </c>
    </row>
    <row r="141" spans="1:32" s="19" customFormat="1" ht="17" thickBot="1" x14ac:dyDescent="0.25">
      <c r="A141" s="114">
        <v>1100267000</v>
      </c>
      <c r="B141" s="115" t="s">
        <v>2148</v>
      </c>
      <c r="C141" s="115" t="s">
        <v>2149</v>
      </c>
      <c r="D141" s="115" t="s">
        <v>2147</v>
      </c>
      <c r="E141" s="115">
        <v>142</v>
      </c>
      <c r="F141" s="111">
        <f t="shared" ca="1" si="16"/>
        <v>13.16</v>
      </c>
      <c r="G141" s="112">
        <f t="shared" ca="1" si="17"/>
        <v>1.1207108857142856</v>
      </c>
      <c r="H141" s="116">
        <v>5</v>
      </c>
      <c r="I141" s="117" t="s">
        <v>2724</v>
      </c>
      <c r="J141" s="79">
        <v>1</v>
      </c>
      <c r="K141" s="115" t="s">
        <v>841</v>
      </c>
      <c r="L141" s="135" t="str">
        <f>IF(ISERROR(GETPIVOTDATA(IF($J141=1,"Count of ACTIVE     CED, FARM GATE (MJ/kg)","Count of CED, processor gate (MJ/kg)"),'Pivot Table_CED'!$A$3,"SUB TYPE",$B141)),"PROXY",IF(GETPIVOTDATA(IF($J141=1,"Count of ACTIVE     CED, FARM GATE (MJ/kg)","Count of CED, processor gate (MJ/kg)"),'Pivot Table_CED'!$A$3,"SUB TYPE",$B141)=0,"PROXY","DB value"))</f>
        <v>PROXY</v>
      </c>
      <c r="M141" s="118">
        <f ca="1">IF($L141="PROXY",DCOUNT('literature entries'!$D:$AI,IF($J141=1,"ACTIVE     CED, FARM GATE (MJ/kg)","CED, processor gate (MJ/kg)"),INDIRECT($K141)),GETPIVOTDATA(IF($J141=1,"Count of ACTIVE     CED, FARM GATE (MJ/kg)","Count of CED, processor gate (MJ/kg)"),'Pivot Table_CED'!$A$3,"SUB TYPE",$B141))</f>
        <v>5</v>
      </c>
      <c r="N141" s="119">
        <f ca="1">IF($L141="PROXY",DAVERAGE('literature entries'!$D:$AI,IF($J141=1,"ACTIVE     CED, FARM GATE (MJ/kg)","CED, processor gate (MJ/kg)"),INDIRECT($K141)),GETPIVOTDATA(IF($J141=1,"Average of ACTIVE     CED, FARM GATE (MJ/kg)","Average of CED, processor gate (MJ/kg)"),'Pivot Table_CED'!$A$3,"SUB TYPE",$B141))</f>
        <v>2.6320000000000001</v>
      </c>
      <c r="O141" s="119">
        <f ca="1">IF($L141="PROXY",DSTDEV('literature entries'!D:AI,IF($J141=1,"ACTIVE     CED, FARM GATE (MJ/kg)","CED, processor gate (MJ/kg)"),INDIRECT($K141)),GETPIVOTDATA(IF($J141=1,"StdDev of ACTIVE     CED, FARM GATE (MJ/kg)","StdDev of CED, processor gate (MJ/kg)"),'Pivot Table_CED'!$A$3,"SUB TYPE",$B141))</f>
        <v>2.0091103752656303</v>
      </c>
      <c r="P141" s="135" t="str">
        <f>IF(ISERROR(GETPIVOTDATA(IF($J141=1,"Count of ACTIVE     GHGE, FARM GATE (kg CO2e/kg)","Count of GHGE, processor gate (kg CO2e/kg)"),'Pivot Table_GHG'!$A$3,"SUB TYPE",$B141)),"PROXY",IF(GETPIVOTDATA(IF($J141=1,"Count of ACTIVE     GHGE, FARM GATE (kg CO2e/kg)","Count of GHGE, processor gate (kg CO2e/kg)"),'Pivot Table_GHG'!$A$3,"SUB TYPE",$B141)=0,"PROXY","DB value"))</f>
        <v>PROXY</v>
      </c>
      <c r="Q141" s="125">
        <f ca="1">IF($P141="PROXY",DCOUNT('literature entries'!$D:$AI,IF($J141=1,"ACTIVE     GHGE, FARM GATE (kg CO2e/kg)","GHGE, processor gate (kg CO2e/kg)"),INDIRECT($K141)),GETPIVOTDATA(IF($J141=1,"ACTIVE     GHGE, FARM GATE (kg CO2e/kg)","Count of GHGE, processor gate (kg CO2e/kg)"),'Pivot Table_GHG'!$A$3,"SUB TYPE",$B141))</f>
        <v>7</v>
      </c>
      <c r="R141" s="190">
        <f ca="1">IF($P141="PROXY",DAVERAGE('literature entries'!$D:$AI,IF($J141=1,"ACTIVE     GHGE, FARM GATE (kg CO2e/kg)","GHGE, processor gate (kg CO2e/kg)"),INDIRECT($K141)),GETPIVOTDATA(IF($J141=1,"Average of ACTIVE     GHGE, FARM GATE (kg CO2e/kg)","Average of GHGE, processor gate (kg CO2e/kg)"),'Pivot Table_GHG'!$A$3,"SUB TYPE",$B141))</f>
        <v>0.22414217714285711</v>
      </c>
      <c r="S141" s="190">
        <f ca="1">IF($P141="PROXY",DSTDEV('literature entries'!$D:$AI,IF($J141=1,"ACTIVE     GHGE, FARM GATE (kg CO2e/kg)","GHGE, processor gate (kg CO2e/kg)"),INDIRECT($K141)),GETPIVOTDATA(IF($J141=1,"StdDev of ACTIVE     GHGE, FARM GATE (kg CO2e/kg)","StdDev of GHGE, processor gate (kg CO2e/kg)"),'Pivot Table_GHG'!$A$3,"SUB TYPE",$B141))</f>
        <v>0.13023470319022629</v>
      </c>
      <c r="T141" s="88"/>
      <c r="U141" s="89"/>
      <c r="W141" s="213" t="str">
        <f t="shared" ca="1" si="19"/>
        <v>pear</v>
      </c>
      <c r="X141" s="211">
        <f ca="1">IF($W141="DIRECT",M141,DCOUNT('literature entries'!$D:$AI,IF($J141=1,"ACTIVE     CED, FARM GATE (MJ/kg)","CED, processor gate (MJ/kg)"),INDIRECT($W141)))</f>
        <v>5</v>
      </c>
      <c r="Y141" s="211">
        <f ca="1">IF($W141="DIRECT","",DAVERAGE('literature entries'!$D:$AI,IF($J141=1,"ACTIVE     CED, FARM GATE (MJ/kg)","CED, processor gate (MJ/kg)"),INDIRECT($W141)))</f>
        <v>2.6320000000000001</v>
      </c>
      <c r="Z141" s="211">
        <f ca="1">IF($W141="DIRECT",$O141,DSTDEV('literature entries'!$D:$AI,IF($J141=1,"ACTIVE     CED, FARM GATE (MJ/kg)","CED, processor gate (MJ/kg)"),INDIRECT($W141)))</f>
        <v>2.0091103752656303</v>
      </c>
      <c r="AA141" s="211">
        <f t="shared" ca="1" si="20"/>
        <v>2.0091103752656303</v>
      </c>
      <c r="AB141" s="219" t="str">
        <f t="shared" ca="1" si="18"/>
        <v>pear</v>
      </c>
      <c r="AC141" s="212">
        <f ca="1">IF($AB141="DIRECT",Q141,DCOUNT('literature entries'!$D:$AI,IF($J141=1,"ACTIVE     GHGE, FARM GATE (kg CO2e/kg)","GHGE, processor gate (kg CO2e/kg)"),INDIRECT($AB141)))</f>
        <v>7</v>
      </c>
      <c r="AD141" s="212">
        <f ca="1">IF($AB141="DIRECT","",DAVERAGE('literature entries'!$D:$AI,IF($J141=1,"ACTIVE     GHGE, FARM GATE (kg CO2e/kg)","GHGE, processor gate (kg CO2e/kg)"),INDIRECT($AB141)))</f>
        <v>0.22414217714285711</v>
      </c>
      <c r="AE141" s="212">
        <f ca="1">IF($AB141="DIRECT",$S141,DSTDEV('literature entries'!$D:$AI,IF($J141=1,"ACTIVE     GHGE, FARM GATE (kg CO2e/kg)","GHGE, processor gate (kg CO2e/kg)"),INDIRECT($AB141)))</f>
        <v>0.13023470319022629</v>
      </c>
      <c r="AF141" s="212">
        <f t="shared" ca="1" si="21"/>
        <v>0.13023470319022629</v>
      </c>
    </row>
    <row r="142" spans="1:32" s="19" customFormat="1" ht="17" thickBot="1" x14ac:dyDescent="0.25">
      <c r="A142" s="114">
        <v>1100268000</v>
      </c>
      <c r="B142" s="115" t="s">
        <v>2150</v>
      </c>
      <c r="C142" s="115" t="s">
        <v>1742</v>
      </c>
      <c r="D142" s="115" t="s">
        <v>2147</v>
      </c>
      <c r="E142" s="115">
        <v>6975</v>
      </c>
      <c r="F142" s="111">
        <f t="shared" ca="1" si="16"/>
        <v>9.23</v>
      </c>
      <c r="G142" s="112">
        <f t="shared" ca="1" si="17"/>
        <v>1.3152923917942856</v>
      </c>
      <c r="H142" s="116">
        <v>1.5</v>
      </c>
      <c r="I142" s="117" t="s">
        <v>2754</v>
      </c>
      <c r="J142" s="79">
        <v>1</v>
      </c>
      <c r="K142" s="115" t="s">
        <v>841</v>
      </c>
      <c r="L142" s="135" t="str">
        <f>IF(ISERROR(GETPIVOTDATA(IF($J142=1,"Count of ACTIVE     CED, FARM GATE (MJ/kg)","Count of CED, processor gate (MJ/kg)"),'Pivot Table_CED'!$A$3,"SUB TYPE",$B142)),"PROXY",IF(GETPIVOTDATA(IF($J142=1,"Count of ACTIVE     CED, FARM GATE (MJ/kg)","Count of CED, processor gate (MJ/kg)"),'Pivot Table_CED'!$A$3,"SUB TYPE",$B142)=0,"PROXY","DB value"))</f>
        <v>PROXY</v>
      </c>
      <c r="M142" s="118">
        <f ca="1">IF($L142="PROXY",DCOUNT('literature entries'!$D:$AI,IF($J142=1,"ACTIVE     CED, FARM GATE (MJ/kg)","CED, processor gate (MJ/kg)"),INDIRECT($K142)),GETPIVOTDATA(IF($J142=1,"Count of ACTIVE     CED, FARM GATE (MJ/kg)","Count of CED, processor gate (MJ/kg)"),'Pivot Table_CED'!$A$3,"SUB TYPE",$B142))</f>
        <v>5</v>
      </c>
      <c r="N142" s="119">
        <f ca="1">IF($L142="PROXY",DAVERAGE('literature entries'!$D:$AI,IF($J142=1,"ACTIVE     CED, FARM GATE (MJ/kg)","CED, processor gate (MJ/kg)"),INDIRECT($K142)),GETPIVOTDATA(IF($J142=1,"Average of ACTIVE     CED, FARM GATE (MJ/kg)","Average of CED, processor gate (MJ/kg)"),'Pivot Table_CED'!$A$3,"SUB TYPE",$B142))</f>
        <v>2.6320000000000001</v>
      </c>
      <c r="O142" s="119">
        <f ca="1">IF($L142="PROXY",DSTDEV('literature entries'!D:AI,IF($J142=1,"ACTIVE     CED, FARM GATE (MJ/kg)","CED, processor gate (MJ/kg)"),INDIRECT($K142)),GETPIVOTDATA(IF($J142=1,"StdDev of ACTIVE     CED, FARM GATE (MJ/kg)","StdDev of CED, processor gate (MJ/kg)"),'Pivot Table_CED'!$A$3,"SUB TYPE",$B142))</f>
        <v>2.0091103752656303</v>
      </c>
      <c r="P142" s="135" t="str">
        <f>IF(ISERROR(GETPIVOTDATA(IF($J142=1,"Count of ACTIVE     GHGE, FARM GATE (kg CO2e/kg)","Count of GHGE, processor gate (kg CO2e/kg)"),'Pivot Table_GHG'!$A$3,"SUB TYPE",$B142)),"PROXY",IF(GETPIVOTDATA(IF($J142=1,"Count of ACTIVE     GHGE, FARM GATE (kg CO2e/kg)","Count of GHGE, processor gate (kg CO2e/kg)"),'Pivot Table_GHG'!$A$3,"SUB TYPE",$B142)=0,"PROXY","DB value"))</f>
        <v>PROXY</v>
      </c>
      <c r="Q142" s="125">
        <f ca="1">IF($P142="PROXY",DCOUNT('literature entries'!$D:$AI,IF($J142=1,"ACTIVE     GHGE, FARM GATE (kg CO2e/kg)","GHGE, processor gate (kg CO2e/kg)"),INDIRECT($K142)),GETPIVOTDATA(IF($J142=1,"ACTIVE     GHGE, FARM GATE (kg CO2e/kg)","Count of GHGE, processor gate (kg CO2e/kg)"),'Pivot Table_GHG'!$A$3,"SUB TYPE",$B142))</f>
        <v>7</v>
      </c>
      <c r="R142" s="190">
        <f ca="1">IF($P142="PROXY",DAVERAGE('literature entries'!$D:$AI,IF($J142=1,"ACTIVE     GHGE, FARM GATE (kg CO2e/kg)","GHGE, processor gate (kg CO2e/kg)"),INDIRECT($K142)),GETPIVOTDATA(IF($J142=1,"Average of ACTIVE     GHGE, FARM GATE (kg CO2e/kg)","Average of GHGE, processor gate (kg CO2e/kg)"),'Pivot Table_GHG'!$A$3,"SUB TYPE",$B142))</f>
        <v>0.22414217714285711</v>
      </c>
      <c r="S142" s="190">
        <f ca="1">IF($P142="PROXY",DSTDEV('literature entries'!$D:$AI,IF($J142=1,"ACTIVE     GHGE, FARM GATE (kg CO2e/kg)","GHGE, processor gate (kg CO2e/kg)"),INDIRECT($K142)),GETPIVOTDATA(IF($J142=1,"StdDev of ACTIVE     GHGE, FARM GATE (kg CO2e/kg)","StdDev of GHGE, processor gate (kg CO2e/kg)"),'Pivot Table_GHG'!$A$3,"SUB TYPE",$B142))</f>
        <v>0.13023470319022629</v>
      </c>
      <c r="T142" s="86">
        <v>5.282</v>
      </c>
      <c r="U142" s="87">
        <v>0.97907912607999992</v>
      </c>
      <c r="W142" s="213" t="str">
        <f t="shared" ca="1" si="19"/>
        <v>pear</v>
      </c>
      <c r="X142" s="211">
        <f ca="1">IF($W142="DIRECT",M142,DCOUNT('literature entries'!$D:$AI,IF($J142=1,"ACTIVE     CED, FARM GATE (MJ/kg)","CED, processor gate (MJ/kg)"),INDIRECT($W142)))</f>
        <v>5</v>
      </c>
      <c r="Y142" s="211">
        <f ca="1">IF($W142="DIRECT","",DAVERAGE('literature entries'!$D:$AI,IF($J142=1,"ACTIVE     CED, FARM GATE (MJ/kg)","CED, processor gate (MJ/kg)"),INDIRECT($W142)))</f>
        <v>2.6320000000000001</v>
      </c>
      <c r="Z142" s="211">
        <f ca="1">IF($W142="DIRECT",$O142,DSTDEV('literature entries'!$D:$AI,IF($J142=1,"ACTIVE     CED, FARM GATE (MJ/kg)","CED, processor gate (MJ/kg)"),INDIRECT($W142)))</f>
        <v>2.0091103752656303</v>
      </c>
      <c r="AA142" s="211">
        <f t="shared" ca="1" si="20"/>
        <v>2.0091103752656303</v>
      </c>
      <c r="AB142" s="219" t="str">
        <f t="shared" ca="1" si="18"/>
        <v>pear</v>
      </c>
      <c r="AC142" s="212">
        <f ca="1">IF($AB142="DIRECT",Q142,DCOUNT('literature entries'!$D:$AI,IF($J142=1,"ACTIVE     GHGE, FARM GATE (kg CO2e/kg)","GHGE, processor gate (kg CO2e/kg)"),INDIRECT($AB142)))</f>
        <v>7</v>
      </c>
      <c r="AD142" s="212">
        <f ca="1">IF($AB142="DIRECT","",DAVERAGE('literature entries'!$D:$AI,IF($J142=1,"ACTIVE     GHGE, FARM GATE (kg CO2e/kg)","GHGE, processor gate (kg CO2e/kg)"),INDIRECT($AB142)))</f>
        <v>0.22414217714285711</v>
      </c>
      <c r="AE142" s="212">
        <f ca="1">IF($AB142="DIRECT",$S142,DSTDEV('literature entries'!$D:$AI,IF($J142=1,"ACTIVE     GHGE, FARM GATE (kg CO2e/kg)","GHGE, processor gate (kg CO2e/kg)"),INDIRECT($AB142)))</f>
        <v>0.13023470319022629</v>
      </c>
      <c r="AF142" s="212">
        <f t="shared" ca="1" si="21"/>
        <v>0.13023470319022629</v>
      </c>
    </row>
    <row r="143" spans="1:32" s="19" customFormat="1" thickBot="1" x14ac:dyDescent="0.25">
      <c r="A143" s="114">
        <v>1201090000</v>
      </c>
      <c r="B143" s="115" t="s">
        <v>1879</v>
      </c>
      <c r="C143" s="115" t="s">
        <v>1880</v>
      </c>
      <c r="D143" s="115" t="s">
        <v>1881</v>
      </c>
      <c r="E143" s="115">
        <v>11075</v>
      </c>
      <c r="F143" s="111">
        <f t="shared" ca="1" si="16"/>
        <v>4.3600000000000003</v>
      </c>
      <c r="G143" s="112">
        <f t="shared" ca="1" si="17"/>
        <v>0.51012000000000002</v>
      </c>
      <c r="H143" s="116">
        <v>1.0900000000000001</v>
      </c>
      <c r="I143" s="116" t="s">
        <v>2724</v>
      </c>
      <c r="J143" s="79">
        <v>1</v>
      </c>
      <c r="K143" s="115" t="s">
        <v>3268</v>
      </c>
      <c r="L143" s="135" t="str">
        <f>IF(ISERROR(GETPIVOTDATA(IF($J143=1,"Count of ACTIVE     CED, FARM GATE (MJ/kg)","Count of CED, processor gate (MJ/kg)"),'Pivot Table_CED'!$A$3,"SUB TYPE",$B143)),"PROXY",IF(GETPIVOTDATA(IF($J143=1,"Count of ACTIVE     CED, FARM GATE (MJ/kg)","Count of CED, processor gate (MJ/kg)"),'Pivot Table_CED'!$A$3,"SUB TYPE",$B143)=0,"PROXY","DB value"))</f>
        <v>DB value</v>
      </c>
      <c r="M143" s="118">
        <f ca="1">IF($L143="PROXY",DCOUNT('literature entries'!$D:$AI,IF($J143=1,"ACTIVE     CED, FARM GATE (MJ/kg)","CED, processor gate (MJ/kg)"),INDIRECT($K143)),GETPIVOTDATA(IF($J143=1,"Count of ACTIVE     CED, FARM GATE (MJ/kg)","Count of CED, processor gate (MJ/kg)"),'Pivot Table_CED'!$A$3,"SUB TYPE",$B143))</f>
        <v>2</v>
      </c>
      <c r="N143" s="119">
        <f ca="1">IF($L143="PROXY",DAVERAGE('literature entries'!$D:$AI,IF($J143=1,"ACTIVE     CED, FARM GATE (MJ/kg)","CED, processor gate (MJ/kg)"),INDIRECT($K143)),GETPIVOTDATA(IF($J143=1,"Average of ACTIVE     CED, FARM GATE (MJ/kg)","Average of CED, processor gate (MJ/kg)"),'Pivot Table_CED'!$A$3,"SUB TYPE",$B143))</f>
        <v>4</v>
      </c>
      <c r="O143" s="119">
        <f ca="1">IF($L143="PROXY",DSTDEV('literature entries'!D:AI,IF($J143=1,"ACTIVE     CED, FARM GATE (MJ/kg)","CED, processor gate (MJ/kg)"),INDIRECT($K143)),GETPIVOTDATA(IF($J143=1,"StdDev of ACTIVE     CED, FARM GATE (MJ/kg)","StdDev of CED, processor gate (MJ/kg)"),'Pivot Table_CED'!$A$3,"SUB TYPE",$B143))</f>
        <v>1.4142135623730951</v>
      </c>
      <c r="P143" s="135" t="str">
        <f>IF(ISERROR(GETPIVOTDATA(IF($J143=1,"Count of ACTIVE     GHGE, FARM GATE (kg CO2e/kg)","Count of GHGE, processor gate (kg CO2e/kg)"),'Pivot Table_GHG'!$A$3,"SUB TYPE",$B143)),"PROXY",IF(GETPIVOTDATA(IF($J143=1,"Count of ACTIVE     GHGE, FARM GATE (kg CO2e/kg)","Count of GHGE, processor gate (kg CO2e/kg)"),'Pivot Table_GHG'!$A$3,"SUB TYPE",$B143)=0,"PROXY","DB value"))</f>
        <v>DB value</v>
      </c>
      <c r="Q143" s="125">
        <f ca="1">IF($P143="PROXY",DCOUNT('literature entries'!$D:$AI,IF($J143=1,"ACTIVE     GHGE, FARM GATE (kg CO2e/kg)","GHGE, processor gate (kg CO2e/kg)"),INDIRECT($K143)),GETPIVOTDATA(IF($J143=1,"ACTIVE     GHGE, FARM GATE (kg CO2e/kg)","Count of GHGE, processor gate (kg CO2e/kg)"),'Pivot Table_GHG'!$A$3,"SUB TYPE",$B143))</f>
        <v>5</v>
      </c>
      <c r="R143" s="190">
        <f ca="1">IF($P143="PROXY",DAVERAGE('literature entries'!$D:$AI,IF($J143=1,"ACTIVE     GHGE, FARM GATE (kg CO2e/kg)","GHGE, processor gate (kg CO2e/kg)"),INDIRECT($K143)),GETPIVOTDATA(IF($J143=1,"Average of ACTIVE     GHGE, FARM GATE (kg CO2e/kg)","Average of GHGE, processor gate (kg CO2e/kg)"),'Pivot Table_GHG'!$A$3,"SUB TYPE",$B143))</f>
        <v>0.46799999999999997</v>
      </c>
      <c r="S143" s="190">
        <f ca="1">IF($P143="PROXY",DSTDEV('literature entries'!$D:$AI,IF($J143=1,"ACTIVE     GHGE, FARM GATE (kg CO2e/kg)","GHGE, processor gate (kg CO2e/kg)"),INDIRECT($K143)),GETPIVOTDATA(IF($J143=1,"StdDev of ACTIVE     GHGE, FARM GATE (kg CO2e/kg)","StdDev of GHGE, processor gate (kg CO2e/kg)"),'Pivot Table_GHG'!$A$3,"SUB TYPE",$B143))</f>
        <v>0.24324884377936951</v>
      </c>
      <c r="T143" s="88"/>
      <c r="U143" s="89"/>
      <c r="W143" s="213" t="s">
        <v>3268</v>
      </c>
      <c r="X143" s="211">
        <f ca="1">IF($W143="DIRECT",M143,DCOUNT('literature entries'!$D:$AI,IF($J143=1,"ACTIVE     CED, FARM GATE (MJ/kg)","CED, processor gate (MJ/kg)"),INDIRECT($W143)))</f>
        <v>30</v>
      </c>
      <c r="Y143" s="211">
        <f ca="1">IF($W143="DIRECT","",DAVERAGE('literature entries'!$D:$AI,IF($J143=1,"ACTIVE     CED, FARM GATE (MJ/kg)","CED, processor gate (MJ/kg)"),INDIRECT($W143)))</f>
        <v>2.0319666666666669</v>
      </c>
      <c r="Z143" s="211">
        <f ca="1">IF($W143="DIRECT",$O143,DSTDEV('literature entries'!$D:$AI,IF($J143=1,"ACTIVE     CED, FARM GATE (MJ/kg)","CED, processor gate (MJ/kg)"),INDIRECT($W143)))</f>
        <v>1.7780728376790285</v>
      </c>
      <c r="AA143" s="211">
        <f t="shared" ca="1" si="20"/>
        <v>3.5002007992500435</v>
      </c>
      <c r="AB143" s="219" t="str">
        <f t="shared" ca="1" si="18"/>
        <v>DIRECT</v>
      </c>
      <c r="AC143" s="212">
        <f ca="1">IF($AB143="DIRECT",Q143,DCOUNT('literature entries'!$D:$AI,IF($J143=1,"ACTIVE     GHGE, FARM GATE (kg CO2e/kg)","GHGE, processor gate (kg CO2e/kg)"),INDIRECT($AB143)))</f>
        <v>5</v>
      </c>
      <c r="AD143" s="212" t="str">
        <f ca="1">IF($AB143="DIRECT","",DAVERAGE('literature entries'!$D:$AI,IF($J143=1,"ACTIVE     GHGE, FARM GATE (kg CO2e/kg)","GHGE, processor gate (kg CO2e/kg)"),INDIRECT($AB143)))</f>
        <v/>
      </c>
      <c r="AE143" s="212">
        <f ca="1">IF($AB143="DIRECT",$S143,DSTDEV('literature entries'!$D:$AI,IF($J143=1,"ACTIVE     GHGE, FARM GATE (kg CO2e/kg)","GHGE, processor gate (kg CO2e/kg)"),INDIRECT($AB143)))</f>
        <v>0.24324884377936951</v>
      </c>
      <c r="AF143" s="212">
        <f t="shared" ca="1" si="21"/>
        <v>0.24324884377936951</v>
      </c>
    </row>
    <row r="144" spans="1:32" s="19" customFormat="1" thickBot="1" x14ac:dyDescent="0.25">
      <c r="A144" s="114">
        <v>1201091000</v>
      </c>
      <c r="B144" s="115" t="s">
        <v>1882</v>
      </c>
      <c r="C144" s="115" t="s">
        <v>1742</v>
      </c>
      <c r="D144" s="115" t="s">
        <v>1881</v>
      </c>
      <c r="E144" s="115">
        <v>6943</v>
      </c>
      <c r="F144" s="111">
        <f t="shared" ca="1" si="16"/>
        <v>10.481999999999999</v>
      </c>
      <c r="G144" s="112">
        <f t="shared" ca="1" si="17"/>
        <v>1.5874791260799999</v>
      </c>
      <c r="H144" s="116">
        <v>1.3</v>
      </c>
      <c r="I144" s="120" t="s">
        <v>2768</v>
      </c>
      <c r="J144" s="79">
        <v>1</v>
      </c>
      <c r="K144" s="115" t="s">
        <v>2749</v>
      </c>
      <c r="L144" s="135" t="str">
        <f>IF(ISERROR(GETPIVOTDATA(IF($J144=1,"Count of ACTIVE     CED, FARM GATE (MJ/kg)","Count of CED, processor gate (MJ/kg)"),'Pivot Table_CED'!$A$3,"SUB TYPE",$B144)),"PROXY",IF(GETPIVOTDATA(IF($J144=1,"Count of ACTIVE     CED, FARM GATE (MJ/kg)","Count of CED, processor gate (MJ/kg)"),'Pivot Table_CED'!$A$3,"SUB TYPE",$B144)=0,"PROXY","DB value"))</f>
        <v>PROXY</v>
      </c>
      <c r="M144" s="118">
        <f ca="1">IF($L144="PROXY",DCOUNT('literature entries'!$D:$AI,IF($J144=1,"ACTIVE     CED, FARM GATE (MJ/kg)","CED, processor gate (MJ/kg)"),INDIRECT($K144)),GETPIVOTDATA(IF($J144=1,"Count of ACTIVE     CED, FARM GATE (MJ/kg)","Count of CED, processor gate (MJ/kg)"),'Pivot Table_CED'!$A$3,"SUB TYPE",$B144))</f>
        <v>2</v>
      </c>
      <c r="N144" s="119">
        <f ca="1">IF($L144="PROXY",DAVERAGE('literature entries'!$D:$AI,IF($J144=1,"ACTIVE     CED, FARM GATE (MJ/kg)","CED, processor gate (MJ/kg)"),INDIRECT($K144)),GETPIVOTDATA(IF($J144=1,"Average of ACTIVE     CED, FARM GATE (MJ/kg)","Average of CED, processor gate (MJ/kg)"),'Pivot Table_CED'!$A$3,"SUB TYPE",$B144))</f>
        <v>4</v>
      </c>
      <c r="O144" s="119">
        <f ca="1">IF($L144="PROXY",DSTDEV('literature entries'!D:AI,IF($J144=1,"ACTIVE     CED, FARM GATE (MJ/kg)","CED, processor gate (MJ/kg)"),INDIRECT($K144)),GETPIVOTDATA(IF($J144=1,"StdDev of ACTIVE     CED, FARM GATE (MJ/kg)","StdDev of CED, processor gate (MJ/kg)"),'Pivot Table_CED'!$A$3,"SUB TYPE",$B144))</f>
        <v>1.4142135623730951</v>
      </c>
      <c r="P144" s="135" t="str">
        <f>IF(ISERROR(GETPIVOTDATA(IF($J144=1,"Count of ACTIVE     GHGE, FARM GATE (kg CO2e/kg)","Count of GHGE, processor gate (kg CO2e/kg)"),'Pivot Table_GHG'!$A$3,"SUB TYPE",$B144)),"PROXY",IF(GETPIVOTDATA(IF($J144=1,"Count of ACTIVE     GHGE, FARM GATE (kg CO2e/kg)","Count of GHGE, processor gate (kg CO2e/kg)"),'Pivot Table_GHG'!$A$3,"SUB TYPE",$B144)=0,"PROXY","DB value"))</f>
        <v>PROXY</v>
      </c>
      <c r="Q144" s="125">
        <f ca="1">IF($P144="PROXY",DCOUNT('literature entries'!$D:$AI,IF($J144=1,"ACTIVE     GHGE, FARM GATE (kg CO2e/kg)","GHGE, processor gate (kg CO2e/kg)"),INDIRECT($K144)),GETPIVOTDATA(IF($J144=1,"ACTIVE     GHGE, FARM GATE (kg CO2e/kg)","Count of GHGE, processor gate (kg CO2e/kg)"),'Pivot Table_GHG'!$A$3,"SUB TYPE",$B144))</f>
        <v>5</v>
      </c>
      <c r="R144" s="190">
        <f ca="1">IF($P144="PROXY",DAVERAGE('literature entries'!$D:$AI,IF($J144=1,"ACTIVE     GHGE, FARM GATE (kg CO2e/kg)","GHGE, processor gate (kg CO2e/kg)"),INDIRECT($K144)),GETPIVOTDATA(IF($J144=1,"Average of ACTIVE     GHGE, FARM GATE (kg CO2e/kg)","Average of GHGE, processor gate (kg CO2e/kg)"),'Pivot Table_GHG'!$A$3,"SUB TYPE",$B144))</f>
        <v>0.46799999999999997</v>
      </c>
      <c r="S144" s="190">
        <f ca="1">IF($P144="PROXY",DSTDEV('literature entries'!$D:$AI,IF($J144=1,"ACTIVE     GHGE, FARM GATE (kg CO2e/kg)","GHGE, processor gate (kg CO2e/kg)"),INDIRECT($K144)),GETPIVOTDATA(IF($J144=1,"StdDev of ACTIVE     GHGE, FARM GATE (kg CO2e/kg)","StdDev of GHGE, processor gate (kg CO2e/kg)"),'Pivot Table_GHG'!$A$3,"SUB TYPE",$B144))</f>
        <v>0.24324884377936951</v>
      </c>
      <c r="T144" s="86">
        <v>5.282</v>
      </c>
      <c r="U144" s="87">
        <v>0.97907912607999992</v>
      </c>
      <c r="W144" s="213" t="s">
        <v>3268</v>
      </c>
      <c r="X144" s="211">
        <f ca="1">IF($W144="DIRECT",M144,DCOUNT('literature entries'!$D:$AI,IF($J144=1,"ACTIVE     CED, FARM GATE (MJ/kg)","CED, processor gate (MJ/kg)"),INDIRECT($W144)))</f>
        <v>30</v>
      </c>
      <c r="Y144" s="211">
        <f ca="1">IF($W144="DIRECT","",DAVERAGE('literature entries'!$D:$AI,IF($J144=1,"ACTIVE     CED, FARM GATE (MJ/kg)","CED, processor gate (MJ/kg)"),INDIRECT($W144)))</f>
        <v>2.0319666666666669</v>
      </c>
      <c r="Z144" s="211">
        <f ca="1">IF($W144="DIRECT",$O144,DSTDEV('literature entries'!$D:$AI,IF($J144=1,"ACTIVE     CED, FARM GATE (MJ/kg)","CED, processor gate (MJ/kg)"),INDIRECT($W144)))</f>
        <v>1.7780728376790285</v>
      </c>
      <c r="AA144" s="211">
        <f t="shared" ca="1" si="20"/>
        <v>3.5002007992500435</v>
      </c>
      <c r="AB144" s="219" t="str">
        <f t="shared" ca="1" si="18"/>
        <v>cherry</v>
      </c>
      <c r="AC144" s="212">
        <f ca="1">IF($AB144="DIRECT",Q144,DCOUNT('literature entries'!$D:$AI,IF($J144=1,"ACTIVE     GHGE, FARM GATE (kg CO2e/kg)","GHGE, processor gate (kg CO2e/kg)"),INDIRECT($AB144)))</f>
        <v>5</v>
      </c>
      <c r="AD144" s="212">
        <f ca="1">IF($AB144="DIRECT","",DAVERAGE('literature entries'!$D:$AI,IF($J144=1,"ACTIVE     GHGE, FARM GATE (kg CO2e/kg)","GHGE, processor gate (kg CO2e/kg)"),INDIRECT($AB144)))</f>
        <v>0.46799999999999997</v>
      </c>
      <c r="AE144" s="212">
        <f ca="1">IF($AB144="DIRECT",$S144,DSTDEV('literature entries'!$D:$AI,IF($J144=1,"ACTIVE     GHGE, FARM GATE (kg CO2e/kg)","GHGE, processor gate (kg CO2e/kg)"),INDIRECT($AB144)))</f>
        <v>0.24324884377936951</v>
      </c>
      <c r="AF144" s="212">
        <f t="shared" ca="1" si="21"/>
        <v>0.24324884377936953</v>
      </c>
    </row>
    <row r="145" spans="1:32" s="19" customFormat="1" thickBot="1" x14ac:dyDescent="0.25">
      <c r="A145" s="114">
        <v>1202012000</v>
      </c>
      <c r="B145" s="115" t="s">
        <v>1747</v>
      </c>
      <c r="C145" s="115" t="s">
        <v>1748</v>
      </c>
      <c r="D145" s="115" t="s">
        <v>1749</v>
      </c>
      <c r="E145" s="115">
        <v>1271</v>
      </c>
      <c r="F145" s="111">
        <f t="shared" ca="1" si="16"/>
        <v>2.1945240000000004</v>
      </c>
      <c r="G145" s="112">
        <f t="shared" ca="1" si="17"/>
        <v>0.46440000000000003</v>
      </c>
      <c r="H145" s="116">
        <v>1.08</v>
      </c>
      <c r="I145" s="116" t="s">
        <v>2724</v>
      </c>
      <c r="J145" s="79">
        <v>1</v>
      </c>
      <c r="K145" s="115" t="s">
        <v>3268</v>
      </c>
      <c r="L145" s="135" t="str">
        <f>IF(ISERROR(GETPIVOTDATA(IF($J145=1,"Count of ACTIVE     CED, FARM GATE (MJ/kg)","Count of CED, processor gate (MJ/kg)"),'Pivot Table_CED'!$A$3,"SUB TYPE",$B145)),"PROXY",IF(GETPIVOTDATA(IF($J145=1,"Count of ACTIVE     CED, FARM GATE (MJ/kg)","Count of CED, processor gate (MJ/kg)"),'Pivot Table_CED'!$A$3,"SUB TYPE",$B145)=0,"PROXY","DB value"))</f>
        <v>PROXY</v>
      </c>
      <c r="M145" s="118">
        <f ca="1">IF($L145="PROXY",DCOUNT('literature entries'!$D:$AI,IF($J145=1,"ACTIVE     CED, FARM GATE (MJ/kg)","CED, processor gate (MJ/kg)"),INDIRECT($K145)),GETPIVOTDATA(IF($J145=1,"Count of ACTIVE     CED, FARM GATE (MJ/kg)","Count of CED, processor gate (MJ/kg)"),'Pivot Table_CED'!$A$3,"SUB TYPE",$B145))</f>
        <v>30</v>
      </c>
      <c r="N145" s="119">
        <f ca="1">IF($L145="PROXY",DAVERAGE('literature entries'!$D:$AI,IF($J145=1,"ACTIVE     CED, FARM GATE (MJ/kg)","CED, processor gate (MJ/kg)"),INDIRECT($K145)),GETPIVOTDATA(IF($J145=1,"Average of ACTIVE     CED, FARM GATE (MJ/kg)","Average of CED, processor gate (MJ/kg)"),'Pivot Table_CED'!$A$3,"SUB TYPE",$B145))</f>
        <v>2.0319666666666669</v>
      </c>
      <c r="O145" s="119">
        <f ca="1">IF($L145="PROXY",DSTDEV('literature entries'!D:AI,IF($J145=1,"ACTIVE     CED, FARM GATE (MJ/kg)","CED, processor gate (MJ/kg)"),INDIRECT($K145)),GETPIVOTDATA(IF($J145=1,"StdDev of ACTIVE     CED, FARM GATE (MJ/kg)","StdDev of CED, processor gate (MJ/kg)"),'Pivot Table_CED'!$A$3,"SUB TYPE",$B145))</f>
        <v>1.7780728376790285</v>
      </c>
      <c r="P145" s="135" t="str">
        <f>IF(ISERROR(GETPIVOTDATA(IF($J145=1,"Count of ACTIVE     GHGE, FARM GATE (kg CO2e/kg)","Count of GHGE, processor gate (kg CO2e/kg)"),'Pivot Table_GHG'!$A$3,"SUB TYPE",$B145)),"PROXY",IF(GETPIVOTDATA(IF($J145=1,"Count of ACTIVE     GHGE, FARM GATE (kg CO2e/kg)","Count of GHGE, processor gate (kg CO2e/kg)"),'Pivot Table_GHG'!$A$3,"SUB TYPE",$B145)=0,"PROXY","DB value"))</f>
        <v>DB value</v>
      </c>
      <c r="Q145" s="125">
        <f ca="1">IF($P145="PROXY",DCOUNT('literature entries'!$D:$AI,IF($J145=1,"ACTIVE     GHGE, FARM GATE (kg CO2e/kg)","GHGE, processor gate (kg CO2e/kg)"),INDIRECT($K145)),GETPIVOTDATA(IF($J145=1,"ACTIVE     GHGE, FARM GATE (kg CO2e/kg)","Count of GHGE, processor gate (kg CO2e/kg)"),'Pivot Table_GHG'!$A$3,"SUB TYPE",$B145))</f>
        <v>1</v>
      </c>
      <c r="R145" s="190">
        <f ca="1">IF($P145="PROXY",DAVERAGE('literature entries'!$D:$AI,IF($J145=1,"ACTIVE     GHGE, FARM GATE (kg CO2e/kg)","GHGE, processor gate (kg CO2e/kg)"),INDIRECT($K145)),GETPIVOTDATA(IF($J145=1,"Average of ACTIVE     GHGE, FARM GATE (kg CO2e/kg)","Average of GHGE, processor gate (kg CO2e/kg)"),'Pivot Table_GHG'!$A$3,"SUB TYPE",$B145))</f>
        <v>0.43</v>
      </c>
      <c r="S145" s="190" t="e">
        <f ca="1">IF($P145="PROXY",DSTDEV('literature entries'!$D:$AI,IF($J145=1,"ACTIVE     GHGE, FARM GATE (kg CO2e/kg)","GHGE, processor gate (kg CO2e/kg)"),INDIRECT($K145)),GETPIVOTDATA(IF($J145=1,"StdDev of ACTIVE     GHGE, FARM GATE (kg CO2e/kg)","StdDev of GHGE, processor gate (kg CO2e/kg)"),'Pivot Table_GHG'!$A$3,"SUB TYPE",$B145))</f>
        <v>#DIV/0!</v>
      </c>
      <c r="T145" s="82"/>
      <c r="U145" s="83"/>
      <c r="W145" s="213" t="str">
        <f t="shared" ref="W145:W158" ca="1" si="22">IF(L145="PROXY",IF(M145&gt;=5,K145,"need group"),IF(M145&gt;=5,"DIRECT","need group"))</f>
        <v>tree_fruit</v>
      </c>
      <c r="X145" s="211">
        <f ca="1">IF($W145="DIRECT",M145,DCOUNT('literature entries'!$D:$AI,IF($J145=1,"ACTIVE     CED, FARM GATE (MJ/kg)","CED, processor gate (MJ/kg)"),INDIRECT($W145)))</f>
        <v>30</v>
      </c>
      <c r="Y145" s="211">
        <f ca="1">IF($W145="DIRECT","",DAVERAGE('literature entries'!$D:$AI,IF($J145=1,"ACTIVE     CED, FARM GATE (MJ/kg)","CED, processor gate (MJ/kg)"),INDIRECT($W145)))</f>
        <v>2.0319666666666669</v>
      </c>
      <c r="Z145" s="211">
        <f ca="1">IF($W145="DIRECT",$O145,DSTDEV('literature entries'!$D:$AI,IF($J145=1,"ACTIVE     CED, FARM GATE (MJ/kg)","CED, processor gate (MJ/kg)"),INDIRECT($W145)))</f>
        <v>1.7780728376790285</v>
      </c>
      <c r="AA145" s="211">
        <f t="shared" ca="1" si="20"/>
        <v>1.7780728376790285</v>
      </c>
      <c r="AB145" s="219" t="s">
        <v>3268</v>
      </c>
      <c r="AC145" s="212">
        <f ca="1">IF($AB145="DIRECT",Q145,DCOUNT('literature entries'!$D:$AI,IF($J145=1,"ACTIVE     GHGE, FARM GATE (kg CO2e/kg)","GHGE, processor gate (kg CO2e/kg)"),INDIRECT($AB145)))</f>
        <v>59</v>
      </c>
      <c r="AD145" s="212">
        <f ca="1">IF($AB145="DIRECT","",DAVERAGE('literature entries'!$D:$AI,IF($J145=1,"ACTIVE     GHGE, FARM GATE (kg CO2e/kg)","GHGE, processor gate (kg CO2e/kg)"),INDIRECT($AB145)))</f>
        <v>0.25792391165713047</v>
      </c>
      <c r="AE145" s="212">
        <f ca="1">IF($AB145="DIRECT",$S145,DSTDEV('literature entries'!$D:$AI,IF($J145=1,"ACTIVE     GHGE, FARM GATE (kg CO2e/kg)","GHGE, processor gate (kg CO2e/kg)"),INDIRECT($AB145)))</f>
        <v>0.22451998550634089</v>
      </c>
      <c r="AF145" s="212">
        <f t="shared" ca="1" si="21"/>
        <v>0.37431036598136819</v>
      </c>
    </row>
    <row r="146" spans="1:32" s="19" customFormat="1" thickBot="1" x14ac:dyDescent="0.25">
      <c r="A146" s="114">
        <v>1202013000</v>
      </c>
      <c r="B146" s="115" t="s">
        <v>1750</v>
      </c>
      <c r="C146" s="115" t="s">
        <v>1751</v>
      </c>
      <c r="D146" s="115" t="s">
        <v>1749</v>
      </c>
      <c r="E146" s="115">
        <v>178</v>
      </c>
      <c r="F146" s="111">
        <f t="shared" ca="1" si="16"/>
        <v>11.094538000000002</v>
      </c>
      <c r="G146" s="112">
        <f t="shared" ca="1" si="17"/>
        <v>1.4082645576479322</v>
      </c>
      <c r="H146" s="116">
        <v>5.46</v>
      </c>
      <c r="I146" s="116" t="s">
        <v>2724</v>
      </c>
      <c r="J146" s="79">
        <v>1</v>
      </c>
      <c r="K146" s="139" t="s">
        <v>3268</v>
      </c>
      <c r="L146" s="135" t="str">
        <f>IF(ISERROR(GETPIVOTDATA(IF($J146=1,"Count of ACTIVE     CED, FARM GATE (MJ/kg)","Count of CED, processor gate (MJ/kg)"),'Pivot Table_CED'!$A$3,"SUB TYPE",$B146)),"PROXY",IF(GETPIVOTDATA(IF($J146=1,"Count of ACTIVE     CED, FARM GATE (MJ/kg)","Count of CED, processor gate (MJ/kg)"),'Pivot Table_CED'!$A$3,"SUB TYPE",$B146)=0,"PROXY","DB value"))</f>
        <v>PROXY</v>
      </c>
      <c r="M146" s="118">
        <f ca="1">IF($L146="PROXY",DCOUNT('literature entries'!$D:$AI,IF($J146=1,"ACTIVE     CED, FARM GATE (MJ/kg)","CED, processor gate (MJ/kg)"),INDIRECT($K146)),GETPIVOTDATA(IF($J146=1,"Count of ACTIVE     CED, FARM GATE (MJ/kg)","Count of CED, processor gate (MJ/kg)"),'Pivot Table_CED'!$A$3,"SUB TYPE",$B146))</f>
        <v>30</v>
      </c>
      <c r="N146" s="119">
        <f ca="1">IF($L146="PROXY",DAVERAGE('literature entries'!$D:$AI,IF($J146=1,"ACTIVE     CED, FARM GATE (MJ/kg)","CED, processor gate (MJ/kg)"),INDIRECT($K146)),GETPIVOTDATA(IF($J146=1,"Average of ACTIVE     CED, FARM GATE (MJ/kg)","Average of CED, processor gate (MJ/kg)"),'Pivot Table_CED'!$A$3,"SUB TYPE",$B146))</f>
        <v>2.0319666666666669</v>
      </c>
      <c r="O146" s="119">
        <f ca="1">IF($L146="PROXY",DSTDEV('literature entries'!D:AI,IF($J146=1,"ACTIVE     CED, FARM GATE (MJ/kg)","CED, processor gate (MJ/kg)"),INDIRECT($K146)),GETPIVOTDATA(IF($J146=1,"StdDev of ACTIVE     CED, FARM GATE (MJ/kg)","StdDev of CED, processor gate (MJ/kg)"),'Pivot Table_CED'!$A$3,"SUB TYPE",$B146))</f>
        <v>1.7780728376790285</v>
      </c>
      <c r="P146" s="135" t="str">
        <f>IF(ISERROR(GETPIVOTDATA(IF($J146=1,"Count of ACTIVE     GHGE, FARM GATE (kg CO2e/kg)","Count of GHGE, processor gate (kg CO2e/kg)"),'Pivot Table_GHG'!$A$3,"SUB TYPE",$B146)),"PROXY",IF(GETPIVOTDATA(IF($J146=1,"Count of ACTIVE     GHGE, FARM GATE (kg CO2e/kg)","Count of GHGE, processor gate (kg CO2e/kg)"),'Pivot Table_GHG'!$A$3,"SUB TYPE",$B146)=0,"PROXY","DB value"))</f>
        <v>PROXY</v>
      </c>
      <c r="Q146" s="125">
        <f ca="1">IF($P146="PROXY",DCOUNT('literature entries'!$D:$AI,IF($J146=1,"ACTIVE     GHGE, FARM GATE (kg CO2e/kg)","GHGE, processor gate (kg CO2e/kg)"),INDIRECT($K146)),GETPIVOTDATA(IF($J146=1,"ACTIVE     GHGE, FARM GATE (kg CO2e/kg)","Count of GHGE, processor gate (kg CO2e/kg)"),'Pivot Table_GHG'!$A$3,"SUB TYPE",$B146))</f>
        <v>59</v>
      </c>
      <c r="R146" s="190">
        <f ca="1">IF($P146="PROXY",DAVERAGE('literature entries'!$D:$AI,IF($J146=1,"ACTIVE     GHGE, FARM GATE (kg CO2e/kg)","GHGE, processor gate (kg CO2e/kg)"),INDIRECT($K146)),GETPIVOTDATA(IF($J146=1,"Average of ACTIVE     GHGE, FARM GATE (kg CO2e/kg)","Average of GHGE, processor gate (kg CO2e/kg)"),'Pivot Table_GHG'!$A$3,"SUB TYPE",$B146))</f>
        <v>0.25792391165713047</v>
      </c>
      <c r="S146" s="190">
        <f ca="1">IF($P146="PROXY",DSTDEV('literature entries'!$D:$AI,IF($J146=1,"ACTIVE     GHGE, FARM GATE (kg CO2e/kg)","GHGE, processor gate (kg CO2e/kg)"),INDIRECT($K146)),GETPIVOTDATA(IF($J146=1,"StdDev of ACTIVE     GHGE, FARM GATE (kg CO2e/kg)","StdDev of GHGE, processor gate (kg CO2e/kg)"),'Pivot Table_GHG'!$A$3,"SUB TYPE",$B146))</f>
        <v>0.22451998550634089</v>
      </c>
      <c r="T146" s="82"/>
      <c r="U146" s="83"/>
      <c r="W146" s="213" t="str">
        <f t="shared" ca="1" si="22"/>
        <v>tree_fruit</v>
      </c>
      <c r="X146" s="211">
        <f ca="1">IF($W146="DIRECT",M146,DCOUNT('literature entries'!$D:$AI,IF($J146=1,"ACTIVE     CED, FARM GATE (MJ/kg)","CED, processor gate (MJ/kg)"),INDIRECT($W146)))</f>
        <v>30</v>
      </c>
      <c r="Y146" s="211">
        <f ca="1">IF($W146="DIRECT","",DAVERAGE('literature entries'!$D:$AI,IF($J146=1,"ACTIVE     CED, FARM GATE (MJ/kg)","CED, processor gate (MJ/kg)"),INDIRECT($W146)))</f>
        <v>2.0319666666666669</v>
      </c>
      <c r="Z146" s="211">
        <f ca="1">IF($W146="DIRECT",$O146,DSTDEV('literature entries'!$D:$AI,IF($J146=1,"ACTIVE     CED, FARM GATE (MJ/kg)","CED, processor gate (MJ/kg)"),INDIRECT($W146)))</f>
        <v>1.7780728376790285</v>
      </c>
      <c r="AA146" s="211">
        <f t="shared" ca="1" si="20"/>
        <v>1.7780728376790285</v>
      </c>
      <c r="AB146" s="219" t="str">
        <f t="shared" ref="AB146:AB151" ca="1" si="23">IF(P146="PROXY",IF(Q146&gt;=5,K146,"need group"),IF(Q146&gt;=5,"DIRECT","need group"))</f>
        <v>tree_fruit</v>
      </c>
      <c r="AC146" s="212">
        <f ca="1">IF($AB146="DIRECT",Q146,DCOUNT('literature entries'!$D:$AI,IF($J146=1,"ACTIVE     GHGE, FARM GATE (kg CO2e/kg)","GHGE, processor gate (kg CO2e/kg)"),INDIRECT($AB146)))</f>
        <v>59</v>
      </c>
      <c r="AD146" s="212">
        <f ca="1">IF($AB146="DIRECT","",DAVERAGE('literature entries'!$D:$AI,IF($J146=1,"ACTIVE     GHGE, FARM GATE (kg CO2e/kg)","GHGE, processor gate (kg CO2e/kg)"),INDIRECT($AB146)))</f>
        <v>0.25792391165713047</v>
      </c>
      <c r="AE146" s="212">
        <f ca="1">IF($AB146="DIRECT",$S146,DSTDEV('literature entries'!$D:$AI,IF($J146=1,"ACTIVE     GHGE, FARM GATE (kg CO2e/kg)","GHGE, processor gate (kg CO2e/kg)"),INDIRECT($AB146)))</f>
        <v>0.22451998550634089</v>
      </c>
      <c r="AF146" s="212">
        <f t="shared" ca="1" si="21"/>
        <v>0.22451998550634089</v>
      </c>
    </row>
    <row r="147" spans="1:32" s="19" customFormat="1" ht="17" thickBot="1" x14ac:dyDescent="0.25">
      <c r="A147" s="114">
        <v>1202014000</v>
      </c>
      <c r="B147" s="115" t="s">
        <v>1752</v>
      </c>
      <c r="C147" s="115" t="s">
        <v>1742</v>
      </c>
      <c r="D147" s="115" t="s">
        <v>1749</v>
      </c>
      <c r="E147" s="115">
        <v>6127</v>
      </c>
      <c r="F147" s="111">
        <f t="shared" ca="1" si="16"/>
        <v>8.5941056666666675</v>
      </c>
      <c r="G147" s="112">
        <f t="shared" ca="1" si="17"/>
        <v>1.3994951020811226</v>
      </c>
      <c r="H147" s="116">
        <v>1.63</v>
      </c>
      <c r="I147" s="117" t="s">
        <v>2750</v>
      </c>
      <c r="J147" s="79">
        <v>1</v>
      </c>
      <c r="K147" s="78" t="s">
        <v>3268</v>
      </c>
      <c r="L147" s="135" t="str">
        <f>IF(ISERROR(GETPIVOTDATA(IF($J147=1,"Count of ACTIVE     CED, FARM GATE (MJ/kg)","Count of CED, processor gate (MJ/kg)"),'Pivot Table_CED'!$A$3,"SUB TYPE",$B147)),"PROXY",IF(GETPIVOTDATA(IF($J147=1,"Count of ACTIVE     CED, FARM GATE (MJ/kg)","Count of CED, processor gate (MJ/kg)"),'Pivot Table_CED'!$A$3,"SUB TYPE",$B147)=0,"PROXY","DB value"))</f>
        <v>PROXY</v>
      </c>
      <c r="M147" s="118">
        <f ca="1">IF($L147="PROXY",DCOUNT('literature entries'!$D:$AI,IF($J147=1,"ACTIVE     CED, FARM GATE (MJ/kg)","CED, processor gate (MJ/kg)"),INDIRECT($K147)),GETPIVOTDATA(IF($J147=1,"Count of ACTIVE     CED, FARM GATE (MJ/kg)","Count of CED, processor gate (MJ/kg)"),'Pivot Table_CED'!$A$3,"SUB TYPE",$B147))</f>
        <v>30</v>
      </c>
      <c r="N147" s="119">
        <f ca="1">IF($L147="PROXY",DAVERAGE('literature entries'!$D:$AI,IF($J147=1,"ACTIVE     CED, FARM GATE (MJ/kg)","CED, processor gate (MJ/kg)"),INDIRECT($K147)),GETPIVOTDATA(IF($J147=1,"Average of ACTIVE     CED, FARM GATE (MJ/kg)","Average of CED, processor gate (MJ/kg)"),'Pivot Table_CED'!$A$3,"SUB TYPE",$B147))</f>
        <v>2.0319666666666669</v>
      </c>
      <c r="O147" s="119">
        <f ca="1">IF($L147="PROXY",DSTDEV('literature entries'!D:AI,IF($J147=1,"ACTIVE     CED, FARM GATE (MJ/kg)","CED, processor gate (MJ/kg)"),INDIRECT($K147)),GETPIVOTDATA(IF($J147=1,"StdDev of ACTIVE     CED, FARM GATE (MJ/kg)","StdDev of CED, processor gate (MJ/kg)"),'Pivot Table_CED'!$A$3,"SUB TYPE",$B147))</f>
        <v>1.7780728376790285</v>
      </c>
      <c r="P147" s="135" t="str">
        <f>IF(ISERROR(GETPIVOTDATA(IF($J147=1,"Count of ACTIVE     GHGE, FARM GATE (kg CO2e/kg)","Count of GHGE, processor gate (kg CO2e/kg)"),'Pivot Table_GHG'!$A$3,"SUB TYPE",$B147)),"PROXY",IF(GETPIVOTDATA(IF($J147=1,"Count of ACTIVE     GHGE, FARM GATE (kg CO2e/kg)","Count of GHGE, processor gate (kg CO2e/kg)"),'Pivot Table_GHG'!$A$3,"SUB TYPE",$B147)=0,"PROXY","DB value"))</f>
        <v>PROXY</v>
      </c>
      <c r="Q147" s="125">
        <f ca="1">IF($P147="PROXY",DCOUNT('literature entries'!$D:$AI,IF($J147=1,"ACTIVE     GHGE, FARM GATE (kg CO2e/kg)","GHGE, processor gate (kg CO2e/kg)"),INDIRECT($K147)),GETPIVOTDATA(IF($J147=1,"ACTIVE     GHGE, FARM GATE (kg CO2e/kg)","Count of GHGE, processor gate (kg CO2e/kg)"),'Pivot Table_GHG'!$A$3,"SUB TYPE",$B147))</f>
        <v>59</v>
      </c>
      <c r="R147" s="190">
        <f ca="1">IF($P147="PROXY",DAVERAGE('literature entries'!$D:$AI,IF($J147=1,"ACTIVE     GHGE, FARM GATE (kg CO2e/kg)","GHGE, processor gate (kg CO2e/kg)"),INDIRECT($K147)),GETPIVOTDATA(IF($J147=1,"Average of ACTIVE     GHGE, FARM GATE (kg CO2e/kg)","Average of GHGE, processor gate (kg CO2e/kg)"),'Pivot Table_GHG'!$A$3,"SUB TYPE",$B147))</f>
        <v>0.25792391165713047</v>
      </c>
      <c r="S147" s="190">
        <f ca="1">IF($P147="PROXY",DSTDEV('literature entries'!$D:$AI,IF($J147=1,"ACTIVE     GHGE, FARM GATE (kg CO2e/kg)","GHGE, processor gate (kg CO2e/kg)"),INDIRECT($K147)),GETPIVOTDATA(IF($J147=1,"StdDev of ACTIVE     GHGE, FARM GATE (kg CO2e/kg)","StdDev of GHGE, processor gate (kg CO2e/kg)"),'Pivot Table_GHG'!$A$3,"SUB TYPE",$B147))</f>
        <v>0.22451998550634089</v>
      </c>
      <c r="T147" s="86">
        <v>5.282</v>
      </c>
      <c r="U147" s="87">
        <v>0.97907912607999992</v>
      </c>
      <c r="W147" s="213" t="str">
        <f t="shared" ca="1" si="22"/>
        <v>tree_fruit</v>
      </c>
      <c r="X147" s="211">
        <f ca="1">IF($W147="DIRECT",M147,DCOUNT('literature entries'!$D:$AI,IF($J147=1,"ACTIVE     CED, FARM GATE (MJ/kg)","CED, processor gate (MJ/kg)"),INDIRECT($W147)))</f>
        <v>30</v>
      </c>
      <c r="Y147" s="211">
        <f ca="1">IF($W147="DIRECT","",DAVERAGE('literature entries'!$D:$AI,IF($J147=1,"ACTIVE     CED, FARM GATE (MJ/kg)","CED, processor gate (MJ/kg)"),INDIRECT($W147)))</f>
        <v>2.0319666666666669</v>
      </c>
      <c r="Z147" s="211">
        <f ca="1">IF($W147="DIRECT",$O147,DSTDEV('literature entries'!$D:$AI,IF($J147=1,"ACTIVE     CED, FARM GATE (MJ/kg)","CED, processor gate (MJ/kg)"),INDIRECT($W147)))</f>
        <v>1.7780728376790285</v>
      </c>
      <c r="AA147" s="211">
        <f t="shared" ca="1" si="20"/>
        <v>1.7780728376790285</v>
      </c>
      <c r="AB147" s="219" t="str">
        <f t="shared" ca="1" si="23"/>
        <v>tree_fruit</v>
      </c>
      <c r="AC147" s="212">
        <f ca="1">IF($AB147="DIRECT",Q147,DCOUNT('literature entries'!$D:$AI,IF($J147=1,"ACTIVE     GHGE, FARM GATE (kg CO2e/kg)","GHGE, processor gate (kg CO2e/kg)"),INDIRECT($AB147)))</f>
        <v>59</v>
      </c>
      <c r="AD147" s="212">
        <f ca="1">IF($AB147="DIRECT","",DAVERAGE('literature entries'!$D:$AI,IF($J147=1,"ACTIVE     GHGE, FARM GATE (kg CO2e/kg)","GHGE, processor gate (kg CO2e/kg)"),INDIRECT($AB147)))</f>
        <v>0.25792391165713047</v>
      </c>
      <c r="AE147" s="212">
        <f ca="1">IF($AB147="DIRECT",$S147,DSTDEV('literature entries'!$D:$AI,IF($J147=1,"ACTIVE     GHGE, FARM GATE (kg CO2e/kg)","GHGE, processor gate (kg CO2e/kg)"),INDIRECT($AB147)))</f>
        <v>0.22451998550634089</v>
      </c>
      <c r="AF147" s="212">
        <f t="shared" ca="1" si="21"/>
        <v>0.22451998550634089</v>
      </c>
    </row>
    <row r="148" spans="1:32" s="19" customFormat="1" thickBot="1" x14ac:dyDescent="0.25">
      <c r="A148" s="114">
        <v>1202230000</v>
      </c>
      <c r="B148" s="115" t="s">
        <v>2090</v>
      </c>
      <c r="C148" s="115" t="s">
        <v>2091</v>
      </c>
      <c r="D148" s="115"/>
      <c r="E148" s="115">
        <v>233</v>
      </c>
      <c r="F148" s="111">
        <f t="shared" ca="1" si="16"/>
        <v>2.2351633333333338</v>
      </c>
      <c r="G148" s="112">
        <f t="shared" ca="1" si="17"/>
        <v>0.28371630282284355</v>
      </c>
      <c r="H148" s="116">
        <v>1.1000000000000001</v>
      </c>
      <c r="I148" s="116" t="s">
        <v>2724</v>
      </c>
      <c r="J148" s="79">
        <v>1</v>
      </c>
      <c r="K148" s="78" t="s">
        <v>3268</v>
      </c>
      <c r="L148" s="135" t="str">
        <f>IF(ISERROR(GETPIVOTDATA(IF($J148=1,"Count of ACTIVE     CED, FARM GATE (MJ/kg)","Count of CED, processor gate (MJ/kg)"),'Pivot Table_CED'!$A$3,"SUB TYPE",$B148)),"PROXY",IF(GETPIVOTDATA(IF($J148=1,"Count of ACTIVE     CED, FARM GATE (MJ/kg)","Count of CED, processor gate (MJ/kg)"),'Pivot Table_CED'!$A$3,"SUB TYPE",$B148)=0,"PROXY","DB value"))</f>
        <v>PROXY</v>
      </c>
      <c r="M148" s="118">
        <f ca="1">IF($L148="PROXY",DCOUNT('literature entries'!$D:$AI,IF($J148=1,"ACTIVE     CED, FARM GATE (MJ/kg)","CED, processor gate (MJ/kg)"),INDIRECT($K148)),GETPIVOTDATA(IF($J148=1,"Count of ACTIVE     CED, FARM GATE (MJ/kg)","Count of CED, processor gate (MJ/kg)"),'Pivot Table_CED'!$A$3,"SUB TYPE",$B148))</f>
        <v>30</v>
      </c>
      <c r="N148" s="119">
        <f ca="1">IF($L148="PROXY",DAVERAGE('literature entries'!$D:$AI,IF($J148=1,"ACTIVE     CED, FARM GATE (MJ/kg)","CED, processor gate (MJ/kg)"),INDIRECT($K148)),GETPIVOTDATA(IF($J148=1,"Average of ACTIVE     CED, FARM GATE (MJ/kg)","Average of CED, processor gate (MJ/kg)"),'Pivot Table_CED'!$A$3,"SUB TYPE",$B148))</f>
        <v>2.0319666666666669</v>
      </c>
      <c r="O148" s="119">
        <f ca="1">IF($L148="PROXY",DSTDEV('literature entries'!D:AI,IF($J148=1,"ACTIVE     CED, FARM GATE (MJ/kg)","CED, processor gate (MJ/kg)"),INDIRECT($K148)),GETPIVOTDATA(IF($J148=1,"StdDev of ACTIVE     CED, FARM GATE (MJ/kg)","StdDev of CED, processor gate (MJ/kg)"),'Pivot Table_CED'!$A$3,"SUB TYPE",$B148))</f>
        <v>1.7780728376790285</v>
      </c>
      <c r="P148" s="135" t="str">
        <f>IF(ISERROR(GETPIVOTDATA(IF($J148=1,"Count of ACTIVE     GHGE, FARM GATE (kg CO2e/kg)","Count of GHGE, processor gate (kg CO2e/kg)"),'Pivot Table_GHG'!$A$3,"SUB TYPE",$B148)),"PROXY",IF(GETPIVOTDATA(IF($J148=1,"Count of ACTIVE     GHGE, FARM GATE (kg CO2e/kg)","Count of GHGE, processor gate (kg CO2e/kg)"),'Pivot Table_GHG'!$A$3,"SUB TYPE",$B148)=0,"PROXY","DB value"))</f>
        <v>PROXY</v>
      </c>
      <c r="Q148" s="125">
        <f ca="1">IF($P148="PROXY",DCOUNT('literature entries'!$D:$AI,IF($J148=1,"ACTIVE     GHGE, FARM GATE (kg CO2e/kg)","GHGE, processor gate (kg CO2e/kg)"),INDIRECT($K148)),GETPIVOTDATA(IF($J148=1,"ACTIVE     GHGE, FARM GATE (kg CO2e/kg)","Count of GHGE, processor gate (kg CO2e/kg)"),'Pivot Table_GHG'!$A$3,"SUB TYPE",$B148))</f>
        <v>59</v>
      </c>
      <c r="R148" s="190">
        <f ca="1">IF($P148="PROXY",DAVERAGE('literature entries'!$D:$AI,IF($J148=1,"ACTIVE     GHGE, FARM GATE (kg CO2e/kg)","GHGE, processor gate (kg CO2e/kg)"),INDIRECT($K148)),GETPIVOTDATA(IF($J148=1,"Average of ACTIVE     GHGE, FARM GATE (kg CO2e/kg)","Average of GHGE, processor gate (kg CO2e/kg)"),'Pivot Table_GHG'!$A$3,"SUB TYPE",$B148))</f>
        <v>0.25792391165713047</v>
      </c>
      <c r="S148" s="190">
        <f ca="1">IF($P148="PROXY",DSTDEV('literature entries'!$D:$AI,IF($J148=1,"ACTIVE     GHGE, FARM GATE (kg CO2e/kg)","GHGE, processor gate (kg CO2e/kg)"),INDIRECT($K148)),GETPIVOTDATA(IF($J148=1,"StdDev of ACTIVE     GHGE, FARM GATE (kg CO2e/kg)","StdDev of GHGE, processor gate (kg CO2e/kg)"),'Pivot Table_GHG'!$A$3,"SUB TYPE",$B148))</f>
        <v>0.22451998550634089</v>
      </c>
      <c r="T148" s="88"/>
      <c r="U148" s="89"/>
      <c r="W148" s="213" t="str">
        <f t="shared" ca="1" si="22"/>
        <v>tree_fruit</v>
      </c>
      <c r="X148" s="211">
        <f ca="1">IF($W148="DIRECT",M148,DCOUNT('literature entries'!$D:$AI,IF($J148=1,"ACTIVE     CED, FARM GATE (MJ/kg)","CED, processor gate (MJ/kg)"),INDIRECT($W148)))</f>
        <v>30</v>
      </c>
      <c r="Y148" s="211">
        <f ca="1">IF($W148="DIRECT","",DAVERAGE('literature entries'!$D:$AI,IF($J148=1,"ACTIVE     CED, FARM GATE (MJ/kg)","CED, processor gate (MJ/kg)"),INDIRECT($W148)))</f>
        <v>2.0319666666666669</v>
      </c>
      <c r="Z148" s="211">
        <f ca="1">IF($W148="DIRECT",$O148,DSTDEV('literature entries'!$D:$AI,IF($J148=1,"ACTIVE     CED, FARM GATE (MJ/kg)","CED, processor gate (MJ/kg)"),INDIRECT($W148)))</f>
        <v>1.7780728376790285</v>
      </c>
      <c r="AA148" s="211">
        <f t="shared" ca="1" si="20"/>
        <v>1.7780728376790285</v>
      </c>
      <c r="AB148" s="219" t="str">
        <f t="shared" ca="1" si="23"/>
        <v>tree_fruit</v>
      </c>
      <c r="AC148" s="212">
        <f ca="1">IF($AB148="DIRECT",Q148,DCOUNT('literature entries'!$D:$AI,IF($J148=1,"ACTIVE     GHGE, FARM GATE (kg CO2e/kg)","GHGE, processor gate (kg CO2e/kg)"),INDIRECT($AB148)))</f>
        <v>59</v>
      </c>
      <c r="AD148" s="212">
        <f ca="1">IF($AB148="DIRECT","",DAVERAGE('literature entries'!$D:$AI,IF($J148=1,"ACTIVE     GHGE, FARM GATE (kg CO2e/kg)","GHGE, processor gate (kg CO2e/kg)"),INDIRECT($AB148)))</f>
        <v>0.25792391165713047</v>
      </c>
      <c r="AE148" s="212">
        <f ca="1">IF($AB148="DIRECT",$S148,DSTDEV('literature entries'!$D:$AI,IF($J148=1,"ACTIVE     GHGE, FARM GATE (kg CO2e/kg)","GHGE, processor gate (kg CO2e/kg)"),INDIRECT($AB148)))</f>
        <v>0.22451998550634089</v>
      </c>
      <c r="AF148" s="212">
        <f t="shared" ca="1" si="21"/>
        <v>0.22451998550634089</v>
      </c>
    </row>
    <row r="149" spans="1:32" s="19" customFormat="1" ht="17" thickBot="1" x14ac:dyDescent="0.25">
      <c r="A149" s="114">
        <v>1202260000</v>
      </c>
      <c r="B149" s="115" t="s">
        <v>2136</v>
      </c>
      <c r="C149" s="115" t="s">
        <v>1748</v>
      </c>
      <c r="D149" s="115"/>
      <c r="E149" s="115">
        <v>16920</v>
      </c>
      <c r="F149" s="111">
        <f t="shared" ca="1" si="16"/>
        <v>2.89744</v>
      </c>
      <c r="G149" s="112">
        <f t="shared" ca="1" si="17"/>
        <v>0.27351999999999999</v>
      </c>
      <c r="H149" s="116">
        <v>1.04</v>
      </c>
      <c r="I149" s="117" t="s">
        <v>2724</v>
      </c>
      <c r="J149" s="79">
        <v>1</v>
      </c>
      <c r="K149" s="78"/>
      <c r="L149" s="135" t="str">
        <f>IF(ISERROR(GETPIVOTDATA(IF($J149=1,"Count of ACTIVE     CED, FARM GATE (MJ/kg)","Count of CED, processor gate (MJ/kg)"),'Pivot Table_CED'!$A$3,"SUB TYPE",$B149)),"PROXY",IF(GETPIVOTDATA(IF($J149=1,"Count of ACTIVE     CED, FARM GATE (MJ/kg)","Count of CED, processor gate (MJ/kg)"),'Pivot Table_CED'!$A$3,"SUB TYPE",$B149)=0,"PROXY","DB value"))</f>
        <v>DB value</v>
      </c>
      <c r="M149" s="118">
        <f ca="1">IF($L149="PROXY",DCOUNT('literature entries'!$D:$AI,IF($J149=1,"ACTIVE     CED, FARM GATE (MJ/kg)","CED, processor gate (MJ/kg)"),INDIRECT($K149)),GETPIVOTDATA(IF($J149=1,"Count of ACTIVE     CED, FARM GATE (MJ/kg)","Count of CED, processor gate (MJ/kg)"),'Pivot Table_CED'!$A$3,"SUB TYPE",$B149))</f>
        <v>5</v>
      </c>
      <c r="N149" s="119">
        <f ca="1">IF($L149="PROXY",DAVERAGE('literature entries'!$D:$AI,IF($J149=1,"ACTIVE     CED, FARM GATE (MJ/kg)","CED, processor gate (MJ/kg)"),INDIRECT($K149)),GETPIVOTDATA(IF($J149=1,"Average of ACTIVE     CED, FARM GATE (MJ/kg)","Average of CED, processor gate (MJ/kg)"),'Pivot Table_CED'!$A$3,"SUB TYPE",$B149))</f>
        <v>2.786</v>
      </c>
      <c r="O149" s="119">
        <f ca="1">IF($L149="PROXY",DSTDEV('literature entries'!D:AI,IF($J149=1,"ACTIVE     CED, FARM GATE (MJ/kg)","CED, processor gate (MJ/kg)"),INDIRECT($K149)),GETPIVOTDATA(IF($J149=1,"StdDev of ACTIVE     CED, FARM GATE (MJ/kg)","StdDev of CED, processor gate (MJ/kg)"),'Pivot Table_CED'!$A$3,"SUB TYPE",$B149))</f>
        <v>2.443968084898001</v>
      </c>
      <c r="P149" s="135" t="str">
        <f>IF(ISERROR(GETPIVOTDATA(IF($J149=1,"Count of ACTIVE     GHGE, FARM GATE (kg CO2e/kg)","Count of GHGE, processor gate (kg CO2e/kg)"),'Pivot Table_GHG'!$A$3,"SUB TYPE",$B149)),"PROXY",IF(GETPIVOTDATA(IF($J149=1,"Count of ACTIVE     GHGE, FARM GATE (kg CO2e/kg)","Count of GHGE, processor gate (kg CO2e/kg)"),'Pivot Table_GHG'!$A$3,"SUB TYPE",$B149)=0,"PROXY","DB value"))</f>
        <v>DB value</v>
      </c>
      <c r="Q149" s="125">
        <f ca="1">IF($P149="PROXY",DCOUNT('literature entries'!$D:$AI,IF($J149=1,"ACTIVE     GHGE, FARM GATE (kg CO2e/kg)","GHGE, processor gate (kg CO2e/kg)"),INDIRECT($K149)),GETPIVOTDATA(IF($J149=1,"ACTIVE     GHGE, FARM GATE (kg CO2e/kg)","Count of GHGE, processor gate (kg CO2e/kg)"),'Pivot Table_GHG'!$A$3,"SUB TYPE",$B149))</f>
        <v>7</v>
      </c>
      <c r="R149" s="190">
        <f ca="1">IF($P149="PROXY",DAVERAGE('literature entries'!$D:$AI,IF($J149=1,"ACTIVE     GHGE, FARM GATE (kg CO2e/kg)","GHGE, processor gate (kg CO2e/kg)"),INDIRECT($K149)),GETPIVOTDATA(IF($J149=1,"Average of ACTIVE     GHGE, FARM GATE (kg CO2e/kg)","Average of GHGE, processor gate (kg CO2e/kg)"),'Pivot Table_GHG'!$A$3,"SUB TYPE",$B149))</f>
        <v>0.26299999999999996</v>
      </c>
      <c r="S149" s="190">
        <f ca="1">IF($P149="PROXY",DSTDEV('literature entries'!$D:$AI,IF($J149=1,"ACTIVE     GHGE, FARM GATE (kg CO2e/kg)","GHGE, processor gate (kg CO2e/kg)"),INDIRECT($K149)),GETPIVOTDATA(IF($J149=1,"StdDev of ACTIVE     GHGE, FARM GATE (kg CO2e/kg)","StdDev of GHGE, processor gate (kg CO2e/kg)"),'Pivot Table_GHG'!$A$3,"SUB TYPE",$B149))</f>
        <v>0.17039463997829674</v>
      </c>
      <c r="T149" s="88"/>
      <c r="U149" s="89"/>
      <c r="W149" s="213" t="str">
        <f t="shared" ca="1" si="22"/>
        <v>DIRECT</v>
      </c>
      <c r="X149" s="211">
        <f ca="1">IF($W149="DIRECT",M149,DCOUNT('literature entries'!$D:$AI,IF($J149=1,"ACTIVE     CED, FARM GATE (MJ/kg)","CED, processor gate (MJ/kg)"),INDIRECT($W149)))</f>
        <v>5</v>
      </c>
      <c r="Y149" s="211" t="str">
        <f ca="1">IF($W149="DIRECT","",DAVERAGE('literature entries'!$D:$AI,IF($J149=1,"ACTIVE     CED, FARM GATE (MJ/kg)","CED, processor gate (MJ/kg)"),INDIRECT($W149)))</f>
        <v/>
      </c>
      <c r="Z149" s="211">
        <f ca="1">IF($W149="DIRECT",$O149,DSTDEV('literature entries'!$D:$AI,IF($J149=1,"ACTIVE     CED, FARM GATE (MJ/kg)","CED, processor gate (MJ/kg)"),INDIRECT($W149)))</f>
        <v>2.443968084898001</v>
      </c>
      <c r="AA149" s="211">
        <f t="shared" ca="1" si="20"/>
        <v>2.443968084898001</v>
      </c>
      <c r="AB149" s="219" t="str">
        <f t="shared" ca="1" si="23"/>
        <v>DIRECT</v>
      </c>
      <c r="AC149" s="212">
        <f ca="1">IF($AB149="DIRECT",Q149,DCOUNT('literature entries'!$D:$AI,IF($J149=1,"ACTIVE     GHGE, FARM GATE (kg CO2e/kg)","GHGE, processor gate (kg CO2e/kg)"),INDIRECT($AB149)))</f>
        <v>7</v>
      </c>
      <c r="AD149" s="212" t="str">
        <f ca="1">IF($AB149="DIRECT","",DAVERAGE('literature entries'!$D:$AI,IF($J149=1,"ACTIVE     GHGE, FARM GATE (kg CO2e/kg)","GHGE, processor gate (kg CO2e/kg)"),INDIRECT($AB149)))</f>
        <v/>
      </c>
      <c r="AE149" s="212">
        <f ca="1">IF($AB149="DIRECT",$S149,DSTDEV('literature entries'!$D:$AI,IF($J149=1,"ACTIVE     GHGE, FARM GATE (kg CO2e/kg)","GHGE, processor gate (kg CO2e/kg)"),INDIRECT($AB149)))</f>
        <v>0.17039463997829674</v>
      </c>
      <c r="AF149" s="212">
        <f t="shared" ca="1" si="21"/>
        <v>0.17039463997829674</v>
      </c>
    </row>
    <row r="150" spans="1:32" s="19" customFormat="1" ht="17" thickBot="1" x14ac:dyDescent="0.25">
      <c r="A150" s="114">
        <v>1202261000</v>
      </c>
      <c r="B150" s="115" t="s">
        <v>2137</v>
      </c>
      <c r="C150" s="115" t="s">
        <v>2138</v>
      </c>
      <c r="D150" s="115"/>
      <c r="E150" s="115">
        <v>1722</v>
      </c>
      <c r="F150" s="111">
        <f t="shared" ca="1" si="16"/>
        <v>17.77468</v>
      </c>
      <c r="G150" s="112">
        <f t="shared" ca="1" si="17"/>
        <v>1.6779399999999998</v>
      </c>
      <c r="H150" s="116">
        <v>6.38</v>
      </c>
      <c r="I150" s="117" t="s">
        <v>2724</v>
      </c>
      <c r="J150" s="79">
        <v>1</v>
      </c>
      <c r="K150" s="78" t="s">
        <v>2771</v>
      </c>
      <c r="L150" s="135" t="str">
        <f>IF(ISERROR(GETPIVOTDATA(IF($J150=1,"Count of ACTIVE     CED, FARM GATE (MJ/kg)","Count of CED, processor gate (MJ/kg)"),'Pivot Table_CED'!$A$3,"SUB TYPE",$B150)),"PROXY",IF(GETPIVOTDATA(IF($J150=1,"Count of ACTIVE     CED, FARM GATE (MJ/kg)","Count of CED, processor gate (MJ/kg)"),'Pivot Table_CED'!$A$3,"SUB TYPE",$B150)=0,"PROXY","DB value"))</f>
        <v>PROXY</v>
      </c>
      <c r="M150" s="118">
        <f ca="1">IF($L150="PROXY",DCOUNT('literature entries'!$D:$AI,IF($J150=1,"ACTIVE     CED, FARM GATE (MJ/kg)","CED, processor gate (MJ/kg)"),INDIRECT($K150)),GETPIVOTDATA(IF($J150=1,"Count of ACTIVE     CED, FARM GATE (MJ/kg)","Count of CED, processor gate (MJ/kg)"),'Pivot Table_CED'!$A$3,"SUB TYPE",$B150))</f>
        <v>5</v>
      </c>
      <c r="N150" s="119">
        <f ca="1">IF($L150="PROXY",DAVERAGE('literature entries'!$D:$AI,IF($J150=1,"ACTIVE     CED, FARM GATE (MJ/kg)","CED, processor gate (MJ/kg)"),INDIRECT($K150)),GETPIVOTDATA(IF($J150=1,"Average of ACTIVE     CED, FARM GATE (MJ/kg)","Average of CED, processor gate (MJ/kg)"),'Pivot Table_CED'!$A$3,"SUB TYPE",$B150))</f>
        <v>2.786</v>
      </c>
      <c r="O150" s="119">
        <f ca="1">IF($L150="PROXY",DSTDEV('literature entries'!D:AI,IF($J150=1,"ACTIVE     CED, FARM GATE (MJ/kg)","CED, processor gate (MJ/kg)"),INDIRECT($K150)),GETPIVOTDATA(IF($J150=1,"StdDev of ACTIVE     CED, FARM GATE (MJ/kg)","StdDev of CED, processor gate (MJ/kg)"),'Pivot Table_CED'!$A$3,"SUB TYPE",$B150))</f>
        <v>2.443968084898001</v>
      </c>
      <c r="P150" s="135" t="str">
        <f>IF(ISERROR(GETPIVOTDATA(IF($J150=1,"Count of ACTIVE     GHGE, FARM GATE (kg CO2e/kg)","Count of GHGE, processor gate (kg CO2e/kg)"),'Pivot Table_GHG'!$A$3,"SUB TYPE",$B150)),"PROXY",IF(GETPIVOTDATA(IF($J150=1,"Count of ACTIVE     GHGE, FARM GATE (kg CO2e/kg)","Count of GHGE, processor gate (kg CO2e/kg)"),'Pivot Table_GHG'!$A$3,"SUB TYPE",$B150)=0,"PROXY","DB value"))</f>
        <v>PROXY</v>
      </c>
      <c r="Q150" s="125">
        <f ca="1">IF($P150="PROXY",DCOUNT('literature entries'!$D:$AI,IF($J150=1,"ACTIVE     GHGE, FARM GATE (kg CO2e/kg)","GHGE, processor gate (kg CO2e/kg)"),INDIRECT($K150)),GETPIVOTDATA(IF($J150=1,"ACTIVE     GHGE, FARM GATE (kg CO2e/kg)","Count of GHGE, processor gate (kg CO2e/kg)"),'Pivot Table_GHG'!$A$3,"SUB TYPE",$B150))</f>
        <v>7</v>
      </c>
      <c r="R150" s="190">
        <f ca="1">IF($P150="PROXY",DAVERAGE('literature entries'!$D:$AI,IF($J150=1,"ACTIVE     GHGE, FARM GATE (kg CO2e/kg)","GHGE, processor gate (kg CO2e/kg)"),INDIRECT($K150)),GETPIVOTDATA(IF($J150=1,"Average of ACTIVE     GHGE, FARM GATE (kg CO2e/kg)","Average of GHGE, processor gate (kg CO2e/kg)"),'Pivot Table_GHG'!$A$3,"SUB TYPE",$B150))</f>
        <v>0.26299999999999996</v>
      </c>
      <c r="S150" s="190">
        <f ca="1">IF($P150="PROXY",DSTDEV('literature entries'!$D:$AI,IF($J150=1,"ACTIVE     GHGE, FARM GATE (kg CO2e/kg)","GHGE, processor gate (kg CO2e/kg)"),INDIRECT($K150)),GETPIVOTDATA(IF($J150=1,"StdDev of ACTIVE     GHGE, FARM GATE (kg CO2e/kg)","StdDev of GHGE, processor gate (kg CO2e/kg)"),'Pivot Table_GHG'!$A$3,"SUB TYPE",$B150))</f>
        <v>0.17039463997829674</v>
      </c>
      <c r="T150" s="88"/>
      <c r="U150" s="89"/>
      <c r="W150" s="213" t="str">
        <f t="shared" ca="1" si="22"/>
        <v>peach</v>
      </c>
      <c r="X150" s="211">
        <f ca="1">IF($W150="DIRECT",M150,DCOUNT('literature entries'!$D:$AI,IF($J150=1,"ACTIVE     CED, FARM GATE (MJ/kg)","CED, processor gate (MJ/kg)"),INDIRECT($W150)))</f>
        <v>5</v>
      </c>
      <c r="Y150" s="211">
        <f ca="1">IF($W150="DIRECT","",DAVERAGE('literature entries'!$D:$AI,IF($J150=1,"ACTIVE     CED, FARM GATE (MJ/kg)","CED, processor gate (MJ/kg)"),INDIRECT($W150)))</f>
        <v>2.786</v>
      </c>
      <c r="Z150" s="211">
        <f ca="1">IF($W150="DIRECT",$O150,DSTDEV('literature entries'!$D:$AI,IF($J150=1,"ACTIVE     CED, FARM GATE (MJ/kg)","CED, processor gate (MJ/kg)"),INDIRECT($W150)))</f>
        <v>2.443968084898001</v>
      </c>
      <c r="AA150" s="211">
        <f t="shared" ca="1" si="20"/>
        <v>2.443968084898001</v>
      </c>
      <c r="AB150" s="219" t="str">
        <f t="shared" ca="1" si="23"/>
        <v>peach</v>
      </c>
      <c r="AC150" s="212">
        <f ca="1">IF($AB150="DIRECT",Q150,DCOUNT('literature entries'!$D:$AI,IF($J150=1,"ACTIVE     GHGE, FARM GATE (kg CO2e/kg)","GHGE, processor gate (kg CO2e/kg)"),INDIRECT($AB150)))</f>
        <v>7</v>
      </c>
      <c r="AD150" s="212">
        <f ca="1">IF($AB150="DIRECT","",DAVERAGE('literature entries'!$D:$AI,IF($J150=1,"ACTIVE     GHGE, FARM GATE (kg CO2e/kg)","GHGE, processor gate (kg CO2e/kg)"),INDIRECT($AB150)))</f>
        <v>0.26299999999999996</v>
      </c>
      <c r="AE150" s="212">
        <f ca="1">IF($AB150="DIRECT",$S150,DSTDEV('literature entries'!$D:$AI,IF($J150=1,"ACTIVE     GHGE, FARM GATE (kg CO2e/kg)","GHGE, processor gate (kg CO2e/kg)"),INDIRECT($AB150)))</f>
        <v>0.17039463997829674</v>
      </c>
      <c r="AF150" s="212">
        <f t="shared" ca="1" si="21"/>
        <v>0.17039463997829674</v>
      </c>
    </row>
    <row r="151" spans="1:32" s="19" customFormat="1" ht="17" thickBot="1" x14ac:dyDescent="0.25">
      <c r="A151" s="114">
        <v>1202262000</v>
      </c>
      <c r="B151" s="115" t="s">
        <v>2139</v>
      </c>
      <c r="C151" s="115" t="s">
        <v>1742</v>
      </c>
      <c r="D151" s="115"/>
      <c r="E151" s="115">
        <v>78</v>
      </c>
      <c r="F151" s="111">
        <f t="shared" ca="1" si="16"/>
        <v>9.8231800000000007</v>
      </c>
      <c r="G151" s="112">
        <f t="shared" ca="1" si="17"/>
        <v>1.4077691260799998</v>
      </c>
      <c r="H151" s="116">
        <v>1.63</v>
      </c>
      <c r="I151" s="117" t="s">
        <v>2750</v>
      </c>
      <c r="J151" s="79">
        <v>1</v>
      </c>
      <c r="K151" s="78" t="s">
        <v>2771</v>
      </c>
      <c r="L151" s="135" t="str">
        <f>IF(ISERROR(GETPIVOTDATA(IF($J151=1,"Count of ACTIVE     CED, FARM GATE (MJ/kg)","Count of CED, processor gate (MJ/kg)"),'Pivot Table_CED'!$A$3,"SUB TYPE",$B151)),"PROXY",IF(GETPIVOTDATA(IF($J151=1,"Count of ACTIVE     CED, FARM GATE (MJ/kg)","Count of CED, processor gate (MJ/kg)"),'Pivot Table_CED'!$A$3,"SUB TYPE",$B151)=0,"PROXY","DB value"))</f>
        <v>PROXY</v>
      </c>
      <c r="M151" s="118">
        <f ca="1">IF($L151="PROXY",DCOUNT('literature entries'!$D:$AI,IF($J151=1,"ACTIVE     CED, FARM GATE (MJ/kg)","CED, processor gate (MJ/kg)"),INDIRECT($K151)),GETPIVOTDATA(IF($J151=1,"Count of ACTIVE     CED, FARM GATE (MJ/kg)","Count of CED, processor gate (MJ/kg)"),'Pivot Table_CED'!$A$3,"SUB TYPE",$B151))</f>
        <v>5</v>
      </c>
      <c r="N151" s="119">
        <f ca="1">IF($L151="PROXY",DAVERAGE('literature entries'!$D:$AI,IF($J151=1,"ACTIVE     CED, FARM GATE (MJ/kg)","CED, processor gate (MJ/kg)"),INDIRECT($K151)),GETPIVOTDATA(IF($J151=1,"Average of ACTIVE     CED, FARM GATE (MJ/kg)","Average of CED, processor gate (MJ/kg)"),'Pivot Table_CED'!$A$3,"SUB TYPE",$B151))</f>
        <v>2.786</v>
      </c>
      <c r="O151" s="119">
        <f ca="1">IF($L151="PROXY",DSTDEV('literature entries'!D:AI,IF($J151=1,"ACTIVE     CED, FARM GATE (MJ/kg)","CED, processor gate (MJ/kg)"),INDIRECT($K151)),GETPIVOTDATA(IF($J151=1,"StdDev of ACTIVE     CED, FARM GATE (MJ/kg)","StdDev of CED, processor gate (MJ/kg)"),'Pivot Table_CED'!$A$3,"SUB TYPE",$B151))</f>
        <v>2.443968084898001</v>
      </c>
      <c r="P151" s="135" t="str">
        <f>IF(ISERROR(GETPIVOTDATA(IF($J151=1,"Count of ACTIVE     GHGE, FARM GATE (kg CO2e/kg)","Count of GHGE, processor gate (kg CO2e/kg)"),'Pivot Table_GHG'!$A$3,"SUB TYPE",$B151)),"PROXY",IF(GETPIVOTDATA(IF($J151=1,"Count of ACTIVE     GHGE, FARM GATE (kg CO2e/kg)","Count of GHGE, processor gate (kg CO2e/kg)"),'Pivot Table_GHG'!$A$3,"SUB TYPE",$B151)=0,"PROXY","DB value"))</f>
        <v>PROXY</v>
      </c>
      <c r="Q151" s="125">
        <f ca="1">IF($P151="PROXY",DCOUNT('literature entries'!$D:$AI,IF($J151=1,"ACTIVE     GHGE, FARM GATE (kg CO2e/kg)","GHGE, processor gate (kg CO2e/kg)"),INDIRECT($K151)),GETPIVOTDATA(IF($J151=1,"ACTIVE     GHGE, FARM GATE (kg CO2e/kg)","Count of GHGE, processor gate (kg CO2e/kg)"),'Pivot Table_GHG'!$A$3,"SUB TYPE",$B151))</f>
        <v>7</v>
      </c>
      <c r="R151" s="190">
        <f ca="1">IF($P151="PROXY",DAVERAGE('literature entries'!$D:$AI,IF($J151=1,"ACTIVE     GHGE, FARM GATE (kg CO2e/kg)","GHGE, processor gate (kg CO2e/kg)"),INDIRECT($K151)),GETPIVOTDATA(IF($J151=1,"Average of ACTIVE     GHGE, FARM GATE (kg CO2e/kg)","Average of GHGE, processor gate (kg CO2e/kg)"),'Pivot Table_GHG'!$A$3,"SUB TYPE",$B151))</f>
        <v>0.26299999999999996</v>
      </c>
      <c r="S151" s="190">
        <f ca="1">IF($P151="PROXY",DSTDEV('literature entries'!$D:$AI,IF($J151=1,"ACTIVE     GHGE, FARM GATE (kg CO2e/kg)","GHGE, processor gate (kg CO2e/kg)"),INDIRECT($K151)),GETPIVOTDATA(IF($J151=1,"StdDev of ACTIVE     GHGE, FARM GATE (kg CO2e/kg)","StdDev of GHGE, processor gate (kg CO2e/kg)"),'Pivot Table_GHG'!$A$3,"SUB TYPE",$B151))</f>
        <v>0.17039463997829674</v>
      </c>
      <c r="T151" s="86">
        <v>5.282</v>
      </c>
      <c r="U151" s="87">
        <v>0.97907912607999992</v>
      </c>
      <c r="W151" s="213" t="str">
        <f t="shared" ca="1" si="22"/>
        <v>peach</v>
      </c>
      <c r="X151" s="211">
        <f ca="1">IF($W151="DIRECT",M151,DCOUNT('literature entries'!$D:$AI,IF($J151=1,"ACTIVE     CED, FARM GATE (MJ/kg)","CED, processor gate (MJ/kg)"),INDIRECT($W151)))</f>
        <v>5</v>
      </c>
      <c r="Y151" s="211">
        <f ca="1">IF($W151="DIRECT","",DAVERAGE('literature entries'!$D:$AI,IF($J151=1,"ACTIVE     CED, FARM GATE (MJ/kg)","CED, processor gate (MJ/kg)"),INDIRECT($W151)))</f>
        <v>2.786</v>
      </c>
      <c r="Z151" s="211">
        <f ca="1">IF($W151="DIRECT",$O151,DSTDEV('literature entries'!$D:$AI,IF($J151=1,"ACTIVE     CED, FARM GATE (MJ/kg)","CED, processor gate (MJ/kg)"),INDIRECT($W151)))</f>
        <v>2.443968084898001</v>
      </c>
      <c r="AA151" s="211">
        <f t="shared" ca="1" si="20"/>
        <v>2.443968084898001</v>
      </c>
      <c r="AB151" s="219" t="str">
        <f t="shared" ca="1" si="23"/>
        <v>peach</v>
      </c>
      <c r="AC151" s="212">
        <f ca="1">IF($AB151="DIRECT",Q151,DCOUNT('literature entries'!$D:$AI,IF($J151=1,"ACTIVE     GHGE, FARM GATE (kg CO2e/kg)","GHGE, processor gate (kg CO2e/kg)"),INDIRECT($AB151)))</f>
        <v>7</v>
      </c>
      <c r="AD151" s="212">
        <f ca="1">IF($AB151="DIRECT","",DAVERAGE('literature entries'!$D:$AI,IF($J151=1,"ACTIVE     GHGE, FARM GATE (kg CO2e/kg)","GHGE, processor gate (kg CO2e/kg)"),INDIRECT($AB151)))</f>
        <v>0.26299999999999996</v>
      </c>
      <c r="AE151" s="212">
        <f ca="1">IF($AB151="DIRECT",$S151,DSTDEV('literature entries'!$D:$AI,IF($J151=1,"ACTIVE     GHGE, FARM GATE (kg CO2e/kg)","GHGE, processor gate (kg CO2e/kg)"),INDIRECT($AB151)))</f>
        <v>0.17039463997829674</v>
      </c>
      <c r="AF151" s="212">
        <f t="shared" ca="1" si="21"/>
        <v>0.17039463997829674</v>
      </c>
    </row>
    <row r="152" spans="1:32" s="19" customFormat="1" thickBot="1" x14ac:dyDescent="0.25">
      <c r="A152" s="114">
        <v>1203285000</v>
      </c>
      <c r="B152" s="115" t="s">
        <v>2177</v>
      </c>
      <c r="C152" s="115" t="s">
        <v>2178</v>
      </c>
      <c r="D152" s="115" t="s">
        <v>2179</v>
      </c>
      <c r="E152" s="115">
        <v>417</v>
      </c>
      <c r="F152" s="111">
        <f t="shared" ca="1" si="16"/>
        <v>2.1538846666666669</v>
      </c>
      <c r="G152" s="112">
        <f t="shared" ca="1" si="17"/>
        <v>0.57593333333333341</v>
      </c>
      <c r="H152" s="116">
        <v>1.06</v>
      </c>
      <c r="I152" s="116" t="s">
        <v>2724</v>
      </c>
      <c r="J152" s="79">
        <v>1</v>
      </c>
      <c r="K152" s="78" t="s">
        <v>3268</v>
      </c>
      <c r="L152" s="135" t="str">
        <f>IF(ISERROR(GETPIVOTDATA(IF($J152=1,"Count of ACTIVE     CED, FARM GATE (MJ/kg)","Count of CED, processor gate (MJ/kg)"),'Pivot Table_CED'!$A$3,"SUB TYPE",$B152)),"PROXY",IF(GETPIVOTDATA(IF($J152=1,"Count of ACTIVE     CED, FARM GATE (MJ/kg)","Count of CED, processor gate (MJ/kg)"),'Pivot Table_CED'!$A$3,"SUB TYPE",$B152)=0,"PROXY","DB value"))</f>
        <v>PROXY</v>
      </c>
      <c r="M152" s="118">
        <f ca="1">IF($L152="PROXY",DCOUNT('literature entries'!$D:$AI,IF($J152=1,"ACTIVE     CED, FARM GATE (MJ/kg)","CED, processor gate (MJ/kg)"),INDIRECT($K152)),GETPIVOTDATA(IF($J152=1,"Count of ACTIVE     CED, FARM GATE (MJ/kg)","Count of CED, processor gate (MJ/kg)"),'Pivot Table_CED'!$A$3,"SUB TYPE",$B152))</f>
        <v>30</v>
      </c>
      <c r="N152" s="119">
        <f ca="1">IF($L152="PROXY",DAVERAGE('literature entries'!$D:$AI,IF($J152=1,"ACTIVE     CED, FARM GATE (MJ/kg)","CED, processor gate (MJ/kg)"),INDIRECT($K152)),GETPIVOTDATA(IF($J152=1,"Average of ACTIVE     CED, FARM GATE (MJ/kg)","Average of CED, processor gate (MJ/kg)"),'Pivot Table_CED'!$A$3,"SUB TYPE",$B152))</f>
        <v>2.0319666666666669</v>
      </c>
      <c r="O152" s="119">
        <f ca="1">IF($L152="PROXY",DSTDEV('literature entries'!D:AI,IF($J152=1,"ACTIVE     CED, FARM GATE (MJ/kg)","CED, processor gate (MJ/kg)"),INDIRECT($K152)),GETPIVOTDATA(IF($J152=1,"StdDev of ACTIVE     CED, FARM GATE (MJ/kg)","StdDev of CED, processor gate (MJ/kg)"),'Pivot Table_CED'!$A$3,"SUB TYPE",$B152))</f>
        <v>1.7780728376790285</v>
      </c>
      <c r="P152" s="135" t="str">
        <f>IF(ISERROR(GETPIVOTDATA(IF($J152=1,"Count of ACTIVE     GHGE, FARM GATE (kg CO2e/kg)","Count of GHGE, processor gate (kg CO2e/kg)"),'Pivot Table_GHG'!$A$3,"SUB TYPE",$B152)),"PROXY",IF(GETPIVOTDATA(IF($J152=1,"Count of ACTIVE     GHGE, FARM GATE (kg CO2e/kg)","Count of GHGE, processor gate (kg CO2e/kg)"),'Pivot Table_GHG'!$A$3,"SUB TYPE",$B152)=0,"PROXY","DB value"))</f>
        <v>DB value</v>
      </c>
      <c r="Q152" s="125">
        <f ca="1">IF($P152="PROXY",DCOUNT('literature entries'!$D:$AI,IF($J152=1,"ACTIVE     GHGE, FARM GATE (kg CO2e/kg)","GHGE, processor gate (kg CO2e/kg)"),INDIRECT($K152)),GETPIVOTDATA(IF($J152=1,"ACTIVE     GHGE, FARM GATE (kg CO2e/kg)","Count of GHGE, processor gate (kg CO2e/kg)"),'Pivot Table_GHG'!$A$3,"SUB TYPE",$B152))</f>
        <v>3</v>
      </c>
      <c r="R152" s="190">
        <f ca="1">IF($P152="PROXY",DAVERAGE('literature entries'!$D:$AI,IF($J152=1,"ACTIVE     GHGE, FARM GATE (kg CO2e/kg)","GHGE, processor gate (kg CO2e/kg)"),INDIRECT($K152)),GETPIVOTDATA(IF($J152=1,"Average of ACTIVE     GHGE, FARM GATE (kg CO2e/kg)","Average of GHGE, processor gate (kg CO2e/kg)"),'Pivot Table_GHG'!$A$3,"SUB TYPE",$B152))</f>
        <v>0.54333333333333333</v>
      </c>
      <c r="S152" s="190">
        <f ca="1">IF($P152="PROXY",DSTDEV('literature entries'!$D:$AI,IF($J152=1,"ACTIVE     GHGE, FARM GATE (kg CO2e/kg)","GHGE, processor gate (kg CO2e/kg)"),INDIRECT($K152)),GETPIVOTDATA(IF($J152=1,"StdDev of ACTIVE     GHGE, FARM GATE (kg CO2e/kg)","StdDev of GHGE, processor gate (kg CO2e/kg)"),'Pivot Table_GHG'!$A$3,"SUB TYPE",$B152))</f>
        <v>0.29670411748631564</v>
      </c>
      <c r="T152" s="88"/>
      <c r="U152" s="89"/>
      <c r="W152" s="213" t="str">
        <f t="shared" ca="1" si="22"/>
        <v>tree_fruit</v>
      </c>
      <c r="X152" s="211">
        <f ca="1">IF($W152="DIRECT",M152,DCOUNT('literature entries'!$D:$AI,IF($J152=1,"ACTIVE     CED, FARM GATE (MJ/kg)","CED, processor gate (MJ/kg)"),INDIRECT($W152)))</f>
        <v>30</v>
      </c>
      <c r="Y152" s="211">
        <f ca="1">IF($W152="DIRECT","",DAVERAGE('literature entries'!$D:$AI,IF($J152=1,"ACTIVE     CED, FARM GATE (MJ/kg)","CED, processor gate (MJ/kg)"),INDIRECT($W152)))</f>
        <v>2.0319666666666669</v>
      </c>
      <c r="Z152" s="211">
        <f ca="1">IF($W152="DIRECT",$O152,DSTDEV('literature entries'!$D:$AI,IF($J152=1,"ACTIVE     CED, FARM GATE (MJ/kg)","CED, processor gate (MJ/kg)"),INDIRECT($W152)))</f>
        <v>1.7780728376790285</v>
      </c>
      <c r="AA152" s="211">
        <f t="shared" ca="1" si="20"/>
        <v>1.7780728376790285</v>
      </c>
      <c r="AB152" s="219" t="s">
        <v>3268</v>
      </c>
      <c r="AC152" s="212">
        <f ca="1">IF($AB152="DIRECT",Q152,DCOUNT('literature entries'!$D:$AI,IF($J152=1,"ACTIVE     GHGE, FARM GATE (kg CO2e/kg)","GHGE, processor gate (kg CO2e/kg)"),INDIRECT($AB152)))</f>
        <v>59</v>
      </c>
      <c r="AD152" s="212">
        <f ca="1">IF($AB152="DIRECT","",DAVERAGE('literature entries'!$D:$AI,IF($J152=1,"ACTIVE     GHGE, FARM GATE (kg CO2e/kg)","GHGE, processor gate (kg CO2e/kg)"),INDIRECT($AB152)))</f>
        <v>0.25792391165713047</v>
      </c>
      <c r="AE152" s="212">
        <f ca="1">IF($AB152="DIRECT",$S152,DSTDEV('literature entries'!$D:$AI,IF($J152=1,"ACTIVE     GHGE, FARM GATE (kg CO2e/kg)","GHGE, processor gate (kg CO2e/kg)"),INDIRECT($AB152)))</f>
        <v>0.22451998550634089</v>
      </c>
      <c r="AF152" s="212">
        <f t="shared" ca="1" si="21"/>
        <v>0.47296581127878307</v>
      </c>
    </row>
    <row r="153" spans="1:32" s="19" customFormat="1" thickBot="1" x14ac:dyDescent="0.25">
      <c r="A153" s="114">
        <v>1203286000</v>
      </c>
      <c r="B153" s="115" t="s">
        <v>2182</v>
      </c>
      <c r="C153" s="115" t="s">
        <v>2183</v>
      </c>
      <c r="D153" s="115"/>
      <c r="E153" s="115">
        <v>50</v>
      </c>
      <c r="F153" s="111">
        <f t="shared" ca="1" si="16"/>
        <v>2.1538846666666669</v>
      </c>
      <c r="G153" s="112">
        <f t="shared" ca="1" si="17"/>
        <v>0.27339934635655833</v>
      </c>
      <c r="H153" s="116">
        <v>1.06</v>
      </c>
      <c r="I153" s="116" t="s">
        <v>2724</v>
      </c>
      <c r="J153" s="79">
        <v>1</v>
      </c>
      <c r="K153" s="78" t="s">
        <v>3268</v>
      </c>
      <c r="L153" s="135" t="str">
        <f>IF(ISERROR(GETPIVOTDATA(IF($J153=1,"Count of ACTIVE     CED, FARM GATE (MJ/kg)","Count of CED, processor gate (MJ/kg)"),'Pivot Table_CED'!$A$3,"SUB TYPE",$B153)),"PROXY",IF(GETPIVOTDATA(IF($J153=1,"Count of ACTIVE     CED, FARM GATE (MJ/kg)","Count of CED, processor gate (MJ/kg)"),'Pivot Table_CED'!$A$3,"SUB TYPE",$B153)=0,"PROXY","DB value"))</f>
        <v>PROXY</v>
      </c>
      <c r="M153" s="118">
        <f ca="1">IF($L153="PROXY",DCOUNT('literature entries'!$D:$AI,IF($J153=1,"ACTIVE     CED, FARM GATE (MJ/kg)","CED, processor gate (MJ/kg)"),INDIRECT($K153)),GETPIVOTDATA(IF($J153=1,"Count of ACTIVE     CED, FARM GATE (MJ/kg)","Count of CED, processor gate (MJ/kg)"),'Pivot Table_CED'!$A$3,"SUB TYPE",$B153))</f>
        <v>30</v>
      </c>
      <c r="N153" s="119">
        <f ca="1">IF($L153="PROXY",DAVERAGE('literature entries'!$D:$AI,IF($J153=1,"ACTIVE     CED, FARM GATE (MJ/kg)","CED, processor gate (MJ/kg)"),INDIRECT($K153)),GETPIVOTDATA(IF($J153=1,"Average of ACTIVE     CED, FARM GATE (MJ/kg)","Average of CED, processor gate (MJ/kg)"),'Pivot Table_CED'!$A$3,"SUB TYPE",$B153))</f>
        <v>2.0319666666666669</v>
      </c>
      <c r="O153" s="119">
        <f ca="1">IF($L153="PROXY",DSTDEV('literature entries'!D:AI,IF($J153=1,"ACTIVE     CED, FARM GATE (MJ/kg)","CED, processor gate (MJ/kg)"),INDIRECT($K153)),GETPIVOTDATA(IF($J153=1,"StdDev of ACTIVE     CED, FARM GATE (MJ/kg)","StdDev of CED, processor gate (MJ/kg)"),'Pivot Table_CED'!$A$3,"SUB TYPE",$B153))</f>
        <v>1.7780728376790285</v>
      </c>
      <c r="P153" s="135" t="str">
        <f>IF(ISERROR(GETPIVOTDATA(IF($J153=1,"Count of ACTIVE     GHGE, FARM GATE (kg CO2e/kg)","Count of GHGE, processor gate (kg CO2e/kg)"),'Pivot Table_GHG'!$A$3,"SUB TYPE",$B153)),"PROXY",IF(GETPIVOTDATA(IF($J153=1,"Count of ACTIVE     GHGE, FARM GATE (kg CO2e/kg)","Count of GHGE, processor gate (kg CO2e/kg)"),'Pivot Table_GHG'!$A$3,"SUB TYPE",$B153)=0,"PROXY","DB value"))</f>
        <v>PROXY</v>
      </c>
      <c r="Q153" s="125">
        <f ca="1">IF($P153="PROXY",DCOUNT('literature entries'!$D:$AI,IF($J153=1,"ACTIVE     GHGE, FARM GATE (kg CO2e/kg)","GHGE, processor gate (kg CO2e/kg)"),INDIRECT($K153)),GETPIVOTDATA(IF($J153=1,"ACTIVE     GHGE, FARM GATE (kg CO2e/kg)","Count of GHGE, processor gate (kg CO2e/kg)"),'Pivot Table_GHG'!$A$3,"SUB TYPE",$B153))</f>
        <v>59</v>
      </c>
      <c r="R153" s="190">
        <f ca="1">IF($P153="PROXY",DAVERAGE('literature entries'!$D:$AI,IF($J153=1,"ACTIVE     GHGE, FARM GATE (kg CO2e/kg)","GHGE, processor gate (kg CO2e/kg)"),INDIRECT($K153)),GETPIVOTDATA(IF($J153=1,"Average of ACTIVE     GHGE, FARM GATE (kg CO2e/kg)","Average of GHGE, processor gate (kg CO2e/kg)"),'Pivot Table_GHG'!$A$3,"SUB TYPE",$B153))</f>
        <v>0.25792391165713047</v>
      </c>
      <c r="S153" s="190">
        <f ca="1">IF($P153="PROXY",DSTDEV('literature entries'!$D:$AI,IF($J153=1,"ACTIVE     GHGE, FARM GATE (kg CO2e/kg)","GHGE, processor gate (kg CO2e/kg)"),INDIRECT($K153)),GETPIVOTDATA(IF($J153=1,"StdDev of ACTIVE     GHGE, FARM GATE (kg CO2e/kg)","StdDev of GHGE, processor gate (kg CO2e/kg)"),'Pivot Table_GHG'!$A$3,"SUB TYPE",$B153))</f>
        <v>0.22451998550634089</v>
      </c>
      <c r="T153" s="88"/>
      <c r="U153" s="89"/>
      <c r="W153" s="213" t="str">
        <f t="shared" ca="1" si="22"/>
        <v>tree_fruit</v>
      </c>
      <c r="X153" s="211">
        <f ca="1">IF($W153="DIRECT",M153,DCOUNT('literature entries'!$D:$AI,IF($J153=1,"ACTIVE     CED, FARM GATE (MJ/kg)","CED, processor gate (MJ/kg)"),INDIRECT($W153)))</f>
        <v>30</v>
      </c>
      <c r="Y153" s="211">
        <f ca="1">IF($W153="DIRECT","",DAVERAGE('literature entries'!$D:$AI,IF($J153=1,"ACTIVE     CED, FARM GATE (MJ/kg)","CED, processor gate (MJ/kg)"),INDIRECT($W153)))</f>
        <v>2.0319666666666669</v>
      </c>
      <c r="Z153" s="211">
        <f ca="1">IF($W153="DIRECT",$O153,DSTDEV('literature entries'!$D:$AI,IF($J153=1,"ACTIVE     CED, FARM GATE (MJ/kg)","CED, processor gate (MJ/kg)"),INDIRECT($W153)))</f>
        <v>1.7780728376790285</v>
      </c>
      <c r="AA153" s="211">
        <f t="shared" ca="1" si="20"/>
        <v>1.7780728376790285</v>
      </c>
      <c r="AB153" s="219" t="str">
        <f t="shared" ref="AB153:AB158" ca="1" si="24">IF(P153="PROXY",IF(Q153&gt;=5,K153,"need group"),IF(Q153&gt;=5,"DIRECT","need group"))</f>
        <v>tree_fruit</v>
      </c>
      <c r="AC153" s="212">
        <f ca="1">IF($AB153="DIRECT",Q153,DCOUNT('literature entries'!$D:$AI,IF($J153=1,"ACTIVE     GHGE, FARM GATE (kg CO2e/kg)","GHGE, processor gate (kg CO2e/kg)"),INDIRECT($AB153)))</f>
        <v>59</v>
      </c>
      <c r="AD153" s="212">
        <f ca="1">IF($AB153="DIRECT","",DAVERAGE('literature entries'!$D:$AI,IF($J153=1,"ACTIVE     GHGE, FARM GATE (kg CO2e/kg)","GHGE, processor gate (kg CO2e/kg)"),INDIRECT($AB153)))</f>
        <v>0.25792391165713047</v>
      </c>
      <c r="AE153" s="212">
        <f ca="1">IF($AB153="DIRECT",$S153,DSTDEV('literature entries'!$D:$AI,IF($J153=1,"ACTIVE     GHGE, FARM GATE (kg CO2e/kg)","GHGE, processor gate (kg CO2e/kg)"),INDIRECT($AB153)))</f>
        <v>0.22451998550634089</v>
      </c>
      <c r="AF153" s="212">
        <f t="shared" ca="1" si="21"/>
        <v>0.22451998550634089</v>
      </c>
    </row>
    <row r="154" spans="1:32" s="19" customFormat="1" ht="17" thickBot="1" x14ac:dyDescent="0.25">
      <c r="A154" s="114">
        <v>1203287000</v>
      </c>
      <c r="B154" s="115" t="s">
        <v>2180</v>
      </c>
      <c r="C154" s="115" t="s">
        <v>2181</v>
      </c>
      <c r="D154" s="115"/>
      <c r="E154" s="115">
        <v>260</v>
      </c>
      <c r="F154" s="111">
        <f t="shared" ca="1" si="16"/>
        <v>11.643169000000002</v>
      </c>
      <c r="G154" s="112">
        <f t="shared" ca="1" si="17"/>
        <v>1.4779040137953576</v>
      </c>
      <c r="H154" s="116">
        <v>5.73</v>
      </c>
      <c r="I154" s="117" t="s">
        <v>2724</v>
      </c>
      <c r="J154" s="79">
        <v>1</v>
      </c>
      <c r="K154" s="78" t="s">
        <v>3268</v>
      </c>
      <c r="L154" s="135" t="str">
        <f>IF(ISERROR(GETPIVOTDATA(IF($J154=1,"Count of ACTIVE     CED, FARM GATE (MJ/kg)","Count of CED, processor gate (MJ/kg)"),'Pivot Table_CED'!$A$3,"SUB TYPE",$B154)),"PROXY",IF(GETPIVOTDATA(IF($J154=1,"Count of ACTIVE     CED, FARM GATE (MJ/kg)","Count of CED, processor gate (MJ/kg)"),'Pivot Table_CED'!$A$3,"SUB TYPE",$B154)=0,"PROXY","DB value"))</f>
        <v>PROXY</v>
      </c>
      <c r="M154" s="118">
        <f ca="1">IF($L154="PROXY",DCOUNT('literature entries'!$D:$AI,IF($J154=1,"ACTIVE     CED, FARM GATE (MJ/kg)","CED, processor gate (MJ/kg)"),INDIRECT($K154)),GETPIVOTDATA(IF($J154=1,"Count of ACTIVE     CED, FARM GATE (MJ/kg)","Count of CED, processor gate (MJ/kg)"),'Pivot Table_CED'!$A$3,"SUB TYPE",$B154))</f>
        <v>30</v>
      </c>
      <c r="N154" s="119">
        <f ca="1">IF($L154="PROXY",DAVERAGE('literature entries'!$D:$AI,IF($J154=1,"ACTIVE     CED, FARM GATE (MJ/kg)","CED, processor gate (MJ/kg)"),INDIRECT($K154)),GETPIVOTDATA(IF($J154=1,"Average of ACTIVE     CED, FARM GATE (MJ/kg)","Average of CED, processor gate (MJ/kg)"),'Pivot Table_CED'!$A$3,"SUB TYPE",$B154))</f>
        <v>2.0319666666666669</v>
      </c>
      <c r="O154" s="119">
        <f ca="1">IF($L154="PROXY",DSTDEV('literature entries'!D:AI,IF($J154=1,"ACTIVE     CED, FARM GATE (MJ/kg)","CED, processor gate (MJ/kg)"),INDIRECT($K154)),GETPIVOTDATA(IF($J154=1,"StdDev of ACTIVE     CED, FARM GATE (MJ/kg)","StdDev of CED, processor gate (MJ/kg)"),'Pivot Table_CED'!$A$3,"SUB TYPE",$B154))</f>
        <v>1.7780728376790285</v>
      </c>
      <c r="P154" s="135" t="str">
        <f>IF(ISERROR(GETPIVOTDATA(IF($J154=1,"Count of ACTIVE     GHGE, FARM GATE (kg CO2e/kg)","Count of GHGE, processor gate (kg CO2e/kg)"),'Pivot Table_GHG'!$A$3,"SUB TYPE",$B154)),"PROXY",IF(GETPIVOTDATA(IF($J154=1,"Count of ACTIVE     GHGE, FARM GATE (kg CO2e/kg)","Count of GHGE, processor gate (kg CO2e/kg)"),'Pivot Table_GHG'!$A$3,"SUB TYPE",$B154)=0,"PROXY","DB value"))</f>
        <v>PROXY</v>
      </c>
      <c r="Q154" s="125">
        <f ca="1">IF($P154="PROXY",DCOUNT('literature entries'!$D:$AI,IF($J154=1,"ACTIVE     GHGE, FARM GATE (kg CO2e/kg)","GHGE, processor gate (kg CO2e/kg)"),INDIRECT($K154)),GETPIVOTDATA(IF($J154=1,"ACTIVE     GHGE, FARM GATE (kg CO2e/kg)","Count of GHGE, processor gate (kg CO2e/kg)"),'Pivot Table_GHG'!$A$3,"SUB TYPE",$B154))</f>
        <v>59</v>
      </c>
      <c r="R154" s="190">
        <f ca="1">IF($P154="PROXY",DAVERAGE('literature entries'!$D:$AI,IF($J154=1,"ACTIVE     GHGE, FARM GATE (kg CO2e/kg)","GHGE, processor gate (kg CO2e/kg)"),INDIRECT($K154)),GETPIVOTDATA(IF($J154=1,"Average of ACTIVE     GHGE, FARM GATE (kg CO2e/kg)","Average of GHGE, processor gate (kg CO2e/kg)"),'Pivot Table_GHG'!$A$3,"SUB TYPE",$B154))</f>
        <v>0.25792391165713047</v>
      </c>
      <c r="S154" s="190">
        <f ca="1">IF($P154="PROXY",DSTDEV('literature entries'!$D:$AI,IF($J154=1,"ACTIVE     GHGE, FARM GATE (kg CO2e/kg)","GHGE, processor gate (kg CO2e/kg)"),INDIRECT($K154)),GETPIVOTDATA(IF($J154=1,"StdDev of ACTIVE     GHGE, FARM GATE (kg CO2e/kg)","StdDev of GHGE, processor gate (kg CO2e/kg)"),'Pivot Table_GHG'!$A$3,"SUB TYPE",$B154))</f>
        <v>0.22451998550634089</v>
      </c>
      <c r="T154" s="88"/>
      <c r="U154" s="89"/>
      <c r="W154" s="213" t="str">
        <f t="shared" ca="1" si="22"/>
        <v>tree_fruit</v>
      </c>
      <c r="X154" s="211">
        <f ca="1">IF($W154="DIRECT",M154,DCOUNT('literature entries'!$D:$AI,IF($J154=1,"ACTIVE     CED, FARM GATE (MJ/kg)","CED, processor gate (MJ/kg)"),INDIRECT($W154)))</f>
        <v>30</v>
      </c>
      <c r="Y154" s="211">
        <f ca="1">IF($W154="DIRECT","",DAVERAGE('literature entries'!$D:$AI,IF($J154=1,"ACTIVE     CED, FARM GATE (MJ/kg)","CED, processor gate (MJ/kg)"),INDIRECT($W154)))</f>
        <v>2.0319666666666669</v>
      </c>
      <c r="Z154" s="211">
        <f ca="1">IF($W154="DIRECT",$O154,DSTDEV('literature entries'!$D:$AI,IF($J154=1,"ACTIVE     CED, FARM GATE (MJ/kg)","CED, processor gate (MJ/kg)"),INDIRECT($W154)))</f>
        <v>1.7780728376790285</v>
      </c>
      <c r="AA154" s="211">
        <f t="shared" ca="1" si="20"/>
        <v>1.7780728376790285</v>
      </c>
      <c r="AB154" s="219" t="str">
        <f t="shared" ca="1" si="24"/>
        <v>tree_fruit</v>
      </c>
      <c r="AC154" s="212">
        <f ca="1">IF($AB154="DIRECT",Q154,DCOUNT('literature entries'!$D:$AI,IF($J154=1,"ACTIVE     GHGE, FARM GATE (kg CO2e/kg)","GHGE, processor gate (kg CO2e/kg)"),INDIRECT($AB154)))</f>
        <v>59</v>
      </c>
      <c r="AD154" s="212">
        <f ca="1">IF($AB154="DIRECT","",DAVERAGE('literature entries'!$D:$AI,IF($J154=1,"ACTIVE     GHGE, FARM GATE (kg CO2e/kg)","GHGE, processor gate (kg CO2e/kg)"),INDIRECT($AB154)))</f>
        <v>0.25792391165713047</v>
      </c>
      <c r="AE154" s="212">
        <f ca="1">IF($AB154="DIRECT",$S154,DSTDEV('literature entries'!$D:$AI,IF($J154=1,"ACTIVE     GHGE, FARM GATE (kg CO2e/kg)","GHGE, processor gate (kg CO2e/kg)"),INDIRECT($AB154)))</f>
        <v>0.22451998550634089</v>
      </c>
      <c r="AF154" s="212">
        <f t="shared" ca="1" si="21"/>
        <v>0.22451998550634089</v>
      </c>
    </row>
    <row r="155" spans="1:32" s="19" customFormat="1" ht="17" thickBot="1" x14ac:dyDescent="0.25">
      <c r="A155" s="114">
        <v>1203288000</v>
      </c>
      <c r="B155" s="115" t="s">
        <v>2184</v>
      </c>
      <c r="C155" s="115" t="s">
        <v>1742</v>
      </c>
      <c r="D155" s="115"/>
      <c r="E155" s="115">
        <v>125</v>
      </c>
      <c r="F155" s="111">
        <f t="shared" ca="1" si="16"/>
        <v>8.5941056666666675</v>
      </c>
      <c r="G155" s="112">
        <f t="shared" ca="1" si="17"/>
        <v>1.3994951020811226</v>
      </c>
      <c r="H155" s="116">
        <v>1.63</v>
      </c>
      <c r="I155" s="117" t="s">
        <v>2724</v>
      </c>
      <c r="J155" s="79">
        <v>1</v>
      </c>
      <c r="K155" s="78" t="s">
        <v>3268</v>
      </c>
      <c r="L155" s="135" t="str">
        <f>IF(ISERROR(GETPIVOTDATA(IF($J155=1,"Count of ACTIVE     CED, FARM GATE (MJ/kg)","Count of CED, processor gate (MJ/kg)"),'Pivot Table_CED'!$A$3,"SUB TYPE",$B155)),"PROXY",IF(GETPIVOTDATA(IF($J155=1,"Count of ACTIVE     CED, FARM GATE (MJ/kg)","Count of CED, processor gate (MJ/kg)"),'Pivot Table_CED'!$A$3,"SUB TYPE",$B155)=0,"PROXY","DB value"))</f>
        <v>PROXY</v>
      </c>
      <c r="M155" s="118">
        <f ca="1">IF($L155="PROXY",DCOUNT('literature entries'!$D:$AI,IF($J155=1,"ACTIVE     CED, FARM GATE (MJ/kg)","CED, processor gate (MJ/kg)"),INDIRECT($K155)),GETPIVOTDATA(IF($J155=1,"Count of ACTIVE     CED, FARM GATE (MJ/kg)","Count of CED, processor gate (MJ/kg)"),'Pivot Table_CED'!$A$3,"SUB TYPE",$B155))</f>
        <v>30</v>
      </c>
      <c r="N155" s="119">
        <f ca="1">IF($L155="PROXY",DAVERAGE('literature entries'!$D:$AI,IF($J155=1,"ACTIVE     CED, FARM GATE (MJ/kg)","CED, processor gate (MJ/kg)"),INDIRECT($K155)),GETPIVOTDATA(IF($J155=1,"Average of ACTIVE     CED, FARM GATE (MJ/kg)","Average of CED, processor gate (MJ/kg)"),'Pivot Table_CED'!$A$3,"SUB TYPE",$B155))</f>
        <v>2.0319666666666669</v>
      </c>
      <c r="O155" s="119">
        <f ca="1">IF($L155="PROXY",DSTDEV('literature entries'!D:AI,IF($J155=1,"ACTIVE     CED, FARM GATE (MJ/kg)","CED, processor gate (MJ/kg)"),INDIRECT($K155)),GETPIVOTDATA(IF($J155=1,"StdDev of ACTIVE     CED, FARM GATE (MJ/kg)","StdDev of CED, processor gate (MJ/kg)"),'Pivot Table_CED'!$A$3,"SUB TYPE",$B155))</f>
        <v>1.7780728376790285</v>
      </c>
      <c r="P155" s="135" t="str">
        <f>IF(ISERROR(GETPIVOTDATA(IF($J155=1,"Count of ACTIVE     GHGE, FARM GATE (kg CO2e/kg)","Count of GHGE, processor gate (kg CO2e/kg)"),'Pivot Table_GHG'!$A$3,"SUB TYPE",$B155)),"PROXY",IF(GETPIVOTDATA(IF($J155=1,"Count of ACTIVE     GHGE, FARM GATE (kg CO2e/kg)","Count of GHGE, processor gate (kg CO2e/kg)"),'Pivot Table_GHG'!$A$3,"SUB TYPE",$B155)=0,"PROXY","DB value"))</f>
        <v>PROXY</v>
      </c>
      <c r="Q155" s="125">
        <f ca="1">IF($P155="PROXY",DCOUNT('literature entries'!$D:$AI,IF($J155=1,"ACTIVE     GHGE, FARM GATE (kg CO2e/kg)","GHGE, processor gate (kg CO2e/kg)"),INDIRECT($K155)),GETPIVOTDATA(IF($J155=1,"ACTIVE     GHGE, FARM GATE (kg CO2e/kg)","Count of GHGE, processor gate (kg CO2e/kg)"),'Pivot Table_GHG'!$A$3,"SUB TYPE",$B155))</f>
        <v>59</v>
      </c>
      <c r="R155" s="190">
        <f ca="1">IF($P155="PROXY",DAVERAGE('literature entries'!$D:$AI,IF($J155=1,"ACTIVE     GHGE, FARM GATE (kg CO2e/kg)","GHGE, processor gate (kg CO2e/kg)"),INDIRECT($K155)),GETPIVOTDATA(IF($J155=1,"Average of ACTIVE     GHGE, FARM GATE (kg CO2e/kg)","Average of GHGE, processor gate (kg CO2e/kg)"),'Pivot Table_GHG'!$A$3,"SUB TYPE",$B155))</f>
        <v>0.25792391165713047</v>
      </c>
      <c r="S155" s="190">
        <f ca="1">IF($P155="PROXY",DSTDEV('literature entries'!$D:$AI,IF($J155=1,"ACTIVE     GHGE, FARM GATE (kg CO2e/kg)","GHGE, processor gate (kg CO2e/kg)"),INDIRECT($K155)),GETPIVOTDATA(IF($J155=1,"StdDev of ACTIVE     GHGE, FARM GATE (kg CO2e/kg)","StdDev of GHGE, processor gate (kg CO2e/kg)"),'Pivot Table_GHG'!$A$3,"SUB TYPE",$B155))</f>
        <v>0.22451998550634089</v>
      </c>
      <c r="T155" s="86">
        <v>5.282</v>
      </c>
      <c r="U155" s="87">
        <v>0.97907912607999992</v>
      </c>
      <c r="W155" s="213" t="str">
        <f t="shared" ca="1" si="22"/>
        <v>tree_fruit</v>
      </c>
      <c r="X155" s="211">
        <f ca="1">IF($W155="DIRECT",M155,DCOUNT('literature entries'!$D:$AI,IF($J155=1,"ACTIVE     CED, FARM GATE (MJ/kg)","CED, processor gate (MJ/kg)"),INDIRECT($W155)))</f>
        <v>30</v>
      </c>
      <c r="Y155" s="211">
        <f ca="1">IF($W155="DIRECT","",DAVERAGE('literature entries'!$D:$AI,IF($J155=1,"ACTIVE     CED, FARM GATE (MJ/kg)","CED, processor gate (MJ/kg)"),INDIRECT($W155)))</f>
        <v>2.0319666666666669</v>
      </c>
      <c r="Z155" s="211">
        <f ca="1">IF($W155="DIRECT",$O155,DSTDEV('literature entries'!$D:$AI,IF($J155=1,"ACTIVE     CED, FARM GATE (MJ/kg)","CED, processor gate (MJ/kg)"),INDIRECT($W155)))</f>
        <v>1.7780728376790285</v>
      </c>
      <c r="AA155" s="211">
        <f t="shared" ca="1" si="20"/>
        <v>1.7780728376790285</v>
      </c>
      <c r="AB155" s="219" t="str">
        <f t="shared" ca="1" si="24"/>
        <v>tree_fruit</v>
      </c>
      <c r="AC155" s="212">
        <f ca="1">IF($AB155="DIRECT",Q155,DCOUNT('literature entries'!$D:$AI,IF($J155=1,"ACTIVE     GHGE, FARM GATE (kg CO2e/kg)","GHGE, processor gate (kg CO2e/kg)"),INDIRECT($AB155)))</f>
        <v>59</v>
      </c>
      <c r="AD155" s="212">
        <f ca="1">IF($AB155="DIRECT","",DAVERAGE('literature entries'!$D:$AI,IF($J155=1,"ACTIVE     GHGE, FARM GATE (kg CO2e/kg)","GHGE, processor gate (kg CO2e/kg)"),INDIRECT($AB155)))</f>
        <v>0.25792391165713047</v>
      </c>
      <c r="AE155" s="212">
        <f ca="1">IF($AB155="DIRECT",$S155,DSTDEV('literature entries'!$D:$AI,IF($J155=1,"ACTIVE     GHGE, FARM GATE (kg CO2e/kg)","GHGE, processor gate (kg CO2e/kg)"),INDIRECT($AB155)))</f>
        <v>0.22451998550634089</v>
      </c>
      <c r="AF155" s="212">
        <f t="shared" ca="1" si="21"/>
        <v>0.22451998550634089</v>
      </c>
    </row>
    <row r="156" spans="1:32" s="19" customFormat="1" thickBot="1" x14ac:dyDescent="0.25">
      <c r="A156" s="114">
        <v>1301055000</v>
      </c>
      <c r="B156" s="115" t="s">
        <v>1833</v>
      </c>
      <c r="C156" s="115" t="s">
        <v>1834</v>
      </c>
      <c r="D156" s="115" t="s">
        <v>1835</v>
      </c>
      <c r="E156" s="115">
        <v>7185</v>
      </c>
      <c r="F156" s="111">
        <f t="shared" ca="1" si="16"/>
        <v>6.4746404823428074</v>
      </c>
      <c r="G156" s="112">
        <f t="shared" ca="1" si="17"/>
        <v>0.59900881127303396</v>
      </c>
      <c r="H156" s="116">
        <v>1.04</v>
      </c>
      <c r="I156" s="116" t="s">
        <v>2724</v>
      </c>
      <c r="J156" s="79">
        <v>1</v>
      </c>
      <c r="K156" s="78" t="s">
        <v>2453</v>
      </c>
      <c r="L156" s="135" t="str">
        <f>IF(ISERROR(GETPIVOTDATA(IF($J156=1,"Count of ACTIVE     CED, FARM GATE (MJ/kg)","Count of CED, processor gate (MJ/kg)"),'Pivot Table_CED'!$A$3,"SUB TYPE",$B156)),"PROXY",IF(GETPIVOTDATA(IF($J156=1,"Count of ACTIVE     CED, FARM GATE (MJ/kg)","Count of CED, processor gate (MJ/kg)"),'Pivot Table_CED'!$A$3,"SUB TYPE",$B156)=0,"PROXY","DB value"))</f>
        <v>PROXY</v>
      </c>
      <c r="M156" s="118">
        <f ca="1">IF($L156="PROXY",DCOUNT('literature entries'!$D:$AI,IF($J156=1,"ACTIVE     CED, FARM GATE (MJ/kg)","CED, processor gate (MJ/kg)"),INDIRECT($K156)),GETPIVOTDATA(IF($J156=1,"Count of ACTIVE     CED, FARM GATE (MJ/kg)","Count of CED, processor gate (MJ/kg)"),'Pivot Table_CED'!$A$3,"SUB TYPE",$B156))</f>
        <v>9</v>
      </c>
      <c r="N156" s="119">
        <f ca="1">IF($L156="PROXY",DAVERAGE('literature entries'!$D:$AI,IF($J156=1,"ACTIVE     CED, FARM GATE (MJ/kg)","CED, processor gate (MJ/kg)"),INDIRECT($K156)),GETPIVOTDATA(IF($J156=1,"Average of ACTIVE     CED, FARM GATE (MJ/kg)","Average of CED, processor gate (MJ/kg)"),'Pivot Table_CED'!$A$3,"SUB TYPE",$B156))</f>
        <v>6.2256158484065454</v>
      </c>
      <c r="O156" s="119">
        <f ca="1">IF($L156="PROXY",DSTDEV('literature entries'!D:AI,IF($J156=1,"ACTIVE     CED, FARM GATE (MJ/kg)","CED, processor gate (MJ/kg)"),INDIRECT($K156)),GETPIVOTDATA(IF($J156=1,"StdDev of ACTIVE     CED, FARM GATE (MJ/kg)","StdDev of CED, processor gate (MJ/kg)"),'Pivot Table_CED'!$A$3,"SUB TYPE",$B156))</f>
        <v>3.4581080763456375</v>
      </c>
      <c r="P156" s="135" t="str">
        <f>IF(ISERROR(GETPIVOTDATA(IF($J156=1,"Count of ACTIVE     GHGE, FARM GATE (kg CO2e/kg)","Count of GHGE, processor gate (kg CO2e/kg)"),'Pivot Table_GHG'!$A$3,"SUB TYPE",$B156)),"PROXY",IF(GETPIVOTDATA(IF($J156=1,"Count of ACTIVE     GHGE, FARM GATE (kg CO2e/kg)","Count of GHGE, processor gate (kg CO2e/kg)"),'Pivot Table_GHG'!$A$3,"SUB TYPE",$B156)=0,"PROXY","DB value"))</f>
        <v>PROXY</v>
      </c>
      <c r="Q156" s="125">
        <f ca="1">IF($P156="PROXY",DCOUNT('literature entries'!$D:$AI,IF($J156=1,"ACTIVE     GHGE, FARM GATE (kg CO2e/kg)","GHGE, processor gate (kg CO2e/kg)"),INDIRECT($K156)),GETPIVOTDATA(IF($J156=1,"ACTIVE     GHGE, FARM GATE (kg CO2e/kg)","Count of GHGE, processor gate (kg CO2e/kg)"),'Pivot Table_GHG'!$A$3,"SUB TYPE",$B156))</f>
        <v>19</v>
      </c>
      <c r="R156" s="190">
        <f ca="1">IF($P156="PROXY",DAVERAGE('literature entries'!$D:$AI,IF($J156=1,"ACTIVE     GHGE, FARM GATE (kg CO2e/kg)","GHGE, processor gate (kg CO2e/kg)"),INDIRECT($K156)),GETPIVOTDATA(IF($J156=1,"Average of ACTIVE     GHGE, FARM GATE (kg CO2e/kg)","Average of GHGE, processor gate (kg CO2e/kg)"),'Pivot Table_GHG'!$A$3,"SUB TYPE",$B156))</f>
        <v>0.57597001083945576</v>
      </c>
      <c r="S156" s="190">
        <f ca="1">IF($P156="PROXY",DSTDEV('literature entries'!$D:$AI,IF($J156=1,"ACTIVE     GHGE, FARM GATE (kg CO2e/kg)","GHGE, processor gate (kg CO2e/kg)"),INDIRECT($K156)),GETPIVOTDATA(IF($J156=1,"StdDev of ACTIVE     GHGE, FARM GATE (kg CO2e/kg)","StdDev of GHGE, processor gate (kg CO2e/kg)"),'Pivot Table_GHG'!$A$3,"SUB TYPE",$B156))</f>
        <v>0.40302432016659151</v>
      </c>
      <c r="T156" s="88"/>
      <c r="U156" s="89"/>
      <c r="W156" s="213" t="str">
        <f t="shared" ca="1" si="22"/>
        <v>berry</v>
      </c>
      <c r="X156" s="211">
        <f ca="1">IF($W156="DIRECT",M156,DCOUNT('literature entries'!$D:$AI,IF($J156=1,"ACTIVE     CED, FARM GATE (MJ/kg)","CED, processor gate (MJ/kg)"),INDIRECT($W156)))</f>
        <v>9</v>
      </c>
      <c r="Y156" s="211">
        <f ca="1">IF($W156="DIRECT","",DAVERAGE('literature entries'!$D:$AI,IF($J156=1,"ACTIVE     CED, FARM GATE (MJ/kg)","CED, processor gate (MJ/kg)"),INDIRECT($W156)))</f>
        <v>6.2256158484065454</v>
      </c>
      <c r="Z156" s="211">
        <f ca="1">IF($W156="DIRECT",$O156,DSTDEV('literature entries'!$D:$AI,IF($J156=1,"ACTIVE     CED, FARM GATE (MJ/kg)","CED, processor gate (MJ/kg)"),INDIRECT($W156)))</f>
        <v>3.4581080763456375</v>
      </c>
      <c r="AA156" s="211">
        <f t="shared" ca="1" si="20"/>
        <v>3.4581080763456375</v>
      </c>
      <c r="AB156" s="219" t="str">
        <f t="shared" ca="1" si="24"/>
        <v>berry</v>
      </c>
      <c r="AC156" s="212">
        <f ca="1">IF($AB156="DIRECT",Q156,DCOUNT('literature entries'!$D:$AI,IF($J156=1,"ACTIVE     GHGE, FARM GATE (kg CO2e/kg)","GHGE, processor gate (kg CO2e/kg)"),INDIRECT($AB156)))</f>
        <v>19</v>
      </c>
      <c r="AD156" s="212">
        <f ca="1">IF($AB156="DIRECT","",DAVERAGE('literature entries'!$D:$AI,IF($J156=1,"ACTIVE     GHGE, FARM GATE (kg CO2e/kg)","GHGE, processor gate (kg CO2e/kg)"),INDIRECT($AB156)))</f>
        <v>0.57597001083945576</v>
      </c>
      <c r="AE156" s="212">
        <f ca="1">IF($AB156="DIRECT",$S156,DSTDEV('literature entries'!$D:$AI,IF($J156=1,"ACTIVE     GHGE, FARM GATE (kg CO2e/kg)","GHGE, processor gate (kg CO2e/kg)"),INDIRECT($AB156)))</f>
        <v>0.40302432016659151</v>
      </c>
      <c r="AF156" s="212">
        <f t="shared" ca="1" si="21"/>
        <v>0.40302432016659151</v>
      </c>
    </row>
    <row r="157" spans="1:32" s="19" customFormat="1" thickBot="1" x14ac:dyDescent="0.25">
      <c r="A157" s="114">
        <v>1301056000</v>
      </c>
      <c r="B157" s="115" t="s">
        <v>1836</v>
      </c>
      <c r="C157" s="115" t="s">
        <v>1742</v>
      </c>
      <c r="D157" s="115" t="s">
        <v>1835</v>
      </c>
      <c r="E157" s="115">
        <v>10</v>
      </c>
      <c r="F157" s="111">
        <f t="shared" ca="1" si="16"/>
        <v>13.37530060292851</v>
      </c>
      <c r="G157" s="112">
        <f t="shared" ca="1" si="17"/>
        <v>1.7278401401712924</v>
      </c>
      <c r="H157" s="116">
        <v>1.3</v>
      </c>
      <c r="I157" s="116" t="s">
        <v>2724</v>
      </c>
      <c r="J157" s="79">
        <v>1</v>
      </c>
      <c r="K157" s="78" t="s">
        <v>2453</v>
      </c>
      <c r="L157" s="135" t="str">
        <f>IF(ISERROR(GETPIVOTDATA(IF($J157=1,"Count of ACTIVE     CED, FARM GATE (MJ/kg)","Count of CED, processor gate (MJ/kg)"),'Pivot Table_CED'!$A$3,"SUB TYPE",$B157)),"PROXY",IF(GETPIVOTDATA(IF($J157=1,"Count of ACTIVE     CED, FARM GATE (MJ/kg)","Count of CED, processor gate (MJ/kg)"),'Pivot Table_CED'!$A$3,"SUB TYPE",$B157)=0,"PROXY","DB value"))</f>
        <v>PROXY</v>
      </c>
      <c r="M157" s="118">
        <f ca="1">IF($L157="PROXY",DCOUNT('literature entries'!$D:$AI,IF($J157=1,"ACTIVE     CED, FARM GATE (MJ/kg)","CED, processor gate (MJ/kg)"),INDIRECT($K157)),GETPIVOTDATA(IF($J157=1,"Count of ACTIVE     CED, FARM GATE (MJ/kg)","Count of CED, processor gate (MJ/kg)"),'Pivot Table_CED'!$A$3,"SUB TYPE",$B157))</f>
        <v>9</v>
      </c>
      <c r="N157" s="119">
        <f ca="1">IF($L157="PROXY",DAVERAGE('literature entries'!$D:$AI,IF($J157=1,"ACTIVE     CED, FARM GATE (MJ/kg)","CED, processor gate (MJ/kg)"),INDIRECT($K157)),GETPIVOTDATA(IF($J157=1,"Average of ACTIVE     CED, FARM GATE (MJ/kg)","Average of CED, processor gate (MJ/kg)"),'Pivot Table_CED'!$A$3,"SUB TYPE",$B157))</f>
        <v>6.2256158484065454</v>
      </c>
      <c r="O157" s="119">
        <f ca="1">IF($L157="PROXY",DSTDEV('literature entries'!D:AI,IF($J157=1,"ACTIVE     CED, FARM GATE (MJ/kg)","CED, processor gate (MJ/kg)"),INDIRECT($K157)),GETPIVOTDATA(IF($J157=1,"StdDev of ACTIVE     CED, FARM GATE (MJ/kg)","StdDev of CED, processor gate (MJ/kg)"),'Pivot Table_CED'!$A$3,"SUB TYPE",$B157))</f>
        <v>3.4581080763456375</v>
      </c>
      <c r="P157" s="135" t="str">
        <f>IF(ISERROR(GETPIVOTDATA(IF($J157=1,"Count of ACTIVE     GHGE, FARM GATE (kg CO2e/kg)","Count of GHGE, processor gate (kg CO2e/kg)"),'Pivot Table_GHG'!$A$3,"SUB TYPE",$B157)),"PROXY",IF(GETPIVOTDATA(IF($J157=1,"Count of ACTIVE     GHGE, FARM GATE (kg CO2e/kg)","Count of GHGE, processor gate (kg CO2e/kg)"),'Pivot Table_GHG'!$A$3,"SUB TYPE",$B157)=0,"PROXY","DB value"))</f>
        <v>PROXY</v>
      </c>
      <c r="Q157" s="125">
        <f ca="1">IF($P157="PROXY",DCOUNT('literature entries'!$D:$AI,IF($J157=1,"ACTIVE     GHGE, FARM GATE (kg CO2e/kg)","GHGE, processor gate (kg CO2e/kg)"),INDIRECT($K157)),GETPIVOTDATA(IF($J157=1,"ACTIVE     GHGE, FARM GATE (kg CO2e/kg)","Count of GHGE, processor gate (kg CO2e/kg)"),'Pivot Table_GHG'!$A$3,"SUB TYPE",$B157))</f>
        <v>19</v>
      </c>
      <c r="R157" s="190">
        <f ca="1">IF($P157="PROXY",DAVERAGE('literature entries'!$D:$AI,IF($J157=1,"ACTIVE     GHGE, FARM GATE (kg CO2e/kg)","GHGE, processor gate (kg CO2e/kg)"),INDIRECT($K157)),GETPIVOTDATA(IF($J157=1,"Average of ACTIVE     GHGE, FARM GATE (kg CO2e/kg)","Average of GHGE, processor gate (kg CO2e/kg)"),'Pivot Table_GHG'!$A$3,"SUB TYPE",$B157))</f>
        <v>0.57597001083945576</v>
      </c>
      <c r="S157" s="190">
        <f ca="1">IF($P157="PROXY",DSTDEV('literature entries'!$D:$AI,IF($J157=1,"ACTIVE     GHGE, FARM GATE (kg CO2e/kg)","GHGE, processor gate (kg CO2e/kg)"),INDIRECT($K157)),GETPIVOTDATA(IF($J157=1,"StdDev of ACTIVE     GHGE, FARM GATE (kg CO2e/kg)","StdDev of GHGE, processor gate (kg CO2e/kg)"),'Pivot Table_GHG'!$A$3,"SUB TYPE",$B157))</f>
        <v>0.40302432016659151</v>
      </c>
      <c r="T157" s="86">
        <v>5.282</v>
      </c>
      <c r="U157" s="87">
        <v>0.97907912607999992</v>
      </c>
      <c r="W157" s="213" t="str">
        <f t="shared" ca="1" si="22"/>
        <v>berry</v>
      </c>
      <c r="X157" s="211">
        <f ca="1">IF($W157="DIRECT",M157,DCOUNT('literature entries'!$D:$AI,IF($J157=1,"ACTIVE     CED, FARM GATE (MJ/kg)","CED, processor gate (MJ/kg)"),INDIRECT($W157)))</f>
        <v>9</v>
      </c>
      <c r="Y157" s="211">
        <f ca="1">IF($W157="DIRECT","",DAVERAGE('literature entries'!$D:$AI,IF($J157=1,"ACTIVE     CED, FARM GATE (MJ/kg)","CED, processor gate (MJ/kg)"),INDIRECT($W157)))</f>
        <v>6.2256158484065454</v>
      </c>
      <c r="Z157" s="211">
        <f ca="1">IF($W157="DIRECT",$O157,DSTDEV('literature entries'!$D:$AI,IF($J157=1,"ACTIVE     CED, FARM GATE (MJ/kg)","CED, processor gate (MJ/kg)"),INDIRECT($W157)))</f>
        <v>3.4581080763456375</v>
      </c>
      <c r="AA157" s="211">
        <f t="shared" ca="1" si="20"/>
        <v>3.4581080763456375</v>
      </c>
      <c r="AB157" s="219" t="str">
        <f t="shared" ca="1" si="24"/>
        <v>berry</v>
      </c>
      <c r="AC157" s="212">
        <f ca="1">IF($AB157="DIRECT",Q157,DCOUNT('literature entries'!$D:$AI,IF($J157=1,"ACTIVE     GHGE, FARM GATE (kg CO2e/kg)","GHGE, processor gate (kg CO2e/kg)"),INDIRECT($AB157)))</f>
        <v>19</v>
      </c>
      <c r="AD157" s="212">
        <f ca="1">IF($AB157="DIRECT","",DAVERAGE('literature entries'!$D:$AI,IF($J157=1,"ACTIVE     GHGE, FARM GATE (kg CO2e/kg)","GHGE, processor gate (kg CO2e/kg)"),INDIRECT($AB157)))</f>
        <v>0.57597001083945576</v>
      </c>
      <c r="AE157" s="212">
        <f ca="1">IF($AB157="DIRECT",$S157,DSTDEV('literature entries'!$D:$AI,IF($J157=1,"ACTIVE     GHGE, FARM GATE (kg CO2e/kg)","GHGE, processor gate (kg CO2e/kg)"),INDIRECT($AB157)))</f>
        <v>0.40302432016659151</v>
      </c>
      <c r="AF157" s="212">
        <f t="shared" ca="1" si="21"/>
        <v>0.40302432016659151</v>
      </c>
    </row>
    <row r="158" spans="1:32" s="19" customFormat="1" thickBot="1" x14ac:dyDescent="0.25">
      <c r="A158" s="114">
        <v>1301058000</v>
      </c>
      <c r="B158" s="115" t="s">
        <v>1839</v>
      </c>
      <c r="C158" s="115" t="s">
        <v>1834</v>
      </c>
      <c r="D158" s="115"/>
      <c r="E158" s="115">
        <v>6145</v>
      </c>
      <c r="F158" s="111">
        <f t="shared" ca="1" si="16"/>
        <v>6.4746404823428074</v>
      </c>
      <c r="G158" s="112">
        <f t="shared" ca="1" si="17"/>
        <v>0.59900881127303396</v>
      </c>
      <c r="H158" s="116">
        <v>1.04</v>
      </c>
      <c r="I158" s="116" t="s">
        <v>2724</v>
      </c>
      <c r="J158" s="79">
        <v>1</v>
      </c>
      <c r="K158" s="78" t="s">
        <v>2453</v>
      </c>
      <c r="L158" s="135" t="str">
        <f>IF(ISERROR(GETPIVOTDATA(IF($J158=1,"Count of ACTIVE     CED, FARM GATE (MJ/kg)","Count of CED, processor gate (MJ/kg)"),'Pivot Table_CED'!$A$3,"SUB TYPE",$B158)),"PROXY",IF(GETPIVOTDATA(IF($J158=1,"Count of ACTIVE     CED, FARM GATE (MJ/kg)","Count of CED, processor gate (MJ/kg)"),'Pivot Table_CED'!$A$3,"SUB TYPE",$B158)=0,"PROXY","DB value"))</f>
        <v>PROXY</v>
      </c>
      <c r="M158" s="118">
        <f ca="1">IF($L158="PROXY",DCOUNT('literature entries'!$D:$AI,IF($J158=1,"ACTIVE     CED, FARM GATE (MJ/kg)","CED, processor gate (MJ/kg)"),INDIRECT($K158)),GETPIVOTDATA(IF($J158=1,"Count of ACTIVE     CED, FARM GATE (MJ/kg)","Count of CED, processor gate (MJ/kg)"),'Pivot Table_CED'!$A$3,"SUB TYPE",$B158))</f>
        <v>9</v>
      </c>
      <c r="N158" s="119">
        <f ca="1">IF($L158="PROXY",DAVERAGE('literature entries'!$D:$AI,IF($J158=1,"ACTIVE     CED, FARM GATE (MJ/kg)","CED, processor gate (MJ/kg)"),INDIRECT($K158)),GETPIVOTDATA(IF($J158=1,"Average of ACTIVE     CED, FARM GATE (MJ/kg)","Average of CED, processor gate (MJ/kg)"),'Pivot Table_CED'!$A$3,"SUB TYPE",$B158))</f>
        <v>6.2256158484065454</v>
      </c>
      <c r="O158" s="119">
        <f ca="1">IF($L158="PROXY",DSTDEV('literature entries'!D:AI,IF($J158=1,"ACTIVE     CED, FARM GATE (MJ/kg)","CED, processor gate (MJ/kg)"),INDIRECT($K158)),GETPIVOTDATA(IF($J158=1,"StdDev of ACTIVE     CED, FARM GATE (MJ/kg)","StdDev of CED, processor gate (MJ/kg)"),'Pivot Table_CED'!$A$3,"SUB TYPE",$B158))</f>
        <v>3.4581080763456375</v>
      </c>
      <c r="P158" s="135" t="str">
        <f>IF(ISERROR(GETPIVOTDATA(IF($J158=1,"Count of ACTIVE     GHGE, FARM GATE (kg CO2e/kg)","Count of GHGE, processor gate (kg CO2e/kg)"),'Pivot Table_GHG'!$A$3,"SUB TYPE",$B158)),"PROXY",IF(GETPIVOTDATA(IF($J158=1,"Count of ACTIVE     GHGE, FARM GATE (kg CO2e/kg)","Count of GHGE, processor gate (kg CO2e/kg)"),'Pivot Table_GHG'!$A$3,"SUB TYPE",$B158)=0,"PROXY","DB value"))</f>
        <v>PROXY</v>
      </c>
      <c r="Q158" s="125">
        <f ca="1">IF($P158="PROXY",DCOUNT('literature entries'!$D:$AI,IF($J158=1,"ACTIVE     GHGE, FARM GATE (kg CO2e/kg)","GHGE, processor gate (kg CO2e/kg)"),INDIRECT($K158)),GETPIVOTDATA(IF($J158=1,"ACTIVE     GHGE, FARM GATE (kg CO2e/kg)","Count of GHGE, processor gate (kg CO2e/kg)"),'Pivot Table_GHG'!$A$3,"SUB TYPE",$B158))</f>
        <v>19</v>
      </c>
      <c r="R158" s="190">
        <f ca="1">IF($P158="PROXY",DAVERAGE('literature entries'!$D:$AI,IF($J158=1,"ACTIVE     GHGE, FARM GATE (kg CO2e/kg)","GHGE, processor gate (kg CO2e/kg)"),INDIRECT($K158)),GETPIVOTDATA(IF($J158=1,"Average of ACTIVE     GHGE, FARM GATE (kg CO2e/kg)","Average of GHGE, processor gate (kg CO2e/kg)"),'Pivot Table_GHG'!$A$3,"SUB TYPE",$B158))</f>
        <v>0.57597001083945576</v>
      </c>
      <c r="S158" s="190">
        <f ca="1">IF($P158="PROXY",DSTDEV('literature entries'!$D:$AI,IF($J158=1,"ACTIVE     GHGE, FARM GATE (kg CO2e/kg)","GHGE, processor gate (kg CO2e/kg)"),INDIRECT($K158)),GETPIVOTDATA(IF($J158=1,"StdDev of ACTIVE     GHGE, FARM GATE (kg CO2e/kg)","StdDev of GHGE, processor gate (kg CO2e/kg)"),'Pivot Table_GHG'!$A$3,"SUB TYPE",$B158))</f>
        <v>0.40302432016659151</v>
      </c>
      <c r="T158" s="88"/>
      <c r="U158" s="89"/>
      <c r="W158" s="213" t="str">
        <f t="shared" ca="1" si="22"/>
        <v>berry</v>
      </c>
      <c r="X158" s="211">
        <f ca="1">IF($W158="DIRECT",M158,DCOUNT('literature entries'!$D:$AI,IF($J158=1,"ACTIVE     CED, FARM GATE (MJ/kg)","CED, processor gate (MJ/kg)"),INDIRECT($W158)))</f>
        <v>9</v>
      </c>
      <c r="Y158" s="211">
        <f ca="1">IF($W158="DIRECT","",DAVERAGE('literature entries'!$D:$AI,IF($J158=1,"ACTIVE     CED, FARM GATE (MJ/kg)","CED, processor gate (MJ/kg)"),INDIRECT($W158)))</f>
        <v>6.2256158484065454</v>
      </c>
      <c r="Z158" s="211">
        <f ca="1">IF($W158="DIRECT",$O158,DSTDEV('literature entries'!$D:$AI,IF($J158=1,"ACTIVE     CED, FARM GATE (MJ/kg)","CED, processor gate (MJ/kg)"),INDIRECT($W158)))</f>
        <v>3.4581080763456375</v>
      </c>
      <c r="AA158" s="211">
        <f t="shared" ca="1" si="20"/>
        <v>3.4581080763456375</v>
      </c>
      <c r="AB158" s="219" t="str">
        <f t="shared" ca="1" si="24"/>
        <v>berry</v>
      </c>
      <c r="AC158" s="212">
        <f ca="1">IF($AB158="DIRECT",Q158,DCOUNT('literature entries'!$D:$AI,IF($J158=1,"ACTIVE     GHGE, FARM GATE (kg CO2e/kg)","GHGE, processor gate (kg CO2e/kg)"),INDIRECT($AB158)))</f>
        <v>19</v>
      </c>
      <c r="AD158" s="212">
        <f ca="1">IF($AB158="DIRECT","",DAVERAGE('literature entries'!$D:$AI,IF($J158=1,"ACTIVE     GHGE, FARM GATE (kg CO2e/kg)","GHGE, processor gate (kg CO2e/kg)"),INDIRECT($AB158)))</f>
        <v>0.57597001083945576</v>
      </c>
      <c r="AE158" s="212">
        <f ca="1">IF($AB158="DIRECT",$S158,DSTDEV('literature entries'!$D:$AI,IF($J158=1,"ACTIVE     GHGE, FARM GATE (kg CO2e/kg)","GHGE, processor gate (kg CO2e/kg)"),INDIRECT($AB158)))</f>
        <v>0.40302432016659151</v>
      </c>
      <c r="AF158" s="212">
        <f t="shared" ca="1" si="21"/>
        <v>0.40302432016659151</v>
      </c>
    </row>
    <row r="159" spans="1:32" s="19" customFormat="1" thickBot="1" x14ac:dyDescent="0.25">
      <c r="A159" s="114">
        <v>1301320000</v>
      </c>
      <c r="B159" s="115" t="s">
        <v>2230</v>
      </c>
      <c r="C159" s="115" t="s">
        <v>1834</v>
      </c>
      <c r="D159" s="115" t="s">
        <v>2231</v>
      </c>
      <c r="E159" s="115">
        <v>11006</v>
      </c>
      <c r="F159" s="111">
        <f t="shared" ca="1" si="16"/>
        <v>5.3275088372093027</v>
      </c>
      <c r="G159" s="112">
        <f t="shared" ca="1" si="17"/>
        <v>0.23657739130434774</v>
      </c>
      <c r="H159" s="116">
        <v>1.04</v>
      </c>
      <c r="I159" s="116" t="s">
        <v>2724</v>
      </c>
      <c r="J159" s="79">
        <v>1</v>
      </c>
      <c r="K159" s="78"/>
      <c r="L159" s="135" t="str">
        <f>IF(ISERROR(GETPIVOTDATA(IF($J159=1,"Count of ACTIVE     CED, FARM GATE (MJ/kg)","Count of CED, processor gate (MJ/kg)"),'Pivot Table_CED'!$A$3,"SUB TYPE",$B159)),"PROXY",IF(GETPIVOTDATA(IF($J159=1,"Count of ACTIVE     CED, FARM GATE (MJ/kg)","Count of CED, processor gate (MJ/kg)"),'Pivot Table_CED'!$A$3,"SUB TYPE",$B159)=0,"PROXY","DB value"))</f>
        <v>DB value</v>
      </c>
      <c r="M159" s="118">
        <f ca="1">IF($L159="PROXY",DCOUNT('literature entries'!$D:$AI,IF($J159=1,"ACTIVE     CED, FARM GATE (MJ/kg)","CED, processor gate (MJ/kg)"),INDIRECT($K159)),GETPIVOTDATA(IF($J159=1,"Count of ACTIVE     CED, FARM GATE (MJ/kg)","Count of CED, processor gate (MJ/kg)"),'Pivot Table_CED'!$A$3,"SUB TYPE",$B159))</f>
        <v>2</v>
      </c>
      <c r="N159" s="119">
        <f ca="1">IF($L159="PROXY",DAVERAGE('literature entries'!$D:$AI,IF($J159=1,"ACTIVE     CED, FARM GATE (MJ/kg)","CED, processor gate (MJ/kg)"),INDIRECT($K159)),GETPIVOTDATA(IF($J159=1,"Average of ACTIVE     CED, FARM GATE (MJ/kg)","Average of CED, processor gate (MJ/kg)"),'Pivot Table_CED'!$A$3,"SUB TYPE",$B159))</f>
        <v>5.1226046511627912</v>
      </c>
      <c r="O159" s="119">
        <f ca="1">IF($L159="PROXY",DSTDEV('literature entries'!D:AI,IF($J159=1,"ACTIVE     CED, FARM GATE (MJ/kg)","CED, processor gate (MJ/kg)"),INDIRECT($K159)),GETPIVOTDATA(IF($J159=1,"StdDev of ACTIVE     CED, FARM GATE (MJ/kg)","StdDev of CED, processor gate (MJ/kg)"),'Pivot Table_CED'!$A$3,"SUB TYPE",$B159))</f>
        <v>1.8025631843382495</v>
      </c>
      <c r="P159" s="135" t="str">
        <f>IF(ISERROR(GETPIVOTDATA(IF($J159=1,"Count of ACTIVE     GHGE, FARM GATE (kg CO2e/kg)","Count of GHGE, processor gate (kg CO2e/kg)"),'Pivot Table_GHG'!$A$3,"SUB TYPE",$B159)),"PROXY",IF(GETPIVOTDATA(IF($J159=1,"Count of ACTIVE     GHGE, FARM GATE (kg CO2e/kg)","Count of GHGE, processor gate (kg CO2e/kg)"),'Pivot Table_GHG'!$A$3,"SUB TYPE",$B159)=0,"PROXY","DB value"))</f>
        <v>DB value</v>
      </c>
      <c r="Q159" s="125">
        <f ca="1">IF($P159="PROXY",DCOUNT('literature entries'!$D:$AI,IF($J159=1,"ACTIVE     GHGE, FARM GATE (kg CO2e/kg)","GHGE, processor gate (kg CO2e/kg)"),INDIRECT($K159)),GETPIVOTDATA(IF($J159=1,"ACTIVE     GHGE, FARM GATE (kg CO2e/kg)","Count of GHGE, processor gate (kg CO2e/kg)"),'Pivot Table_GHG'!$A$3,"SUB TYPE",$B159))</f>
        <v>2</v>
      </c>
      <c r="R159" s="190">
        <f ca="1">IF($P159="PROXY",DAVERAGE('literature entries'!$D:$AI,IF($J159=1,"ACTIVE     GHGE, FARM GATE (kg CO2e/kg)","GHGE, processor gate (kg CO2e/kg)"),INDIRECT($K159)),GETPIVOTDATA(IF($J159=1,"Average of ACTIVE     GHGE, FARM GATE (kg CO2e/kg)","Average of GHGE, processor gate (kg CO2e/kg)"),'Pivot Table_GHG'!$A$3,"SUB TYPE",$B159))</f>
        <v>0.22747826086956513</v>
      </c>
      <c r="S159" s="190">
        <f ca="1">IF($P159="PROXY",DSTDEV('literature entries'!$D:$AI,IF($J159=1,"ACTIVE     GHGE, FARM GATE (kg CO2e/kg)","GHGE, processor gate (kg CO2e/kg)"),INDIRECT($K159)),GETPIVOTDATA(IF($J159=1,"StdDev of ACTIVE     GHGE, FARM GATE (kg CO2e/kg)","StdDev of GHGE, processor gate (kg CO2e/kg)"),'Pivot Table_GHG'!$A$3,"SUB TYPE",$B159))</f>
        <v>5.0173837691149539E-2</v>
      </c>
      <c r="T159" s="88"/>
      <c r="U159" s="89"/>
      <c r="W159" s="213" t="s">
        <v>2453</v>
      </c>
      <c r="X159" s="211">
        <f ca="1">IF($W159="DIRECT",M159,DCOUNT('literature entries'!$D:$AI,IF($J159=1,"ACTIVE     CED, FARM GATE (MJ/kg)","CED, processor gate (MJ/kg)"),INDIRECT($W159)))</f>
        <v>9</v>
      </c>
      <c r="Y159" s="211">
        <f ca="1">IF($W159="DIRECT","",DAVERAGE('literature entries'!$D:$AI,IF($J159=1,"ACTIVE     CED, FARM GATE (MJ/kg)","CED, processor gate (MJ/kg)"),INDIRECT($W159)))</f>
        <v>6.2256158484065454</v>
      </c>
      <c r="Z159" s="211">
        <f ca="1">IF($W159="DIRECT",$O159,DSTDEV('literature entries'!$D:$AI,IF($J159=1,"ACTIVE     CED, FARM GATE (MJ/kg)","CED, processor gate (MJ/kg)"),INDIRECT($W159)))</f>
        <v>3.4581080763456375</v>
      </c>
      <c r="AA159" s="211">
        <f t="shared" ca="1" si="20"/>
        <v>2.845424604964315</v>
      </c>
      <c r="AB159" s="219" t="s">
        <v>2453</v>
      </c>
      <c r="AC159" s="212">
        <f ca="1">IF($AB159="DIRECT",Q159,DCOUNT('literature entries'!$D:$AI,IF($J159=1,"ACTIVE     GHGE, FARM GATE (kg CO2e/kg)","GHGE, processor gate (kg CO2e/kg)"),INDIRECT($AB159)))</f>
        <v>19</v>
      </c>
      <c r="AD159" s="212">
        <f ca="1">IF($AB159="DIRECT","",DAVERAGE('literature entries'!$D:$AI,IF($J159=1,"ACTIVE     GHGE, FARM GATE (kg CO2e/kg)","GHGE, processor gate (kg CO2e/kg)"),INDIRECT($AB159)))</f>
        <v>0.57597001083945576</v>
      </c>
      <c r="AE159" s="212">
        <f ca="1">IF($AB159="DIRECT",$S159,DSTDEV('literature entries'!$D:$AI,IF($J159=1,"ACTIVE     GHGE, FARM GATE (kg CO2e/kg)","GHGE, processor gate (kg CO2e/kg)"),INDIRECT($AB159)))</f>
        <v>0.40302432016659151</v>
      </c>
      <c r="AF159" s="212">
        <f t="shared" ca="1" si="21"/>
        <v>0.15917368910581953</v>
      </c>
    </row>
    <row r="160" spans="1:32" s="19" customFormat="1" ht="17" thickBot="1" x14ac:dyDescent="0.25">
      <c r="A160" s="114">
        <v>1301321000</v>
      </c>
      <c r="B160" s="115" t="s">
        <v>2232</v>
      </c>
      <c r="C160" s="115" t="s">
        <v>1742</v>
      </c>
      <c r="D160" s="115" t="s">
        <v>2231</v>
      </c>
      <c r="E160" s="115">
        <v>6120</v>
      </c>
      <c r="F160" s="111">
        <f t="shared" ca="1" si="16"/>
        <v>11.507615848406545</v>
      </c>
      <c r="G160" s="112">
        <f t="shared" ca="1" si="17"/>
        <v>1.5550491369194557</v>
      </c>
      <c r="H160" s="116">
        <v>1</v>
      </c>
      <c r="I160" s="117" t="s">
        <v>594</v>
      </c>
      <c r="J160" s="79">
        <v>1</v>
      </c>
      <c r="K160" s="78" t="s">
        <v>2453</v>
      </c>
      <c r="L160" s="135" t="str">
        <f>IF(ISERROR(GETPIVOTDATA(IF($J160=1,"Count of ACTIVE     CED, FARM GATE (MJ/kg)","Count of CED, processor gate (MJ/kg)"),'Pivot Table_CED'!$A$3,"SUB TYPE",$B160)),"PROXY",IF(GETPIVOTDATA(IF($J160=1,"Count of ACTIVE     CED, FARM GATE (MJ/kg)","Count of CED, processor gate (MJ/kg)"),'Pivot Table_CED'!$A$3,"SUB TYPE",$B160)=0,"PROXY","DB value"))</f>
        <v>PROXY</v>
      </c>
      <c r="M160" s="118">
        <f ca="1">IF($L160="PROXY",DCOUNT('literature entries'!$D:$AI,IF($J160=1,"ACTIVE     CED, FARM GATE (MJ/kg)","CED, processor gate (MJ/kg)"),INDIRECT($K160)),GETPIVOTDATA(IF($J160=1,"Count of ACTIVE     CED, FARM GATE (MJ/kg)","Count of CED, processor gate (MJ/kg)"),'Pivot Table_CED'!$A$3,"SUB TYPE",$B160))</f>
        <v>9</v>
      </c>
      <c r="N160" s="119">
        <f ca="1">IF($L160="PROXY",DAVERAGE('literature entries'!$D:$AI,IF($J160=1,"ACTIVE     CED, FARM GATE (MJ/kg)","CED, processor gate (MJ/kg)"),INDIRECT($K160)),GETPIVOTDATA(IF($J160=1,"Average of ACTIVE     CED, FARM GATE (MJ/kg)","Average of CED, processor gate (MJ/kg)"),'Pivot Table_CED'!$A$3,"SUB TYPE",$B160))</f>
        <v>6.2256158484065454</v>
      </c>
      <c r="O160" s="119">
        <f ca="1">IF($L160="PROXY",DSTDEV('literature entries'!D:AI,IF($J160=1,"ACTIVE     CED, FARM GATE (MJ/kg)","CED, processor gate (MJ/kg)"),INDIRECT($K160)),GETPIVOTDATA(IF($J160=1,"StdDev of ACTIVE     CED, FARM GATE (MJ/kg)","StdDev of CED, processor gate (MJ/kg)"),'Pivot Table_CED'!$A$3,"SUB TYPE",$B160))</f>
        <v>3.4581080763456375</v>
      </c>
      <c r="P160" s="135" t="str">
        <f>IF(ISERROR(GETPIVOTDATA(IF($J160=1,"Count of ACTIVE     GHGE, FARM GATE (kg CO2e/kg)","Count of GHGE, processor gate (kg CO2e/kg)"),'Pivot Table_GHG'!$A$3,"SUB TYPE",$B160)),"PROXY",IF(GETPIVOTDATA(IF($J160=1,"Count of ACTIVE     GHGE, FARM GATE (kg CO2e/kg)","Count of GHGE, processor gate (kg CO2e/kg)"),'Pivot Table_GHG'!$A$3,"SUB TYPE",$B160)=0,"PROXY","DB value"))</f>
        <v>PROXY</v>
      </c>
      <c r="Q160" s="125">
        <f ca="1">IF($P160="PROXY",DCOUNT('literature entries'!$D:$AI,IF($J160=1,"ACTIVE     GHGE, FARM GATE (kg CO2e/kg)","GHGE, processor gate (kg CO2e/kg)"),INDIRECT($K160)),GETPIVOTDATA(IF($J160=1,"ACTIVE     GHGE, FARM GATE (kg CO2e/kg)","Count of GHGE, processor gate (kg CO2e/kg)"),'Pivot Table_GHG'!$A$3,"SUB TYPE",$B160))</f>
        <v>19</v>
      </c>
      <c r="R160" s="190">
        <f ca="1">IF($P160="PROXY",DAVERAGE('literature entries'!$D:$AI,IF($J160=1,"ACTIVE     GHGE, FARM GATE (kg CO2e/kg)","GHGE, processor gate (kg CO2e/kg)"),INDIRECT($K160)),GETPIVOTDATA(IF($J160=1,"Average of ACTIVE     GHGE, FARM GATE (kg CO2e/kg)","Average of GHGE, processor gate (kg CO2e/kg)"),'Pivot Table_GHG'!$A$3,"SUB TYPE",$B160))</f>
        <v>0.57597001083945576</v>
      </c>
      <c r="S160" s="190">
        <f ca="1">IF($P160="PROXY",DSTDEV('literature entries'!$D:$AI,IF($J160=1,"ACTIVE     GHGE, FARM GATE (kg CO2e/kg)","GHGE, processor gate (kg CO2e/kg)"),INDIRECT($K160)),GETPIVOTDATA(IF($J160=1,"StdDev of ACTIVE     GHGE, FARM GATE (kg CO2e/kg)","StdDev of GHGE, processor gate (kg CO2e/kg)"),'Pivot Table_GHG'!$A$3,"SUB TYPE",$B160))</f>
        <v>0.40302432016659151</v>
      </c>
      <c r="T160" s="86">
        <v>5.282</v>
      </c>
      <c r="U160" s="87">
        <v>0.97907912607999992</v>
      </c>
      <c r="W160" s="213" t="str">
        <f ca="1">IF(L160="PROXY",IF(M160&gt;=5,K160,"need group"),IF(M160&gt;=5,"DIRECT","need group"))</f>
        <v>berry</v>
      </c>
      <c r="X160" s="211">
        <f ca="1">IF($W160="DIRECT",M160,DCOUNT('literature entries'!$D:$AI,IF($J160=1,"ACTIVE     CED, FARM GATE (MJ/kg)","CED, processor gate (MJ/kg)"),INDIRECT($W160)))</f>
        <v>9</v>
      </c>
      <c r="Y160" s="211">
        <f ca="1">IF($W160="DIRECT","",DAVERAGE('literature entries'!$D:$AI,IF($J160=1,"ACTIVE     CED, FARM GATE (MJ/kg)","CED, processor gate (MJ/kg)"),INDIRECT($W160)))</f>
        <v>6.2256158484065454</v>
      </c>
      <c r="Z160" s="211">
        <f ca="1">IF($W160="DIRECT",$O160,DSTDEV('literature entries'!$D:$AI,IF($J160=1,"ACTIVE     CED, FARM GATE (MJ/kg)","CED, processor gate (MJ/kg)"),INDIRECT($W160)))</f>
        <v>3.4581080763456375</v>
      </c>
      <c r="AA160" s="211">
        <f t="shared" ca="1" si="20"/>
        <v>3.4581080763456375</v>
      </c>
      <c r="AB160" s="219" t="str">
        <f ca="1">IF(P160="PROXY",IF(Q160&gt;=5,K160,"need group"),IF(Q160&gt;=5,"DIRECT","need group"))</f>
        <v>berry</v>
      </c>
      <c r="AC160" s="212">
        <f ca="1">IF($AB160="DIRECT",Q160,DCOUNT('literature entries'!$D:$AI,IF($J160=1,"ACTIVE     GHGE, FARM GATE (kg CO2e/kg)","GHGE, processor gate (kg CO2e/kg)"),INDIRECT($AB160)))</f>
        <v>19</v>
      </c>
      <c r="AD160" s="212">
        <f ca="1">IF($AB160="DIRECT","",DAVERAGE('literature entries'!$D:$AI,IF($J160=1,"ACTIVE     GHGE, FARM GATE (kg CO2e/kg)","GHGE, processor gate (kg CO2e/kg)"),INDIRECT($AB160)))</f>
        <v>0.57597001083945576</v>
      </c>
      <c r="AE160" s="212">
        <f ca="1">IF($AB160="DIRECT",$S160,DSTDEV('literature entries'!$D:$AI,IF($J160=1,"ACTIVE     GHGE, FARM GATE (kg CO2e/kg)","GHGE, processor gate (kg CO2e/kg)"),INDIRECT($AB160)))</f>
        <v>0.40302432016659151</v>
      </c>
      <c r="AF160" s="212">
        <f t="shared" ca="1" si="21"/>
        <v>0.40302432016659151</v>
      </c>
    </row>
    <row r="161" spans="1:32" s="19" customFormat="1" thickBot="1" x14ac:dyDescent="0.25">
      <c r="A161" s="114">
        <v>1302057000</v>
      </c>
      <c r="B161" s="115" t="s">
        <v>1837</v>
      </c>
      <c r="C161" s="115" t="s">
        <v>1834</v>
      </c>
      <c r="D161" s="115" t="s">
        <v>1838</v>
      </c>
      <c r="E161" s="115">
        <v>16469</v>
      </c>
      <c r="F161" s="111">
        <f t="shared" ca="1" si="16"/>
        <v>3.5098000000000007</v>
      </c>
      <c r="G161" s="112">
        <f t="shared" ca="1" si="17"/>
        <v>0.49598684210526323</v>
      </c>
      <c r="H161" s="116">
        <v>1.05</v>
      </c>
      <c r="I161" s="116" t="s">
        <v>2724</v>
      </c>
      <c r="J161" s="79">
        <v>1</v>
      </c>
      <c r="K161" s="78"/>
      <c r="L161" s="135" t="str">
        <f>IF(ISERROR(GETPIVOTDATA(IF($J161=1,"Count of ACTIVE     CED, FARM GATE (MJ/kg)","Count of CED, processor gate (MJ/kg)"),'Pivot Table_CED'!$A$3,"SUB TYPE",$B161)),"PROXY",IF(GETPIVOTDATA(IF($J161=1,"Count of ACTIVE     CED, FARM GATE (MJ/kg)","Count of CED, processor gate (MJ/kg)"),'Pivot Table_CED'!$A$3,"SUB TYPE",$B161)=0,"PROXY","DB value"))</f>
        <v>DB value</v>
      </c>
      <c r="M161" s="118">
        <f ca="1">IF($L161="PROXY",DCOUNT('literature entries'!$D:$AI,IF($J161=1,"ACTIVE     CED, FARM GATE (MJ/kg)","CED, processor gate (MJ/kg)"),INDIRECT($K161)),GETPIVOTDATA(IF($J161=1,"Count of ACTIVE     CED, FARM GATE (MJ/kg)","Count of CED, processor gate (MJ/kg)"),'Pivot Table_CED'!$A$3,"SUB TYPE",$B161))</f>
        <v>2</v>
      </c>
      <c r="N161" s="119">
        <f ca="1">IF($L161="PROXY",DAVERAGE('literature entries'!$D:$AI,IF($J161=1,"ACTIVE     CED, FARM GATE (MJ/kg)","CED, processor gate (MJ/kg)"),INDIRECT($K161)),GETPIVOTDATA(IF($J161=1,"Average of ACTIVE     CED, FARM GATE (MJ/kg)","Average of CED, processor gate (MJ/kg)"),'Pivot Table_CED'!$A$3,"SUB TYPE",$B161))</f>
        <v>3.3426666666666671</v>
      </c>
      <c r="O161" s="119">
        <f ca="1">IF($L161="PROXY",DSTDEV('literature entries'!D:AI,IF($J161=1,"ACTIVE     CED, FARM GATE (MJ/kg)","CED, processor gate (MJ/kg)"),INDIRECT($K161)),GETPIVOTDATA(IF($J161=1,"StdDev of ACTIVE     CED, FARM GATE (MJ/kg)","StdDev of CED, processor gate (MJ/kg)"),'Pivot Table_CED'!$A$3,"SUB TYPE",$B161))</f>
        <v>0.15650630090263803</v>
      </c>
      <c r="P161" s="135" t="str">
        <f>IF(ISERROR(GETPIVOTDATA(IF($J161=1,"Count of ACTIVE     GHGE, FARM GATE (kg CO2e/kg)","Count of GHGE, processor gate (kg CO2e/kg)"),'Pivot Table_GHG'!$A$3,"SUB TYPE",$B161)),"PROXY",IF(GETPIVOTDATA(IF($J161=1,"Count of ACTIVE     GHGE, FARM GATE (kg CO2e/kg)","Count of GHGE, processor gate (kg CO2e/kg)"),'Pivot Table_GHG'!$A$3,"SUB TYPE",$B161)=0,"PROXY","DB value"))</f>
        <v>DB value</v>
      </c>
      <c r="Q161" s="125">
        <f ca="1">IF($P161="PROXY",DCOUNT('literature entries'!$D:$AI,IF($J161=1,"ACTIVE     GHGE, FARM GATE (kg CO2e/kg)","GHGE, processor gate (kg CO2e/kg)"),INDIRECT($K161)),GETPIVOTDATA(IF($J161=1,"ACTIVE     GHGE, FARM GATE (kg CO2e/kg)","Count of GHGE, processor gate (kg CO2e/kg)"),'Pivot Table_GHG'!$A$3,"SUB TYPE",$B161))</f>
        <v>4</v>
      </c>
      <c r="R161" s="190">
        <f ca="1">IF($P161="PROXY",DAVERAGE('literature entries'!$D:$AI,IF($J161=1,"ACTIVE     GHGE, FARM GATE (kg CO2e/kg)","GHGE, processor gate (kg CO2e/kg)"),INDIRECT($K161)),GETPIVOTDATA(IF($J161=1,"Average of ACTIVE     GHGE, FARM GATE (kg CO2e/kg)","Average of GHGE, processor gate (kg CO2e/kg)"),'Pivot Table_GHG'!$A$3,"SUB TYPE",$B161))</f>
        <v>0.4723684210526316</v>
      </c>
      <c r="S161" s="190">
        <f ca="1">IF($P161="PROXY",DSTDEV('literature entries'!$D:$AI,IF($J161=1,"ACTIVE     GHGE, FARM GATE (kg CO2e/kg)","GHGE, processor gate (kg CO2e/kg)"),INDIRECT($K161)),GETPIVOTDATA(IF($J161=1,"StdDev of ACTIVE     GHGE, FARM GATE (kg CO2e/kg)","StdDev of GHGE, processor gate (kg CO2e/kg)"),'Pivot Table_GHG'!$A$3,"SUB TYPE",$B161))</f>
        <v>0.35326459809839617</v>
      </c>
      <c r="T161" s="88"/>
      <c r="U161" s="89"/>
      <c r="W161" s="213" t="s">
        <v>2453</v>
      </c>
      <c r="X161" s="211">
        <f ca="1">IF($W161="DIRECT",M161,DCOUNT('literature entries'!$D:$AI,IF($J161=1,"ACTIVE     CED, FARM GATE (MJ/kg)","CED, processor gate (MJ/kg)"),INDIRECT($W161)))</f>
        <v>9</v>
      </c>
      <c r="Y161" s="211">
        <f ca="1">IF($W161="DIRECT","",DAVERAGE('literature entries'!$D:$AI,IF($J161=1,"ACTIVE     CED, FARM GATE (MJ/kg)","CED, processor gate (MJ/kg)"),INDIRECT($W161)))</f>
        <v>6.2256158484065454</v>
      </c>
      <c r="Z161" s="211">
        <f ca="1">IF($W161="DIRECT",$O161,DSTDEV('literature entries'!$D:$AI,IF($J161=1,"ACTIVE     CED, FARM GATE (MJ/kg)","CED, processor gate (MJ/kg)"),INDIRECT($W161)))</f>
        <v>3.4581080763456375</v>
      </c>
      <c r="AA161" s="211">
        <f t="shared" ca="1" si="20"/>
        <v>1.8567323904975555</v>
      </c>
      <c r="AB161" s="219" t="s">
        <v>2453</v>
      </c>
      <c r="AC161" s="212">
        <f ca="1">IF($AB161="DIRECT",Q161,DCOUNT('literature entries'!$D:$AI,IF($J161=1,"ACTIVE     GHGE, FARM GATE (kg CO2e/kg)","GHGE, processor gate (kg CO2e/kg)"),INDIRECT($AB161)))</f>
        <v>19</v>
      </c>
      <c r="AD161" s="212">
        <f ca="1">IF($AB161="DIRECT","",DAVERAGE('literature entries'!$D:$AI,IF($J161=1,"ACTIVE     GHGE, FARM GATE (kg CO2e/kg)","GHGE, processor gate (kg CO2e/kg)"),INDIRECT($AB161)))</f>
        <v>0.57597001083945576</v>
      </c>
      <c r="AE161" s="212">
        <f ca="1">IF($AB161="DIRECT",$S161,DSTDEV('literature entries'!$D:$AI,IF($J161=1,"ACTIVE     GHGE, FARM GATE (kg CO2e/kg)","GHGE, processor gate (kg CO2e/kg)"),INDIRECT($AB161)))</f>
        <v>0.40302432016659151</v>
      </c>
      <c r="AF161" s="212">
        <f t="shared" ca="1" si="21"/>
        <v>0.33053103144282964</v>
      </c>
    </row>
    <row r="162" spans="1:32" s="19" customFormat="1" thickBot="1" x14ac:dyDescent="0.25">
      <c r="A162" s="114">
        <v>1302137000</v>
      </c>
      <c r="B162" s="115" t="s">
        <v>1954</v>
      </c>
      <c r="C162" s="115" t="s">
        <v>1950</v>
      </c>
      <c r="D162" s="115" t="s">
        <v>1955</v>
      </c>
      <c r="E162" s="115">
        <v>17</v>
      </c>
      <c r="F162" s="111">
        <f t="shared" ca="1" si="16"/>
        <v>28.264295951765718</v>
      </c>
      <c r="G162" s="112">
        <f t="shared" ca="1" si="17"/>
        <v>0.6835</v>
      </c>
      <c r="H162" s="116">
        <v>1</v>
      </c>
      <c r="I162" s="116" t="s">
        <v>628</v>
      </c>
      <c r="J162" s="79">
        <v>1</v>
      </c>
      <c r="K162" s="78" t="s">
        <v>3278</v>
      </c>
      <c r="L162" s="135" t="str">
        <f>IF(ISERROR(GETPIVOTDATA(IF($J162=1,"Count of ACTIVE     CED, FARM GATE (MJ/kg)","Count of CED, processor gate (MJ/kg)"),'Pivot Table_CED'!$A$3,"SUB TYPE",$B162)),"PROXY",IF(GETPIVOTDATA(IF($J162=1,"Count of ACTIVE     CED, FARM GATE (MJ/kg)","Count of CED, processor gate (MJ/kg)"),'Pivot Table_CED'!$A$3,"SUB TYPE",$B162)=0,"PROXY","DB value"))</f>
        <v>PROXY</v>
      </c>
      <c r="M162" s="118">
        <f ca="1">IF($L162="PROXY",DCOUNT('literature entries'!$D:$AI,IF($J162=1,"ACTIVE     CED, FARM GATE (MJ/kg)","CED, processor gate (MJ/kg)"),INDIRECT($K162)),GETPIVOTDATA(IF($J162=1,"Count of ACTIVE     CED, FARM GATE (MJ/kg)","Count of CED, processor gate (MJ/kg)"),'Pivot Table_CED'!$A$3,"SUB TYPE",$B162))</f>
        <v>1</v>
      </c>
      <c r="N162" s="119">
        <f ca="1">IF($L162="PROXY",DAVERAGE('literature entries'!$D:$AI,IF($J162=1,"ACTIVE     CED, FARM GATE (MJ/kg)","CED, processor gate (MJ/kg)"),INDIRECT($K162)),GETPIVOTDATA(IF($J162=1,"Average of ACTIVE     CED, FARM GATE (MJ/kg)","Average of CED, processor gate (MJ/kg)"),'Pivot Table_CED'!$A$3,"SUB TYPE",$B162))</f>
        <v>28.264295951765718</v>
      </c>
      <c r="O162" s="119" t="e">
        <f ca="1">IF($L162="PROXY",DSTDEV('literature entries'!D:AI,IF($J162=1,"ACTIVE     CED, FARM GATE (MJ/kg)","CED, processor gate (MJ/kg)"),INDIRECT($K162)),GETPIVOTDATA(IF($J162=1,"StdDev of ACTIVE     CED, FARM GATE (MJ/kg)","StdDev of CED, processor gate (MJ/kg)"),'Pivot Table_CED'!$A$3,"SUB TYPE",$B162))</f>
        <v>#DIV/0!</v>
      </c>
      <c r="P162" s="135" t="str">
        <f>IF(ISERROR(GETPIVOTDATA(IF($J162=1,"Count of ACTIVE     GHGE, FARM GATE (kg CO2e/kg)","Count of GHGE, processor gate (kg CO2e/kg)"),'Pivot Table_GHG'!$A$3,"SUB TYPE",$B162)),"PROXY",IF(GETPIVOTDATA(IF($J162=1,"Count of ACTIVE     GHGE, FARM GATE (kg CO2e/kg)","Count of GHGE, processor gate (kg CO2e/kg)"),'Pivot Table_GHG'!$A$3,"SUB TYPE",$B162)=0,"PROXY","DB value"))</f>
        <v>PROXY</v>
      </c>
      <c r="Q162" s="125">
        <f ca="1">IF($P162="PROXY",DCOUNT('literature entries'!$D:$AI,IF($J162=1,"ACTIVE     GHGE, FARM GATE (kg CO2e/kg)","GHGE, processor gate (kg CO2e/kg)"),INDIRECT($K162)),GETPIVOTDATA(IF($J162=1,"ACTIVE     GHGE, FARM GATE (kg CO2e/kg)","Count of GHGE, processor gate (kg CO2e/kg)"),'Pivot Table_GHG'!$A$3,"SUB TYPE",$B162))</f>
        <v>2</v>
      </c>
      <c r="R162" s="190">
        <f ca="1">IF($P162="PROXY",DAVERAGE('literature entries'!$D:$AI,IF($J162=1,"ACTIVE     GHGE, FARM GATE (kg CO2e/kg)","GHGE, processor gate (kg CO2e/kg)"),INDIRECT($K162)),GETPIVOTDATA(IF($J162=1,"Average of ACTIVE     GHGE, FARM GATE (kg CO2e/kg)","Average of GHGE, processor gate (kg CO2e/kg)"),'Pivot Table_GHG'!$A$3,"SUB TYPE",$B162))</f>
        <v>0.6835</v>
      </c>
      <c r="S162" s="190">
        <f ca="1">IF($P162="PROXY",DSTDEV('literature entries'!$D:$AI,IF($J162=1,"ACTIVE     GHGE, FARM GATE (kg CO2e/kg)","GHGE, processor gate (kg CO2e/kg)"),INDIRECT($K162)),GETPIVOTDATA(IF($J162=1,"StdDev of ACTIVE     GHGE, FARM GATE (kg CO2e/kg)","StdDev of GHGE, processor gate (kg CO2e/kg)"),'Pivot Table_GHG'!$A$3,"SUB TYPE",$B162))</f>
        <v>2.333452377915601E-2</v>
      </c>
      <c r="T162" s="88"/>
      <c r="U162" s="89"/>
      <c r="W162" s="213" t="s">
        <v>2453</v>
      </c>
      <c r="X162" s="211">
        <f ca="1">IF($W162="DIRECT",M162,DCOUNT('literature entries'!$D:$AI,IF($J162=1,"ACTIVE     CED, FARM GATE (MJ/kg)","CED, processor gate (MJ/kg)"),INDIRECT($W162)))</f>
        <v>9</v>
      </c>
      <c r="Y162" s="211">
        <f ca="1">IF($W162="DIRECT","",DAVERAGE('literature entries'!$D:$AI,IF($J162=1,"ACTIVE     CED, FARM GATE (MJ/kg)","CED, processor gate (MJ/kg)"),INDIRECT($W162)))</f>
        <v>6.2256158484065454</v>
      </c>
      <c r="Z162" s="211">
        <f ca="1">IF($W162="DIRECT",$O162,DSTDEV('literature entries'!$D:$AI,IF($J162=1,"ACTIVE     CED, FARM GATE (MJ/kg)","CED, processor gate (MJ/kg)"),INDIRECT($W162)))</f>
        <v>3.4581080763456375</v>
      </c>
      <c r="AA162" s="211">
        <f t="shared" ca="1" si="20"/>
        <v>15.699810666609194</v>
      </c>
      <c r="AB162" s="219" t="s">
        <v>2453</v>
      </c>
      <c r="AC162" s="212">
        <f ca="1">IF($AB162="DIRECT",Q162,DCOUNT('literature entries'!$D:$AI,IF($J162=1,"ACTIVE     GHGE, FARM GATE (kg CO2e/kg)","GHGE, processor gate (kg CO2e/kg)"),INDIRECT($AB162)))</f>
        <v>19</v>
      </c>
      <c r="AD162" s="212">
        <f ca="1">IF($AB162="DIRECT","",DAVERAGE('literature entries'!$D:$AI,IF($J162=1,"ACTIVE     GHGE, FARM GATE (kg CO2e/kg)","GHGE, processor gate (kg CO2e/kg)"),INDIRECT($AB162)))</f>
        <v>0.57597001083945576</v>
      </c>
      <c r="AE162" s="212">
        <f ca="1">IF($AB162="DIRECT",$S162,DSTDEV('literature entries'!$D:$AI,IF($J162=1,"ACTIVE     GHGE, FARM GATE (kg CO2e/kg)","GHGE, processor gate (kg CO2e/kg)"),INDIRECT($AB162)))</f>
        <v>0.40302432016659151</v>
      </c>
      <c r="AF162" s="212">
        <f t="shared" ca="1" si="21"/>
        <v>0.47826643340749941</v>
      </c>
    </row>
    <row r="163" spans="1:32" s="19" customFormat="1" ht="17" thickBot="1" x14ac:dyDescent="0.25">
      <c r="A163" s="114">
        <v>1302174000</v>
      </c>
      <c r="B163" s="115" t="s">
        <v>2010</v>
      </c>
      <c r="C163" s="115" t="s">
        <v>1834</v>
      </c>
      <c r="D163" s="115"/>
      <c r="E163" s="115">
        <v>15</v>
      </c>
      <c r="F163" s="111">
        <f t="shared" ca="1" si="16"/>
        <v>6.2256158484065454</v>
      </c>
      <c r="G163" s="112">
        <f t="shared" ca="1" si="17"/>
        <v>0.84</v>
      </c>
      <c r="H163" s="116">
        <v>1</v>
      </c>
      <c r="I163" s="117" t="s">
        <v>594</v>
      </c>
      <c r="J163" s="79">
        <v>1</v>
      </c>
      <c r="K163" s="78" t="s">
        <v>2453</v>
      </c>
      <c r="L163" s="135" t="str">
        <f>IF(ISERROR(GETPIVOTDATA(IF($J163=1,"Count of ACTIVE     CED, FARM GATE (MJ/kg)","Count of CED, processor gate (MJ/kg)"),'Pivot Table_CED'!$A$3,"SUB TYPE",$B163)),"PROXY",IF(GETPIVOTDATA(IF($J163=1,"Count of ACTIVE     CED, FARM GATE (MJ/kg)","Count of CED, processor gate (MJ/kg)"),'Pivot Table_CED'!$A$3,"SUB TYPE",$B163)=0,"PROXY","DB value"))</f>
        <v>PROXY</v>
      </c>
      <c r="M163" s="118">
        <f ca="1">IF($L163="PROXY",DCOUNT('literature entries'!$D:$AI,IF($J163=1,"ACTIVE     CED, FARM GATE (MJ/kg)","CED, processor gate (MJ/kg)"),INDIRECT($K163)),GETPIVOTDATA(IF($J163=1,"Count of ACTIVE     CED, FARM GATE (MJ/kg)","Count of CED, processor gate (MJ/kg)"),'Pivot Table_CED'!$A$3,"SUB TYPE",$B163))</f>
        <v>9</v>
      </c>
      <c r="N163" s="119">
        <f ca="1">IF($L163="PROXY",DAVERAGE('literature entries'!$D:$AI,IF($J163=1,"ACTIVE     CED, FARM GATE (MJ/kg)","CED, processor gate (MJ/kg)"),INDIRECT($K163)),GETPIVOTDATA(IF($J163=1,"Average of ACTIVE     CED, FARM GATE (MJ/kg)","Average of CED, processor gate (MJ/kg)"),'Pivot Table_CED'!$A$3,"SUB TYPE",$B163))</f>
        <v>6.2256158484065454</v>
      </c>
      <c r="O163" s="119">
        <f ca="1">IF($L163="PROXY",DSTDEV('literature entries'!D:AI,IF($J163=1,"ACTIVE     CED, FARM GATE (MJ/kg)","CED, processor gate (MJ/kg)"),INDIRECT($K163)),GETPIVOTDATA(IF($J163=1,"StdDev of ACTIVE     CED, FARM GATE (MJ/kg)","StdDev of CED, processor gate (MJ/kg)"),'Pivot Table_CED'!$A$3,"SUB TYPE",$B163))</f>
        <v>3.4581080763456375</v>
      </c>
      <c r="P163" s="135" t="str">
        <f>IF(ISERROR(GETPIVOTDATA(IF($J163=1,"Count of ACTIVE     GHGE, FARM GATE (kg CO2e/kg)","Count of GHGE, processor gate (kg CO2e/kg)"),'Pivot Table_GHG'!$A$3,"SUB TYPE",$B163)),"PROXY",IF(GETPIVOTDATA(IF($J163=1,"Count of ACTIVE     GHGE, FARM GATE (kg CO2e/kg)","Count of GHGE, processor gate (kg CO2e/kg)"),'Pivot Table_GHG'!$A$3,"SUB TYPE",$B163)=0,"PROXY","DB value"))</f>
        <v>DB value</v>
      </c>
      <c r="Q163" s="125">
        <f ca="1">IF($P163="PROXY",DCOUNT('literature entries'!$D:$AI,IF($J163=1,"ACTIVE     GHGE, FARM GATE (kg CO2e/kg)","GHGE, processor gate (kg CO2e/kg)"),INDIRECT($K163)),GETPIVOTDATA(IF($J163=1,"ACTIVE     GHGE, FARM GATE (kg CO2e/kg)","Count of GHGE, processor gate (kg CO2e/kg)"),'Pivot Table_GHG'!$A$3,"SUB TYPE",$B163))</f>
        <v>1</v>
      </c>
      <c r="R163" s="190">
        <f ca="1">IF($P163="PROXY",DAVERAGE('literature entries'!$D:$AI,IF($J163=1,"ACTIVE     GHGE, FARM GATE (kg CO2e/kg)","GHGE, processor gate (kg CO2e/kg)"),INDIRECT($K163)),GETPIVOTDATA(IF($J163=1,"Average of ACTIVE     GHGE, FARM GATE (kg CO2e/kg)","Average of GHGE, processor gate (kg CO2e/kg)"),'Pivot Table_GHG'!$A$3,"SUB TYPE",$B163))</f>
        <v>0.84</v>
      </c>
      <c r="S163" s="190" t="e">
        <f ca="1">IF($P163="PROXY",DSTDEV('literature entries'!$D:$AI,IF($J163=1,"ACTIVE     GHGE, FARM GATE (kg CO2e/kg)","GHGE, processor gate (kg CO2e/kg)"),INDIRECT($K163)),GETPIVOTDATA(IF($J163=1,"StdDev of ACTIVE     GHGE, FARM GATE (kg CO2e/kg)","StdDev of GHGE, processor gate (kg CO2e/kg)"),'Pivot Table_GHG'!$A$3,"SUB TYPE",$B163))</f>
        <v>#DIV/0!</v>
      </c>
      <c r="T163" s="88"/>
      <c r="U163" s="89"/>
      <c r="W163" s="213" t="str">
        <f ca="1">IF(L163="PROXY",IF(M163&gt;=5,K163,"need group"),IF(M163&gt;=5,"DIRECT","need group"))</f>
        <v>berry</v>
      </c>
      <c r="X163" s="211">
        <f ca="1">IF($W163="DIRECT",M163,DCOUNT('literature entries'!$D:$AI,IF($J163=1,"ACTIVE     CED, FARM GATE (MJ/kg)","CED, processor gate (MJ/kg)"),INDIRECT($W163)))</f>
        <v>9</v>
      </c>
      <c r="Y163" s="211">
        <f ca="1">IF($W163="DIRECT","",DAVERAGE('literature entries'!$D:$AI,IF($J163=1,"ACTIVE     CED, FARM GATE (MJ/kg)","CED, processor gate (MJ/kg)"),INDIRECT($W163)))</f>
        <v>6.2256158484065454</v>
      </c>
      <c r="Z163" s="211">
        <f ca="1">IF($W163="DIRECT",$O163,DSTDEV('literature entries'!$D:$AI,IF($J163=1,"ACTIVE     CED, FARM GATE (MJ/kg)","CED, processor gate (MJ/kg)"),INDIRECT($W163)))</f>
        <v>3.4581080763456375</v>
      </c>
      <c r="AA163" s="211">
        <f t="shared" ca="1" si="20"/>
        <v>3.4581080763456375</v>
      </c>
      <c r="AB163" s="219" t="s">
        <v>2453</v>
      </c>
      <c r="AC163" s="212">
        <f ca="1">IF($AB163="DIRECT",Q163,DCOUNT('literature entries'!$D:$AI,IF($J163=1,"ACTIVE     GHGE, FARM GATE (kg CO2e/kg)","GHGE, processor gate (kg CO2e/kg)"),INDIRECT($AB163)))</f>
        <v>19</v>
      </c>
      <c r="AD163" s="212">
        <f ca="1">IF($AB163="DIRECT","",DAVERAGE('literature entries'!$D:$AI,IF($J163=1,"ACTIVE     GHGE, FARM GATE (kg CO2e/kg)","GHGE, processor gate (kg CO2e/kg)"),INDIRECT($AB163)))</f>
        <v>0.57597001083945576</v>
      </c>
      <c r="AE163" s="212">
        <f ca="1">IF($AB163="DIRECT",$S163,DSTDEV('literature entries'!$D:$AI,IF($J163=1,"ACTIVE     GHGE, FARM GATE (kg CO2e/kg)","GHGE, processor gate (kg CO2e/kg)"),INDIRECT($AB163)))</f>
        <v>0.40302432016659151</v>
      </c>
      <c r="AF163" s="212">
        <f t="shared" ca="1" si="21"/>
        <v>0.58777440243204027</v>
      </c>
    </row>
    <row r="164" spans="1:32" s="19" customFormat="1" thickBot="1" x14ac:dyDescent="0.25">
      <c r="A164" s="114">
        <v>1302191000</v>
      </c>
      <c r="B164" s="115" t="s">
        <v>2039</v>
      </c>
      <c r="C164" s="115" t="s">
        <v>1834</v>
      </c>
      <c r="D164" s="115"/>
      <c r="E164" s="115">
        <v>36</v>
      </c>
      <c r="F164" s="111">
        <f t="shared" ca="1" si="16"/>
        <v>6.5368966408268729</v>
      </c>
      <c r="G164" s="112">
        <f t="shared" ca="1" si="17"/>
        <v>0.60476851138142862</v>
      </c>
      <c r="H164" s="116">
        <v>1.05</v>
      </c>
      <c r="I164" s="116" t="s">
        <v>2724</v>
      </c>
      <c r="J164" s="79">
        <v>1</v>
      </c>
      <c r="K164" s="78" t="s">
        <v>2453</v>
      </c>
      <c r="L164" s="135" t="str">
        <f>IF(ISERROR(GETPIVOTDATA(IF($J164=1,"Count of ACTIVE     CED, FARM GATE (MJ/kg)","Count of CED, processor gate (MJ/kg)"),'Pivot Table_CED'!$A$3,"SUB TYPE",$B164)),"PROXY",IF(GETPIVOTDATA(IF($J164=1,"Count of ACTIVE     CED, FARM GATE (MJ/kg)","Count of CED, processor gate (MJ/kg)"),'Pivot Table_CED'!$A$3,"SUB TYPE",$B164)=0,"PROXY","DB value"))</f>
        <v>PROXY</v>
      </c>
      <c r="M164" s="118">
        <f ca="1">IF($L164="PROXY",DCOUNT('literature entries'!$D:$AI,IF($J164=1,"ACTIVE     CED, FARM GATE (MJ/kg)","CED, processor gate (MJ/kg)"),INDIRECT($K164)),GETPIVOTDATA(IF($J164=1,"Count of ACTIVE     CED, FARM GATE (MJ/kg)","Count of CED, processor gate (MJ/kg)"),'Pivot Table_CED'!$A$3,"SUB TYPE",$B164))</f>
        <v>9</v>
      </c>
      <c r="N164" s="119">
        <f ca="1">IF($L164="PROXY",DAVERAGE('literature entries'!$D:$AI,IF($J164=1,"ACTIVE     CED, FARM GATE (MJ/kg)","CED, processor gate (MJ/kg)"),INDIRECT($K164)),GETPIVOTDATA(IF($J164=1,"Average of ACTIVE     CED, FARM GATE (MJ/kg)","Average of CED, processor gate (MJ/kg)"),'Pivot Table_CED'!$A$3,"SUB TYPE",$B164))</f>
        <v>6.2256158484065454</v>
      </c>
      <c r="O164" s="119">
        <f ca="1">IF($L164="PROXY",DSTDEV('literature entries'!D:AI,IF($J164=1,"ACTIVE     CED, FARM GATE (MJ/kg)","CED, processor gate (MJ/kg)"),INDIRECT($K164)),GETPIVOTDATA(IF($J164=1,"StdDev of ACTIVE     CED, FARM GATE (MJ/kg)","StdDev of CED, processor gate (MJ/kg)"),'Pivot Table_CED'!$A$3,"SUB TYPE",$B164))</f>
        <v>3.4581080763456375</v>
      </c>
      <c r="P164" s="135" t="str">
        <f>IF(ISERROR(GETPIVOTDATA(IF($J164=1,"Count of ACTIVE     GHGE, FARM GATE (kg CO2e/kg)","Count of GHGE, processor gate (kg CO2e/kg)"),'Pivot Table_GHG'!$A$3,"SUB TYPE",$B164)),"PROXY",IF(GETPIVOTDATA(IF($J164=1,"Count of ACTIVE     GHGE, FARM GATE (kg CO2e/kg)","Count of GHGE, processor gate (kg CO2e/kg)"),'Pivot Table_GHG'!$A$3,"SUB TYPE",$B164)=0,"PROXY","DB value"))</f>
        <v>PROXY</v>
      </c>
      <c r="Q164" s="125">
        <f ca="1">IF($P164="PROXY",DCOUNT('literature entries'!$D:$AI,IF($J164=1,"ACTIVE     GHGE, FARM GATE (kg CO2e/kg)","GHGE, processor gate (kg CO2e/kg)"),INDIRECT($K164)),GETPIVOTDATA(IF($J164=1,"ACTIVE     GHGE, FARM GATE (kg CO2e/kg)","Count of GHGE, processor gate (kg CO2e/kg)"),'Pivot Table_GHG'!$A$3,"SUB TYPE",$B164))</f>
        <v>19</v>
      </c>
      <c r="R164" s="190">
        <f ca="1">IF($P164="PROXY",DAVERAGE('literature entries'!$D:$AI,IF($J164=1,"ACTIVE     GHGE, FARM GATE (kg CO2e/kg)","GHGE, processor gate (kg CO2e/kg)"),INDIRECT($K164)),GETPIVOTDATA(IF($J164=1,"Average of ACTIVE     GHGE, FARM GATE (kg CO2e/kg)","Average of GHGE, processor gate (kg CO2e/kg)"),'Pivot Table_GHG'!$A$3,"SUB TYPE",$B164))</f>
        <v>0.57597001083945576</v>
      </c>
      <c r="S164" s="190">
        <f ca="1">IF($P164="PROXY",DSTDEV('literature entries'!$D:$AI,IF($J164=1,"ACTIVE     GHGE, FARM GATE (kg CO2e/kg)","GHGE, processor gate (kg CO2e/kg)"),INDIRECT($K164)),GETPIVOTDATA(IF($J164=1,"StdDev of ACTIVE     GHGE, FARM GATE (kg CO2e/kg)","StdDev of GHGE, processor gate (kg CO2e/kg)"),'Pivot Table_GHG'!$A$3,"SUB TYPE",$B164))</f>
        <v>0.40302432016659151</v>
      </c>
      <c r="T164" s="88"/>
      <c r="U164" s="89"/>
      <c r="W164" s="213" t="str">
        <f ca="1">IF(L164="PROXY",IF(M164&gt;=5,K164,"need group"),IF(M164&gt;=5,"DIRECT","need group"))</f>
        <v>berry</v>
      </c>
      <c r="X164" s="211">
        <f ca="1">IF($W164="DIRECT",M164,DCOUNT('literature entries'!$D:$AI,IF($J164=1,"ACTIVE     CED, FARM GATE (MJ/kg)","CED, processor gate (MJ/kg)"),INDIRECT($W164)))</f>
        <v>9</v>
      </c>
      <c r="Y164" s="211">
        <f ca="1">IF($W164="DIRECT","",DAVERAGE('literature entries'!$D:$AI,IF($J164=1,"ACTIVE     CED, FARM GATE (MJ/kg)","CED, processor gate (MJ/kg)"),INDIRECT($W164)))</f>
        <v>6.2256158484065454</v>
      </c>
      <c r="Z164" s="211">
        <f ca="1">IF($W164="DIRECT",$O164,DSTDEV('literature entries'!$D:$AI,IF($J164=1,"ACTIVE     CED, FARM GATE (MJ/kg)","CED, processor gate (MJ/kg)"),INDIRECT($W164)))</f>
        <v>3.4581080763456375</v>
      </c>
      <c r="AA164" s="211">
        <f t="shared" ca="1" si="20"/>
        <v>3.4581080763456375</v>
      </c>
      <c r="AB164" s="219" t="str">
        <f ca="1">IF(P164="PROXY",IF(Q164&gt;=5,K164,"need group"),IF(Q164&gt;=5,"DIRECT","need group"))</f>
        <v>berry</v>
      </c>
      <c r="AC164" s="212">
        <f ca="1">IF($AB164="DIRECT",Q164,DCOUNT('literature entries'!$D:$AI,IF($J164=1,"ACTIVE     GHGE, FARM GATE (kg CO2e/kg)","GHGE, processor gate (kg CO2e/kg)"),INDIRECT($AB164)))</f>
        <v>19</v>
      </c>
      <c r="AD164" s="212">
        <f ca="1">IF($AB164="DIRECT","",DAVERAGE('literature entries'!$D:$AI,IF($J164=1,"ACTIVE     GHGE, FARM GATE (kg CO2e/kg)","GHGE, processor gate (kg CO2e/kg)"),INDIRECT($AB164)))</f>
        <v>0.57597001083945576</v>
      </c>
      <c r="AE164" s="212">
        <f ca="1">IF($AB164="DIRECT",$S164,DSTDEV('literature entries'!$D:$AI,IF($J164=1,"ACTIVE     GHGE, FARM GATE (kg CO2e/kg)","GHGE, processor gate (kg CO2e/kg)"),INDIRECT($AB164)))</f>
        <v>0.40302432016659151</v>
      </c>
      <c r="AF164" s="212">
        <f t="shared" ca="1" si="21"/>
        <v>0.40302432016659151</v>
      </c>
    </row>
    <row r="165" spans="1:32" s="19" customFormat="1" thickBot="1" x14ac:dyDescent="0.25">
      <c r="A165" s="114">
        <v>1303227000</v>
      </c>
      <c r="B165" s="115" t="s">
        <v>2085</v>
      </c>
      <c r="C165" s="115" t="s">
        <v>1877</v>
      </c>
      <c r="D165" s="115" t="s">
        <v>2086</v>
      </c>
      <c r="E165" s="115">
        <v>1</v>
      </c>
      <c r="F165" s="111">
        <f t="shared" ca="1" si="16"/>
        <v>6.4746404823428074</v>
      </c>
      <c r="G165" s="112">
        <f t="shared" ca="1" si="17"/>
        <v>0.59900881127303396</v>
      </c>
      <c r="H165" s="116">
        <v>1.04</v>
      </c>
      <c r="I165" s="116" t="s">
        <v>2724</v>
      </c>
      <c r="J165" s="79">
        <v>1</v>
      </c>
      <c r="K165" s="78" t="s">
        <v>2453</v>
      </c>
      <c r="L165" s="135" t="str">
        <f>IF(ISERROR(GETPIVOTDATA(IF($J165=1,"Count of ACTIVE     CED, FARM GATE (MJ/kg)","Count of CED, processor gate (MJ/kg)"),'Pivot Table_CED'!$A$3,"SUB TYPE",$B165)),"PROXY",IF(GETPIVOTDATA(IF($J165=1,"Count of ACTIVE     CED, FARM GATE (MJ/kg)","Count of CED, processor gate (MJ/kg)"),'Pivot Table_CED'!$A$3,"SUB TYPE",$B165)=0,"PROXY","DB value"))</f>
        <v>PROXY</v>
      </c>
      <c r="M165" s="118">
        <f ca="1">IF($L165="PROXY",DCOUNT('literature entries'!$D:$AI,IF($J165=1,"ACTIVE     CED, FARM GATE (MJ/kg)","CED, processor gate (MJ/kg)"),INDIRECT($K165)),GETPIVOTDATA(IF($J165=1,"Count of ACTIVE     CED, FARM GATE (MJ/kg)","Count of CED, processor gate (MJ/kg)"),'Pivot Table_CED'!$A$3,"SUB TYPE",$B165))</f>
        <v>9</v>
      </c>
      <c r="N165" s="119">
        <f ca="1">IF($L165="PROXY",DAVERAGE('literature entries'!$D:$AI,IF($J165=1,"ACTIVE     CED, FARM GATE (MJ/kg)","CED, processor gate (MJ/kg)"),INDIRECT($K165)),GETPIVOTDATA(IF($J165=1,"Average of ACTIVE     CED, FARM GATE (MJ/kg)","Average of CED, processor gate (MJ/kg)"),'Pivot Table_CED'!$A$3,"SUB TYPE",$B165))</f>
        <v>6.2256158484065454</v>
      </c>
      <c r="O165" s="119">
        <f ca="1">IF($L165="PROXY",DSTDEV('literature entries'!D:AI,IF($J165=1,"ACTIVE     CED, FARM GATE (MJ/kg)","CED, processor gate (MJ/kg)"),INDIRECT($K165)),GETPIVOTDATA(IF($J165=1,"StdDev of ACTIVE     CED, FARM GATE (MJ/kg)","StdDev of CED, processor gate (MJ/kg)"),'Pivot Table_CED'!$A$3,"SUB TYPE",$B165))</f>
        <v>3.4581080763456375</v>
      </c>
      <c r="P165" s="135" t="str">
        <f>IF(ISERROR(GETPIVOTDATA(IF($J165=1,"Count of ACTIVE     GHGE, FARM GATE (kg CO2e/kg)","Count of GHGE, processor gate (kg CO2e/kg)"),'Pivot Table_GHG'!$A$3,"SUB TYPE",$B165)),"PROXY",IF(GETPIVOTDATA(IF($J165=1,"Count of ACTIVE     GHGE, FARM GATE (kg CO2e/kg)","Count of GHGE, processor gate (kg CO2e/kg)"),'Pivot Table_GHG'!$A$3,"SUB TYPE",$B165)=0,"PROXY","DB value"))</f>
        <v>PROXY</v>
      </c>
      <c r="Q165" s="125">
        <f ca="1">IF($P165="PROXY",DCOUNT('literature entries'!$D:$AI,IF($J165=1,"ACTIVE     GHGE, FARM GATE (kg CO2e/kg)","GHGE, processor gate (kg CO2e/kg)"),INDIRECT($K165)),GETPIVOTDATA(IF($J165=1,"ACTIVE     GHGE, FARM GATE (kg CO2e/kg)","Count of GHGE, processor gate (kg CO2e/kg)"),'Pivot Table_GHG'!$A$3,"SUB TYPE",$B165))</f>
        <v>19</v>
      </c>
      <c r="R165" s="190">
        <f ca="1">IF($P165="PROXY",DAVERAGE('literature entries'!$D:$AI,IF($J165=1,"ACTIVE     GHGE, FARM GATE (kg CO2e/kg)","GHGE, processor gate (kg CO2e/kg)"),INDIRECT($K165)),GETPIVOTDATA(IF($J165=1,"Average of ACTIVE     GHGE, FARM GATE (kg CO2e/kg)","Average of GHGE, processor gate (kg CO2e/kg)"),'Pivot Table_GHG'!$A$3,"SUB TYPE",$B165))</f>
        <v>0.57597001083945576</v>
      </c>
      <c r="S165" s="190">
        <f ca="1">IF($P165="PROXY",DSTDEV('literature entries'!$D:$AI,IF($J165=1,"ACTIVE     GHGE, FARM GATE (kg CO2e/kg)","GHGE, processor gate (kg CO2e/kg)"),INDIRECT($K165)),GETPIVOTDATA(IF($J165=1,"StdDev of ACTIVE     GHGE, FARM GATE (kg CO2e/kg)","StdDev of GHGE, processor gate (kg CO2e/kg)"),'Pivot Table_GHG'!$A$3,"SUB TYPE",$B165))</f>
        <v>0.40302432016659151</v>
      </c>
      <c r="T165" s="88"/>
      <c r="U165" s="89"/>
      <c r="W165" s="213" t="str">
        <f ca="1">IF(L165="PROXY",IF(M165&gt;=5,K165,"need group"),IF(M165&gt;=5,"DIRECT","need group"))</f>
        <v>berry</v>
      </c>
      <c r="X165" s="211">
        <f ca="1">IF($W165="DIRECT",M165,DCOUNT('literature entries'!$D:$AI,IF($J165=1,"ACTIVE     CED, FARM GATE (MJ/kg)","CED, processor gate (MJ/kg)"),INDIRECT($W165)))</f>
        <v>9</v>
      </c>
      <c r="Y165" s="211">
        <f ca="1">IF($W165="DIRECT","",DAVERAGE('literature entries'!$D:$AI,IF($J165=1,"ACTIVE     CED, FARM GATE (MJ/kg)","CED, processor gate (MJ/kg)"),INDIRECT($W165)))</f>
        <v>6.2256158484065454</v>
      </c>
      <c r="Z165" s="211">
        <f ca="1">IF($W165="DIRECT",$O165,DSTDEV('literature entries'!$D:$AI,IF($J165=1,"ACTIVE     CED, FARM GATE (MJ/kg)","CED, processor gate (MJ/kg)"),INDIRECT($W165)))</f>
        <v>3.4581080763456375</v>
      </c>
      <c r="AA165" s="211">
        <f t="shared" ca="1" si="20"/>
        <v>3.4581080763456375</v>
      </c>
      <c r="AB165" s="219" t="str">
        <f ca="1">IF(P165="PROXY",IF(Q165&gt;=5,K165,"need group"),IF(Q165&gt;=5,"DIRECT","need group"))</f>
        <v>berry</v>
      </c>
      <c r="AC165" s="212">
        <f ca="1">IF($AB165="DIRECT",Q165,DCOUNT('literature entries'!$D:$AI,IF($J165=1,"ACTIVE     GHGE, FARM GATE (kg CO2e/kg)","GHGE, processor gate (kg CO2e/kg)"),INDIRECT($AB165)))</f>
        <v>19</v>
      </c>
      <c r="AD165" s="212">
        <f ca="1">IF($AB165="DIRECT","",DAVERAGE('literature entries'!$D:$AI,IF($J165=1,"ACTIVE     GHGE, FARM GATE (kg CO2e/kg)","GHGE, processor gate (kg CO2e/kg)"),INDIRECT($AB165)))</f>
        <v>0.57597001083945576</v>
      </c>
      <c r="AE165" s="212">
        <f ca="1">IF($AB165="DIRECT",$S165,DSTDEV('literature entries'!$D:$AI,IF($J165=1,"ACTIVE     GHGE, FARM GATE (kg CO2e/kg)","GHGE, processor gate (kg CO2e/kg)"),INDIRECT($AB165)))</f>
        <v>0.40302432016659151</v>
      </c>
      <c r="AF165" s="212">
        <f t="shared" ca="1" si="21"/>
        <v>0.40302432016659151</v>
      </c>
    </row>
    <row r="166" spans="1:32" s="19" customFormat="1" thickBot="1" x14ac:dyDescent="0.25">
      <c r="A166" s="114">
        <v>1304175000</v>
      </c>
      <c r="B166" s="115" t="s">
        <v>2011</v>
      </c>
      <c r="C166" s="115" t="s">
        <v>2012</v>
      </c>
      <c r="D166" s="115" t="s">
        <v>2013</v>
      </c>
      <c r="E166" s="115">
        <v>5959</v>
      </c>
      <c r="F166" s="111">
        <f t="shared" ca="1" si="16"/>
        <v>2.8101475271999998</v>
      </c>
      <c r="G166" s="112">
        <f t="shared" ca="1" si="17"/>
        <v>0.47781760000000001</v>
      </c>
      <c r="H166" s="116">
        <v>1.04</v>
      </c>
      <c r="I166" s="116" t="s">
        <v>2724</v>
      </c>
      <c r="J166" s="79">
        <v>1</v>
      </c>
      <c r="K166" s="78"/>
      <c r="L166" s="135" t="str">
        <f>IF(ISERROR(GETPIVOTDATA(IF($J166=1,"Count of ACTIVE     CED, FARM GATE (MJ/kg)","Count of CED, processor gate (MJ/kg)"),'Pivot Table_CED'!$A$3,"SUB TYPE",$B166)),"PROXY",IF(GETPIVOTDATA(IF($J166=1,"Count of ACTIVE     CED, FARM GATE (MJ/kg)","Count of CED, processor gate (MJ/kg)"),'Pivot Table_CED'!$A$3,"SUB TYPE",$B166)=0,"PROXY","DB value"))</f>
        <v>DB value</v>
      </c>
      <c r="M166" s="118">
        <f ca="1">IF($L166="PROXY",DCOUNT('literature entries'!$D:$AI,IF($J166=1,"ACTIVE     CED, FARM GATE (MJ/kg)","CED, processor gate (MJ/kg)"),INDIRECT($K166)),GETPIVOTDATA(IF($J166=1,"Count of ACTIVE     CED, FARM GATE (MJ/kg)","Count of CED, processor gate (MJ/kg)"),'Pivot Table_CED'!$A$3,"SUB TYPE",$B166))</f>
        <v>1</v>
      </c>
      <c r="N166" s="119">
        <f ca="1">IF($L166="PROXY",DAVERAGE('literature entries'!$D:$AI,IF($J166=1,"ACTIVE     CED, FARM GATE (MJ/kg)","CED, processor gate (MJ/kg)"),INDIRECT($K166)),GETPIVOTDATA(IF($J166=1,"Average of ACTIVE     CED, FARM GATE (MJ/kg)","Average of CED, processor gate (MJ/kg)"),'Pivot Table_CED'!$A$3,"SUB TYPE",$B166))</f>
        <v>2.7020649299999997</v>
      </c>
      <c r="O166" s="119">
        <f ca="1">IF($L166="PROXY",DSTDEV('literature entries'!D:AI,IF($J166=1,"ACTIVE     CED, FARM GATE (MJ/kg)","CED, processor gate (MJ/kg)"),INDIRECT($K166)),GETPIVOTDATA(IF($J166=1,"StdDev of ACTIVE     CED, FARM GATE (MJ/kg)","StdDev of CED, processor gate (MJ/kg)"),'Pivot Table_CED'!$A$3,"SUB TYPE",$B166))</f>
        <v>0</v>
      </c>
      <c r="P166" s="135" t="str">
        <f>IF(ISERROR(GETPIVOTDATA(IF($J166=1,"Count of ACTIVE     GHGE, FARM GATE (kg CO2e/kg)","Count of GHGE, processor gate (kg CO2e/kg)"),'Pivot Table_GHG'!$A$3,"SUB TYPE",$B166)),"PROXY",IF(GETPIVOTDATA(IF($J166=1,"Count of ACTIVE     GHGE, FARM GATE (kg CO2e/kg)","Count of GHGE, processor gate (kg CO2e/kg)"),'Pivot Table_GHG'!$A$3,"SUB TYPE",$B166)=0,"PROXY","DB value"))</f>
        <v>DB value</v>
      </c>
      <c r="Q166" s="125">
        <f ca="1">IF($P166="PROXY",DCOUNT('literature entries'!$D:$AI,IF($J166=1,"ACTIVE     GHGE, FARM GATE (kg CO2e/kg)","GHGE, processor gate (kg CO2e/kg)"),INDIRECT($K166)),GETPIVOTDATA(IF($J166=1,"ACTIVE     GHGE, FARM GATE (kg CO2e/kg)","Count of GHGE, processor gate (kg CO2e/kg)"),'Pivot Table_GHG'!$A$3,"SUB TYPE",$B166))</f>
        <v>3</v>
      </c>
      <c r="R166" s="190">
        <f ca="1">IF($P166="PROXY",DAVERAGE('literature entries'!$D:$AI,IF($J166=1,"ACTIVE     GHGE, FARM GATE (kg CO2e/kg)","GHGE, processor gate (kg CO2e/kg)"),INDIRECT($K166)),GETPIVOTDATA(IF($J166=1,"Average of ACTIVE     GHGE, FARM GATE (kg CO2e/kg)","Average of GHGE, processor gate (kg CO2e/kg)"),'Pivot Table_GHG'!$A$3,"SUB TYPE",$B166))</f>
        <v>0.45944000000000002</v>
      </c>
      <c r="S166" s="190">
        <f ca="1">IF($P166="PROXY",DSTDEV('literature entries'!$D:$AI,IF($J166=1,"ACTIVE     GHGE, FARM GATE (kg CO2e/kg)","GHGE, processor gate (kg CO2e/kg)"),INDIRECT($K166)),GETPIVOTDATA(IF($J166=1,"StdDev of ACTIVE     GHGE, FARM GATE (kg CO2e/kg)","StdDev of GHGE, processor gate (kg CO2e/kg)"),'Pivot Table_GHG'!$A$3,"SUB TYPE",$B166))</f>
        <v>0.27298523916138762</v>
      </c>
      <c r="T166" s="88"/>
      <c r="U166" s="89"/>
      <c r="W166" s="213" t="s">
        <v>2453</v>
      </c>
      <c r="X166" s="211">
        <f ca="1">IF($W166="DIRECT",M166,DCOUNT('literature entries'!$D:$AI,IF($J166=1,"ACTIVE     CED, FARM GATE (MJ/kg)","CED, processor gate (MJ/kg)"),INDIRECT($W166)))</f>
        <v>9</v>
      </c>
      <c r="Y166" s="211">
        <f ca="1">IF($W166="DIRECT","",DAVERAGE('literature entries'!$D:$AI,IF($J166=1,"ACTIVE     CED, FARM GATE (MJ/kg)","CED, processor gate (MJ/kg)"),INDIRECT($W166)))</f>
        <v>6.2256158484065454</v>
      </c>
      <c r="Z166" s="211">
        <f ca="1">IF($W166="DIRECT",$O166,DSTDEV('literature entries'!$D:$AI,IF($J166=1,"ACTIVE     CED, FARM GATE (MJ/kg)","CED, processor gate (MJ/kg)"),INDIRECT($W166)))</f>
        <v>3.4581080763456375</v>
      </c>
      <c r="AA166" s="211">
        <f t="shared" ca="1" si="20"/>
        <v>1.5009009204502919</v>
      </c>
      <c r="AB166" s="219" t="s">
        <v>2453</v>
      </c>
      <c r="AC166" s="212">
        <f ca="1">IF($AB166="DIRECT",Q166,DCOUNT('literature entries'!$D:$AI,IF($J166=1,"ACTIVE     GHGE, FARM GATE (kg CO2e/kg)","GHGE, processor gate (kg CO2e/kg)"),INDIRECT($AB166)))</f>
        <v>19</v>
      </c>
      <c r="AD166" s="212">
        <f ca="1">IF($AB166="DIRECT","",DAVERAGE('literature entries'!$D:$AI,IF($J166=1,"ACTIVE     GHGE, FARM GATE (kg CO2e/kg)","GHGE, processor gate (kg CO2e/kg)"),INDIRECT($AB166)))</f>
        <v>0.57597001083945576</v>
      </c>
      <c r="AE166" s="212">
        <f ca="1">IF($AB166="DIRECT",$S166,DSTDEV('literature entries'!$D:$AI,IF($J166=1,"ACTIVE     GHGE, FARM GATE (kg CO2e/kg)","GHGE, processor gate (kg CO2e/kg)"),INDIRECT($AB166)))</f>
        <v>0.40302432016659151</v>
      </c>
      <c r="AF166" s="212">
        <f t="shared" ca="1" si="21"/>
        <v>0.32148460887306735</v>
      </c>
    </row>
    <row r="167" spans="1:32" s="19" customFormat="1" thickBot="1" x14ac:dyDescent="0.25">
      <c r="A167" s="114">
        <v>1304176000</v>
      </c>
      <c r="B167" s="115" t="s">
        <v>2014</v>
      </c>
      <c r="C167" s="115" t="s">
        <v>1742</v>
      </c>
      <c r="D167" s="115" t="s">
        <v>2015</v>
      </c>
      <c r="E167" s="115">
        <v>12486</v>
      </c>
      <c r="F167" s="111">
        <f t="shared" ca="1" si="16"/>
        <v>8.7946844090000003</v>
      </c>
      <c r="G167" s="112">
        <f t="shared" ca="1" si="17"/>
        <v>1.5763511260800001</v>
      </c>
      <c r="H167" s="116">
        <v>1.3</v>
      </c>
      <c r="I167" s="116" t="s">
        <v>2724</v>
      </c>
      <c r="J167" s="79">
        <v>1</v>
      </c>
      <c r="K167" s="78" t="s">
        <v>2011</v>
      </c>
      <c r="L167" s="135" t="str">
        <f>IF(ISERROR(GETPIVOTDATA(IF($J167=1,"Count of ACTIVE     CED, FARM GATE (MJ/kg)","Count of CED, processor gate (MJ/kg)"),'Pivot Table_CED'!$A$3,"SUB TYPE",$B167)),"PROXY",IF(GETPIVOTDATA(IF($J167=1,"Count of ACTIVE     CED, FARM GATE (MJ/kg)","Count of CED, processor gate (MJ/kg)"),'Pivot Table_CED'!$A$3,"SUB TYPE",$B167)=0,"PROXY","DB value"))</f>
        <v>PROXY</v>
      </c>
      <c r="M167" s="118">
        <f ca="1">IF($L167="PROXY",DCOUNT('literature entries'!$D:$AI,IF($J167=1,"ACTIVE     CED, FARM GATE (MJ/kg)","CED, processor gate (MJ/kg)"),INDIRECT($K167)),GETPIVOTDATA(IF($J167=1,"Count of ACTIVE     CED, FARM GATE (MJ/kg)","Count of CED, processor gate (MJ/kg)"),'Pivot Table_CED'!$A$3,"SUB TYPE",$B167))</f>
        <v>1</v>
      </c>
      <c r="N167" s="119">
        <f ca="1">IF($L167="PROXY",DAVERAGE('literature entries'!$D:$AI,IF($J167=1,"ACTIVE     CED, FARM GATE (MJ/kg)","CED, processor gate (MJ/kg)"),INDIRECT($K167)),GETPIVOTDATA(IF($J167=1,"Average of ACTIVE     CED, FARM GATE (MJ/kg)","Average of CED, processor gate (MJ/kg)"),'Pivot Table_CED'!$A$3,"SUB TYPE",$B167))</f>
        <v>2.7020649299999997</v>
      </c>
      <c r="O167" s="119" t="e">
        <f ca="1">IF($L167="PROXY",DSTDEV('literature entries'!D:AI,IF($J167=1,"ACTIVE     CED, FARM GATE (MJ/kg)","CED, processor gate (MJ/kg)"),INDIRECT($K167)),GETPIVOTDATA(IF($J167=1,"StdDev of ACTIVE     CED, FARM GATE (MJ/kg)","StdDev of CED, processor gate (MJ/kg)"),'Pivot Table_CED'!$A$3,"SUB TYPE",$B167))</f>
        <v>#DIV/0!</v>
      </c>
      <c r="P167" s="135" t="str">
        <f>IF(ISERROR(GETPIVOTDATA(IF($J167=1,"Count of ACTIVE     GHGE, FARM GATE (kg CO2e/kg)","Count of GHGE, processor gate (kg CO2e/kg)"),'Pivot Table_GHG'!$A$3,"SUB TYPE",$B167)),"PROXY",IF(GETPIVOTDATA(IF($J167=1,"Count of ACTIVE     GHGE, FARM GATE (kg CO2e/kg)","Count of GHGE, processor gate (kg CO2e/kg)"),'Pivot Table_GHG'!$A$3,"SUB TYPE",$B167)=0,"PROXY","DB value"))</f>
        <v>PROXY</v>
      </c>
      <c r="Q167" s="125">
        <f ca="1">IF($P167="PROXY",DCOUNT('literature entries'!$D:$AI,IF($J167=1,"ACTIVE     GHGE, FARM GATE (kg CO2e/kg)","GHGE, processor gate (kg CO2e/kg)"),INDIRECT($K167)),GETPIVOTDATA(IF($J167=1,"ACTIVE     GHGE, FARM GATE (kg CO2e/kg)","Count of GHGE, processor gate (kg CO2e/kg)"),'Pivot Table_GHG'!$A$3,"SUB TYPE",$B167))</f>
        <v>3</v>
      </c>
      <c r="R167" s="190">
        <f ca="1">IF($P167="PROXY",DAVERAGE('literature entries'!$D:$AI,IF($J167=1,"ACTIVE     GHGE, FARM GATE (kg CO2e/kg)","GHGE, processor gate (kg CO2e/kg)"),INDIRECT($K167)),GETPIVOTDATA(IF($J167=1,"Average of ACTIVE     GHGE, FARM GATE (kg CO2e/kg)","Average of GHGE, processor gate (kg CO2e/kg)"),'Pivot Table_GHG'!$A$3,"SUB TYPE",$B167))</f>
        <v>0.45944000000000002</v>
      </c>
      <c r="S167" s="190">
        <f ca="1">IF($P167="PROXY",DSTDEV('literature entries'!$D:$AI,IF($J167=1,"ACTIVE     GHGE, FARM GATE (kg CO2e/kg)","GHGE, processor gate (kg CO2e/kg)"),INDIRECT($K167)),GETPIVOTDATA(IF($J167=1,"StdDev of ACTIVE     GHGE, FARM GATE (kg CO2e/kg)","StdDev of GHGE, processor gate (kg CO2e/kg)"),'Pivot Table_GHG'!$A$3,"SUB TYPE",$B167))</f>
        <v>0.27298523916138762</v>
      </c>
      <c r="T167" s="86">
        <v>5.282</v>
      </c>
      <c r="U167" s="87">
        <v>0.97907912607999992</v>
      </c>
      <c r="W167" s="213" t="s">
        <v>2453</v>
      </c>
      <c r="X167" s="211">
        <f ca="1">IF($W167="DIRECT",M167,DCOUNT('literature entries'!$D:$AI,IF($J167=1,"ACTIVE     CED, FARM GATE (MJ/kg)","CED, processor gate (MJ/kg)"),INDIRECT($W167)))</f>
        <v>9</v>
      </c>
      <c r="Y167" s="211">
        <f ca="1">IF($W167="DIRECT","",DAVERAGE('literature entries'!$D:$AI,IF($J167=1,"ACTIVE     CED, FARM GATE (MJ/kg)","CED, processor gate (MJ/kg)"),INDIRECT($W167)))</f>
        <v>6.2256158484065454</v>
      </c>
      <c r="Z167" s="211">
        <f ca="1">IF($W167="DIRECT",$O167,DSTDEV('literature entries'!$D:$AI,IF($J167=1,"ACTIVE     CED, FARM GATE (MJ/kg)","CED, processor gate (MJ/kg)"),INDIRECT($W167)))</f>
        <v>3.4581080763456375</v>
      </c>
      <c r="AA167" s="211">
        <f t="shared" ca="1" si="20"/>
        <v>1.5009009204502919</v>
      </c>
      <c r="AB167" s="219" t="s">
        <v>2453</v>
      </c>
      <c r="AC167" s="212">
        <f ca="1">IF($AB167="DIRECT",Q167,DCOUNT('literature entries'!$D:$AI,IF($J167=1,"ACTIVE     GHGE, FARM GATE (kg CO2e/kg)","GHGE, processor gate (kg CO2e/kg)"),INDIRECT($AB167)))</f>
        <v>19</v>
      </c>
      <c r="AD167" s="212">
        <f ca="1">IF($AB167="DIRECT","",DAVERAGE('literature entries'!$D:$AI,IF($J167=1,"ACTIVE     GHGE, FARM GATE (kg CO2e/kg)","GHGE, processor gate (kg CO2e/kg)"),INDIRECT($AB167)))</f>
        <v>0.57597001083945576</v>
      </c>
      <c r="AE167" s="212">
        <f ca="1">IF($AB167="DIRECT",$S167,DSTDEV('literature entries'!$D:$AI,IF($J167=1,"ACTIVE     GHGE, FARM GATE (kg CO2e/kg)","GHGE, processor gate (kg CO2e/kg)"),INDIRECT($AB167)))</f>
        <v>0.40302432016659151</v>
      </c>
      <c r="AF167" s="212">
        <f t="shared" ca="1" si="21"/>
        <v>0.32148460887306735</v>
      </c>
    </row>
    <row r="168" spans="1:32" s="19" customFormat="1" ht="17" thickBot="1" x14ac:dyDescent="0.25">
      <c r="A168" s="114">
        <v>1304178000</v>
      </c>
      <c r="B168" s="115" t="s">
        <v>2017</v>
      </c>
      <c r="C168" s="115" t="s">
        <v>2018</v>
      </c>
      <c r="D168" s="115" t="s">
        <v>2019</v>
      </c>
      <c r="E168" s="115">
        <v>8179</v>
      </c>
      <c r="F168" s="111">
        <f t="shared" ca="1" si="16"/>
        <v>28.264295951765718</v>
      </c>
      <c r="G168" s="112">
        <f t="shared" ca="1" si="17"/>
        <v>0.6835</v>
      </c>
      <c r="H168" s="116">
        <v>1</v>
      </c>
      <c r="I168" s="117" t="s">
        <v>628</v>
      </c>
      <c r="J168" s="79">
        <v>1</v>
      </c>
      <c r="K168" s="78"/>
      <c r="L168" s="135" t="str">
        <f>IF(ISERROR(GETPIVOTDATA(IF($J168=1,"Count of ACTIVE     CED, FARM GATE (MJ/kg)","Count of CED, processor gate (MJ/kg)"),'Pivot Table_CED'!$A$3,"SUB TYPE",$B168)),"PROXY",IF(GETPIVOTDATA(IF($J168=1,"Count of ACTIVE     CED, FARM GATE (MJ/kg)","Count of CED, processor gate (MJ/kg)"),'Pivot Table_CED'!$A$3,"SUB TYPE",$B168)=0,"PROXY","DB value"))</f>
        <v>DB value</v>
      </c>
      <c r="M168" s="118">
        <f ca="1">IF($L168="PROXY",DCOUNT('literature entries'!$D:$AI,IF($J168=1,"ACTIVE     CED, FARM GATE (MJ/kg)","CED, processor gate (MJ/kg)"),INDIRECT($K168)),GETPIVOTDATA(IF($J168=1,"Count of ACTIVE     CED, FARM GATE (MJ/kg)","Count of CED, processor gate (MJ/kg)"),'Pivot Table_CED'!$A$3,"SUB TYPE",$B168))</f>
        <v>1</v>
      </c>
      <c r="N168" s="119">
        <f ca="1">IF($L168="PROXY",DAVERAGE('literature entries'!$D:$AI,IF($J168=1,"ACTIVE     CED, FARM GATE (MJ/kg)","CED, processor gate (MJ/kg)"),INDIRECT($K168)),GETPIVOTDATA(IF($J168=1,"Average of ACTIVE     CED, FARM GATE (MJ/kg)","Average of CED, processor gate (MJ/kg)"),'Pivot Table_CED'!$A$3,"SUB TYPE",$B168))</f>
        <v>28.264295951765718</v>
      </c>
      <c r="O168" s="119">
        <f ca="1">IF($L168="PROXY",DSTDEV('literature entries'!D:AI,IF($J168=1,"ACTIVE     CED, FARM GATE (MJ/kg)","CED, processor gate (MJ/kg)"),INDIRECT($K168)),GETPIVOTDATA(IF($J168=1,"StdDev of ACTIVE     CED, FARM GATE (MJ/kg)","StdDev of CED, processor gate (MJ/kg)"),'Pivot Table_CED'!$A$3,"SUB TYPE",$B168))</f>
        <v>0</v>
      </c>
      <c r="P168" s="135" t="str">
        <f>IF(ISERROR(GETPIVOTDATA(IF($J168=1,"Count of ACTIVE     GHGE, FARM GATE (kg CO2e/kg)","Count of GHGE, processor gate (kg CO2e/kg)"),'Pivot Table_GHG'!$A$3,"SUB TYPE",$B168)),"PROXY",IF(GETPIVOTDATA(IF($J168=1,"Count of ACTIVE     GHGE, FARM GATE (kg CO2e/kg)","Count of GHGE, processor gate (kg CO2e/kg)"),'Pivot Table_GHG'!$A$3,"SUB TYPE",$B168)=0,"PROXY","DB value"))</f>
        <v>DB value</v>
      </c>
      <c r="Q168" s="125">
        <f ca="1">IF($P168="PROXY",DCOUNT('literature entries'!$D:$AI,IF($J168=1,"ACTIVE     GHGE, FARM GATE (kg CO2e/kg)","GHGE, processor gate (kg CO2e/kg)"),INDIRECT($K168)),GETPIVOTDATA(IF($J168=1,"ACTIVE     GHGE, FARM GATE (kg CO2e/kg)","Count of GHGE, processor gate (kg CO2e/kg)"),'Pivot Table_GHG'!$A$3,"SUB TYPE",$B168))</f>
        <v>2</v>
      </c>
      <c r="R168" s="190">
        <f ca="1">IF($P168="PROXY",DAVERAGE('literature entries'!$D:$AI,IF($J168=1,"ACTIVE     GHGE, FARM GATE (kg CO2e/kg)","GHGE, processor gate (kg CO2e/kg)"),INDIRECT($K168)),GETPIVOTDATA(IF($J168=1,"Average of ACTIVE     GHGE, FARM GATE (kg CO2e/kg)","Average of GHGE, processor gate (kg CO2e/kg)"),'Pivot Table_GHG'!$A$3,"SUB TYPE",$B168))</f>
        <v>0.6835</v>
      </c>
      <c r="S168" s="190">
        <f ca="1">IF($P168="PROXY",DSTDEV('literature entries'!$D:$AI,IF($J168=1,"ACTIVE     GHGE, FARM GATE (kg CO2e/kg)","GHGE, processor gate (kg CO2e/kg)"),INDIRECT($K168)),GETPIVOTDATA(IF($J168=1,"StdDev of ACTIVE     GHGE, FARM GATE (kg CO2e/kg)","StdDev of GHGE, processor gate (kg CO2e/kg)"),'Pivot Table_GHG'!$A$3,"SUB TYPE",$B168))</f>
        <v>2.3334523779154948E-2</v>
      </c>
      <c r="T168" s="88"/>
      <c r="U168" s="89"/>
      <c r="W168" s="213" t="s">
        <v>2453</v>
      </c>
      <c r="X168" s="211">
        <f ca="1">IF($W168="DIRECT",M168,DCOUNT('literature entries'!$D:$AI,IF($J168=1,"ACTIVE     CED, FARM GATE (MJ/kg)","CED, processor gate (MJ/kg)"),INDIRECT($W168)))</f>
        <v>9</v>
      </c>
      <c r="Y168" s="211">
        <f ca="1">IF($W168="DIRECT","",DAVERAGE('literature entries'!$D:$AI,IF($J168=1,"ACTIVE     CED, FARM GATE (MJ/kg)","CED, processor gate (MJ/kg)"),INDIRECT($W168)))</f>
        <v>6.2256158484065454</v>
      </c>
      <c r="Z168" s="211">
        <f ca="1">IF($W168="DIRECT",$O168,DSTDEV('literature entries'!$D:$AI,IF($J168=1,"ACTIVE     CED, FARM GATE (MJ/kg)","CED, processor gate (MJ/kg)"),INDIRECT($W168)))</f>
        <v>3.4581080763456375</v>
      </c>
      <c r="AA168" s="211">
        <f t="shared" ca="1" si="20"/>
        <v>15.699810666609194</v>
      </c>
      <c r="AB168" s="219" t="s">
        <v>2453</v>
      </c>
      <c r="AC168" s="212">
        <f ca="1">IF($AB168="DIRECT",Q168,DCOUNT('literature entries'!$D:$AI,IF($J168=1,"ACTIVE     GHGE, FARM GATE (kg CO2e/kg)","GHGE, processor gate (kg CO2e/kg)"),INDIRECT($AB168)))</f>
        <v>19</v>
      </c>
      <c r="AD168" s="212">
        <f ca="1">IF($AB168="DIRECT","",DAVERAGE('literature entries'!$D:$AI,IF($J168=1,"ACTIVE     GHGE, FARM GATE (kg CO2e/kg)","GHGE, processor gate (kg CO2e/kg)"),INDIRECT($AB168)))</f>
        <v>0.57597001083945576</v>
      </c>
      <c r="AE168" s="212">
        <f ca="1">IF($AB168="DIRECT",$S168,DSTDEV('literature entries'!$D:$AI,IF($J168=1,"ACTIVE     GHGE, FARM GATE (kg CO2e/kg)","GHGE, processor gate (kg CO2e/kg)"),INDIRECT($AB168)))</f>
        <v>0.40302432016659151</v>
      </c>
      <c r="AF168" s="212">
        <f t="shared" ca="1" si="21"/>
        <v>0.47826643340749941</v>
      </c>
    </row>
    <row r="169" spans="1:32" s="19" customFormat="1" ht="17" thickBot="1" x14ac:dyDescent="0.25">
      <c r="A169" s="114">
        <v>1304179000</v>
      </c>
      <c r="B169" s="115" t="s">
        <v>2020</v>
      </c>
      <c r="C169" s="115" t="s">
        <v>2021</v>
      </c>
      <c r="D169" s="115"/>
      <c r="E169" s="115">
        <v>6014</v>
      </c>
      <c r="F169" s="111">
        <f t="shared" ca="1" si="16"/>
        <v>7.6742138364779864</v>
      </c>
      <c r="G169" s="112">
        <f t="shared" ca="1" si="17"/>
        <v>0.77988901978973402</v>
      </c>
      <c r="H169" s="116">
        <v>1</v>
      </c>
      <c r="I169" s="117" t="s">
        <v>594</v>
      </c>
      <c r="J169" s="90">
        <v>2</v>
      </c>
      <c r="K169" s="78" t="s">
        <v>2785</v>
      </c>
      <c r="L169" s="135" t="str">
        <f>IF(ISERROR(GETPIVOTDATA(IF($J169=1,"Count of ACTIVE     CED, FARM GATE (MJ/kg)","Count of CED, processor gate (MJ/kg)"),'Pivot Table_CED'!$A$3,"SUB TYPE",$B169)),"PROXY",IF(GETPIVOTDATA(IF($J169=1,"Count of ACTIVE     CED, FARM GATE (MJ/kg)","Count of CED, processor gate (MJ/kg)"),'Pivot Table_CED'!$A$3,"SUB TYPE",$B169)=0,"PROXY","DB value"))</f>
        <v>PROXY</v>
      </c>
      <c r="M169" s="118">
        <f ca="1">IF($L169="PROXY",DCOUNT('literature entries'!$D:$AI,IF($J169=1,"ACTIVE     CED, FARM GATE (MJ/kg)","CED, processor gate (MJ/kg)"),INDIRECT($K169)),GETPIVOTDATA(IF($J169=1,"Count of ACTIVE     CED, FARM GATE (MJ/kg)","Count of CED, processor gate (MJ/kg)"),'Pivot Table_CED'!$A$3,"SUB TYPE",$B169))</f>
        <v>3</v>
      </c>
      <c r="N169" s="119">
        <f ca="1">IF($L169="PROXY",DAVERAGE('literature entries'!$D:$AI,IF($J169=1,"ACTIVE     CED, FARM GATE (MJ/kg)","CED, processor gate (MJ/kg)"),INDIRECT($K169)),GETPIVOTDATA(IF($J169=1,"Average of ACTIVE     CED, FARM GATE (MJ/kg)","Average of CED, processor gate (MJ/kg)"),'Pivot Table_CED'!$A$3,"SUB TYPE",$B169))</f>
        <v>7.6742138364779864</v>
      </c>
      <c r="O169" s="119">
        <f ca="1">IF($L169="PROXY",DSTDEV('literature entries'!D:AI,IF($J169=1,"ACTIVE     CED, FARM GATE (MJ/kg)","CED, processor gate (MJ/kg)"),INDIRECT($K169)),GETPIVOTDATA(IF($J169=1,"StdDev of ACTIVE     CED, FARM GATE (MJ/kg)","StdDev of CED, processor gate (MJ/kg)"),'Pivot Table_CED'!$A$3,"SUB TYPE",$B169))</f>
        <v>0.53259068904300144</v>
      </c>
      <c r="P169" s="135" t="str">
        <f>IF(ISERROR(GETPIVOTDATA(IF($J169=1,"Count of ACTIVE     GHGE, FARM GATE (kg CO2e/kg)","Count of GHGE, processor gate (kg CO2e/kg)"),'Pivot Table_GHG'!$A$3,"SUB TYPE",$B169)),"PROXY",IF(GETPIVOTDATA(IF($J169=1,"Count of ACTIVE     GHGE, FARM GATE (kg CO2e/kg)","Count of GHGE, processor gate (kg CO2e/kg)"),'Pivot Table_GHG'!$A$3,"SUB TYPE",$B169)=0,"PROXY","DB value"))</f>
        <v>DB value</v>
      </c>
      <c r="Q169" s="125">
        <f ca="1">IF($P169="PROXY",DCOUNT('literature entries'!$D:$AI,IF($J169=1,"ACTIVE     GHGE, FARM GATE (kg CO2e/kg)","GHGE, processor gate (kg CO2e/kg)"),INDIRECT($K169)),GETPIVOTDATA(IF($J169=1,"ACTIVE     GHGE, FARM GATE (kg CO2e/kg)","Count of GHGE, processor gate (kg CO2e/kg)"),'Pivot Table_GHG'!$A$3,"SUB TYPE",$B169))</f>
        <v>44</v>
      </c>
      <c r="R169" s="190">
        <f ca="1">IF($P169="PROXY",DAVERAGE('literature entries'!$D:$AI,IF($J169=1,"ACTIVE     GHGE, FARM GATE (kg CO2e/kg)","GHGE, processor gate (kg CO2e/kg)"),INDIRECT($K169)),GETPIVOTDATA(IF($J169=1,"Average of ACTIVE     GHGE, FARM GATE (kg CO2e/kg)","Average of GHGE, processor gate (kg CO2e/kg)"),'Pivot Table_GHG'!$A$3,"SUB TYPE",$B169))</f>
        <v>0.77988901978973402</v>
      </c>
      <c r="S169" s="190">
        <f ca="1">IF($P169="PROXY",DSTDEV('literature entries'!$D:$AI,IF($J169=1,"ACTIVE     GHGE, FARM GATE (kg CO2e/kg)","GHGE, processor gate (kg CO2e/kg)"),INDIRECT($K169)),GETPIVOTDATA(IF($J169=1,"StdDev of ACTIVE     GHGE, FARM GATE (kg CO2e/kg)","StdDev of GHGE, processor gate (kg CO2e/kg)"),'Pivot Table_GHG'!$A$3,"SUB TYPE",$B169))</f>
        <v>0.79168603453409458</v>
      </c>
      <c r="T169" s="88"/>
      <c r="U169" s="89"/>
      <c r="W169" s="221" t="s">
        <v>3367</v>
      </c>
      <c r="X169" s="211"/>
      <c r="Y169" s="211"/>
      <c r="Z169" s="211">
        <v>0</v>
      </c>
      <c r="AA169" s="211">
        <v>0</v>
      </c>
      <c r="AB169" s="219" t="str">
        <f ca="1">IF(P169="PROXY",IF(Q169&gt;=5,K169,"need group"),IF(Q169&gt;=5,"DIRECT","need group"))</f>
        <v>DIRECT</v>
      </c>
      <c r="AC169" s="212">
        <f ca="1">IF($AB169="DIRECT",Q169,DCOUNT('literature entries'!$D:$AI,IF($J169=1,"ACTIVE     GHGE, FARM GATE (kg CO2e/kg)","GHGE, processor gate (kg CO2e/kg)"),INDIRECT($AB169)))</f>
        <v>44</v>
      </c>
      <c r="AD169" s="212" t="str">
        <f ca="1">IF($AB169="DIRECT","",DAVERAGE('literature entries'!$D:$AI,IF($J169=1,"ACTIVE     GHGE, FARM GATE (kg CO2e/kg)","GHGE, processor gate (kg CO2e/kg)"),INDIRECT($AB169)))</f>
        <v/>
      </c>
      <c r="AE169" s="212">
        <f ca="1">IF($AB169="DIRECT",$S169,DSTDEV('literature entries'!$D:$AI,IF($J169=1,"ACTIVE     GHGE, FARM GATE (kg CO2e/kg)","GHGE, processor gate (kg CO2e/kg)"),INDIRECT($AB169)))</f>
        <v>0.79168603453409458</v>
      </c>
      <c r="AF169" s="212">
        <f t="shared" ref="AF169:AF198" ca="1" si="25">IF($AB169="DIRECT",$S169,$AE169/$AD169*$R169)</f>
        <v>0.79168603453409458</v>
      </c>
    </row>
    <row r="170" spans="1:32" s="19" customFormat="1" thickBot="1" x14ac:dyDescent="0.25">
      <c r="A170" s="114">
        <v>1304195000</v>
      </c>
      <c r="B170" s="115" t="s">
        <v>2042</v>
      </c>
      <c r="C170" s="115" t="s">
        <v>2043</v>
      </c>
      <c r="D170" s="115"/>
      <c r="E170" s="115">
        <v>169</v>
      </c>
      <c r="F170" s="111">
        <f t="shared" ca="1" si="16"/>
        <v>6.3104118319999989</v>
      </c>
      <c r="G170" s="112">
        <f t="shared" ca="1" si="17"/>
        <v>0.26384663999999997</v>
      </c>
      <c r="H170" s="116">
        <v>1.1599999999999999</v>
      </c>
      <c r="I170" s="116" t="s">
        <v>2724</v>
      </c>
      <c r="J170" s="79">
        <v>1</v>
      </c>
      <c r="K170" s="78"/>
      <c r="L170" s="135" t="str">
        <f>IF(ISERROR(GETPIVOTDATA(IF($J170=1,"Count of ACTIVE     CED, FARM GATE (MJ/kg)","Count of CED, processor gate (MJ/kg)"),'Pivot Table_CED'!$A$3,"SUB TYPE",$B170)),"PROXY",IF(GETPIVOTDATA(IF($J170=1,"Count of ACTIVE     CED, FARM GATE (MJ/kg)","Count of CED, processor gate (MJ/kg)"),'Pivot Table_CED'!$A$3,"SUB TYPE",$B170)=0,"PROXY","DB value"))</f>
        <v>DB value</v>
      </c>
      <c r="M170" s="118">
        <f ca="1">IF($L170="PROXY",DCOUNT('literature entries'!$D:$AI,IF($J170=1,"ACTIVE     CED, FARM GATE (MJ/kg)","CED, processor gate (MJ/kg)"),INDIRECT($K170)),GETPIVOTDATA(IF($J170=1,"Count of ACTIVE     CED, FARM GATE (MJ/kg)","Count of CED, processor gate (MJ/kg)"),'Pivot Table_CED'!$A$3,"SUB TYPE",$B170))</f>
        <v>1</v>
      </c>
      <c r="N170" s="119">
        <f ca="1">IF($L170="PROXY",DAVERAGE('literature entries'!$D:$AI,IF($J170=1,"ACTIVE     CED, FARM GATE (MJ/kg)","CED, processor gate (MJ/kg)"),INDIRECT($K170)),GETPIVOTDATA(IF($J170=1,"Average of ACTIVE     CED, FARM GATE (MJ/kg)","Average of CED, processor gate (MJ/kg)"),'Pivot Table_CED'!$A$3,"SUB TYPE",$B170))</f>
        <v>5.4400101999999997</v>
      </c>
      <c r="O170" s="119">
        <f ca="1">IF($L170="PROXY",DSTDEV('literature entries'!D:AI,IF($J170=1,"ACTIVE     CED, FARM GATE (MJ/kg)","CED, processor gate (MJ/kg)"),INDIRECT($K170)),GETPIVOTDATA(IF($J170=1,"StdDev of ACTIVE     CED, FARM GATE (MJ/kg)","StdDev of CED, processor gate (MJ/kg)"),'Pivot Table_CED'!$A$3,"SUB TYPE",$B170))</f>
        <v>0</v>
      </c>
      <c r="P170" s="135" t="str">
        <f>IF(ISERROR(GETPIVOTDATA(IF($J170=1,"Count of ACTIVE     GHGE, FARM GATE (kg CO2e/kg)","Count of GHGE, processor gate (kg CO2e/kg)"),'Pivot Table_GHG'!$A$3,"SUB TYPE",$B170)),"PROXY",IF(GETPIVOTDATA(IF($J170=1,"Count of ACTIVE     GHGE, FARM GATE (kg CO2e/kg)","Count of GHGE, processor gate (kg CO2e/kg)"),'Pivot Table_GHG'!$A$3,"SUB TYPE",$B170)=0,"PROXY","DB value"))</f>
        <v>DB value</v>
      </c>
      <c r="Q170" s="125">
        <f ca="1">IF($P170="PROXY",DCOUNT('literature entries'!$D:$AI,IF($J170=1,"ACTIVE     GHGE, FARM GATE (kg CO2e/kg)","GHGE, processor gate (kg CO2e/kg)"),INDIRECT($K170)),GETPIVOTDATA(IF($J170=1,"ACTIVE     GHGE, FARM GATE (kg CO2e/kg)","Count of GHGE, processor gate (kg CO2e/kg)"),'Pivot Table_GHG'!$A$3,"SUB TYPE",$B170))</f>
        <v>5</v>
      </c>
      <c r="R170" s="190">
        <f ca="1">IF($P170="PROXY",DAVERAGE('literature entries'!$D:$AI,IF($J170=1,"ACTIVE     GHGE, FARM GATE (kg CO2e/kg)","GHGE, processor gate (kg CO2e/kg)"),INDIRECT($K170)),GETPIVOTDATA(IF($J170=1,"Average of ACTIVE     GHGE, FARM GATE (kg CO2e/kg)","Average of GHGE, processor gate (kg CO2e/kg)"),'Pivot Table_GHG'!$A$3,"SUB TYPE",$B170))</f>
        <v>0.22745399999999999</v>
      </c>
      <c r="S170" s="190">
        <f ca="1">IF($P170="PROXY",DSTDEV('literature entries'!$D:$AI,IF($J170=1,"ACTIVE     GHGE, FARM GATE (kg CO2e/kg)","GHGE, processor gate (kg CO2e/kg)"),INDIRECT($K170)),GETPIVOTDATA(IF($J170=1,"StdDev of ACTIVE     GHGE, FARM GATE (kg CO2e/kg)","StdDev of GHGE, processor gate (kg CO2e/kg)"),'Pivot Table_GHG'!$A$3,"SUB TYPE",$B170))</f>
        <v>0.121479794945497</v>
      </c>
      <c r="T170" s="88"/>
      <c r="U170" s="89"/>
      <c r="W170" s="213" t="s">
        <v>2453</v>
      </c>
      <c r="X170" s="211">
        <f ca="1">IF($W170="DIRECT",M170,DCOUNT('literature entries'!$D:$AI,IF($J170=1,"ACTIVE     CED, FARM GATE (MJ/kg)","CED, processor gate (MJ/kg)"),INDIRECT($W170)))</f>
        <v>9</v>
      </c>
      <c r="Y170" s="211">
        <f ca="1">IF($W170="DIRECT","",DAVERAGE('literature entries'!$D:$AI,IF($J170=1,"ACTIVE     CED, FARM GATE (MJ/kg)","CED, processor gate (MJ/kg)"),INDIRECT($W170)))</f>
        <v>6.2256158484065454</v>
      </c>
      <c r="Z170" s="211">
        <f ca="1">IF($W170="DIRECT",$O170,DSTDEV('literature entries'!$D:$AI,IF($J170=1,"ACTIVE     CED, FARM GATE (MJ/kg)","CED, processor gate (MJ/kg)"),INDIRECT($W170)))</f>
        <v>3.4581080763456375</v>
      </c>
      <c r="AA170" s="211">
        <f t="shared" ref="AA170:AA198" ca="1" si="26">IF($W170="DIRECT",$O170,$Z170/$Y170*$N170)</f>
        <v>3.0217320930326337</v>
      </c>
      <c r="AB170" s="219" t="str">
        <f ca="1">IF(P170="PROXY",IF(Q170&gt;=5,K170,"need group"),IF(Q170&gt;=5,"DIRECT","need group"))</f>
        <v>DIRECT</v>
      </c>
      <c r="AC170" s="212">
        <f ca="1">IF($AB170="DIRECT",Q170,DCOUNT('literature entries'!$D:$AI,IF($J170=1,"ACTIVE     GHGE, FARM GATE (kg CO2e/kg)","GHGE, processor gate (kg CO2e/kg)"),INDIRECT($AB170)))</f>
        <v>5</v>
      </c>
      <c r="AD170" s="212" t="str">
        <f ca="1">IF($AB170="DIRECT","",DAVERAGE('literature entries'!$D:$AI,IF($J170=1,"ACTIVE     GHGE, FARM GATE (kg CO2e/kg)","GHGE, processor gate (kg CO2e/kg)"),INDIRECT($AB170)))</f>
        <v/>
      </c>
      <c r="AE170" s="212">
        <f ca="1">IF($AB170="DIRECT",$S170,DSTDEV('literature entries'!$D:$AI,IF($J170=1,"ACTIVE     GHGE, FARM GATE (kg CO2e/kg)","GHGE, processor gate (kg CO2e/kg)"),INDIRECT($AB170)))</f>
        <v>0.121479794945497</v>
      </c>
      <c r="AF170" s="212">
        <f t="shared" ca="1" si="25"/>
        <v>0.121479794945497</v>
      </c>
    </row>
    <row r="171" spans="1:32" s="19" customFormat="1" thickBot="1" x14ac:dyDescent="0.25">
      <c r="A171" s="114">
        <v>1307130000</v>
      </c>
      <c r="B171" s="115" t="s">
        <v>1948</v>
      </c>
      <c r="C171" s="115" t="s">
        <v>1834</v>
      </c>
      <c r="D171" s="115"/>
      <c r="E171" s="115">
        <v>174</v>
      </c>
      <c r="F171" s="111">
        <f t="shared" ca="1" si="16"/>
        <v>6.3501281653746764</v>
      </c>
      <c r="G171" s="112">
        <f t="shared" ca="1" si="17"/>
        <v>1.4177999999999999</v>
      </c>
      <c r="H171" s="116">
        <v>1.02</v>
      </c>
      <c r="I171" s="116" t="s">
        <v>2724</v>
      </c>
      <c r="J171" s="79">
        <v>1</v>
      </c>
      <c r="K171" s="78" t="s">
        <v>2453</v>
      </c>
      <c r="L171" s="135" t="str">
        <f>IF(ISERROR(GETPIVOTDATA(IF($J171=1,"Count of ACTIVE     CED, FARM GATE (MJ/kg)","Count of CED, processor gate (MJ/kg)"),'Pivot Table_CED'!$A$3,"SUB TYPE",$B171)),"PROXY",IF(GETPIVOTDATA(IF($J171=1,"Count of ACTIVE     CED, FARM GATE (MJ/kg)","Count of CED, processor gate (MJ/kg)"),'Pivot Table_CED'!$A$3,"SUB TYPE",$B171)=0,"PROXY","DB value"))</f>
        <v>PROXY</v>
      </c>
      <c r="M171" s="118">
        <f ca="1">IF($L171="PROXY",DCOUNT('literature entries'!$D:$AI,IF($J171=1,"ACTIVE     CED, FARM GATE (MJ/kg)","CED, processor gate (MJ/kg)"),INDIRECT($K171)),GETPIVOTDATA(IF($J171=1,"Count of ACTIVE     CED, FARM GATE (MJ/kg)","Count of CED, processor gate (MJ/kg)"),'Pivot Table_CED'!$A$3,"SUB TYPE",$B171))</f>
        <v>9</v>
      </c>
      <c r="N171" s="119">
        <f ca="1">IF($L171="PROXY",DAVERAGE('literature entries'!$D:$AI,IF($J171=1,"ACTIVE     CED, FARM GATE (MJ/kg)","CED, processor gate (MJ/kg)"),INDIRECT($K171)),GETPIVOTDATA(IF($J171=1,"Average of ACTIVE     CED, FARM GATE (MJ/kg)","Average of CED, processor gate (MJ/kg)"),'Pivot Table_CED'!$A$3,"SUB TYPE",$B171))</f>
        <v>6.2256158484065454</v>
      </c>
      <c r="O171" s="119">
        <f ca="1">IF($L171="PROXY",DSTDEV('literature entries'!D:AI,IF($J171=1,"ACTIVE     CED, FARM GATE (MJ/kg)","CED, processor gate (MJ/kg)"),INDIRECT($K171)),GETPIVOTDATA(IF($J171=1,"StdDev of ACTIVE     CED, FARM GATE (MJ/kg)","StdDev of CED, processor gate (MJ/kg)"),'Pivot Table_CED'!$A$3,"SUB TYPE",$B171))</f>
        <v>3.4581080763456375</v>
      </c>
      <c r="P171" s="135" t="str">
        <f>IF(ISERROR(GETPIVOTDATA(IF($J171=1,"Count of ACTIVE     GHGE, FARM GATE (kg CO2e/kg)","Count of GHGE, processor gate (kg CO2e/kg)"),'Pivot Table_GHG'!$A$3,"SUB TYPE",$B171)),"PROXY",IF(GETPIVOTDATA(IF($J171=1,"Count of ACTIVE     GHGE, FARM GATE (kg CO2e/kg)","Count of GHGE, processor gate (kg CO2e/kg)"),'Pivot Table_GHG'!$A$3,"SUB TYPE",$B171)=0,"PROXY","DB value"))</f>
        <v>DB value</v>
      </c>
      <c r="Q171" s="125">
        <f ca="1">IF($P171="PROXY",DCOUNT('literature entries'!$D:$AI,IF($J171=1,"ACTIVE     GHGE, FARM GATE (kg CO2e/kg)","GHGE, processor gate (kg CO2e/kg)"),INDIRECT($K171)),GETPIVOTDATA(IF($J171=1,"ACTIVE     GHGE, FARM GATE (kg CO2e/kg)","Count of GHGE, processor gate (kg CO2e/kg)"),'Pivot Table_GHG'!$A$3,"SUB TYPE",$B171))</f>
        <v>1</v>
      </c>
      <c r="R171" s="190">
        <f ca="1">IF($P171="PROXY",DAVERAGE('literature entries'!$D:$AI,IF($J171=1,"ACTIVE     GHGE, FARM GATE (kg CO2e/kg)","GHGE, processor gate (kg CO2e/kg)"),INDIRECT($K171)),GETPIVOTDATA(IF($J171=1,"Average of ACTIVE     GHGE, FARM GATE (kg CO2e/kg)","Average of GHGE, processor gate (kg CO2e/kg)"),'Pivot Table_GHG'!$A$3,"SUB TYPE",$B171))</f>
        <v>1.39</v>
      </c>
      <c r="S171" s="190" t="e">
        <f ca="1">IF($P171="PROXY",DSTDEV('literature entries'!$D:$AI,IF($J171=1,"ACTIVE     GHGE, FARM GATE (kg CO2e/kg)","GHGE, processor gate (kg CO2e/kg)"),INDIRECT($K171)),GETPIVOTDATA(IF($J171=1,"StdDev of ACTIVE     GHGE, FARM GATE (kg CO2e/kg)","StdDev of GHGE, processor gate (kg CO2e/kg)"),'Pivot Table_GHG'!$A$3,"SUB TYPE",$B171))</f>
        <v>#DIV/0!</v>
      </c>
      <c r="T171" s="91"/>
      <c r="U171" s="91"/>
      <c r="W171" s="213" t="str">
        <f ca="1">IF(L171="PROXY",IF(M171&gt;=5,K171,"need group"),IF(M171&gt;=5,"DIRECT","need group"))</f>
        <v>berry</v>
      </c>
      <c r="X171" s="211">
        <f ca="1">IF($W171="DIRECT",M171,DCOUNT('literature entries'!$D:$AI,IF($J171=1,"ACTIVE     CED, FARM GATE (MJ/kg)","CED, processor gate (MJ/kg)"),INDIRECT($W171)))</f>
        <v>9</v>
      </c>
      <c r="Y171" s="211">
        <f ca="1">IF($W171="DIRECT","",DAVERAGE('literature entries'!$D:$AI,IF($J171=1,"ACTIVE     CED, FARM GATE (MJ/kg)","CED, processor gate (MJ/kg)"),INDIRECT($W171)))</f>
        <v>6.2256158484065454</v>
      </c>
      <c r="Z171" s="211">
        <f ca="1">IF($W171="DIRECT",$O171,DSTDEV('literature entries'!$D:$AI,IF($J171=1,"ACTIVE     CED, FARM GATE (MJ/kg)","CED, processor gate (MJ/kg)"),INDIRECT($W171)))</f>
        <v>3.4581080763456375</v>
      </c>
      <c r="AA171" s="211">
        <f t="shared" ca="1" si="26"/>
        <v>3.4581080763456375</v>
      </c>
      <c r="AB171" s="219" t="s">
        <v>2453</v>
      </c>
      <c r="AC171" s="212">
        <f ca="1">IF($AB171="DIRECT",Q171,DCOUNT('literature entries'!$D:$AI,IF($J171=1,"ACTIVE     GHGE, FARM GATE (kg CO2e/kg)","GHGE, processor gate (kg CO2e/kg)"),INDIRECT($AB171)))</f>
        <v>19</v>
      </c>
      <c r="AD171" s="212">
        <f ca="1">IF($AB171="DIRECT","",DAVERAGE('literature entries'!$D:$AI,IF($J171=1,"ACTIVE     GHGE, FARM GATE (kg CO2e/kg)","GHGE, processor gate (kg CO2e/kg)"),INDIRECT($AB171)))</f>
        <v>0.57597001083945576</v>
      </c>
      <c r="AE171" s="212">
        <f ca="1">IF($AB171="DIRECT",$S171,DSTDEV('literature entries'!$D:$AI,IF($J171=1,"ACTIVE     GHGE, FARM GATE (kg CO2e/kg)","GHGE, processor gate (kg CO2e/kg)"),INDIRECT($AB171)))</f>
        <v>0.40302432016659151</v>
      </c>
      <c r="AF171" s="212">
        <f t="shared" ca="1" si="25"/>
        <v>0.97262668973873323</v>
      </c>
    </row>
    <row r="172" spans="1:32" s="19" customFormat="1" ht="17" thickBot="1" x14ac:dyDescent="0.25">
      <c r="A172" s="114">
        <v>1307131000</v>
      </c>
      <c r="B172" s="115" t="s">
        <v>1949</v>
      </c>
      <c r="C172" s="115" t="s">
        <v>1950</v>
      </c>
      <c r="D172" s="115"/>
      <c r="E172" s="115">
        <v>813</v>
      </c>
      <c r="F172" s="111">
        <f t="shared" ca="1" si="16"/>
        <v>41.345355725103708</v>
      </c>
      <c r="G172" s="112">
        <f t="shared" ca="1" si="17"/>
        <v>3.8251131398099805</v>
      </c>
      <c r="H172" s="120">
        <v>6.6411671924290197</v>
      </c>
      <c r="I172" s="117" t="s">
        <v>2737</v>
      </c>
      <c r="J172" s="79">
        <v>1</v>
      </c>
      <c r="K172" s="78" t="s">
        <v>2453</v>
      </c>
      <c r="L172" s="135" t="str">
        <f>IF(ISERROR(GETPIVOTDATA(IF($J172=1,"Count of ACTIVE     CED, FARM GATE (MJ/kg)","Count of CED, processor gate (MJ/kg)"),'Pivot Table_CED'!$A$3,"SUB TYPE",$B172)),"PROXY",IF(GETPIVOTDATA(IF($J172=1,"Count of ACTIVE     CED, FARM GATE (MJ/kg)","Count of CED, processor gate (MJ/kg)"),'Pivot Table_CED'!$A$3,"SUB TYPE",$B172)=0,"PROXY","DB value"))</f>
        <v>PROXY</v>
      </c>
      <c r="M172" s="118">
        <f ca="1">IF($L172="PROXY",DCOUNT('literature entries'!$D:$AI,IF($J172=1,"ACTIVE     CED, FARM GATE (MJ/kg)","CED, processor gate (MJ/kg)"),INDIRECT($K172)),GETPIVOTDATA(IF($J172=1,"Count of ACTIVE     CED, FARM GATE (MJ/kg)","Count of CED, processor gate (MJ/kg)"),'Pivot Table_CED'!$A$3,"SUB TYPE",$B172))</f>
        <v>9</v>
      </c>
      <c r="N172" s="119">
        <f ca="1">IF($L172="PROXY",DAVERAGE('literature entries'!$D:$AI,IF($J172=1,"ACTIVE     CED, FARM GATE (MJ/kg)","CED, processor gate (MJ/kg)"),INDIRECT($K172)),GETPIVOTDATA(IF($J172=1,"Average of ACTIVE     CED, FARM GATE (MJ/kg)","Average of CED, processor gate (MJ/kg)"),'Pivot Table_CED'!$A$3,"SUB TYPE",$B172))</f>
        <v>6.2256158484065454</v>
      </c>
      <c r="O172" s="119">
        <f ca="1">IF($L172="PROXY",DSTDEV('literature entries'!D:AI,IF($J172=1,"ACTIVE     CED, FARM GATE (MJ/kg)","CED, processor gate (MJ/kg)"),INDIRECT($K172)),GETPIVOTDATA(IF($J172=1,"StdDev of ACTIVE     CED, FARM GATE (MJ/kg)","StdDev of CED, processor gate (MJ/kg)"),'Pivot Table_CED'!$A$3,"SUB TYPE",$B172))</f>
        <v>3.4581080763456375</v>
      </c>
      <c r="P172" s="135" t="str">
        <f>IF(ISERROR(GETPIVOTDATA(IF($J172=1,"Count of ACTIVE     GHGE, FARM GATE (kg CO2e/kg)","Count of GHGE, processor gate (kg CO2e/kg)"),'Pivot Table_GHG'!$A$3,"SUB TYPE",$B172)),"PROXY",IF(GETPIVOTDATA(IF($J172=1,"Count of ACTIVE     GHGE, FARM GATE (kg CO2e/kg)","Count of GHGE, processor gate (kg CO2e/kg)"),'Pivot Table_GHG'!$A$3,"SUB TYPE",$B172)=0,"PROXY","DB value"))</f>
        <v>PROXY</v>
      </c>
      <c r="Q172" s="125">
        <f ca="1">IF($P172="PROXY",DCOUNT('literature entries'!$D:$AI,IF($J172=1,"ACTIVE     GHGE, FARM GATE (kg CO2e/kg)","GHGE, processor gate (kg CO2e/kg)"),INDIRECT($K172)),GETPIVOTDATA(IF($J172=1,"ACTIVE     GHGE, FARM GATE (kg CO2e/kg)","Count of GHGE, processor gate (kg CO2e/kg)"),'Pivot Table_GHG'!$A$3,"SUB TYPE",$B172))</f>
        <v>19</v>
      </c>
      <c r="R172" s="190">
        <f ca="1">IF($P172="PROXY",DAVERAGE('literature entries'!$D:$AI,IF($J172=1,"ACTIVE     GHGE, FARM GATE (kg CO2e/kg)","GHGE, processor gate (kg CO2e/kg)"),INDIRECT($K172)),GETPIVOTDATA(IF($J172=1,"Average of ACTIVE     GHGE, FARM GATE (kg CO2e/kg)","Average of GHGE, processor gate (kg CO2e/kg)"),'Pivot Table_GHG'!$A$3,"SUB TYPE",$B172))</f>
        <v>0.57597001083945576</v>
      </c>
      <c r="S172" s="190">
        <f ca="1">IF($P172="PROXY",DSTDEV('literature entries'!$D:$AI,IF($J172=1,"ACTIVE     GHGE, FARM GATE (kg CO2e/kg)","GHGE, processor gate (kg CO2e/kg)"),INDIRECT($K172)),GETPIVOTDATA(IF($J172=1,"StdDev of ACTIVE     GHGE, FARM GATE (kg CO2e/kg)","StdDev of GHGE, processor gate (kg CO2e/kg)"),'Pivot Table_GHG'!$A$3,"SUB TYPE",$B172))</f>
        <v>0.40302432016659151</v>
      </c>
      <c r="T172" s="88"/>
      <c r="U172" s="89"/>
      <c r="W172" s="213" t="str">
        <f ca="1">IF(L172="PROXY",IF(M172&gt;=5,K172,"need group"),IF(M172&gt;=5,"DIRECT","need group"))</f>
        <v>berry</v>
      </c>
      <c r="X172" s="211">
        <f ca="1">IF($W172="DIRECT",M172,DCOUNT('literature entries'!$D:$AI,IF($J172=1,"ACTIVE     CED, FARM GATE (MJ/kg)","CED, processor gate (MJ/kg)"),INDIRECT($W172)))</f>
        <v>9</v>
      </c>
      <c r="Y172" s="211">
        <f ca="1">IF($W172="DIRECT","",DAVERAGE('literature entries'!$D:$AI,IF($J172=1,"ACTIVE     CED, FARM GATE (MJ/kg)","CED, processor gate (MJ/kg)"),INDIRECT($W172)))</f>
        <v>6.2256158484065454</v>
      </c>
      <c r="Z172" s="211">
        <f ca="1">IF($W172="DIRECT",$O172,DSTDEV('literature entries'!$D:$AI,IF($J172=1,"ACTIVE     CED, FARM GATE (MJ/kg)","CED, processor gate (MJ/kg)"),INDIRECT($W172)))</f>
        <v>3.4581080763456375</v>
      </c>
      <c r="AA172" s="211">
        <f t="shared" ca="1" si="26"/>
        <v>3.4581080763456375</v>
      </c>
      <c r="AB172" s="219" t="str">
        <f t="shared" ref="AB172:AB179" ca="1" si="27">IF(P172="PROXY",IF(Q172&gt;=5,K172,"need group"),IF(Q172&gt;=5,"DIRECT","need group"))</f>
        <v>berry</v>
      </c>
      <c r="AC172" s="212">
        <f ca="1">IF($AB172="DIRECT",Q172,DCOUNT('literature entries'!$D:$AI,IF($J172=1,"ACTIVE     GHGE, FARM GATE (kg CO2e/kg)","GHGE, processor gate (kg CO2e/kg)"),INDIRECT($AB172)))</f>
        <v>19</v>
      </c>
      <c r="AD172" s="212">
        <f ca="1">IF($AB172="DIRECT","",DAVERAGE('literature entries'!$D:$AI,IF($J172=1,"ACTIVE     GHGE, FARM GATE (kg CO2e/kg)","GHGE, processor gate (kg CO2e/kg)"),INDIRECT($AB172)))</f>
        <v>0.57597001083945576</v>
      </c>
      <c r="AE172" s="212">
        <f ca="1">IF($AB172="DIRECT",$S172,DSTDEV('literature entries'!$D:$AI,IF($J172=1,"ACTIVE     GHGE, FARM GATE (kg CO2e/kg)","GHGE, processor gate (kg CO2e/kg)"),INDIRECT($AB172)))</f>
        <v>0.40302432016659151</v>
      </c>
      <c r="AF172" s="212">
        <f t="shared" ca="1" si="25"/>
        <v>0.40302432016659151</v>
      </c>
    </row>
    <row r="173" spans="1:32" s="19" customFormat="1" thickBot="1" x14ac:dyDescent="0.25">
      <c r="A173" s="114">
        <v>1307132000</v>
      </c>
      <c r="B173" s="115" t="s">
        <v>1951</v>
      </c>
      <c r="C173" s="115" t="s">
        <v>1742</v>
      </c>
      <c r="D173" s="115"/>
      <c r="E173" s="115">
        <v>7477</v>
      </c>
      <c r="F173" s="111">
        <f t="shared" ca="1" si="16"/>
        <v>13.37530060292851</v>
      </c>
      <c r="G173" s="112">
        <f t="shared" ca="1" si="17"/>
        <v>1.7278401401712924</v>
      </c>
      <c r="H173" s="116">
        <v>1.3</v>
      </c>
      <c r="I173" s="116" t="s">
        <v>2724</v>
      </c>
      <c r="J173" s="79">
        <v>1</v>
      </c>
      <c r="K173" s="78" t="s">
        <v>2453</v>
      </c>
      <c r="L173" s="135" t="str">
        <f>IF(ISERROR(GETPIVOTDATA(IF($J173=1,"Count of ACTIVE     CED, FARM GATE (MJ/kg)","Count of CED, processor gate (MJ/kg)"),'Pivot Table_CED'!$A$3,"SUB TYPE",$B173)),"PROXY",IF(GETPIVOTDATA(IF($J173=1,"Count of ACTIVE     CED, FARM GATE (MJ/kg)","Count of CED, processor gate (MJ/kg)"),'Pivot Table_CED'!$A$3,"SUB TYPE",$B173)=0,"PROXY","DB value"))</f>
        <v>PROXY</v>
      </c>
      <c r="M173" s="118">
        <f ca="1">IF($L173="PROXY",DCOUNT('literature entries'!$D:$AI,IF($J173=1,"ACTIVE     CED, FARM GATE (MJ/kg)","CED, processor gate (MJ/kg)"),INDIRECT($K173)),GETPIVOTDATA(IF($J173=1,"Count of ACTIVE     CED, FARM GATE (MJ/kg)","Count of CED, processor gate (MJ/kg)"),'Pivot Table_CED'!$A$3,"SUB TYPE",$B173))</f>
        <v>9</v>
      </c>
      <c r="N173" s="119">
        <f ca="1">IF($L173="PROXY",DAVERAGE('literature entries'!$D:$AI,IF($J173=1,"ACTIVE     CED, FARM GATE (MJ/kg)","CED, processor gate (MJ/kg)"),INDIRECT($K173)),GETPIVOTDATA(IF($J173=1,"Average of ACTIVE     CED, FARM GATE (MJ/kg)","Average of CED, processor gate (MJ/kg)"),'Pivot Table_CED'!$A$3,"SUB TYPE",$B173))</f>
        <v>6.2256158484065454</v>
      </c>
      <c r="O173" s="119">
        <f ca="1">IF($L173="PROXY",DSTDEV('literature entries'!D:AI,IF($J173=1,"ACTIVE     CED, FARM GATE (MJ/kg)","CED, processor gate (MJ/kg)"),INDIRECT($K173)),GETPIVOTDATA(IF($J173=1,"StdDev of ACTIVE     CED, FARM GATE (MJ/kg)","StdDev of CED, processor gate (MJ/kg)"),'Pivot Table_CED'!$A$3,"SUB TYPE",$B173))</f>
        <v>3.4581080763456375</v>
      </c>
      <c r="P173" s="135" t="str">
        <f>IF(ISERROR(GETPIVOTDATA(IF($J173=1,"Count of ACTIVE     GHGE, FARM GATE (kg CO2e/kg)","Count of GHGE, processor gate (kg CO2e/kg)"),'Pivot Table_GHG'!$A$3,"SUB TYPE",$B173)),"PROXY",IF(GETPIVOTDATA(IF($J173=1,"Count of ACTIVE     GHGE, FARM GATE (kg CO2e/kg)","Count of GHGE, processor gate (kg CO2e/kg)"),'Pivot Table_GHG'!$A$3,"SUB TYPE",$B173)=0,"PROXY","DB value"))</f>
        <v>PROXY</v>
      </c>
      <c r="Q173" s="125">
        <f ca="1">IF($P173="PROXY",DCOUNT('literature entries'!$D:$AI,IF($J173=1,"ACTIVE     GHGE, FARM GATE (kg CO2e/kg)","GHGE, processor gate (kg CO2e/kg)"),INDIRECT($K173)),GETPIVOTDATA(IF($J173=1,"ACTIVE     GHGE, FARM GATE (kg CO2e/kg)","Count of GHGE, processor gate (kg CO2e/kg)"),'Pivot Table_GHG'!$A$3,"SUB TYPE",$B173))</f>
        <v>19</v>
      </c>
      <c r="R173" s="190">
        <f ca="1">IF($P173="PROXY",DAVERAGE('literature entries'!$D:$AI,IF($J173=1,"ACTIVE     GHGE, FARM GATE (kg CO2e/kg)","GHGE, processor gate (kg CO2e/kg)"),INDIRECT($K173)),GETPIVOTDATA(IF($J173=1,"Average of ACTIVE     GHGE, FARM GATE (kg CO2e/kg)","Average of GHGE, processor gate (kg CO2e/kg)"),'Pivot Table_GHG'!$A$3,"SUB TYPE",$B173))</f>
        <v>0.57597001083945576</v>
      </c>
      <c r="S173" s="190">
        <f ca="1">IF($P173="PROXY",DSTDEV('literature entries'!$D:$AI,IF($J173=1,"ACTIVE     GHGE, FARM GATE (kg CO2e/kg)","GHGE, processor gate (kg CO2e/kg)"),INDIRECT($K173)),GETPIVOTDATA(IF($J173=1,"StdDev of ACTIVE     GHGE, FARM GATE (kg CO2e/kg)","StdDev of GHGE, processor gate (kg CO2e/kg)"),'Pivot Table_GHG'!$A$3,"SUB TYPE",$B173))</f>
        <v>0.40302432016659151</v>
      </c>
      <c r="T173" s="86">
        <v>5.282</v>
      </c>
      <c r="U173" s="87">
        <v>0.97907912607999992</v>
      </c>
      <c r="W173" s="213" t="str">
        <f ca="1">IF(L173="PROXY",IF(M173&gt;=5,K173,"need group"),IF(M173&gt;=5,"DIRECT","need group"))</f>
        <v>berry</v>
      </c>
      <c r="X173" s="211">
        <f ca="1">IF($W173="DIRECT",M173,DCOUNT('literature entries'!$D:$AI,IF($J173=1,"ACTIVE     CED, FARM GATE (MJ/kg)","CED, processor gate (MJ/kg)"),INDIRECT($W173)))</f>
        <v>9</v>
      </c>
      <c r="Y173" s="211">
        <f ca="1">IF($W173="DIRECT","",DAVERAGE('literature entries'!$D:$AI,IF($J173=1,"ACTIVE     CED, FARM GATE (MJ/kg)","CED, processor gate (MJ/kg)"),INDIRECT($W173)))</f>
        <v>6.2256158484065454</v>
      </c>
      <c r="Z173" s="211">
        <f ca="1">IF($W173="DIRECT",$O173,DSTDEV('literature entries'!$D:$AI,IF($J173=1,"ACTIVE     CED, FARM GATE (MJ/kg)","CED, processor gate (MJ/kg)"),INDIRECT($W173)))</f>
        <v>3.4581080763456375</v>
      </c>
      <c r="AA173" s="211">
        <f t="shared" ca="1" si="26"/>
        <v>3.4581080763456375</v>
      </c>
      <c r="AB173" s="219" t="str">
        <f t="shared" ca="1" si="27"/>
        <v>berry</v>
      </c>
      <c r="AC173" s="212">
        <f ca="1">IF($AB173="DIRECT",Q173,DCOUNT('literature entries'!$D:$AI,IF($J173=1,"ACTIVE     GHGE, FARM GATE (kg CO2e/kg)","GHGE, processor gate (kg CO2e/kg)"),INDIRECT($AB173)))</f>
        <v>19</v>
      </c>
      <c r="AD173" s="212">
        <f ca="1">IF($AB173="DIRECT","",DAVERAGE('literature entries'!$D:$AI,IF($J173=1,"ACTIVE     GHGE, FARM GATE (kg CO2e/kg)","GHGE, processor gate (kg CO2e/kg)"),INDIRECT($AB173)))</f>
        <v>0.57597001083945576</v>
      </c>
      <c r="AE173" s="212">
        <f ca="1">IF($AB173="DIRECT",$S173,DSTDEV('literature entries'!$D:$AI,IF($J173=1,"ACTIVE     GHGE, FARM GATE (kg CO2e/kg)","GHGE, processor gate (kg CO2e/kg)"),INDIRECT($AB173)))</f>
        <v>0.40302432016659151</v>
      </c>
      <c r="AF173" s="212">
        <f t="shared" ca="1" si="25"/>
        <v>0.40302432016659151</v>
      </c>
    </row>
    <row r="174" spans="1:32" s="19" customFormat="1" thickBot="1" x14ac:dyDescent="0.25">
      <c r="A174" s="114">
        <v>1307359000</v>
      </c>
      <c r="B174" s="115" t="s">
        <v>2282</v>
      </c>
      <c r="C174" s="115" t="s">
        <v>2283</v>
      </c>
      <c r="D174" s="115"/>
      <c r="E174" s="115">
        <v>12636</v>
      </c>
      <c r="F174" s="111">
        <f t="shared" ca="1" si="16"/>
        <v>8.289200000000001</v>
      </c>
      <c r="G174" s="112">
        <f t="shared" ca="1" si="17"/>
        <v>0.61373999999999995</v>
      </c>
      <c r="H174" s="116">
        <v>1.06</v>
      </c>
      <c r="I174" s="116" t="s">
        <v>2724</v>
      </c>
      <c r="J174" s="79">
        <v>1</v>
      </c>
      <c r="K174" s="78"/>
      <c r="L174" s="135" t="str">
        <f>IF(ISERROR(GETPIVOTDATA(IF($J174=1,"Count of ACTIVE     CED, FARM GATE (MJ/kg)","Count of CED, processor gate (MJ/kg)"),'Pivot Table_CED'!$A$3,"SUB TYPE",$B174)),"PROXY",IF(GETPIVOTDATA(IF($J174=1,"Count of ACTIVE     CED, FARM GATE (MJ/kg)","Count of CED, processor gate (MJ/kg)"),'Pivot Table_CED'!$A$3,"SUB TYPE",$B174)=0,"PROXY","DB value"))</f>
        <v>DB value</v>
      </c>
      <c r="M174" s="118">
        <f ca="1">IF($L174="PROXY",DCOUNT('literature entries'!$D:$AI,IF($J174=1,"ACTIVE     CED, FARM GATE (MJ/kg)","CED, processor gate (MJ/kg)"),INDIRECT($K174)),GETPIVOTDATA(IF($J174=1,"Count of ACTIVE     CED, FARM GATE (MJ/kg)","Count of CED, processor gate (MJ/kg)"),'Pivot Table_CED'!$A$3,"SUB TYPE",$B174))</f>
        <v>5</v>
      </c>
      <c r="N174" s="119">
        <f ca="1">IF($L174="PROXY",DAVERAGE('literature entries'!$D:$AI,IF($J174=1,"ACTIVE     CED, FARM GATE (MJ/kg)","CED, processor gate (MJ/kg)"),INDIRECT($K174)),GETPIVOTDATA(IF($J174=1,"Average of ACTIVE     CED, FARM GATE (MJ/kg)","Average of CED, processor gate (MJ/kg)"),'Pivot Table_CED'!$A$3,"SUB TYPE",$B174))</f>
        <v>7.82</v>
      </c>
      <c r="O174" s="119">
        <f ca="1">IF($L174="PROXY",DSTDEV('literature entries'!D:AI,IF($J174=1,"ACTIVE     CED, FARM GATE (MJ/kg)","CED, processor gate (MJ/kg)"),INDIRECT($K174)),GETPIVOTDATA(IF($J174=1,"StdDev of ACTIVE     CED, FARM GATE (MJ/kg)","StdDev of CED, processor gate (MJ/kg)"),'Pivot Table_CED'!$A$3,"SUB TYPE",$B174))</f>
        <v>3.8931991986026073</v>
      </c>
      <c r="P174" s="135" t="str">
        <f>IF(ISERROR(GETPIVOTDATA(IF($J174=1,"Count of ACTIVE     GHGE, FARM GATE (kg CO2e/kg)","Count of GHGE, processor gate (kg CO2e/kg)"),'Pivot Table_GHG'!$A$3,"SUB TYPE",$B174)),"PROXY",IF(GETPIVOTDATA(IF($J174=1,"Count of ACTIVE     GHGE, FARM GATE (kg CO2e/kg)","Count of GHGE, processor gate (kg CO2e/kg)"),'Pivot Table_GHG'!$A$3,"SUB TYPE",$B174)=0,"PROXY","DB value"))</f>
        <v>DB value</v>
      </c>
      <c r="Q174" s="125">
        <f ca="1">IF($P174="PROXY",DCOUNT('literature entries'!$D:$AI,IF($J174=1,"ACTIVE     GHGE, FARM GATE (kg CO2e/kg)","GHGE, processor gate (kg CO2e/kg)"),INDIRECT($K174)),GETPIVOTDATA(IF($J174=1,"ACTIVE     GHGE, FARM GATE (kg CO2e/kg)","Count of GHGE, processor gate (kg CO2e/kg)"),'Pivot Table_GHG'!$A$3,"SUB TYPE",$B174))</f>
        <v>11</v>
      </c>
      <c r="R174" s="190">
        <f ca="1">IF($P174="PROXY",DAVERAGE('literature entries'!$D:$AI,IF($J174=1,"ACTIVE     GHGE, FARM GATE (kg CO2e/kg)","GHGE, processor gate (kg CO2e/kg)"),INDIRECT($K174)),GETPIVOTDATA(IF($J174=1,"Average of ACTIVE     GHGE, FARM GATE (kg CO2e/kg)","Average of GHGE, processor gate (kg CO2e/kg)"),'Pivot Table_GHG'!$A$3,"SUB TYPE",$B174))</f>
        <v>0.57899999999999996</v>
      </c>
      <c r="S174" s="190">
        <f ca="1">IF($P174="PROXY",DSTDEV('literature entries'!$D:$AI,IF($J174=1,"ACTIVE     GHGE, FARM GATE (kg CO2e/kg)","GHGE, processor gate (kg CO2e/kg)"),INDIRECT($K174)),GETPIVOTDATA(IF($J174=1,"StdDev of ACTIVE     GHGE, FARM GATE (kg CO2e/kg)","StdDev of GHGE, processor gate (kg CO2e/kg)"),'Pivot Table_GHG'!$A$3,"SUB TYPE",$B174))</f>
        <v>0.39096368117767671</v>
      </c>
      <c r="T174" s="88"/>
      <c r="U174" s="89"/>
      <c r="W174" s="213" t="s">
        <v>2453</v>
      </c>
      <c r="X174" s="211">
        <f ca="1">IF($W174="DIRECT",M174,DCOUNT('literature entries'!$D:$AI,IF($J174=1,"ACTIVE     CED, FARM GATE (MJ/kg)","CED, processor gate (MJ/kg)"),INDIRECT($W174)))</f>
        <v>9</v>
      </c>
      <c r="Y174" s="211">
        <f ca="1">IF($W174="DIRECT","",DAVERAGE('literature entries'!$D:$AI,IF($J174=1,"ACTIVE     CED, FARM GATE (MJ/kg)","CED, processor gate (MJ/kg)"),INDIRECT($W174)))</f>
        <v>6.2256158484065454</v>
      </c>
      <c r="Z174" s="211">
        <f ca="1">IF($W174="DIRECT",$O174,DSTDEV('literature entries'!$D:$AI,IF($J174=1,"ACTIVE     CED, FARM GATE (MJ/kg)","CED, processor gate (MJ/kg)"),INDIRECT($W174)))</f>
        <v>3.4581080763456375</v>
      </c>
      <c r="AA174" s="211">
        <f t="shared" ca="1" si="26"/>
        <v>4.3437317392374002</v>
      </c>
      <c r="AB174" s="219" t="str">
        <f t="shared" ca="1" si="27"/>
        <v>DIRECT</v>
      </c>
      <c r="AC174" s="212">
        <f ca="1">IF($AB174="DIRECT",Q174,DCOUNT('literature entries'!$D:$AI,IF($J174=1,"ACTIVE     GHGE, FARM GATE (kg CO2e/kg)","GHGE, processor gate (kg CO2e/kg)"),INDIRECT($AB174)))</f>
        <v>11</v>
      </c>
      <c r="AD174" s="212" t="str">
        <f ca="1">IF($AB174="DIRECT","",DAVERAGE('literature entries'!$D:$AI,IF($J174=1,"ACTIVE     GHGE, FARM GATE (kg CO2e/kg)","GHGE, processor gate (kg CO2e/kg)"),INDIRECT($AB174)))</f>
        <v/>
      </c>
      <c r="AE174" s="212">
        <f ca="1">IF($AB174="DIRECT",$S174,DSTDEV('literature entries'!$D:$AI,IF($J174=1,"ACTIVE     GHGE, FARM GATE (kg CO2e/kg)","GHGE, processor gate (kg CO2e/kg)"),INDIRECT($AB174)))</f>
        <v>0.39096368117767671</v>
      </c>
      <c r="AF174" s="212">
        <f t="shared" ca="1" si="25"/>
        <v>0.39096368117767671</v>
      </c>
    </row>
    <row r="175" spans="1:32" s="19" customFormat="1" ht="17" thickBot="1" x14ac:dyDescent="0.25">
      <c r="A175" s="114">
        <v>1307360000</v>
      </c>
      <c r="B175" s="115" t="s">
        <v>2284</v>
      </c>
      <c r="C175" s="115" t="s">
        <v>1742</v>
      </c>
      <c r="D175" s="115"/>
      <c r="E175" s="115">
        <v>9565</v>
      </c>
      <c r="F175" s="111">
        <f t="shared" ca="1" si="16"/>
        <v>15.448</v>
      </c>
      <c r="G175" s="112">
        <f t="shared" ca="1" si="17"/>
        <v>1.7317791260799997</v>
      </c>
      <c r="H175" s="116">
        <v>1.3</v>
      </c>
      <c r="I175" s="117" t="s">
        <v>2724</v>
      </c>
      <c r="J175" s="79">
        <v>1</v>
      </c>
      <c r="K175" s="78" t="s">
        <v>866</v>
      </c>
      <c r="L175" s="135" t="str">
        <f>IF(ISERROR(GETPIVOTDATA(IF($J175=1,"Count of ACTIVE     CED, FARM GATE (MJ/kg)","Count of CED, processor gate (MJ/kg)"),'Pivot Table_CED'!$A$3,"SUB TYPE",$B175)),"PROXY",IF(GETPIVOTDATA(IF($J175=1,"Count of ACTIVE     CED, FARM GATE (MJ/kg)","Count of CED, processor gate (MJ/kg)"),'Pivot Table_CED'!$A$3,"SUB TYPE",$B175)=0,"PROXY","DB value"))</f>
        <v>PROXY</v>
      </c>
      <c r="M175" s="118">
        <f ca="1">IF($L175="PROXY",DCOUNT('literature entries'!$D:$AI,IF($J175=1,"ACTIVE     CED, FARM GATE (MJ/kg)","CED, processor gate (MJ/kg)"),INDIRECT($K175)),GETPIVOTDATA(IF($J175=1,"Count of ACTIVE     CED, FARM GATE (MJ/kg)","Count of CED, processor gate (MJ/kg)"),'Pivot Table_CED'!$A$3,"SUB TYPE",$B175))</f>
        <v>5</v>
      </c>
      <c r="N175" s="119">
        <f ca="1">IF($L175="PROXY",DAVERAGE('literature entries'!$D:$AI,IF($J175=1,"ACTIVE     CED, FARM GATE (MJ/kg)","CED, processor gate (MJ/kg)"),INDIRECT($K175)),GETPIVOTDATA(IF($J175=1,"Average of ACTIVE     CED, FARM GATE (MJ/kg)","Average of CED, processor gate (MJ/kg)"),'Pivot Table_CED'!$A$3,"SUB TYPE",$B175))</f>
        <v>7.82</v>
      </c>
      <c r="O175" s="119">
        <f ca="1">IF($L175="PROXY",DSTDEV('literature entries'!D:AI,IF($J175=1,"ACTIVE     CED, FARM GATE (MJ/kg)","CED, processor gate (MJ/kg)"),INDIRECT($K175)),GETPIVOTDATA(IF($J175=1,"StdDev of ACTIVE     CED, FARM GATE (MJ/kg)","StdDev of CED, processor gate (MJ/kg)"),'Pivot Table_CED'!$A$3,"SUB TYPE",$B175))</f>
        <v>3.8931991986026073</v>
      </c>
      <c r="P175" s="135" t="str">
        <f>IF(ISERROR(GETPIVOTDATA(IF($J175=1,"Count of ACTIVE     GHGE, FARM GATE (kg CO2e/kg)","Count of GHGE, processor gate (kg CO2e/kg)"),'Pivot Table_GHG'!$A$3,"SUB TYPE",$B175)),"PROXY",IF(GETPIVOTDATA(IF($J175=1,"Count of ACTIVE     GHGE, FARM GATE (kg CO2e/kg)","Count of GHGE, processor gate (kg CO2e/kg)"),'Pivot Table_GHG'!$A$3,"SUB TYPE",$B175)=0,"PROXY","DB value"))</f>
        <v>PROXY</v>
      </c>
      <c r="Q175" s="125">
        <f ca="1">IF($P175="PROXY",DCOUNT('literature entries'!$D:$AI,IF($J175=1,"ACTIVE     GHGE, FARM GATE (kg CO2e/kg)","GHGE, processor gate (kg CO2e/kg)"),INDIRECT($K175)),GETPIVOTDATA(IF($J175=1,"ACTIVE     GHGE, FARM GATE (kg CO2e/kg)","Count of GHGE, processor gate (kg CO2e/kg)"),'Pivot Table_GHG'!$A$3,"SUB TYPE",$B175))</f>
        <v>11</v>
      </c>
      <c r="R175" s="190">
        <f ca="1">IF($P175="PROXY",DAVERAGE('literature entries'!$D:$AI,IF($J175=1,"ACTIVE     GHGE, FARM GATE (kg CO2e/kg)","GHGE, processor gate (kg CO2e/kg)"),INDIRECT($K175)),GETPIVOTDATA(IF($J175=1,"Average of ACTIVE     GHGE, FARM GATE (kg CO2e/kg)","Average of GHGE, processor gate (kg CO2e/kg)"),'Pivot Table_GHG'!$A$3,"SUB TYPE",$B175))</f>
        <v>0.57899999999999996</v>
      </c>
      <c r="S175" s="190">
        <f ca="1">IF($P175="PROXY",DSTDEV('literature entries'!$D:$AI,IF($J175=1,"ACTIVE     GHGE, FARM GATE (kg CO2e/kg)","GHGE, processor gate (kg CO2e/kg)"),INDIRECT($K175)),GETPIVOTDATA(IF($J175=1,"StdDev of ACTIVE     GHGE, FARM GATE (kg CO2e/kg)","StdDev of GHGE, processor gate (kg CO2e/kg)"),'Pivot Table_GHG'!$A$3,"SUB TYPE",$B175))</f>
        <v>0.39096368117767671</v>
      </c>
      <c r="T175" s="86">
        <v>5.282</v>
      </c>
      <c r="U175" s="87">
        <v>0.97907912607999992</v>
      </c>
      <c r="W175" s="213" t="s">
        <v>2453</v>
      </c>
      <c r="X175" s="211">
        <f ca="1">IF($W175="DIRECT",M175,DCOUNT('literature entries'!$D:$AI,IF($J175=1,"ACTIVE     CED, FARM GATE (MJ/kg)","CED, processor gate (MJ/kg)"),INDIRECT($W175)))</f>
        <v>9</v>
      </c>
      <c r="Y175" s="211">
        <f ca="1">IF($W175="DIRECT","",DAVERAGE('literature entries'!$D:$AI,IF($J175=1,"ACTIVE     CED, FARM GATE (MJ/kg)","CED, processor gate (MJ/kg)"),INDIRECT($W175)))</f>
        <v>6.2256158484065454</v>
      </c>
      <c r="Z175" s="211">
        <f ca="1">IF($W175="DIRECT",$O175,DSTDEV('literature entries'!$D:$AI,IF($J175=1,"ACTIVE     CED, FARM GATE (MJ/kg)","CED, processor gate (MJ/kg)"),INDIRECT($W175)))</f>
        <v>3.4581080763456375</v>
      </c>
      <c r="AA175" s="211">
        <f t="shared" ca="1" si="26"/>
        <v>4.3437317392374002</v>
      </c>
      <c r="AB175" s="219" t="str">
        <f t="shared" ca="1" si="27"/>
        <v>strawberry</v>
      </c>
      <c r="AC175" s="212">
        <f ca="1">IF($AB175="DIRECT",Q175,DCOUNT('literature entries'!$D:$AI,IF($J175=1,"ACTIVE     GHGE, FARM GATE (kg CO2e/kg)","GHGE, processor gate (kg CO2e/kg)"),INDIRECT($AB175)))</f>
        <v>11</v>
      </c>
      <c r="AD175" s="212">
        <f ca="1">IF($AB175="DIRECT","",DAVERAGE('literature entries'!$D:$AI,IF($J175=1,"ACTIVE     GHGE, FARM GATE (kg CO2e/kg)","GHGE, processor gate (kg CO2e/kg)"),INDIRECT($AB175)))</f>
        <v>0.57899999999999996</v>
      </c>
      <c r="AE175" s="212">
        <f ca="1">IF($AB175="DIRECT",$S175,DSTDEV('literature entries'!$D:$AI,IF($J175=1,"ACTIVE     GHGE, FARM GATE (kg CO2e/kg)","GHGE, processor gate (kg CO2e/kg)"),INDIRECT($AB175)))</f>
        <v>0.39096368117767671</v>
      </c>
      <c r="AF175" s="212">
        <f t="shared" ca="1" si="25"/>
        <v>0.39096368117767671</v>
      </c>
    </row>
    <row r="176" spans="1:32" s="19" customFormat="1" thickBot="1" x14ac:dyDescent="0.25">
      <c r="A176" s="114">
        <v>1400003000</v>
      </c>
      <c r="B176" s="115" t="s">
        <v>1728</v>
      </c>
      <c r="C176" s="115" t="s">
        <v>1729</v>
      </c>
      <c r="D176" s="115"/>
      <c r="E176" s="115">
        <v>6948</v>
      </c>
      <c r="F176" s="111">
        <f t="shared" ca="1" si="16"/>
        <v>23.2</v>
      </c>
      <c r="G176" s="112">
        <f t="shared" ca="1" si="17"/>
        <v>2.2720312499999999</v>
      </c>
      <c r="H176" s="117">
        <v>1</v>
      </c>
      <c r="I176" s="116" t="s">
        <v>2724</v>
      </c>
      <c r="J176" s="79">
        <v>1</v>
      </c>
      <c r="K176" s="78"/>
      <c r="L176" s="135" t="str">
        <f>IF(ISERROR(GETPIVOTDATA(IF($J176=1,"Count of ACTIVE     CED, FARM GATE (MJ/kg)","Count of CED, processor gate (MJ/kg)"),'Pivot Table_CED'!$A$3,"SUB TYPE",$B176)),"PROXY",IF(GETPIVOTDATA(IF($J176=1,"Count of ACTIVE     CED, FARM GATE (MJ/kg)","Count of CED, processor gate (MJ/kg)"),'Pivot Table_CED'!$A$3,"SUB TYPE",$B176)=0,"PROXY","DB value"))</f>
        <v>DB value</v>
      </c>
      <c r="M176" s="118">
        <f ca="1">IF($L176="PROXY",DCOUNT('literature entries'!$D:$AI,IF($J176=1,"ACTIVE     CED, FARM GATE (MJ/kg)","CED, processor gate (MJ/kg)"),INDIRECT($K176)),GETPIVOTDATA(IF($J176=1,"Count of ACTIVE     CED, FARM GATE (MJ/kg)","Count of CED, processor gate (MJ/kg)"),'Pivot Table_CED'!$A$3,"SUB TYPE",$B176))</f>
        <v>2</v>
      </c>
      <c r="N176" s="119">
        <f ca="1">IF($L176="PROXY",DAVERAGE('literature entries'!$D:$AI,IF($J176=1,"ACTIVE     CED, FARM GATE (MJ/kg)","CED, processor gate (MJ/kg)"),INDIRECT($K176)),GETPIVOTDATA(IF($J176=1,"Average of ACTIVE     CED, FARM GATE (MJ/kg)","Average of CED, processor gate (MJ/kg)"),'Pivot Table_CED'!$A$3,"SUB TYPE",$B176))</f>
        <v>23.2</v>
      </c>
      <c r="O176" s="119">
        <f ca="1">IF($L176="PROXY",DSTDEV('literature entries'!D:AI,IF($J176=1,"ACTIVE     CED, FARM GATE (MJ/kg)","CED, processor gate (MJ/kg)"),INDIRECT($K176)),GETPIVOTDATA(IF($J176=1,"StdDev of ACTIVE     CED, FARM GATE (MJ/kg)","StdDev of CED, processor gate (MJ/kg)"),'Pivot Table_CED'!$A$3,"SUB TYPE",$B176))</f>
        <v>1.131370849898464</v>
      </c>
      <c r="P176" s="135" t="str">
        <f>IF(ISERROR(GETPIVOTDATA(IF($J176=1,"Count of ACTIVE     GHGE, FARM GATE (kg CO2e/kg)","Count of GHGE, processor gate (kg CO2e/kg)"),'Pivot Table_GHG'!$A$3,"SUB TYPE",$B176)),"PROXY",IF(GETPIVOTDATA(IF($J176=1,"Count of ACTIVE     GHGE, FARM GATE (kg CO2e/kg)","Count of GHGE, processor gate (kg CO2e/kg)"),'Pivot Table_GHG'!$A$3,"SUB TYPE",$B176)=0,"PROXY","DB value"))</f>
        <v>DB value</v>
      </c>
      <c r="Q176" s="125">
        <f ca="1">IF($P176="PROXY",DCOUNT('literature entries'!$D:$AI,IF($J176=1,"ACTIVE     GHGE, FARM GATE (kg CO2e/kg)","GHGE, processor gate (kg CO2e/kg)"),INDIRECT($K176)),GETPIVOTDATA(IF($J176=1,"ACTIVE     GHGE, FARM GATE (kg CO2e/kg)","Count of GHGE, processor gate (kg CO2e/kg)"),'Pivot Table_GHG'!$A$3,"SUB TYPE",$B176))</f>
        <v>8</v>
      </c>
      <c r="R176" s="190">
        <f ca="1">IF($P176="PROXY",DAVERAGE('literature entries'!$D:$AI,IF($J176=1,"ACTIVE     GHGE, FARM GATE (kg CO2e/kg)","GHGE, processor gate (kg CO2e/kg)"),INDIRECT($K176)),GETPIVOTDATA(IF($J176=1,"Average of ACTIVE     GHGE, FARM GATE (kg CO2e/kg)","Average of GHGE, processor gate (kg CO2e/kg)"),'Pivot Table_GHG'!$A$3,"SUB TYPE",$B176))</f>
        <v>2.2720312499999999</v>
      </c>
      <c r="S176" s="190">
        <f ca="1">IF($P176="PROXY",DSTDEV('literature entries'!$D:$AI,IF($J176=1,"ACTIVE     GHGE, FARM GATE (kg CO2e/kg)","GHGE, processor gate (kg CO2e/kg)"),INDIRECT($K176)),GETPIVOTDATA(IF($J176=1,"StdDev of ACTIVE     GHGE, FARM GATE (kg CO2e/kg)","StdDev of GHGE, processor gate (kg CO2e/kg)"),'Pivot Table_GHG'!$A$3,"SUB TYPE",$B176))</f>
        <v>1.1714696541821485</v>
      </c>
      <c r="T176" s="80"/>
      <c r="U176" s="81"/>
      <c r="W176" s="213" t="s">
        <v>2463</v>
      </c>
      <c r="X176" s="211">
        <f ca="1">IF($W176="DIRECT",M176,DCOUNT('literature entries'!$D:$AI,IF($J176=1,"ACTIVE     CED, FARM GATE (MJ/kg)","CED, processor gate (MJ/kg)"),INDIRECT($W176)))</f>
        <v>6</v>
      </c>
      <c r="Y176" s="211">
        <f ca="1">IF($W176="DIRECT","",DAVERAGE('literature entries'!$D:$AI,IF($J176=1,"ACTIVE     CED, FARM GATE (MJ/kg)","CED, processor gate (MJ/kg)"),INDIRECT($W176)))</f>
        <v>13.969722222222222</v>
      </c>
      <c r="Z176" s="211">
        <f ca="1">IF($W176="DIRECT",$O176,DSTDEV('literature entries'!$D:$AI,IF($J176=1,"ACTIVE     CED, FARM GATE (MJ/kg)","CED, processor gate (MJ/kg)"),INDIRECT($W176)))</f>
        <v>12.174509288584247</v>
      </c>
      <c r="AA176" s="211">
        <f t="shared" ca="1" si="26"/>
        <v>20.218627901265759</v>
      </c>
      <c r="AB176" s="219" t="str">
        <f t="shared" ca="1" si="27"/>
        <v>DIRECT</v>
      </c>
      <c r="AC176" s="212">
        <f ca="1">IF($AB176="DIRECT",Q176,DCOUNT('literature entries'!$D:$AI,IF($J176=1,"ACTIVE     GHGE, FARM GATE (kg CO2e/kg)","GHGE, processor gate (kg CO2e/kg)"),INDIRECT($AB176)))</f>
        <v>8</v>
      </c>
      <c r="AD176" s="212" t="str">
        <f ca="1">IF($AB176="DIRECT","",DAVERAGE('literature entries'!$D:$AI,IF($J176=1,"ACTIVE     GHGE, FARM GATE (kg CO2e/kg)","GHGE, processor gate (kg CO2e/kg)"),INDIRECT($AB176)))</f>
        <v/>
      </c>
      <c r="AE176" s="212">
        <f ca="1">IF($AB176="DIRECT",$S176,DSTDEV('literature entries'!$D:$AI,IF($J176=1,"ACTIVE     GHGE, FARM GATE (kg CO2e/kg)","GHGE, processor gate (kg CO2e/kg)"),INDIRECT($AB176)))</f>
        <v>1.1714696541821485</v>
      </c>
      <c r="AF176" s="212">
        <f t="shared" ca="1" si="25"/>
        <v>1.1714696541821485</v>
      </c>
    </row>
    <row r="177" spans="1:32" s="19" customFormat="1" thickBot="1" x14ac:dyDescent="0.25">
      <c r="A177" s="114">
        <v>1400004000</v>
      </c>
      <c r="B177" s="115" t="s">
        <v>1730</v>
      </c>
      <c r="C177" s="115" t="s">
        <v>1731</v>
      </c>
      <c r="D177" s="115"/>
      <c r="E177" s="115">
        <v>51</v>
      </c>
      <c r="F177" s="111">
        <f t="shared" ca="1" si="16"/>
        <v>23.2</v>
      </c>
      <c r="G177" s="112">
        <f t="shared" ca="1" si="17"/>
        <v>2.2720312499999999</v>
      </c>
      <c r="H177" s="116">
        <v>1</v>
      </c>
      <c r="I177" s="116" t="s">
        <v>2724</v>
      </c>
      <c r="J177" s="79">
        <v>1</v>
      </c>
      <c r="K177" s="78" t="s">
        <v>2449</v>
      </c>
      <c r="L177" s="135" t="str">
        <f>IF(ISERROR(GETPIVOTDATA(IF($J177=1,"Count of ACTIVE     CED, FARM GATE (MJ/kg)","Count of CED, processor gate (MJ/kg)"),'Pivot Table_CED'!$A$3,"SUB TYPE",$B177)),"PROXY",IF(GETPIVOTDATA(IF($J177=1,"Count of ACTIVE     CED, FARM GATE (MJ/kg)","Count of CED, processor gate (MJ/kg)"),'Pivot Table_CED'!$A$3,"SUB TYPE",$B177)=0,"PROXY","DB value"))</f>
        <v>PROXY</v>
      </c>
      <c r="M177" s="118">
        <f ca="1">IF($L177="PROXY",DCOUNT('literature entries'!$D:$AI,IF($J177=1,"ACTIVE     CED, FARM GATE (MJ/kg)","CED, processor gate (MJ/kg)"),INDIRECT($K177)),GETPIVOTDATA(IF($J177=1,"Count of ACTIVE     CED, FARM GATE (MJ/kg)","Count of CED, processor gate (MJ/kg)"),'Pivot Table_CED'!$A$3,"SUB TYPE",$B177))</f>
        <v>2</v>
      </c>
      <c r="N177" s="119">
        <f ca="1">IF($L177="PROXY",DAVERAGE('literature entries'!$D:$AI,IF($J177=1,"ACTIVE     CED, FARM GATE (MJ/kg)","CED, processor gate (MJ/kg)"),INDIRECT($K177)),GETPIVOTDATA(IF($J177=1,"Average of ACTIVE     CED, FARM GATE (MJ/kg)","Average of CED, processor gate (MJ/kg)"),'Pivot Table_CED'!$A$3,"SUB TYPE",$B177))</f>
        <v>23.2</v>
      </c>
      <c r="O177" s="119">
        <f ca="1">IF($L177="PROXY",DSTDEV('literature entries'!D:AI,IF($J177=1,"ACTIVE     CED, FARM GATE (MJ/kg)","CED, processor gate (MJ/kg)"),INDIRECT($K177)),GETPIVOTDATA(IF($J177=1,"StdDev of ACTIVE     CED, FARM GATE (MJ/kg)","StdDev of CED, processor gate (MJ/kg)"),'Pivot Table_CED'!$A$3,"SUB TYPE",$B177))</f>
        <v>1.1313708498984771</v>
      </c>
      <c r="P177" s="135" t="str">
        <f>IF(ISERROR(GETPIVOTDATA(IF($J177=1,"Count of ACTIVE     GHGE, FARM GATE (kg CO2e/kg)","Count of GHGE, processor gate (kg CO2e/kg)"),'Pivot Table_GHG'!$A$3,"SUB TYPE",$B177)),"PROXY",IF(GETPIVOTDATA(IF($J177=1,"Count of ACTIVE     GHGE, FARM GATE (kg CO2e/kg)","Count of GHGE, processor gate (kg CO2e/kg)"),'Pivot Table_GHG'!$A$3,"SUB TYPE",$B177)=0,"PROXY","DB value"))</f>
        <v>PROXY</v>
      </c>
      <c r="Q177" s="125">
        <f ca="1">IF($P177="PROXY",DCOUNT('literature entries'!$D:$AI,IF($J177=1,"ACTIVE     GHGE, FARM GATE (kg CO2e/kg)","GHGE, processor gate (kg CO2e/kg)"),INDIRECT($K177)),GETPIVOTDATA(IF($J177=1,"ACTIVE     GHGE, FARM GATE (kg CO2e/kg)","Count of GHGE, processor gate (kg CO2e/kg)"),'Pivot Table_GHG'!$A$3,"SUB TYPE",$B177))</f>
        <v>8</v>
      </c>
      <c r="R177" s="190">
        <f ca="1">IF($P177="PROXY",DAVERAGE('literature entries'!$D:$AI,IF($J177=1,"ACTIVE     GHGE, FARM GATE (kg CO2e/kg)","GHGE, processor gate (kg CO2e/kg)"),INDIRECT($K177)),GETPIVOTDATA(IF($J177=1,"Average of ACTIVE     GHGE, FARM GATE (kg CO2e/kg)","Average of GHGE, processor gate (kg CO2e/kg)"),'Pivot Table_GHG'!$A$3,"SUB TYPE",$B177))</f>
        <v>2.2720312499999999</v>
      </c>
      <c r="S177" s="190">
        <f ca="1">IF($P177="PROXY",DSTDEV('literature entries'!$D:$AI,IF($J177=1,"ACTIVE     GHGE, FARM GATE (kg CO2e/kg)","GHGE, processor gate (kg CO2e/kg)"),INDIRECT($K177)),GETPIVOTDATA(IF($J177=1,"StdDev of ACTIVE     GHGE, FARM GATE (kg CO2e/kg)","StdDev of GHGE, processor gate (kg CO2e/kg)"),'Pivot Table_GHG'!$A$3,"SUB TYPE",$B177))</f>
        <v>1.1714696541821485</v>
      </c>
      <c r="T177" s="80"/>
      <c r="U177" s="81"/>
      <c r="W177" s="213" t="s">
        <v>2463</v>
      </c>
      <c r="X177" s="211">
        <f ca="1">IF($W177="DIRECT",M177,DCOUNT('literature entries'!$D:$AI,IF($J177=1,"ACTIVE     CED, FARM GATE (MJ/kg)","CED, processor gate (MJ/kg)"),INDIRECT($W177)))</f>
        <v>6</v>
      </c>
      <c r="Y177" s="211">
        <f ca="1">IF($W177="DIRECT","",DAVERAGE('literature entries'!$D:$AI,IF($J177=1,"ACTIVE     CED, FARM GATE (MJ/kg)","CED, processor gate (MJ/kg)"),INDIRECT($W177)))</f>
        <v>13.969722222222222</v>
      </c>
      <c r="Z177" s="211">
        <f ca="1">IF($W177="DIRECT",$O177,DSTDEV('literature entries'!$D:$AI,IF($J177=1,"ACTIVE     CED, FARM GATE (MJ/kg)","CED, processor gate (MJ/kg)"),INDIRECT($W177)))</f>
        <v>12.174509288584247</v>
      </c>
      <c r="AA177" s="211">
        <f t="shared" ca="1" si="26"/>
        <v>20.218627901265759</v>
      </c>
      <c r="AB177" s="219" t="str">
        <f t="shared" ca="1" si="27"/>
        <v>almond</v>
      </c>
      <c r="AC177" s="212">
        <f ca="1">IF($AB177="DIRECT",Q177,DCOUNT('literature entries'!$D:$AI,IF($J177=1,"ACTIVE     GHGE, FARM GATE (kg CO2e/kg)","GHGE, processor gate (kg CO2e/kg)"),INDIRECT($AB177)))</f>
        <v>8</v>
      </c>
      <c r="AD177" s="212">
        <f ca="1">IF($AB177="DIRECT","",DAVERAGE('literature entries'!$D:$AI,IF($J177=1,"ACTIVE     GHGE, FARM GATE (kg CO2e/kg)","GHGE, processor gate (kg CO2e/kg)"),INDIRECT($AB177)))</f>
        <v>2.2720312499999999</v>
      </c>
      <c r="AE177" s="212">
        <f ca="1">IF($AB177="DIRECT",$S177,DSTDEV('literature entries'!$D:$AI,IF($J177=1,"ACTIVE     GHGE, FARM GATE (kg CO2e/kg)","GHGE, processor gate (kg CO2e/kg)"),INDIRECT($AB177)))</f>
        <v>1.1714696541821485</v>
      </c>
      <c r="AF177" s="212">
        <f t="shared" ca="1" si="25"/>
        <v>1.1714696541821485</v>
      </c>
    </row>
    <row r="178" spans="1:32" s="19" customFormat="1" ht="17" thickBot="1" x14ac:dyDescent="0.25">
      <c r="A178" s="114">
        <v>1400059000</v>
      </c>
      <c r="B178" s="115" t="s">
        <v>1840</v>
      </c>
      <c r="C178" s="115" t="s">
        <v>1729</v>
      </c>
      <c r="D178" s="115"/>
      <c r="E178" s="115">
        <v>64</v>
      </c>
      <c r="F178" s="111">
        <f t="shared" ca="1" si="16"/>
        <v>13.969722222222222</v>
      </c>
      <c r="G178" s="112">
        <f t="shared" ca="1" si="17"/>
        <v>2.0569628623188403</v>
      </c>
      <c r="H178" s="116">
        <v>1</v>
      </c>
      <c r="I178" s="117" t="s">
        <v>2724</v>
      </c>
      <c r="J178" s="79">
        <v>1</v>
      </c>
      <c r="K178" s="78" t="s">
        <v>2463</v>
      </c>
      <c r="L178" s="135" t="str">
        <f>IF(ISERROR(GETPIVOTDATA(IF($J178=1,"Count of ACTIVE     CED, FARM GATE (MJ/kg)","Count of CED, processor gate (MJ/kg)"),'Pivot Table_CED'!$A$3,"SUB TYPE",$B178)),"PROXY",IF(GETPIVOTDATA(IF($J178=1,"Count of ACTIVE     CED, FARM GATE (MJ/kg)","Count of CED, processor gate (MJ/kg)"),'Pivot Table_CED'!$A$3,"SUB TYPE",$B178)=0,"PROXY","DB value"))</f>
        <v>PROXY</v>
      </c>
      <c r="M178" s="118">
        <f ca="1">IF($L178="PROXY",DCOUNT('literature entries'!$D:$AI,IF($J178=1,"ACTIVE     CED, FARM GATE (MJ/kg)","CED, processor gate (MJ/kg)"),INDIRECT($K178)),GETPIVOTDATA(IF($J178=1,"Count of ACTIVE     CED, FARM GATE (MJ/kg)","Count of CED, processor gate (MJ/kg)"),'Pivot Table_CED'!$A$3,"SUB TYPE",$B178))</f>
        <v>6</v>
      </c>
      <c r="N178" s="119">
        <f ca="1">IF($L178="PROXY",DAVERAGE('literature entries'!$D:$AI,IF($J178=1,"ACTIVE     CED, FARM GATE (MJ/kg)","CED, processor gate (MJ/kg)"),INDIRECT($K178)),GETPIVOTDATA(IF($J178=1,"Average of ACTIVE     CED, FARM GATE (MJ/kg)","Average of CED, processor gate (MJ/kg)"),'Pivot Table_CED'!$A$3,"SUB TYPE",$B178))</f>
        <v>13.969722222222222</v>
      </c>
      <c r="O178" s="119">
        <f ca="1">IF($L178="PROXY",DSTDEV('literature entries'!D:AI,IF($J178=1,"ACTIVE     CED, FARM GATE (MJ/kg)","CED, processor gate (MJ/kg)"),INDIRECT($K178)),GETPIVOTDATA(IF($J178=1,"StdDev of ACTIVE     CED, FARM GATE (MJ/kg)","StdDev of CED, processor gate (MJ/kg)"),'Pivot Table_CED'!$A$3,"SUB TYPE",$B178))</f>
        <v>12.174509288584247</v>
      </c>
      <c r="P178" s="135" t="str">
        <f>IF(ISERROR(GETPIVOTDATA(IF($J178=1,"Count of ACTIVE     GHGE, FARM GATE (kg CO2e/kg)","Count of GHGE, processor gate (kg CO2e/kg)"),'Pivot Table_GHG'!$A$3,"SUB TYPE",$B178)),"PROXY",IF(GETPIVOTDATA(IF($J178=1,"Count of ACTIVE     GHGE, FARM GATE (kg CO2e/kg)","Count of GHGE, processor gate (kg CO2e/kg)"),'Pivot Table_GHG'!$A$3,"SUB TYPE",$B178)=0,"PROXY","DB value"))</f>
        <v>PROXY</v>
      </c>
      <c r="Q178" s="125">
        <f ca="1">IF($P178="PROXY",DCOUNT('literature entries'!$D:$AI,IF($J178=1,"ACTIVE     GHGE, FARM GATE (kg CO2e/kg)","GHGE, processor gate (kg CO2e/kg)"),INDIRECT($K178)),GETPIVOTDATA(IF($J178=1,"ACTIVE     GHGE, FARM GATE (kg CO2e/kg)","Count of GHGE, processor gate (kg CO2e/kg)"),'Pivot Table_GHG'!$A$3,"SUB TYPE",$B178))</f>
        <v>23</v>
      </c>
      <c r="R178" s="190">
        <f ca="1">IF($P178="PROXY",DAVERAGE('literature entries'!$D:$AI,IF($J178=1,"ACTIVE     GHGE, FARM GATE (kg CO2e/kg)","GHGE, processor gate (kg CO2e/kg)"),INDIRECT($K178)),GETPIVOTDATA(IF($J178=1,"Average of ACTIVE     GHGE, FARM GATE (kg CO2e/kg)","Average of GHGE, processor gate (kg CO2e/kg)"),'Pivot Table_GHG'!$A$3,"SUB TYPE",$B178))</f>
        <v>2.0569628623188403</v>
      </c>
      <c r="S178" s="190">
        <f ca="1">IF($P178="PROXY",DSTDEV('literature entries'!$D:$AI,IF($J178=1,"ACTIVE     GHGE, FARM GATE (kg CO2e/kg)","GHGE, processor gate (kg CO2e/kg)"),INDIRECT($K178)),GETPIVOTDATA(IF($J178=1,"StdDev of ACTIVE     GHGE, FARM GATE (kg CO2e/kg)","StdDev of GHGE, processor gate (kg CO2e/kg)"),'Pivot Table_GHG'!$A$3,"SUB TYPE",$B178))</f>
        <v>1.8731562532671704</v>
      </c>
      <c r="T178" s="88"/>
      <c r="U178" s="89"/>
      <c r="W178" s="213" t="s">
        <v>2463</v>
      </c>
      <c r="X178" s="211">
        <f ca="1">IF($W178="DIRECT",M178,DCOUNT('literature entries'!$D:$AI,IF($J178=1,"ACTIVE     CED, FARM GATE (MJ/kg)","CED, processor gate (MJ/kg)"),INDIRECT($W178)))</f>
        <v>6</v>
      </c>
      <c r="Y178" s="211">
        <f ca="1">IF($W178="DIRECT","",DAVERAGE('literature entries'!$D:$AI,IF($J178=1,"ACTIVE     CED, FARM GATE (MJ/kg)","CED, processor gate (MJ/kg)"),INDIRECT($W178)))</f>
        <v>13.969722222222222</v>
      </c>
      <c r="Z178" s="211">
        <f ca="1">IF($W178="DIRECT",$O178,DSTDEV('literature entries'!$D:$AI,IF($J178=1,"ACTIVE     CED, FARM GATE (MJ/kg)","CED, processor gate (MJ/kg)"),INDIRECT($W178)))</f>
        <v>12.174509288584247</v>
      </c>
      <c r="AA178" s="211">
        <f t="shared" ca="1" si="26"/>
        <v>12.174509288584247</v>
      </c>
      <c r="AB178" s="219" t="str">
        <f t="shared" ca="1" si="27"/>
        <v>nut</v>
      </c>
      <c r="AC178" s="212">
        <f ca="1">IF($AB178="DIRECT",Q178,DCOUNT('literature entries'!$D:$AI,IF($J178=1,"ACTIVE     GHGE, FARM GATE (kg CO2e/kg)","GHGE, processor gate (kg CO2e/kg)"),INDIRECT($AB178)))</f>
        <v>23</v>
      </c>
      <c r="AD178" s="212">
        <f ca="1">IF($AB178="DIRECT","",DAVERAGE('literature entries'!$D:$AI,IF($J178=1,"ACTIVE     GHGE, FARM GATE (kg CO2e/kg)","GHGE, processor gate (kg CO2e/kg)"),INDIRECT($AB178)))</f>
        <v>2.0569628623188403</v>
      </c>
      <c r="AE178" s="212">
        <f ca="1">IF($AB178="DIRECT",$S178,DSTDEV('literature entries'!$D:$AI,IF($J178=1,"ACTIVE     GHGE, FARM GATE (kg CO2e/kg)","GHGE, processor gate (kg CO2e/kg)"),INDIRECT($AB178)))</f>
        <v>1.8731562532671704</v>
      </c>
      <c r="AF178" s="212">
        <f t="shared" ca="1" si="25"/>
        <v>1.8731562532671704</v>
      </c>
    </row>
    <row r="179" spans="1:32" s="19" customFormat="1" ht="17" thickBot="1" x14ac:dyDescent="0.25">
      <c r="A179" s="114">
        <v>1400068000</v>
      </c>
      <c r="B179" s="115" t="s">
        <v>1852</v>
      </c>
      <c r="C179" s="115" t="s">
        <v>1729</v>
      </c>
      <c r="D179" s="115"/>
      <c r="E179" s="115">
        <v>9</v>
      </c>
      <c r="F179" s="111">
        <f t="shared" ca="1" si="16"/>
        <v>13.969722222222222</v>
      </c>
      <c r="G179" s="112">
        <f t="shared" ca="1" si="17"/>
        <v>2.0569628623188403</v>
      </c>
      <c r="H179" s="116">
        <v>1</v>
      </c>
      <c r="I179" s="117" t="s">
        <v>594</v>
      </c>
      <c r="J179" s="79">
        <v>1</v>
      </c>
      <c r="K179" s="78" t="s">
        <v>2463</v>
      </c>
      <c r="L179" s="135" t="str">
        <f>IF(ISERROR(GETPIVOTDATA(IF($J179=1,"Count of ACTIVE     CED, FARM GATE (MJ/kg)","Count of CED, processor gate (MJ/kg)"),'Pivot Table_CED'!$A$3,"SUB TYPE",$B179)),"PROXY",IF(GETPIVOTDATA(IF($J179=1,"Count of ACTIVE     CED, FARM GATE (MJ/kg)","Count of CED, processor gate (MJ/kg)"),'Pivot Table_CED'!$A$3,"SUB TYPE",$B179)=0,"PROXY","DB value"))</f>
        <v>PROXY</v>
      </c>
      <c r="M179" s="118">
        <f ca="1">IF($L179="PROXY",DCOUNT('literature entries'!$D:$AI,IF($J179=1,"ACTIVE     CED, FARM GATE (MJ/kg)","CED, processor gate (MJ/kg)"),INDIRECT($K179)),GETPIVOTDATA(IF($J179=1,"Count of ACTIVE     CED, FARM GATE (MJ/kg)","Count of CED, processor gate (MJ/kg)"),'Pivot Table_CED'!$A$3,"SUB TYPE",$B179))</f>
        <v>6</v>
      </c>
      <c r="N179" s="119">
        <f ca="1">IF($L179="PROXY",DAVERAGE('literature entries'!$D:$AI,IF($J179=1,"ACTIVE     CED, FARM GATE (MJ/kg)","CED, processor gate (MJ/kg)"),INDIRECT($K179)),GETPIVOTDATA(IF($J179=1,"Average of ACTIVE     CED, FARM GATE (MJ/kg)","Average of CED, processor gate (MJ/kg)"),'Pivot Table_CED'!$A$3,"SUB TYPE",$B179))</f>
        <v>13.969722222222222</v>
      </c>
      <c r="O179" s="119">
        <f ca="1">IF($L179="PROXY",DSTDEV('literature entries'!D:AI,IF($J179=1,"ACTIVE     CED, FARM GATE (MJ/kg)","CED, processor gate (MJ/kg)"),INDIRECT($K179)),GETPIVOTDATA(IF($J179=1,"StdDev of ACTIVE     CED, FARM GATE (MJ/kg)","StdDev of CED, processor gate (MJ/kg)"),'Pivot Table_CED'!$A$3,"SUB TYPE",$B179))</f>
        <v>12.174509288584247</v>
      </c>
      <c r="P179" s="135" t="str">
        <f>IF(ISERROR(GETPIVOTDATA(IF($J179=1,"Count of ACTIVE     GHGE, FARM GATE (kg CO2e/kg)","Count of GHGE, processor gate (kg CO2e/kg)"),'Pivot Table_GHG'!$A$3,"SUB TYPE",$B179)),"PROXY",IF(GETPIVOTDATA(IF($J179=1,"Count of ACTIVE     GHGE, FARM GATE (kg CO2e/kg)","Count of GHGE, processor gate (kg CO2e/kg)"),'Pivot Table_GHG'!$A$3,"SUB TYPE",$B179)=0,"PROXY","DB value"))</f>
        <v>PROXY</v>
      </c>
      <c r="Q179" s="125">
        <f ca="1">IF($P179="PROXY",DCOUNT('literature entries'!$D:$AI,IF($J179=1,"ACTIVE     GHGE, FARM GATE (kg CO2e/kg)","GHGE, processor gate (kg CO2e/kg)"),INDIRECT($K179)),GETPIVOTDATA(IF($J179=1,"ACTIVE     GHGE, FARM GATE (kg CO2e/kg)","Count of GHGE, processor gate (kg CO2e/kg)"),'Pivot Table_GHG'!$A$3,"SUB TYPE",$B179))</f>
        <v>23</v>
      </c>
      <c r="R179" s="190">
        <f ca="1">IF($P179="PROXY",DAVERAGE('literature entries'!$D:$AI,IF($J179=1,"ACTIVE     GHGE, FARM GATE (kg CO2e/kg)","GHGE, processor gate (kg CO2e/kg)"),INDIRECT($K179)),GETPIVOTDATA(IF($J179=1,"Average of ACTIVE     GHGE, FARM GATE (kg CO2e/kg)","Average of GHGE, processor gate (kg CO2e/kg)"),'Pivot Table_GHG'!$A$3,"SUB TYPE",$B179))</f>
        <v>2.0569628623188403</v>
      </c>
      <c r="S179" s="190">
        <f ca="1">IF($P179="PROXY",DSTDEV('literature entries'!$D:$AI,IF($J179=1,"ACTIVE     GHGE, FARM GATE (kg CO2e/kg)","GHGE, processor gate (kg CO2e/kg)"),INDIRECT($K179)),GETPIVOTDATA(IF($J179=1,"StdDev of ACTIVE     GHGE, FARM GATE (kg CO2e/kg)","StdDev of GHGE, processor gate (kg CO2e/kg)"),'Pivot Table_GHG'!$A$3,"SUB TYPE",$B179))</f>
        <v>1.8731562532671704</v>
      </c>
      <c r="T179" s="88"/>
      <c r="U179" s="89"/>
      <c r="W179" s="213" t="s">
        <v>2463</v>
      </c>
      <c r="X179" s="211">
        <f ca="1">IF($W179="DIRECT",M179,DCOUNT('literature entries'!$D:$AI,IF($J179=1,"ACTIVE     CED, FARM GATE (MJ/kg)","CED, processor gate (MJ/kg)"),INDIRECT($W179)))</f>
        <v>6</v>
      </c>
      <c r="Y179" s="211">
        <f ca="1">IF($W179="DIRECT","",DAVERAGE('literature entries'!$D:$AI,IF($J179=1,"ACTIVE     CED, FARM GATE (MJ/kg)","CED, processor gate (MJ/kg)"),INDIRECT($W179)))</f>
        <v>13.969722222222222</v>
      </c>
      <c r="Z179" s="211">
        <f ca="1">IF($W179="DIRECT",$O179,DSTDEV('literature entries'!$D:$AI,IF($J179=1,"ACTIVE     CED, FARM GATE (MJ/kg)","CED, processor gate (MJ/kg)"),INDIRECT($W179)))</f>
        <v>12.174509288584247</v>
      </c>
      <c r="AA179" s="211">
        <f t="shared" ca="1" si="26"/>
        <v>12.174509288584247</v>
      </c>
      <c r="AB179" s="219" t="str">
        <f t="shared" ca="1" si="27"/>
        <v>nut</v>
      </c>
      <c r="AC179" s="212">
        <f ca="1">IF($AB179="DIRECT",Q179,DCOUNT('literature entries'!$D:$AI,IF($J179=1,"ACTIVE     GHGE, FARM GATE (kg CO2e/kg)","GHGE, processor gate (kg CO2e/kg)"),INDIRECT($AB179)))</f>
        <v>23</v>
      </c>
      <c r="AD179" s="212">
        <f ca="1">IF($AB179="DIRECT","",DAVERAGE('literature entries'!$D:$AI,IF($J179=1,"ACTIVE     GHGE, FARM GATE (kg CO2e/kg)","GHGE, processor gate (kg CO2e/kg)"),INDIRECT($AB179)))</f>
        <v>2.0569628623188403</v>
      </c>
      <c r="AE179" s="212">
        <f ca="1">IF($AB179="DIRECT",$S179,DSTDEV('literature entries'!$D:$AI,IF($J179=1,"ACTIVE     GHGE, FARM GATE (kg CO2e/kg)","GHGE, processor gate (kg CO2e/kg)"),INDIRECT($AB179)))</f>
        <v>1.8731562532671704</v>
      </c>
      <c r="AF179" s="212">
        <f t="shared" ca="1" si="25"/>
        <v>1.8731562532671704</v>
      </c>
    </row>
    <row r="180" spans="1:32" s="19" customFormat="1" ht="17" thickBot="1" x14ac:dyDescent="0.25">
      <c r="A180" s="114">
        <v>1400081000</v>
      </c>
      <c r="B180" s="115" t="s">
        <v>1867</v>
      </c>
      <c r="C180" s="115" t="s">
        <v>1729</v>
      </c>
      <c r="D180" s="115"/>
      <c r="E180" s="115">
        <v>2217</v>
      </c>
      <c r="F180" s="111">
        <f t="shared" ca="1" si="16"/>
        <v>13.969722222222222</v>
      </c>
      <c r="G180" s="112">
        <f t="shared" ca="1" si="17"/>
        <v>4.9989999999999997</v>
      </c>
      <c r="H180" s="116">
        <v>1</v>
      </c>
      <c r="I180" s="117" t="s">
        <v>628</v>
      </c>
      <c r="J180" s="79">
        <v>1</v>
      </c>
      <c r="K180" s="78" t="s">
        <v>2463</v>
      </c>
      <c r="L180" s="135" t="str">
        <f>IF(ISERROR(GETPIVOTDATA(IF($J180=1,"Count of ACTIVE     CED, FARM GATE (MJ/kg)","Count of CED, processor gate (MJ/kg)"),'Pivot Table_CED'!$A$3,"SUB TYPE",$B180)),"PROXY",IF(GETPIVOTDATA(IF($J180=1,"Count of ACTIVE     CED, FARM GATE (MJ/kg)","Count of CED, processor gate (MJ/kg)"),'Pivot Table_CED'!$A$3,"SUB TYPE",$B180)=0,"PROXY","DB value"))</f>
        <v>PROXY</v>
      </c>
      <c r="M180" s="118">
        <f ca="1">IF($L180="PROXY",DCOUNT('literature entries'!$D:$AI,IF($J180=1,"ACTIVE     CED, FARM GATE (MJ/kg)","CED, processor gate (MJ/kg)"),INDIRECT($K180)),GETPIVOTDATA(IF($J180=1,"Count of ACTIVE     CED, FARM GATE (MJ/kg)","Count of CED, processor gate (MJ/kg)"),'Pivot Table_CED'!$A$3,"SUB TYPE",$B180))</f>
        <v>6</v>
      </c>
      <c r="N180" s="119">
        <f ca="1">IF($L180="PROXY",DAVERAGE('literature entries'!$D:$AI,IF($J180=1,"ACTIVE     CED, FARM GATE (MJ/kg)","CED, processor gate (MJ/kg)"),INDIRECT($K180)),GETPIVOTDATA(IF($J180=1,"Average of ACTIVE     CED, FARM GATE (MJ/kg)","Average of CED, processor gate (MJ/kg)"),'Pivot Table_CED'!$A$3,"SUB TYPE",$B180))</f>
        <v>13.969722222222222</v>
      </c>
      <c r="O180" s="119">
        <f ca="1">IF($L180="PROXY",DSTDEV('literature entries'!D:AI,IF($J180=1,"ACTIVE     CED, FARM GATE (MJ/kg)","CED, processor gate (MJ/kg)"),INDIRECT($K180)),GETPIVOTDATA(IF($J180=1,"StdDev of ACTIVE     CED, FARM GATE (MJ/kg)","StdDev of CED, processor gate (MJ/kg)"),'Pivot Table_CED'!$A$3,"SUB TYPE",$B180))</f>
        <v>12.174509288584247</v>
      </c>
      <c r="P180" s="135" t="str">
        <f>IF(ISERROR(GETPIVOTDATA(IF($J180=1,"Count of ACTIVE     GHGE, FARM GATE (kg CO2e/kg)","Count of GHGE, processor gate (kg CO2e/kg)"),'Pivot Table_GHG'!$A$3,"SUB TYPE",$B180)),"PROXY",IF(GETPIVOTDATA(IF($J180=1,"Count of ACTIVE     GHGE, FARM GATE (kg CO2e/kg)","Count of GHGE, processor gate (kg CO2e/kg)"),'Pivot Table_GHG'!$A$3,"SUB TYPE",$B180)=0,"PROXY","DB value"))</f>
        <v>DB value</v>
      </c>
      <c r="Q180" s="125">
        <f ca="1">IF($P180="PROXY",DCOUNT('literature entries'!$D:$AI,IF($J180=1,"ACTIVE     GHGE, FARM GATE (kg CO2e/kg)","GHGE, processor gate (kg CO2e/kg)"),INDIRECT($K180)),GETPIVOTDATA(IF($J180=1,"ACTIVE     GHGE, FARM GATE (kg CO2e/kg)","Count of GHGE, processor gate (kg CO2e/kg)"),'Pivot Table_GHG'!$A$3,"SUB TYPE",$B180))</f>
        <v>3</v>
      </c>
      <c r="R180" s="190">
        <f ca="1">IF($P180="PROXY",DAVERAGE('literature entries'!$D:$AI,IF($J180=1,"ACTIVE     GHGE, FARM GATE (kg CO2e/kg)","GHGE, processor gate (kg CO2e/kg)"),INDIRECT($K180)),GETPIVOTDATA(IF($J180=1,"Average of ACTIVE     GHGE, FARM GATE (kg CO2e/kg)","Average of GHGE, processor gate (kg CO2e/kg)"),'Pivot Table_GHG'!$A$3,"SUB TYPE",$B180))</f>
        <v>4.9989999999999997</v>
      </c>
      <c r="S180" s="190">
        <f ca="1">IF($P180="PROXY",DSTDEV('literature entries'!$D:$AI,IF($J180=1,"ACTIVE     GHGE, FARM GATE (kg CO2e/kg)","GHGE, processor gate (kg CO2e/kg)"),INDIRECT($K180)),GETPIVOTDATA(IF($J180=1,"StdDev of ACTIVE     GHGE, FARM GATE (kg CO2e/kg)","StdDev of GHGE, processor gate (kg CO2e/kg)"),'Pivot Table_GHG'!$A$3,"SUB TYPE",$B180))</f>
        <v>3.6052313379310337</v>
      </c>
      <c r="T180" s="88"/>
      <c r="U180" s="89"/>
      <c r="W180" s="213" t="s">
        <v>2463</v>
      </c>
      <c r="X180" s="211">
        <f ca="1">IF($W180="DIRECT",M180,DCOUNT('literature entries'!$D:$AI,IF($J180=1,"ACTIVE     CED, FARM GATE (MJ/kg)","CED, processor gate (MJ/kg)"),INDIRECT($W180)))</f>
        <v>6</v>
      </c>
      <c r="Y180" s="211">
        <f ca="1">IF($W180="DIRECT","",DAVERAGE('literature entries'!$D:$AI,IF($J180=1,"ACTIVE     CED, FARM GATE (MJ/kg)","CED, processor gate (MJ/kg)"),INDIRECT($W180)))</f>
        <v>13.969722222222222</v>
      </c>
      <c r="Z180" s="211">
        <f ca="1">IF($W180="DIRECT",$O180,DSTDEV('literature entries'!$D:$AI,IF($J180=1,"ACTIVE     CED, FARM GATE (MJ/kg)","CED, processor gate (MJ/kg)"),INDIRECT($W180)))</f>
        <v>12.174509288584247</v>
      </c>
      <c r="AA180" s="211">
        <f t="shared" ca="1" si="26"/>
        <v>12.174509288584247</v>
      </c>
      <c r="AB180" s="219" t="s">
        <v>2463</v>
      </c>
      <c r="AC180" s="212">
        <f ca="1">IF($AB180="DIRECT",Q180,DCOUNT('literature entries'!$D:$AI,IF($J180=1,"ACTIVE     GHGE, FARM GATE (kg CO2e/kg)","GHGE, processor gate (kg CO2e/kg)"),INDIRECT($AB180)))</f>
        <v>23</v>
      </c>
      <c r="AD180" s="212">
        <f ca="1">IF($AB180="DIRECT","",DAVERAGE('literature entries'!$D:$AI,IF($J180=1,"ACTIVE     GHGE, FARM GATE (kg CO2e/kg)","GHGE, processor gate (kg CO2e/kg)"),INDIRECT($AB180)))</f>
        <v>2.0569628623188403</v>
      </c>
      <c r="AE180" s="212">
        <f ca="1">IF($AB180="DIRECT",$S180,DSTDEV('literature entries'!$D:$AI,IF($J180=1,"ACTIVE     GHGE, FARM GATE (kg CO2e/kg)","GHGE, processor gate (kg CO2e/kg)"),INDIRECT($AB180)))</f>
        <v>1.8731562532671704</v>
      </c>
      <c r="AF180" s="212">
        <f t="shared" ca="1" si="25"/>
        <v>4.552298090363446</v>
      </c>
    </row>
    <row r="181" spans="1:32" s="19" customFormat="1" ht="17" thickBot="1" x14ac:dyDescent="0.25">
      <c r="A181" s="114">
        <v>1400092000</v>
      </c>
      <c r="B181" s="115" t="s">
        <v>1883</v>
      </c>
      <c r="C181" s="115" t="s">
        <v>1884</v>
      </c>
      <c r="D181" s="115"/>
      <c r="E181" s="115">
        <v>10</v>
      </c>
      <c r="F181" s="111">
        <f t="shared" ca="1" si="16"/>
        <v>17.322455555555557</v>
      </c>
      <c r="G181" s="112">
        <f t="shared" ca="1" si="17"/>
        <v>1.2689333333333335</v>
      </c>
      <c r="H181" s="116">
        <v>1.24</v>
      </c>
      <c r="I181" s="117" t="s">
        <v>2724</v>
      </c>
      <c r="J181" s="79">
        <v>1</v>
      </c>
      <c r="K181" s="78" t="s">
        <v>2463</v>
      </c>
      <c r="L181" s="135" t="str">
        <f>IF(ISERROR(GETPIVOTDATA(IF($J181=1,"Count of ACTIVE     CED, FARM GATE (MJ/kg)","Count of CED, processor gate (MJ/kg)"),'Pivot Table_CED'!$A$3,"SUB TYPE",$B181)),"PROXY",IF(GETPIVOTDATA(IF($J181=1,"Count of ACTIVE     CED, FARM GATE (MJ/kg)","Count of CED, processor gate (MJ/kg)"),'Pivot Table_CED'!$A$3,"SUB TYPE",$B181)=0,"PROXY","DB value"))</f>
        <v>PROXY</v>
      </c>
      <c r="M181" s="118">
        <f ca="1">IF($L181="PROXY",DCOUNT('literature entries'!$D:$AI,IF($J181=1,"ACTIVE     CED, FARM GATE (MJ/kg)","CED, processor gate (MJ/kg)"),INDIRECT($K181)),GETPIVOTDATA(IF($J181=1,"Count of ACTIVE     CED, FARM GATE (MJ/kg)","Count of CED, processor gate (MJ/kg)"),'Pivot Table_CED'!$A$3,"SUB TYPE",$B181))</f>
        <v>6</v>
      </c>
      <c r="N181" s="119">
        <f ca="1">IF($L181="PROXY",DAVERAGE('literature entries'!$D:$AI,IF($J181=1,"ACTIVE     CED, FARM GATE (MJ/kg)","CED, processor gate (MJ/kg)"),INDIRECT($K181)),GETPIVOTDATA(IF($J181=1,"Average of ACTIVE     CED, FARM GATE (MJ/kg)","Average of CED, processor gate (MJ/kg)"),'Pivot Table_CED'!$A$3,"SUB TYPE",$B181))</f>
        <v>13.969722222222222</v>
      </c>
      <c r="O181" s="119">
        <f ca="1">IF($L181="PROXY",DSTDEV('literature entries'!D:AI,IF($J181=1,"ACTIVE     CED, FARM GATE (MJ/kg)","CED, processor gate (MJ/kg)"),INDIRECT($K181)),GETPIVOTDATA(IF($J181=1,"StdDev of ACTIVE     CED, FARM GATE (MJ/kg)","StdDev of CED, processor gate (MJ/kg)"),'Pivot Table_CED'!$A$3,"SUB TYPE",$B181))</f>
        <v>12.174509288584247</v>
      </c>
      <c r="P181" s="135" t="str">
        <f>IF(ISERROR(GETPIVOTDATA(IF($J181=1,"Count of ACTIVE     GHGE, FARM GATE (kg CO2e/kg)","Count of GHGE, processor gate (kg CO2e/kg)"),'Pivot Table_GHG'!$A$3,"SUB TYPE",$B181)),"PROXY",IF(GETPIVOTDATA(IF($J181=1,"Count of ACTIVE     GHGE, FARM GATE (kg CO2e/kg)","Count of GHGE, processor gate (kg CO2e/kg)"),'Pivot Table_GHG'!$A$3,"SUB TYPE",$B181)=0,"PROXY","DB value"))</f>
        <v>DB value</v>
      </c>
      <c r="Q181" s="125">
        <f ca="1">IF($P181="PROXY",DCOUNT('literature entries'!$D:$AI,IF($J181=1,"ACTIVE     GHGE, FARM GATE (kg CO2e/kg)","GHGE, processor gate (kg CO2e/kg)"),INDIRECT($K181)),GETPIVOTDATA(IF($J181=1,"ACTIVE     GHGE, FARM GATE (kg CO2e/kg)","Count of GHGE, processor gate (kg CO2e/kg)"),'Pivot Table_GHG'!$A$3,"SUB TYPE",$B181))</f>
        <v>3</v>
      </c>
      <c r="R181" s="190">
        <f ca="1">IF($P181="PROXY",DAVERAGE('literature entries'!$D:$AI,IF($J181=1,"ACTIVE     GHGE, FARM GATE (kg CO2e/kg)","GHGE, processor gate (kg CO2e/kg)"),INDIRECT($K181)),GETPIVOTDATA(IF($J181=1,"Average of ACTIVE     GHGE, FARM GATE (kg CO2e/kg)","Average of GHGE, processor gate (kg CO2e/kg)"),'Pivot Table_GHG'!$A$3,"SUB TYPE",$B181))</f>
        <v>1.0233333333333334</v>
      </c>
      <c r="S181" s="190">
        <f ca="1">IF($P181="PROXY",DSTDEV('literature entries'!$D:$AI,IF($J181=1,"ACTIVE     GHGE, FARM GATE (kg CO2e/kg)","GHGE, processor gate (kg CO2e/kg)"),INDIRECT($K181)),GETPIVOTDATA(IF($J181=1,"StdDev of ACTIVE     GHGE, FARM GATE (kg CO2e/kg)","StdDev of GHGE, processor gate (kg CO2e/kg)"),'Pivot Table_GHG'!$A$3,"SUB TYPE",$B181))</f>
        <v>0.51384173957876711</v>
      </c>
      <c r="T181" s="88"/>
      <c r="U181" s="89"/>
      <c r="W181" s="213" t="s">
        <v>2463</v>
      </c>
      <c r="X181" s="211">
        <f ca="1">IF($W181="DIRECT",M181,DCOUNT('literature entries'!$D:$AI,IF($J181=1,"ACTIVE     CED, FARM GATE (MJ/kg)","CED, processor gate (MJ/kg)"),INDIRECT($W181)))</f>
        <v>6</v>
      </c>
      <c r="Y181" s="211">
        <f ca="1">IF($W181="DIRECT","",DAVERAGE('literature entries'!$D:$AI,IF($J181=1,"ACTIVE     CED, FARM GATE (MJ/kg)","CED, processor gate (MJ/kg)"),INDIRECT($W181)))</f>
        <v>13.969722222222222</v>
      </c>
      <c r="Z181" s="211">
        <f ca="1">IF($W181="DIRECT",$O181,DSTDEV('literature entries'!$D:$AI,IF($J181=1,"ACTIVE     CED, FARM GATE (MJ/kg)","CED, processor gate (MJ/kg)"),INDIRECT($W181)))</f>
        <v>12.174509288584247</v>
      </c>
      <c r="AA181" s="211">
        <f t="shared" ca="1" si="26"/>
        <v>12.174509288584247</v>
      </c>
      <c r="AB181" s="219" t="s">
        <v>2463</v>
      </c>
      <c r="AC181" s="212">
        <f ca="1">IF($AB181="DIRECT",Q181,DCOUNT('literature entries'!$D:$AI,IF($J181=1,"ACTIVE     GHGE, FARM GATE (kg CO2e/kg)","GHGE, processor gate (kg CO2e/kg)"),INDIRECT($AB181)))</f>
        <v>23</v>
      </c>
      <c r="AD181" s="212">
        <f ca="1">IF($AB181="DIRECT","",DAVERAGE('literature entries'!$D:$AI,IF($J181=1,"ACTIVE     GHGE, FARM GATE (kg CO2e/kg)","GHGE, processor gate (kg CO2e/kg)"),INDIRECT($AB181)))</f>
        <v>2.0569628623188403</v>
      </c>
      <c r="AE181" s="212">
        <f ca="1">IF($AB181="DIRECT",$S181,DSTDEV('literature entries'!$D:$AI,IF($J181=1,"ACTIVE     GHGE, FARM GATE (kg CO2e/kg)","GHGE, processor gate (kg CO2e/kg)"),INDIRECT($AB181)))</f>
        <v>1.8731562532671704</v>
      </c>
      <c r="AF181" s="212">
        <f t="shared" ca="1" si="25"/>
        <v>0.93189005383848644</v>
      </c>
    </row>
    <row r="182" spans="1:32" s="19" customFormat="1" ht="17" thickBot="1" x14ac:dyDescent="0.25">
      <c r="A182" s="114">
        <v>1400111000</v>
      </c>
      <c r="B182" s="115" t="s">
        <v>1920</v>
      </c>
      <c r="C182" s="115" t="s">
        <v>1921</v>
      </c>
      <c r="D182" s="115" t="s">
        <v>1922</v>
      </c>
      <c r="E182" s="115">
        <v>98</v>
      </c>
      <c r="F182" s="111">
        <f t="shared" ca="1" si="16"/>
        <v>5.7717333333333327</v>
      </c>
      <c r="G182" s="112">
        <f t="shared" ca="1" si="17"/>
        <v>1.5205733333333333</v>
      </c>
      <c r="H182" s="116">
        <v>1.92</v>
      </c>
      <c r="I182" s="117" t="s">
        <v>2737</v>
      </c>
      <c r="J182" s="79">
        <v>1</v>
      </c>
      <c r="K182" s="78"/>
      <c r="L182" s="135" t="str">
        <f>IF(ISERROR(GETPIVOTDATA(IF($J182=1,"Count of ACTIVE     CED, FARM GATE (MJ/kg)","Count of CED, processor gate (MJ/kg)"),'Pivot Table_CED'!$A$3,"SUB TYPE",$B182)),"PROXY",IF(GETPIVOTDATA(IF($J182=1,"Count of ACTIVE     CED, FARM GATE (MJ/kg)","Count of CED, processor gate (MJ/kg)"),'Pivot Table_CED'!$A$3,"SUB TYPE",$B182)=0,"PROXY","DB value"))</f>
        <v>DB value</v>
      </c>
      <c r="M182" s="118">
        <f ca="1">IF($L182="PROXY",DCOUNT('literature entries'!$D:$AI,IF($J182=1,"ACTIVE     CED, FARM GATE (MJ/kg)","CED, processor gate (MJ/kg)"),INDIRECT($K182)),GETPIVOTDATA(IF($J182=1,"Count of ACTIVE     CED, FARM GATE (MJ/kg)","Count of CED, processor gate (MJ/kg)"),'Pivot Table_CED'!$A$3,"SUB TYPE",$B182))</f>
        <v>3</v>
      </c>
      <c r="N182" s="119">
        <f ca="1">IF($L182="PROXY",DAVERAGE('literature entries'!$D:$AI,IF($J182=1,"ACTIVE     CED, FARM GATE (MJ/kg)","CED, processor gate (MJ/kg)"),INDIRECT($K182)),GETPIVOTDATA(IF($J182=1,"Average of ACTIVE     CED, FARM GATE (MJ/kg)","Average of CED, processor gate (MJ/kg)"),'Pivot Table_CED'!$A$3,"SUB TYPE",$B182))</f>
        <v>3.0061111111111107</v>
      </c>
      <c r="O182" s="119">
        <f ca="1">IF($L182="PROXY",DSTDEV('literature entries'!D:AI,IF($J182=1,"ACTIVE     CED, FARM GATE (MJ/kg)","CED, processor gate (MJ/kg)"),INDIRECT($K182)),GETPIVOTDATA(IF($J182=1,"StdDev of ACTIVE     CED, FARM GATE (MJ/kg)","StdDev of CED, processor gate (MJ/kg)"),'Pivot Table_CED'!$A$3,"SUB TYPE",$B182))</f>
        <v>0.53949228371666036</v>
      </c>
      <c r="P182" s="135" t="str">
        <f>IF(ISERROR(GETPIVOTDATA(IF($J182=1,"Count of ACTIVE     GHGE, FARM GATE (kg CO2e/kg)","Count of GHGE, processor gate (kg CO2e/kg)"),'Pivot Table_GHG'!$A$3,"SUB TYPE",$B182)),"PROXY",IF(GETPIVOTDATA(IF($J182=1,"Count of ACTIVE     GHGE, FARM GATE (kg CO2e/kg)","Count of GHGE, processor gate (kg CO2e/kg)"),'Pivot Table_GHG'!$A$3,"SUB TYPE",$B182)=0,"PROXY","DB value"))</f>
        <v>DB value</v>
      </c>
      <c r="Q182" s="125">
        <f ca="1">IF($P182="PROXY",DCOUNT('literature entries'!$D:$AI,IF($J182=1,"ACTIVE     GHGE, FARM GATE (kg CO2e/kg)","GHGE, processor gate (kg CO2e/kg)"),INDIRECT($K182)),GETPIVOTDATA(IF($J182=1,"ACTIVE     GHGE, FARM GATE (kg CO2e/kg)","Count of GHGE, processor gate (kg CO2e/kg)"),'Pivot Table_GHG'!$A$3,"SUB TYPE",$B182))</f>
        <v>3</v>
      </c>
      <c r="R182" s="190">
        <f ca="1">IF($P182="PROXY",DAVERAGE('literature entries'!$D:$AI,IF($J182=1,"ACTIVE     GHGE, FARM GATE (kg CO2e/kg)","GHGE, processor gate (kg CO2e/kg)"),INDIRECT($K182)),GETPIVOTDATA(IF($J182=1,"Average of ACTIVE     GHGE, FARM GATE (kg CO2e/kg)","Average of GHGE, processor gate (kg CO2e/kg)"),'Pivot Table_GHG'!$A$3,"SUB TYPE",$B182))</f>
        <v>0.79196527777777781</v>
      </c>
      <c r="S182" s="190">
        <f ca="1">IF($P182="PROXY",DSTDEV('literature entries'!$D:$AI,IF($J182=1,"ACTIVE     GHGE, FARM GATE (kg CO2e/kg)","GHGE, processor gate (kg CO2e/kg)"),INDIRECT($K182)),GETPIVOTDATA(IF($J182=1,"StdDev of ACTIVE     GHGE, FARM GATE (kg CO2e/kg)","StdDev of GHGE, processor gate (kg CO2e/kg)"),'Pivot Table_GHG'!$A$3,"SUB TYPE",$B182))</f>
        <v>0.45384557138087972</v>
      </c>
      <c r="T182" s="88"/>
      <c r="U182" s="89"/>
      <c r="W182" s="213" t="s">
        <v>2463</v>
      </c>
      <c r="X182" s="211">
        <f ca="1">IF($W182="DIRECT",M182,DCOUNT('literature entries'!$D:$AI,IF($J182=1,"ACTIVE     CED, FARM GATE (MJ/kg)","CED, processor gate (MJ/kg)"),INDIRECT($W182)))</f>
        <v>6</v>
      </c>
      <c r="Y182" s="211">
        <f ca="1">IF($W182="DIRECT","",DAVERAGE('literature entries'!$D:$AI,IF($J182=1,"ACTIVE     CED, FARM GATE (MJ/kg)","CED, processor gate (MJ/kg)"),INDIRECT($W182)))</f>
        <v>13.969722222222222</v>
      </c>
      <c r="Z182" s="211">
        <f ca="1">IF($W182="DIRECT",$O182,DSTDEV('literature entries'!$D:$AI,IF($J182=1,"ACTIVE     CED, FARM GATE (MJ/kg)","CED, processor gate (MJ/kg)"),INDIRECT($W182)))</f>
        <v>12.174509288584247</v>
      </c>
      <c r="AA182" s="211">
        <f t="shared" ca="1" si="26"/>
        <v>2.6198035338541432</v>
      </c>
      <c r="AB182" s="219" t="s">
        <v>2463</v>
      </c>
      <c r="AC182" s="212">
        <f ca="1">IF($AB182="DIRECT",Q182,DCOUNT('literature entries'!$D:$AI,IF($J182=1,"ACTIVE     GHGE, FARM GATE (kg CO2e/kg)","GHGE, processor gate (kg CO2e/kg)"),INDIRECT($AB182)))</f>
        <v>23</v>
      </c>
      <c r="AD182" s="212">
        <f ca="1">IF($AB182="DIRECT","",DAVERAGE('literature entries'!$D:$AI,IF($J182=1,"ACTIVE     GHGE, FARM GATE (kg CO2e/kg)","GHGE, processor gate (kg CO2e/kg)"),INDIRECT($AB182)))</f>
        <v>2.0569628623188403</v>
      </c>
      <c r="AE182" s="212">
        <f ca="1">IF($AB182="DIRECT",$S182,DSTDEV('literature entries'!$D:$AI,IF($J182=1,"ACTIVE     GHGE, FARM GATE (kg CO2e/kg)","GHGE, processor gate (kg CO2e/kg)"),INDIRECT($AB182)))</f>
        <v>1.8731562532671704</v>
      </c>
      <c r="AF182" s="212">
        <f t="shared" ca="1" si="25"/>
        <v>0.72119664366111902</v>
      </c>
    </row>
    <row r="183" spans="1:32" s="19" customFormat="1" ht="17" thickBot="1" x14ac:dyDescent="0.25">
      <c r="A183" s="114">
        <v>1400112000</v>
      </c>
      <c r="B183" s="115" t="s">
        <v>1918</v>
      </c>
      <c r="C183" s="115" t="s">
        <v>1919</v>
      </c>
      <c r="D183" s="115"/>
      <c r="E183" s="115">
        <v>2027</v>
      </c>
      <c r="F183" s="111">
        <f t="shared" ca="1" si="16"/>
        <v>5.5007126537969775</v>
      </c>
      <c r="G183" s="112">
        <f t="shared" ca="1" si="17"/>
        <v>1.4491724569787674</v>
      </c>
      <c r="H183" s="120">
        <v>1.8298434257687231</v>
      </c>
      <c r="I183" s="117" t="s">
        <v>2737</v>
      </c>
      <c r="J183" s="79">
        <v>1</v>
      </c>
      <c r="K183" s="78" t="s">
        <v>3279</v>
      </c>
      <c r="L183" s="135" t="str">
        <f>IF(ISERROR(GETPIVOTDATA(IF($J183=1,"Count of ACTIVE     CED, FARM GATE (MJ/kg)","Count of CED, processor gate (MJ/kg)"),'Pivot Table_CED'!$A$3,"SUB TYPE",$B183)),"PROXY",IF(GETPIVOTDATA(IF($J183=1,"Count of ACTIVE     CED, FARM GATE (MJ/kg)","Count of CED, processor gate (MJ/kg)"),'Pivot Table_CED'!$A$3,"SUB TYPE",$B183)=0,"PROXY","DB value"))</f>
        <v>PROXY</v>
      </c>
      <c r="M183" s="118">
        <f ca="1">IF($L183="PROXY",DCOUNT('literature entries'!$D:$AI,IF($J183=1,"ACTIVE     CED, FARM GATE (MJ/kg)","CED, processor gate (MJ/kg)"),INDIRECT($K183)),GETPIVOTDATA(IF($J183=1,"Count of ACTIVE     CED, FARM GATE (MJ/kg)","Count of CED, processor gate (MJ/kg)"),'Pivot Table_CED'!$A$3,"SUB TYPE",$B183))</f>
        <v>3</v>
      </c>
      <c r="N183" s="119">
        <f ca="1">IF($L183="PROXY",DAVERAGE('literature entries'!$D:$AI,IF($J183=1,"ACTIVE     CED, FARM GATE (MJ/kg)","CED, processor gate (MJ/kg)"),INDIRECT($K183)),GETPIVOTDATA(IF($J183=1,"Average of ACTIVE     CED, FARM GATE (MJ/kg)","Average of CED, processor gate (MJ/kg)"),'Pivot Table_CED'!$A$3,"SUB TYPE",$B183))</f>
        <v>3.0061111111111107</v>
      </c>
      <c r="O183" s="119">
        <f ca="1">IF($L183="PROXY",DSTDEV('literature entries'!D:AI,IF($J183=1,"ACTIVE     CED, FARM GATE (MJ/kg)","CED, processor gate (MJ/kg)"),INDIRECT($K183)),GETPIVOTDATA(IF($J183=1,"StdDev of ACTIVE     CED, FARM GATE (MJ/kg)","StdDev of CED, processor gate (MJ/kg)"),'Pivot Table_CED'!$A$3,"SUB TYPE",$B183))</f>
        <v>0.53949228371666036</v>
      </c>
      <c r="P183" s="135" t="str">
        <f>IF(ISERROR(GETPIVOTDATA(IF($J183=1,"Count of ACTIVE     GHGE, FARM GATE (kg CO2e/kg)","Count of GHGE, processor gate (kg CO2e/kg)"),'Pivot Table_GHG'!$A$3,"SUB TYPE",$B183)),"PROXY",IF(GETPIVOTDATA(IF($J183=1,"Count of ACTIVE     GHGE, FARM GATE (kg CO2e/kg)","Count of GHGE, processor gate (kg CO2e/kg)"),'Pivot Table_GHG'!$A$3,"SUB TYPE",$B183)=0,"PROXY","DB value"))</f>
        <v>PROXY</v>
      </c>
      <c r="Q183" s="125">
        <f ca="1">IF($P183="PROXY",DCOUNT('literature entries'!$D:$AI,IF($J183=1,"ACTIVE     GHGE, FARM GATE (kg CO2e/kg)","GHGE, processor gate (kg CO2e/kg)"),INDIRECT($K183)),GETPIVOTDATA(IF($J183=1,"ACTIVE     GHGE, FARM GATE (kg CO2e/kg)","Count of GHGE, processor gate (kg CO2e/kg)"),'Pivot Table_GHG'!$A$3,"SUB TYPE",$B183))</f>
        <v>3</v>
      </c>
      <c r="R183" s="190">
        <f ca="1">IF($P183="PROXY",DAVERAGE('literature entries'!$D:$AI,IF($J183=1,"ACTIVE     GHGE, FARM GATE (kg CO2e/kg)","GHGE, processor gate (kg CO2e/kg)"),INDIRECT($K183)),GETPIVOTDATA(IF($J183=1,"Average of ACTIVE     GHGE, FARM GATE (kg CO2e/kg)","Average of GHGE, processor gate (kg CO2e/kg)"),'Pivot Table_GHG'!$A$3,"SUB TYPE",$B183))</f>
        <v>0.79196527777777781</v>
      </c>
      <c r="S183" s="190">
        <f ca="1">IF($P183="PROXY",DSTDEV('literature entries'!$D:$AI,IF($J183=1,"ACTIVE     GHGE, FARM GATE (kg CO2e/kg)","GHGE, processor gate (kg CO2e/kg)"),INDIRECT($K183)),GETPIVOTDATA(IF($J183=1,"StdDev of ACTIVE     GHGE, FARM GATE (kg CO2e/kg)","StdDev of GHGE, processor gate (kg CO2e/kg)"),'Pivot Table_GHG'!$A$3,"SUB TYPE",$B183))</f>
        <v>0.45384557138087972</v>
      </c>
      <c r="T183" s="88"/>
      <c r="U183" s="89"/>
      <c r="W183" s="213" t="s">
        <v>2463</v>
      </c>
      <c r="X183" s="211">
        <f ca="1">IF($W183="DIRECT",M183,DCOUNT('literature entries'!$D:$AI,IF($J183=1,"ACTIVE     CED, FARM GATE (MJ/kg)","CED, processor gate (MJ/kg)"),INDIRECT($W183)))</f>
        <v>6</v>
      </c>
      <c r="Y183" s="211">
        <f ca="1">IF($W183="DIRECT","",DAVERAGE('literature entries'!$D:$AI,IF($J183=1,"ACTIVE     CED, FARM GATE (MJ/kg)","CED, processor gate (MJ/kg)"),INDIRECT($W183)))</f>
        <v>13.969722222222222</v>
      </c>
      <c r="Z183" s="211">
        <f ca="1">IF($W183="DIRECT",$O183,DSTDEV('literature entries'!$D:$AI,IF($J183=1,"ACTIVE     CED, FARM GATE (MJ/kg)","CED, processor gate (MJ/kg)"),INDIRECT($W183)))</f>
        <v>12.174509288584247</v>
      </c>
      <c r="AA183" s="211">
        <f t="shared" ca="1" si="26"/>
        <v>2.6198035338541432</v>
      </c>
      <c r="AB183" s="219" t="s">
        <v>2463</v>
      </c>
      <c r="AC183" s="212">
        <f ca="1">IF($AB183="DIRECT",Q183,DCOUNT('literature entries'!$D:$AI,IF($J183=1,"ACTIVE     GHGE, FARM GATE (kg CO2e/kg)","GHGE, processor gate (kg CO2e/kg)"),INDIRECT($AB183)))</f>
        <v>23</v>
      </c>
      <c r="AD183" s="212">
        <f ca="1">IF($AB183="DIRECT","",DAVERAGE('literature entries'!$D:$AI,IF($J183=1,"ACTIVE     GHGE, FARM GATE (kg CO2e/kg)","GHGE, processor gate (kg CO2e/kg)"),INDIRECT($AB183)))</f>
        <v>2.0569628623188403</v>
      </c>
      <c r="AE183" s="212">
        <f ca="1">IF($AB183="DIRECT",$S183,DSTDEV('literature entries'!$D:$AI,IF($J183=1,"ACTIVE     GHGE, FARM GATE (kg CO2e/kg)","GHGE, processor gate (kg CO2e/kg)"),INDIRECT($AB183)))</f>
        <v>1.8731562532671704</v>
      </c>
      <c r="AF183" s="212">
        <f t="shared" ca="1" si="25"/>
        <v>0.72119664366111902</v>
      </c>
    </row>
    <row r="184" spans="1:32" s="19" customFormat="1" ht="17" thickBot="1" x14ac:dyDescent="0.25">
      <c r="A184" s="114">
        <v>1400113000</v>
      </c>
      <c r="B184" s="115" t="s">
        <v>1923</v>
      </c>
      <c r="C184" s="115" t="s">
        <v>1924</v>
      </c>
      <c r="D184" s="115"/>
      <c r="E184" s="115">
        <v>119</v>
      </c>
      <c r="F184" s="111">
        <f t="shared" ca="1" si="16"/>
        <v>3.0061111111111107</v>
      </c>
      <c r="G184" s="112">
        <f t="shared" ca="1" si="17"/>
        <v>0.79196527777777781</v>
      </c>
      <c r="H184" s="116">
        <v>1</v>
      </c>
      <c r="I184" s="117" t="s">
        <v>594</v>
      </c>
      <c r="J184" s="79">
        <v>1</v>
      </c>
      <c r="K184" s="195" t="s">
        <v>3279</v>
      </c>
      <c r="L184" s="135" t="str">
        <f>IF(ISERROR(GETPIVOTDATA(IF($J184=1,"Count of ACTIVE     CED, FARM GATE (MJ/kg)","Count of CED, processor gate (MJ/kg)"),'Pivot Table_CED'!$A$3,"SUB TYPE",$B184)),"PROXY",IF(GETPIVOTDATA(IF($J184=1,"Count of ACTIVE     CED, FARM GATE (MJ/kg)","Count of CED, processor gate (MJ/kg)"),'Pivot Table_CED'!$A$3,"SUB TYPE",$B184)=0,"PROXY","DB value"))</f>
        <v>PROXY</v>
      </c>
      <c r="M184" s="118">
        <f ca="1">IF($L184="PROXY",DCOUNT('literature entries'!$D:$AI,IF($J184=1,"ACTIVE     CED, FARM GATE (MJ/kg)","CED, processor gate (MJ/kg)"),INDIRECT($K184)),GETPIVOTDATA(IF($J184=1,"Count of ACTIVE     CED, FARM GATE (MJ/kg)","Count of CED, processor gate (MJ/kg)"),'Pivot Table_CED'!$A$3,"SUB TYPE",$B184))</f>
        <v>3</v>
      </c>
      <c r="N184" s="119">
        <f ca="1">IF($L184="PROXY",DAVERAGE('literature entries'!$D:$AI,IF($J184=1,"ACTIVE     CED, FARM GATE (MJ/kg)","CED, processor gate (MJ/kg)"),INDIRECT($K184)),GETPIVOTDATA(IF($J184=1,"Average of ACTIVE     CED, FARM GATE (MJ/kg)","Average of CED, processor gate (MJ/kg)"),'Pivot Table_CED'!$A$3,"SUB TYPE",$B184))</f>
        <v>3.0061111111111107</v>
      </c>
      <c r="O184" s="119">
        <f ca="1">IF($L184="PROXY",DSTDEV('literature entries'!D:AI,IF($J184=1,"ACTIVE     CED, FARM GATE (MJ/kg)","CED, processor gate (MJ/kg)"),INDIRECT($K184)),GETPIVOTDATA(IF($J184=1,"StdDev of ACTIVE     CED, FARM GATE (MJ/kg)","StdDev of CED, processor gate (MJ/kg)"),'Pivot Table_CED'!$A$3,"SUB TYPE",$B184))</f>
        <v>0.53949228371666036</v>
      </c>
      <c r="P184" s="135" t="str">
        <f>IF(ISERROR(GETPIVOTDATA(IF($J184=1,"Count of ACTIVE     GHGE, FARM GATE (kg CO2e/kg)","Count of GHGE, processor gate (kg CO2e/kg)"),'Pivot Table_GHG'!$A$3,"SUB TYPE",$B184)),"PROXY",IF(GETPIVOTDATA(IF($J184=1,"Count of ACTIVE     GHGE, FARM GATE (kg CO2e/kg)","Count of GHGE, processor gate (kg CO2e/kg)"),'Pivot Table_GHG'!$A$3,"SUB TYPE",$B184)=0,"PROXY","DB value"))</f>
        <v>PROXY</v>
      </c>
      <c r="Q184" s="125">
        <f ca="1">IF($P184="PROXY",DCOUNT('literature entries'!$D:$AI,IF($J184=1,"ACTIVE     GHGE, FARM GATE (kg CO2e/kg)","GHGE, processor gate (kg CO2e/kg)"),INDIRECT($K184)),GETPIVOTDATA(IF($J184=1,"ACTIVE     GHGE, FARM GATE (kg CO2e/kg)","Count of GHGE, processor gate (kg CO2e/kg)"),'Pivot Table_GHG'!$A$3,"SUB TYPE",$B184))</f>
        <v>3</v>
      </c>
      <c r="R184" s="190">
        <f ca="1">IF($P184="PROXY",DAVERAGE('literature entries'!$D:$AI,IF($J184=1,"ACTIVE     GHGE, FARM GATE (kg CO2e/kg)","GHGE, processor gate (kg CO2e/kg)"),INDIRECT($K184)),GETPIVOTDATA(IF($J184=1,"Average of ACTIVE     GHGE, FARM GATE (kg CO2e/kg)","Average of GHGE, processor gate (kg CO2e/kg)"),'Pivot Table_GHG'!$A$3,"SUB TYPE",$B184))</f>
        <v>0.79196527777777781</v>
      </c>
      <c r="S184" s="190">
        <f ca="1">IF($P184="PROXY",DSTDEV('literature entries'!$D:$AI,IF($J184=1,"ACTIVE     GHGE, FARM GATE (kg CO2e/kg)","GHGE, processor gate (kg CO2e/kg)"),INDIRECT($K184)),GETPIVOTDATA(IF($J184=1,"StdDev of ACTIVE     GHGE, FARM GATE (kg CO2e/kg)","StdDev of GHGE, processor gate (kg CO2e/kg)"),'Pivot Table_GHG'!$A$3,"SUB TYPE",$B184))</f>
        <v>0.45384557138087972</v>
      </c>
      <c r="T184" s="88"/>
      <c r="U184" s="89"/>
      <c r="W184" s="213" t="s">
        <v>2463</v>
      </c>
      <c r="X184" s="211">
        <f ca="1">IF($W184="DIRECT",M184,DCOUNT('literature entries'!$D:$AI,IF($J184=1,"ACTIVE     CED, FARM GATE (MJ/kg)","CED, processor gate (MJ/kg)"),INDIRECT($W184)))</f>
        <v>6</v>
      </c>
      <c r="Y184" s="211">
        <f ca="1">IF($W184="DIRECT","",DAVERAGE('literature entries'!$D:$AI,IF($J184=1,"ACTIVE     CED, FARM GATE (MJ/kg)","CED, processor gate (MJ/kg)"),INDIRECT($W184)))</f>
        <v>13.969722222222222</v>
      </c>
      <c r="Z184" s="211">
        <f ca="1">IF($W184="DIRECT",$O184,DSTDEV('literature entries'!$D:$AI,IF($J184=1,"ACTIVE     CED, FARM GATE (MJ/kg)","CED, processor gate (MJ/kg)"),INDIRECT($W184)))</f>
        <v>12.174509288584247</v>
      </c>
      <c r="AA184" s="211">
        <f t="shared" ca="1" si="26"/>
        <v>2.6198035338541432</v>
      </c>
      <c r="AB184" s="219" t="s">
        <v>2463</v>
      </c>
      <c r="AC184" s="212">
        <f ca="1">IF($AB184="DIRECT",Q184,DCOUNT('literature entries'!$D:$AI,IF($J184=1,"ACTIVE     GHGE, FARM GATE (kg CO2e/kg)","GHGE, processor gate (kg CO2e/kg)"),INDIRECT($AB184)))</f>
        <v>23</v>
      </c>
      <c r="AD184" s="212">
        <f ca="1">IF($AB184="DIRECT","",DAVERAGE('literature entries'!$D:$AI,IF($J184=1,"ACTIVE     GHGE, FARM GATE (kg CO2e/kg)","GHGE, processor gate (kg CO2e/kg)"),INDIRECT($AB184)))</f>
        <v>2.0569628623188403</v>
      </c>
      <c r="AE184" s="212">
        <f ca="1">IF($AB184="DIRECT",$S184,DSTDEV('literature entries'!$D:$AI,IF($J184=1,"ACTIVE     GHGE, FARM GATE (kg CO2e/kg)","GHGE, processor gate (kg CO2e/kg)"),INDIRECT($AB184)))</f>
        <v>1.8731562532671704</v>
      </c>
      <c r="AF184" s="212">
        <f t="shared" ca="1" si="25"/>
        <v>0.72119664366111902</v>
      </c>
    </row>
    <row r="185" spans="1:32" s="19" customFormat="1" ht="17" thickBot="1" x14ac:dyDescent="0.25">
      <c r="A185" s="114">
        <v>1400114000</v>
      </c>
      <c r="B185" s="115" t="s">
        <v>1925</v>
      </c>
      <c r="C185" s="115" t="s">
        <v>1731</v>
      </c>
      <c r="D185" s="115"/>
      <c r="E185" s="115">
        <v>11877</v>
      </c>
      <c r="F185" s="111">
        <f t="shared" ca="1" si="16"/>
        <v>11.899959666666668</v>
      </c>
      <c r="G185" s="112">
        <f t="shared" ca="1" si="17"/>
        <v>2.7294392999999997</v>
      </c>
      <c r="H185" s="116">
        <v>1</v>
      </c>
      <c r="I185" s="117" t="s">
        <v>2724</v>
      </c>
      <c r="J185" s="79">
        <v>2</v>
      </c>
      <c r="K185" s="78"/>
      <c r="L185" s="135" t="str">
        <f>IF(ISERROR(GETPIVOTDATA(IF($J185=1,"Count of ACTIVE     CED, FARM GATE (MJ/kg)","Count of CED, processor gate (MJ/kg)"),'Pivot Table_CED'!$A$3,"SUB TYPE",$B185)),"PROXY",IF(GETPIVOTDATA(IF($J185=1,"Count of ACTIVE     CED, FARM GATE (MJ/kg)","Count of CED, processor gate (MJ/kg)"),'Pivot Table_CED'!$A$3,"SUB TYPE",$B185)=0,"PROXY","DB value"))</f>
        <v>DB value</v>
      </c>
      <c r="M185" s="118">
        <f ca="1">IF($L185="PROXY",DCOUNT('literature entries'!$D:$AI,IF($J185=1,"ACTIVE     CED, FARM GATE (MJ/kg)","CED, processor gate (MJ/kg)"),INDIRECT($K185)),GETPIVOTDATA(IF($J185=1,"Count of ACTIVE     CED, FARM GATE (MJ/kg)","Count of CED, processor gate (MJ/kg)"),'Pivot Table_CED'!$A$3,"SUB TYPE",$B185))</f>
        <v>3</v>
      </c>
      <c r="N185" s="119">
        <f ca="1">IF($L185="PROXY",DAVERAGE('literature entries'!$D:$AI,IF($J185=1,"ACTIVE     CED, FARM GATE (MJ/kg)","CED, processor gate (MJ/kg)"),INDIRECT($K185)),GETPIVOTDATA(IF($J185=1,"Average of ACTIVE     CED, FARM GATE (MJ/kg)","Average of CED, processor gate (MJ/kg)"),'Pivot Table_CED'!$A$3,"SUB TYPE",$B185))</f>
        <v>11.899959666666668</v>
      </c>
      <c r="O185" s="119">
        <f ca="1">IF($L185="PROXY",DSTDEV('literature entries'!D:AI,IF($J185=1,"ACTIVE     CED, FARM GATE (MJ/kg)","CED, processor gate (MJ/kg)"),INDIRECT($K185)),GETPIVOTDATA(IF($J185=1,"StdDev of ACTIVE     CED, FARM GATE (MJ/kg)","StdDev of CED, processor gate (MJ/kg)"),'Pivot Table_CED'!$A$3,"SUB TYPE",$B185))</f>
        <v>0.99604112952744306</v>
      </c>
      <c r="P185" s="135" t="str">
        <f>IF(ISERROR(GETPIVOTDATA(IF($J185=1,"Count of ACTIVE     GHGE, FARM GATE (kg CO2e/kg)","Count of GHGE, processor gate (kg CO2e/kg)"),'Pivot Table_GHG'!$A$3,"SUB TYPE",$B185)),"PROXY",IF(GETPIVOTDATA(IF($J185=1,"Count of ACTIVE     GHGE, FARM GATE (kg CO2e/kg)","Count of GHGE, processor gate (kg CO2e/kg)"),'Pivot Table_GHG'!$A$3,"SUB TYPE",$B185)=0,"PROXY","DB value"))</f>
        <v>DB value</v>
      </c>
      <c r="Q185" s="125">
        <f ca="1">IF($P185="PROXY",DCOUNT('literature entries'!$D:$AI,IF($J185=1,"ACTIVE     GHGE, FARM GATE (kg CO2e/kg)","GHGE, processor gate (kg CO2e/kg)"),INDIRECT($K185)),GETPIVOTDATA(IF($J185=1,"ACTIVE     GHGE, FARM GATE (kg CO2e/kg)","Count of GHGE, processor gate (kg CO2e/kg)"),'Pivot Table_GHG'!$A$3,"SUB TYPE",$B185))</f>
        <v>3</v>
      </c>
      <c r="R185" s="190">
        <f ca="1">IF($P185="PROXY",DAVERAGE('literature entries'!$D:$AI,IF($J185=1,"ACTIVE     GHGE, FARM GATE (kg CO2e/kg)","GHGE, processor gate (kg CO2e/kg)"),INDIRECT($K185)),GETPIVOTDATA(IF($J185=1,"Average of ACTIVE     GHGE, FARM GATE (kg CO2e/kg)","Average of GHGE, processor gate (kg CO2e/kg)"),'Pivot Table_GHG'!$A$3,"SUB TYPE",$B185))</f>
        <v>2.7294392999999997</v>
      </c>
      <c r="S185" s="190">
        <f ca="1">IF($P185="PROXY",DSTDEV('literature entries'!$D:$AI,IF($J185=1,"ACTIVE     GHGE, FARM GATE (kg CO2e/kg)","GHGE, processor gate (kg CO2e/kg)"),INDIRECT($K185)),GETPIVOTDATA(IF($J185=1,"StdDev of ACTIVE     GHGE, FARM GATE (kg CO2e/kg)","StdDev of GHGE, processor gate (kg CO2e/kg)"),'Pivot Table_GHG'!$A$3,"SUB TYPE",$B185))</f>
        <v>0.98128140597347435</v>
      </c>
      <c r="T185" s="88"/>
      <c r="U185" s="89"/>
      <c r="W185" s="223" t="s">
        <v>2463</v>
      </c>
      <c r="X185" s="211">
        <f ca="1">IF($W185="DIRECT",M185,DCOUNT('literature entries'!$D:$AI,"ACTIVE     CED, FARM GATE (MJ/kg)",INDIRECT($W185)))</f>
        <v>6</v>
      </c>
      <c r="Y185" s="211">
        <f ca="1">IF($W185="DIRECT","",DAVERAGE('literature entries'!$D:$AI,"ACTIVE     CED, FARM GATE (MJ/kg)",INDIRECT($W185)))</f>
        <v>13.969722222222222</v>
      </c>
      <c r="Z185" s="211">
        <f ca="1">IF($W185="DIRECT",$O185,DSTDEV('literature entries'!$D:$AI,"ACTIVE     CED, FARM GATE (MJ/kg)",INDIRECT($W185)))</f>
        <v>12.174509288584247</v>
      </c>
      <c r="AA185" s="211">
        <f t="shared" ca="1" si="26"/>
        <v>10.370726575017409</v>
      </c>
      <c r="AB185" s="219" t="s">
        <v>2463</v>
      </c>
      <c r="AC185" s="212">
        <f ca="1">IF($AB185="DIRECT",Q185,DCOUNT('literature entries'!$D:$AI,IF($J185=1,"ACTIVE     GHGE, FARM GATE (kg CO2e/kg)","GHGE, processor gate (kg CO2e/kg)"),INDIRECT($AB185)))</f>
        <v>23</v>
      </c>
      <c r="AD185" s="212">
        <f ca="1">IF($AB185="DIRECT","",DAVERAGE('literature entries'!$D:$AI,IF($J185=1,"ACTIVE     GHGE, FARM GATE (kg CO2e/kg)","GHGE, processor gate (kg CO2e/kg)"),INDIRECT($AB185)))</f>
        <v>2.1019046376811592</v>
      </c>
      <c r="AE185" s="212">
        <f ca="1">IF($AB185="DIRECT",$S185,DSTDEV('literature entries'!$D:$AI,IF($J185=1,"ACTIVE     GHGE, FARM GATE (kg CO2e/kg)","GHGE, processor gate (kg CO2e/kg)"),INDIRECT($AB185)))</f>
        <v>1.1819483192160807</v>
      </c>
      <c r="AF185" s="212">
        <f t="shared" ca="1" si="25"/>
        <v>1.5348251938757465</v>
      </c>
    </row>
    <row r="186" spans="1:32" s="19" customFormat="1" ht="17" thickBot="1" x14ac:dyDescent="0.25">
      <c r="A186" s="114">
        <v>1400155000</v>
      </c>
      <c r="B186" s="115" t="s">
        <v>2029</v>
      </c>
      <c r="C186" s="115" t="s">
        <v>1729</v>
      </c>
      <c r="D186" s="115" t="s">
        <v>2030</v>
      </c>
      <c r="E186" s="115">
        <v>1707</v>
      </c>
      <c r="F186" s="111">
        <f t="shared" ca="1" si="16"/>
        <v>28.4</v>
      </c>
      <c r="G186" s="112">
        <f t="shared" ca="1" si="17"/>
        <v>0.99</v>
      </c>
      <c r="H186" s="116">
        <v>1</v>
      </c>
      <c r="I186" s="117" t="s">
        <v>628</v>
      </c>
      <c r="J186" s="79">
        <v>1</v>
      </c>
      <c r="K186" s="78"/>
      <c r="L186" s="135" t="str">
        <f>IF(ISERROR(GETPIVOTDATA(IF($J186=1,"Count of ACTIVE     CED, FARM GATE (MJ/kg)","Count of CED, processor gate (MJ/kg)"),'Pivot Table_CED'!$A$3,"SUB TYPE",$B186)),"PROXY",IF(GETPIVOTDATA(IF($J186=1,"Count of ACTIVE     CED, FARM GATE (MJ/kg)","Count of CED, processor gate (MJ/kg)"),'Pivot Table_CED'!$A$3,"SUB TYPE",$B186)=0,"PROXY","DB value"))</f>
        <v>DB value</v>
      </c>
      <c r="M186" s="118">
        <f ca="1">IF($L186="PROXY",DCOUNT('literature entries'!$D:$AI,IF($J186=1,"ACTIVE     CED, FARM GATE (MJ/kg)","CED, processor gate (MJ/kg)"),INDIRECT($K186)),GETPIVOTDATA(IF($J186=1,"Count of ACTIVE     CED, FARM GATE (MJ/kg)","Count of CED, processor gate (MJ/kg)"),'Pivot Table_CED'!$A$3,"SUB TYPE",$B186))</f>
        <v>1</v>
      </c>
      <c r="N186" s="119">
        <f ca="1">IF($L186="PROXY",DAVERAGE('literature entries'!$D:$AI,IF($J186=1,"ACTIVE     CED, FARM GATE (MJ/kg)","CED, processor gate (MJ/kg)"),INDIRECT($K186)),GETPIVOTDATA(IF($J186=1,"Average of ACTIVE     CED, FARM GATE (MJ/kg)","Average of CED, processor gate (MJ/kg)"),'Pivot Table_CED'!$A$3,"SUB TYPE",$B186))</f>
        <v>28.4</v>
      </c>
      <c r="O186" s="119">
        <f ca="1">IF($L186="PROXY",DSTDEV('literature entries'!D:AI,IF($J186=1,"ACTIVE     CED, FARM GATE (MJ/kg)","CED, processor gate (MJ/kg)"),INDIRECT($K186)),GETPIVOTDATA(IF($J186=1,"StdDev of ACTIVE     CED, FARM GATE (MJ/kg)","StdDev of CED, processor gate (MJ/kg)"),'Pivot Table_CED'!$A$3,"SUB TYPE",$B186))</f>
        <v>0</v>
      </c>
      <c r="P186" s="135" t="str">
        <f>IF(ISERROR(GETPIVOTDATA(IF($J186=1,"Count of ACTIVE     GHGE, FARM GATE (kg CO2e/kg)","Count of GHGE, processor gate (kg CO2e/kg)"),'Pivot Table_GHG'!$A$3,"SUB TYPE",$B186)),"PROXY",IF(GETPIVOTDATA(IF($J186=1,"Count of ACTIVE     GHGE, FARM GATE (kg CO2e/kg)","Count of GHGE, processor gate (kg CO2e/kg)"),'Pivot Table_GHG'!$A$3,"SUB TYPE",$B186)=0,"PROXY","DB value"))</f>
        <v>DB value</v>
      </c>
      <c r="Q186" s="125">
        <f ca="1">IF($P186="PROXY",DCOUNT('literature entries'!$D:$AI,IF($J186=1,"ACTIVE     GHGE, FARM GATE (kg CO2e/kg)","GHGE, processor gate (kg CO2e/kg)"),INDIRECT($K186)),GETPIVOTDATA(IF($J186=1,"ACTIVE     GHGE, FARM GATE (kg CO2e/kg)","Count of GHGE, processor gate (kg CO2e/kg)"),'Pivot Table_GHG'!$A$3,"SUB TYPE",$B186))</f>
        <v>2</v>
      </c>
      <c r="R186" s="190">
        <f ca="1">IF($P186="PROXY",DAVERAGE('literature entries'!$D:$AI,IF($J186=1,"ACTIVE     GHGE, FARM GATE (kg CO2e/kg)","GHGE, processor gate (kg CO2e/kg)"),INDIRECT($K186)),GETPIVOTDATA(IF($J186=1,"Average of ACTIVE     GHGE, FARM GATE (kg CO2e/kg)","Average of GHGE, processor gate (kg CO2e/kg)"),'Pivot Table_GHG'!$A$3,"SUB TYPE",$B186))</f>
        <v>0.99</v>
      </c>
      <c r="S186" s="190">
        <f ca="1">IF($P186="PROXY",DSTDEV('literature entries'!$D:$AI,IF($J186=1,"ACTIVE     GHGE, FARM GATE (kg CO2e/kg)","GHGE, processor gate (kg CO2e/kg)"),INDIRECT($K186)),GETPIVOTDATA(IF($J186=1,"StdDev of ACTIVE     GHGE, FARM GATE (kg CO2e/kg)","StdDev of GHGE, processor gate (kg CO2e/kg)"),'Pivot Table_GHG'!$A$3,"SUB TYPE",$B186))</f>
        <v>0.66468037431535454</v>
      </c>
      <c r="T186" s="88"/>
      <c r="U186" s="89"/>
      <c r="W186" s="213" t="s">
        <v>2463</v>
      </c>
      <c r="X186" s="211">
        <f ca="1">IF($W186="DIRECT",M186,DCOUNT('literature entries'!$D:$AI,IF($J186=1,"ACTIVE     CED, FARM GATE (MJ/kg)","CED, processor gate (MJ/kg)"),INDIRECT($W186)))</f>
        <v>6</v>
      </c>
      <c r="Y186" s="211">
        <f ca="1">IF($W186="DIRECT","",DAVERAGE('literature entries'!$D:$AI,IF($J186=1,"ACTIVE     CED, FARM GATE (MJ/kg)","CED, processor gate (MJ/kg)"),INDIRECT($W186)))</f>
        <v>13.969722222222222</v>
      </c>
      <c r="Z186" s="211">
        <f ca="1">IF($W186="DIRECT",$O186,DSTDEV('literature entries'!$D:$AI,IF($J186=1,"ACTIVE     CED, FARM GATE (MJ/kg)","CED, processor gate (MJ/kg)"),INDIRECT($W186)))</f>
        <v>12.174509288584247</v>
      </c>
      <c r="AA186" s="211">
        <f t="shared" ca="1" si="26"/>
        <v>24.750389327411533</v>
      </c>
      <c r="AB186" s="219" t="s">
        <v>2463</v>
      </c>
      <c r="AC186" s="212">
        <f ca="1">IF($AB186="DIRECT",Q186,DCOUNT('literature entries'!$D:$AI,IF($J186=1,"ACTIVE     GHGE, FARM GATE (kg CO2e/kg)","GHGE, processor gate (kg CO2e/kg)"),INDIRECT($AB186)))</f>
        <v>23</v>
      </c>
      <c r="AD186" s="212">
        <f ca="1">IF($AB186="DIRECT","",DAVERAGE('literature entries'!$D:$AI,IF($J186=1,"ACTIVE     GHGE, FARM GATE (kg CO2e/kg)","GHGE, processor gate (kg CO2e/kg)"),INDIRECT($AB186)))</f>
        <v>2.0569628623188403</v>
      </c>
      <c r="AE186" s="212">
        <f ca="1">IF($AB186="DIRECT",$S186,DSTDEV('literature entries'!$D:$AI,IF($J186=1,"ACTIVE     GHGE, FARM GATE (kg CO2e/kg)","GHGE, processor gate (kg CO2e/kg)"),INDIRECT($AB186)))</f>
        <v>1.8731562532671704</v>
      </c>
      <c r="AF186" s="212">
        <f t="shared" ca="1" si="25"/>
        <v>0.9015353289577539</v>
      </c>
    </row>
    <row r="187" spans="1:32" s="19" customFormat="1" ht="17" thickBot="1" x14ac:dyDescent="0.25">
      <c r="A187" s="114">
        <v>1400213000</v>
      </c>
      <c r="B187" s="115" t="s">
        <v>2064</v>
      </c>
      <c r="C187" s="115" t="s">
        <v>1729</v>
      </c>
      <c r="D187" s="115"/>
      <c r="E187" s="115">
        <v>11</v>
      </c>
      <c r="F187" s="111">
        <f t="shared" ca="1" si="16"/>
        <v>13.969722222222222</v>
      </c>
      <c r="G187" s="112">
        <f t="shared" ca="1" si="17"/>
        <v>2.0569628623188403</v>
      </c>
      <c r="H187" s="116">
        <v>1</v>
      </c>
      <c r="I187" s="117" t="s">
        <v>2724</v>
      </c>
      <c r="J187" s="79">
        <v>1</v>
      </c>
      <c r="K187" s="78" t="s">
        <v>2463</v>
      </c>
      <c r="L187" s="135" t="str">
        <f>IF(ISERROR(GETPIVOTDATA(IF($J187=1,"Count of ACTIVE     CED, FARM GATE (MJ/kg)","Count of CED, processor gate (MJ/kg)"),'Pivot Table_CED'!$A$3,"SUB TYPE",$B187)),"PROXY",IF(GETPIVOTDATA(IF($J187=1,"Count of ACTIVE     CED, FARM GATE (MJ/kg)","Count of CED, processor gate (MJ/kg)"),'Pivot Table_CED'!$A$3,"SUB TYPE",$B187)=0,"PROXY","DB value"))</f>
        <v>PROXY</v>
      </c>
      <c r="M187" s="118">
        <f ca="1">IF($L187="PROXY",DCOUNT('literature entries'!$D:$AI,IF($J187=1,"ACTIVE     CED, FARM GATE (MJ/kg)","CED, processor gate (MJ/kg)"),INDIRECT($K187)),GETPIVOTDATA(IF($J187=1,"Count of ACTIVE     CED, FARM GATE (MJ/kg)","Count of CED, processor gate (MJ/kg)"),'Pivot Table_CED'!$A$3,"SUB TYPE",$B187))</f>
        <v>6</v>
      </c>
      <c r="N187" s="119">
        <f ca="1">IF($L187="PROXY",DAVERAGE('literature entries'!$D:$AI,IF($J187=1,"ACTIVE     CED, FARM GATE (MJ/kg)","CED, processor gate (MJ/kg)"),INDIRECT($K187)),GETPIVOTDATA(IF($J187=1,"Average of ACTIVE     CED, FARM GATE (MJ/kg)","Average of CED, processor gate (MJ/kg)"),'Pivot Table_CED'!$A$3,"SUB TYPE",$B187))</f>
        <v>13.969722222222222</v>
      </c>
      <c r="O187" s="119">
        <f ca="1">IF($L187="PROXY",DSTDEV('literature entries'!D:AI,IF($J187=1,"ACTIVE     CED, FARM GATE (MJ/kg)","CED, processor gate (MJ/kg)"),INDIRECT($K187)),GETPIVOTDATA(IF($J187=1,"StdDev of ACTIVE     CED, FARM GATE (MJ/kg)","StdDev of CED, processor gate (MJ/kg)"),'Pivot Table_CED'!$A$3,"SUB TYPE",$B187))</f>
        <v>12.174509288584247</v>
      </c>
      <c r="P187" s="135" t="str">
        <f>IF(ISERROR(GETPIVOTDATA(IF($J187=1,"Count of ACTIVE     GHGE, FARM GATE (kg CO2e/kg)","Count of GHGE, processor gate (kg CO2e/kg)"),'Pivot Table_GHG'!$A$3,"SUB TYPE",$B187)),"PROXY",IF(GETPIVOTDATA(IF($J187=1,"Count of ACTIVE     GHGE, FARM GATE (kg CO2e/kg)","Count of GHGE, processor gate (kg CO2e/kg)"),'Pivot Table_GHG'!$A$3,"SUB TYPE",$B187)=0,"PROXY","DB value"))</f>
        <v>PROXY</v>
      </c>
      <c r="Q187" s="125">
        <f ca="1">IF($P187="PROXY",DCOUNT('literature entries'!$D:$AI,IF($J187=1,"ACTIVE     GHGE, FARM GATE (kg CO2e/kg)","GHGE, processor gate (kg CO2e/kg)"),INDIRECT($K187)),GETPIVOTDATA(IF($J187=1,"ACTIVE     GHGE, FARM GATE (kg CO2e/kg)","Count of GHGE, processor gate (kg CO2e/kg)"),'Pivot Table_GHG'!$A$3,"SUB TYPE",$B187))</f>
        <v>23</v>
      </c>
      <c r="R187" s="190">
        <f ca="1">IF($P187="PROXY",DAVERAGE('literature entries'!$D:$AI,IF($J187=1,"ACTIVE     GHGE, FARM GATE (kg CO2e/kg)","GHGE, processor gate (kg CO2e/kg)"),INDIRECT($K187)),GETPIVOTDATA(IF($J187=1,"Average of ACTIVE     GHGE, FARM GATE (kg CO2e/kg)","Average of GHGE, processor gate (kg CO2e/kg)"),'Pivot Table_GHG'!$A$3,"SUB TYPE",$B187))</f>
        <v>2.0569628623188403</v>
      </c>
      <c r="S187" s="190">
        <f ca="1">IF($P187="PROXY",DSTDEV('literature entries'!$D:$AI,IF($J187=1,"ACTIVE     GHGE, FARM GATE (kg CO2e/kg)","GHGE, processor gate (kg CO2e/kg)"),INDIRECT($K187)),GETPIVOTDATA(IF($J187=1,"StdDev of ACTIVE     GHGE, FARM GATE (kg CO2e/kg)","StdDev of GHGE, processor gate (kg CO2e/kg)"),'Pivot Table_GHG'!$A$3,"SUB TYPE",$B187))</f>
        <v>1.8731562532671704</v>
      </c>
      <c r="T187" s="88"/>
      <c r="U187" s="89"/>
      <c r="W187" s="213" t="s">
        <v>2463</v>
      </c>
      <c r="X187" s="211">
        <f ca="1">IF($W187="DIRECT",M187,DCOUNT('literature entries'!$D:$AI,IF($J187=1,"ACTIVE     CED, FARM GATE (MJ/kg)","CED, processor gate (MJ/kg)"),INDIRECT($W187)))</f>
        <v>6</v>
      </c>
      <c r="Y187" s="211">
        <f ca="1">IF($W187="DIRECT","",DAVERAGE('literature entries'!$D:$AI,IF($J187=1,"ACTIVE     CED, FARM GATE (MJ/kg)","CED, processor gate (MJ/kg)"),INDIRECT($W187)))</f>
        <v>13.969722222222222</v>
      </c>
      <c r="Z187" s="211">
        <f ca="1">IF($W187="DIRECT",$O187,DSTDEV('literature entries'!$D:$AI,IF($J187=1,"ACTIVE     CED, FARM GATE (MJ/kg)","CED, processor gate (MJ/kg)"),INDIRECT($W187)))</f>
        <v>12.174509288584247</v>
      </c>
      <c r="AA187" s="211">
        <f t="shared" ca="1" si="26"/>
        <v>12.174509288584247</v>
      </c>
      <c r="AB187" s="219" t="str">
        <f ca="1">IF(P187="PROXY",IF(Q187&gt;=5,K187,"need group"),IF(Q187&gt;=5,"DIRECT","need group"))</f>
        <v>nut</v>
      </c>
      <c r="AC187" s="212">
        <f ca="1">IF($AB187="DIRECT",Q187,DCOUNT('literature entries'!$D:$AI,IF($J187=1,"ACTIVE     GHGE, FARM GATE (kg CO2e/kg)","GHGE, processor gate (kg CO2e/kg)"),INDIRECT($AB187)))</f>
        <v>23</v>
      </c>
      <c r="AD187" s="212">
        <f ca="1">IF($AB187="DIRECT","",DAVERAGE('literature entries'!$D:$AI,IF($J187=1,"ACTIVE     GHGE, FARM GATE (kg CO2e/kg)","GHGE, processor gate (kg CO2e/kg)"),INDIRECT($AB187)))</f>
        <v>2.0569628623188403</v>
      </c>
      <c r="AE187" s="212">
        <f ca="1">IF($AB187="DIRECT",$S187,DSTDEV('literature entries'!$D:$AI,IF($J187=1,"ACTIVE     GHGE, FARM GATE (kg CO2e/kg)","GHGE, processor gate (kg CO2e/kg)"),INDIRECT($AB187)))</f>
        <v>1.8731562532671704</v>
      </c>
      <c r="AF187" s="212">
        <f t="shared" ca="1" si="25"/>
        <v>1.8731562532671704</v>
      </c>
    </row>
    <row r="188" spans="1:32" s="19" customFormat="1" ht="17" thickBot="1" x14ac:dyDescent="0.25">
      <c r="A188" s="114">
        <v>1400269000</v>
      </c>
      <c r="B188" s="115" t="s">
        <v>2151</v>
      </c>
      <c r="C188" s="115" t="s">
        <v>1729</v>
      </c>
      <c r="D188" s="115"/>
      <c r="E188" s="115">
        <v>2361</v>
      </c>
      <c r="F188" s="111">
        <f t="shared" ca="1" si="16"/>
        <v>13.969722222222222</v>
      </c>
      <c r="G188" s="112">
        <f t="shared" ca="1" si="17"/>
        <v>2.0569628623188403</v>
      </c>
      <c r="H188" s="116">
        <v>1</v>
      </c>
      <c r="I188" s="117" t="s">
        <v>2724</v>
      </c>
      <c r="J188" s="79">
        <v>1</v>
      </c>
      <c r="K188" s="78" t="s">
        <v>2463</v>
      </c>
      <c r="L188" s="135" t="str">
        <f>IF(ISERROR(GETPIVOTDATA(IF($J188=1,"Count of ACTIVE     CED, FARM GATE (MJ/kg)","Count of CED, processor gate (MJ/kg)"),'Pivot Table_CED'!$A$3,"SUB TYPE",$B188)),"PROXY",IF(GETPIVOTDATA(IF($J188=1,"Count of ACTIVE     CED, FARM GATE (MJ/kg)","Count of CED, processor gate (MJ/kg)"),'Pivot Table_CED'!$A$3,"SUB TYPE",$B188)=0,"PROXY","DB value"))</f>
        <v>PROXY</v>
      </c>
      <c r="M188" s="118">
        <f ca="1">IF($L188="PROXY",DCOUNT('literature entries'!$D:$AI,IF($J188=1,"ACTIVE     CED, FARM GATE (MJ/kg)","CED, processor gate (MJ/kg)"),INDIRECT($K188)),GETPIVOTDATA(IF($J188=1,"Count of ACTIVE     CED, FARM GATE (MJ/kg)","Count of CED, processor gate (MJ/kg)"),'Pivot Table_CED'!$A$3,"SUB TYPE",$B188))</f>
        <v>6</v>
      </c>
      <c r="N188" s="119">
        <f ca="1">IF($L188="PROXY",DAVERAGE('literature entries'!$D:$AI,IF($J188=1,"ACTIVE     CED, FARM GATE (MJ/kg)","CED, processor gate (MJ/kg)"),INDIRECT($K188)),GETPIVOTDATA(IF($J188=1,"Average of ACTIVE     CED, FARM GATE (MJ/kg)","Average of CED, processor gate (MJ/kg)"),'Pivot Table_CED'!$A$3,"SUB TYPE",$B188))</f>
        <v>13.969722222222222</v>
      </c>
      <c r="O188" s="119">
        <f ca="1">IF($L188="PROXY",DSTDEV('literature entries'!D:AI,IF($J188=1,"ACTIVE     CED, FARM GATE (MJ/kg)","CED, processor gate (MJ/kg)"),INDIRECT($K188)),GETPIVOTDATA(IF($J188=1,"StdDev of ACTIVE     CED, FARM GATE (MJ/kg)","StdDev of CED, processor gate (MJ/kg)"),'Pivot Table_CED'!$A$3,"SUB TYPE",$B188))</f>
        <v>12.174509288584247</v>
      </c>
      <c r="P188" s="135" t="str">
        <f>IF(ISERROR(GETPIVOTDATA(IF($J188=1,"Count of ACTIVE     GHGE, FARM GATE (kg CO2e/kg)","Count of GHGE, processor gate (kg CO2e/kg)"),'Pivot Table_GHG'!$A$3,"SUB TYPE",$B188)),"PROXY",IF(GETPIVOTDATA(IF($J188=1,"Count of ACTIVE     GHGE, FARM GATE (kg CO2e/kg)","Count of GHGE, processor gate (kg CO2e/kg)"),'Pivot Table_GHG'!$A$3,"SUB TYPE",$B188)=0,"PROXY","DB value"))</f>
        <v>PROXY</v>
      </c>
      <c r="Q188" s="125">
        <f ca="1">IF($P188="PROXY",DCOUNT('literature entries'!$D:$AI,IF($J188=1,"ACTIVE     GHGE, FARM GATE (kg CO2e/kg)","GHGE, processor gate (kg CO2e/kg)"),INDIRECT($K188)),GETPIVOTDATA(IF($J188=1,"ACTIVE     GHGE, FARM GATE (kg CO2e/kg)","Count of GHGE, processor gate (kg CO2e/kg)"),'Pivot Table_GHG'!$A$3,"SUB TYPE",$B188))</f>
        <v>23</v>
      </c>
      <c r="R188" s="190">
        <f ca="1">IF($P188="PROXY",DAVERAGE('literature entries'!$D:$AI,IF($J188=1,"ACTIVE     GHGE, FARM GATE (kg CO2e/kg)","GHGE, processor gate (kg CO2e/kg)"),INDIRECT($K188)),GETPIVOTDATA(IF($J188=1,"Average of ACTIVE     GHGE, FARM GATE (kg CO2e/kg)","Average of GHGE, processor gate (kg CO2e/kg)"),'Pivot Table_GHG'!$A$3,"SUB TYPE",$B188))</f>
        <v>2.0569628623188403</v>
      </c>
      <c r="S188" s="190">
        <f ca="1">IF($P188="PROXY",DSTDEV('literature entries'!$D:$AI,IF($J188=1,"ACTIVE     GHGE, FARM GATE (kg CO2e/kg)","GHGE, processor gate (kg CO2e/kg)"),INDIRECT($K188)),GETPIVOTDATA(IF($J188=1,"StdDev of ACTIVE     GHGE, FARM GATE (kg CO2e/kg)","StdDev of GHGE, processor gate (kg CO2e/kg)"),'Pivot Table_GHG'!$A$3,"SUB TYPE",$B188))</f>
        <v>1.8731562532671704</v>
      </c>
      <c r="T188" s="88"/>
      <c r="U188" s="89"/>
      <c r="W188" s="213" t="s">
        <v>2463</v>
      </c>
      <c r="X188" s="211">
        <f ca="1">IF($W188="DIRECT",M188,DCOUNT('literature entries'!$D:$AI,IF($J188=1,"ACTIVE     CED, FARM GATE (MJ/kg)","CED, processor gate (MJ/kg)"),INDIRECT($W188)))</f>
        <v>6</v>
      </c>
      <c r="Y188" s="211">
        <f ca="1">IF($W188="DIRECT","",DAVERAGE('literature entries'!$D:$AI,IF($J188=1,"ACTIVE     CED, FARM GATE (MJ/kg)","CED, processor gate (MJ/kg)"),INDIRECT($W188)))</f>
        <v>13.969722222222222</v>
      </c>
      <c r="Z188" s="211">
        <f ca="1">IF($W188="DIRECT",$O188,DSTDEV('literature entries'!$D:$AI,IF($J188=1,"ACTIVE     CED, FARM GATE (MJ/kg)","CED, processor gate (MJ/kg)"),INDIRECT($W188)))</f>
        <v>12.174509288584247</v>
      </c>
      <c r="AA188" s="211">
        <f t="shared" ca="1" si="26"/>
        <v>12.174509288584247</v>
      </c>
      <c r="AB188" s="219" t="str">
        <f ca="1">IF(P188="PROXY",IF(Q188&gt;=5,K188,"need group"),IF(Q188&gt;=5,"DIRECT","need group"))</f>
        <v>nut</v>
      </c>
      <c r="AC188" s="212">
        <f ca="1">IF($AB188="DIRECT",Q188,DCOUNT('literature entries'!$D:$AI,IF($J188=1,"ACTIVE     GHGE, FARM GATE (kg CO2e/kg)","GHGE, processor gate (kg CO2e/kg)"),INDIRECT($AB188)))</f>
        <v>23</v>
      </c>
      <c r="AD188" s="212">
        <f ca="1">IF($AB188="DIRECT","",DAVERAGE('literature entries'!$D:$AI,IF($J188=1,"ACTIVE     GHGE, FARM GATE (kg CO2e/kg)","GHGE, processor gate (kg CO2e/kg)"),INDIRECT($AB188)))</f>
        <v>2.0569628623188403</v>
      </c>
      <c r="AE188" s="212">
        <f ca="1">IF($AB188="DIRECT",$S188,DSTDEV('literature entries'!$D:$AI,IF($J188=1,"ACTIVE     GHGE, FARM GATE (kg CO2e/kg)","GHGE, processor gate (kg CO2e/kg)"),INDIRECT($AB188)))</f>
        <v>1.8731562532671704</v>
      </c>
      <c r="AF188" s="212">
        <f t="shared" ca="1" si="25"/>
        <v>1.8731562532671704</v>
      </c>
    </row>
    <row r="189" spans="1:32" s="19" customFormat="1" ht="17" thickBot="1" x14ac:dyDescent="0.25">
      <c r="A189" s="114">
        <v>1400278000</v>
      </c>
      <c r="B189" s="115" t="s">
        <v>2168</v>
      </c>
      <c r="C189" s="115" t="s">
        <v>1729</v>
      </c>
      <c r="D189" s="115" t="s">
        <v>2169</v>
      </c>
      <c r="E189" s="115">
        <v>65</v>
      </c>
      <c r="F189" s="111">
        <f t="shared" ca="1" si="16"/>
        <v>13.969722222222222</v>
      </c>
      <c r="G189" s="112">
        <f t="shared" ca="1" si="17"/>
        <v>2.0569628623188403</v>
      </c>
      <c r="H189" s="116">
        <v>1</v>
      </c>
      <c r="I189" s="117" t="s">
        <v>2724</v>
      </c>
      <c r="J189" s="79">
        <v>1</v>
      </c>
      <c r="K189" s="78" t="s">
        <v>2463</v>
      </c>
      <c r="L189" s="135" t="str">
        <f>IF(ISERROR(GETPIVOTDATA(IF($J189=1,"Count of ACTIVE     CED, FARM GATE (MJ/kg)","Count of CED, processor gate (MJ/kg)"),'Pivot Table_CED'!$A$3,"SUB TYPE",$B189)),"PROXY",IF(GETPIVOTDATA(IF($J189=1,"Count of ACTIVE     CED, FARM GATE (MJ/kg)","Count of CED, processor gate (MJ/kg)"),'Pivot Table_CED'!$A$3,"SUB TYPE",$B189)=0,"PROXY","DB value"))</f>
        <v>PROXY</v>
      </c>
      <c r="M189" s="118">
        <f ca="1">IF($L189="PROXY",DCOUNT('literature entries'!$D:$AI,IF($J189=1,"ACTIVE     CED, FARM GATE (MJ/kg)","CED, processor gate (MJ/kg)"),INDIRECT($K189)),GETPIVOTDATA(IF($J189=1,"Count of ACTIVE     CED, FARM GATE (MJ/kg)","Count of CED, processor gate (MJ/kg)"),'Pivot Table_CED'!$A$3,"SUB TYPE",$B189))</f>
        <v>6</v>
      </c>
      <c r="N189" s="119">
        <f ca="1">IF($L189="PROXY",DAVERAGE('literature entries'!$D:$AI,IF($J189=1,"ACTIVE     CED, FARM GATE (MJ/kg)","CED, processor gate (MJ/kg)"),INDIRECT($K189)),GETPIVOTDATA(IF($J189=1,"Average of ACTIVE     CED, FARM GATE (MJ/kg)","Average of CED, processor gate (MJ/kg)"),'Pivot Table_CED'!$A$3,"SUB TYPE",$B189))</f>
        <v>13.969722222222222</v>
      </c>
      <c r="O189" s="119">
        <f ca="1">IF($L189="PROXY",DSTDEV('literature entries'!D:AI,IF($J189=1,"ACTIVE     CED, FARM GATE (MJ/kg)","CED, processor gate (MJ/kg)"),INDIRECT($K189)),GETPIVOTDATA(IF($J189=1,"StdDev of ACTIVE     CED, FARM GATE (MJ/kg)","StdDev of CED, processor gate (MJ/kg)"),'Pivot Table_CED'!$A$3,"SUB TYPE",$B189))</f>
        <v>12.174509288584247</v>
      </c>
      <c r="P189" s="135" t="str">
        <f>IF(ISERROR(GETPIVOTDATA(IF($J189=1,"Count of ACTIVE     GHGE, FARM GATE (kg CO2e/kg)","Count of GHGE, processor gate (kg CO2e/kg)"),'Pivot Table_GHG'!$A$3,"SUB TYPE",$B189)),"PROXY",IF(GETPIVOTDATA(IF($J189=1,"Count of ACTIVE     GHGE, FARM GATE (kg CO2e/kg)","Count of GHGE, processor gate (kg CO2e/kg)"),'Pivot Table_GHG'!$A$3,"SUB TYPE",$B189)=0,"PROXY","DB value"))</f>
        <v>PROXY</v>
      </c>
      <c r="Q189" s="125">
        <f ca="1">IF($P189="PROXY",DCOUNT('literature entries'!$D:$AI,IF($J189=1,"ACTIVE     GHGE, FARM GATE (kg CO2e/kg)","GHGE, processor gate (kg CO2e/kg)"),INDIRECT($K189)),GETPIVOTDATA(IF($J189=1,"ACTIVE     GHGE, FARM GATE (kg CO2e/kg)","Count of GHGE, processor gate (kg CO2e/kg)"),'Pivot Table_GHG'!$A$3,"SUB TYPE",$B189))</f>
        <v>23</v>
      </c>
      <c r="R189" s="190">
        <f ca="1">IF($P189="PROXY",DAVERAGE('literature entries'!$D:$AI,IF($J189=1,"ACTIVE     GHGE, FARM GATE (kg CO2e/kg)","GHGE, processor gate (kg CO2e/kg)"),INDIRECT($K189)),GETPIVOTDATA(IF($J189=1,"Average of ACTIVE     GHGE, FARM GATE (kg CO2e/kg)","Average of GHGE, processor gate (kg CO2e/kg)"),'Pivot Table_GHG'!$A$3,"SUB TYPE",$B189))</f>
        <v>2.0569628623188403</v>
      </c>
      <c r="S189" s="190">
        <f ca="1">IF($P189="PROXY",DSTDEV('literature entries'!$D:$AI,IF($J189=1,"ACTIVE     GHGE, FARM GATE (kg CO2e/kg)","GHGE, processor gate (kg CO2e/kg)"),INDIRECT($K189)),GETPIVOTDATA(IF($J189=1,"StdDev of ACTIVE     GHGE, FARM GATE (kg CO2e/kg)","StdDev of GHGE, processor gate (kg CO2e/kg)"),'Pivot Table_GHG'!$A$3,"SUB TYPE",$B189))</f>
        <v>1.8731562532671704</v>
      </c>
      <c r="T189" s="88"/>
      <c r="U189" s="89"/>
      <c r="W189" s="213" t="s">
        <v>2463</v>
      </c>
      <c r="X189" s="211">
        <f ca="1">IF($W189="DIRECT",M189,DCOUNT('literature entries'!$D:$AI,IF($J189=1,"ACTIVE     CED, FARM GATE (MJ/kg)","CED, processor gate (MJ/kg)"),INDIRECT($W189)))</f>
        <v>6</v>
      </c>
      <c r="Y189" s="211">
        <f ca="1">IF($W189="DIRECT","",DAVERAGE('literature entries'!$D:$AI,IF($J189=1,"ACTIVE     CED, FARM GATE (MJ/kg)","CED, processor gate (MJ/kg)"),INDIRECT($W189)))</f>
        <v>13.969722222222222</v>
      </c>
      <c r="Z189" s="211">
        <f ca="1">IF($W189="DIRECT",$O189,DSTDEV('literature entries'!$D:$AI,IF($J189=1,"ACTIVE     CED, FARM GATE (MJ/kg)","CED, processor gate (MJ/kg)"),INDIRECT($W189)))</f>
        <v>12.174509288584247</v>
      </c>
      <c r="AA189" s="211">
        <f t="shared" ca="1" si="26"/>
        <v>12.174509288584247</v>
      </c>
      <c r="AB189" s="219" t="str">
        <f ca="1">IF(P189="PROXY",IF(Q189&gt;=5,K189,"need group"),IF(Q189&gt;=5,"DIRECT","need group"))</f>
        <v>nut</v>
      </c>
      <c r="AC189" s="212">
        <f ca="1">IF($AB189="DIRECT",Q189,DCOUNT('literature entries'!$D:$AI,IF($J189=1,"ACTIVE     GHGE, FARM GATE (kg CO2e/kg)","GHGE, processor gate (kg CO2e/kg)"),INDIRECT($AB189)))</f>
        <v>23</v>
      </c>
      <c r="AD189" s="212">
        <f ca="1">IF($AB189="DIRECT","",DAVERAGE('literature entries'!$D:$AI,IF($J189=1,"ACTIVE     GHGE, FARM GATE (kg CO2e/kg)","GHGE, processor gate (kg CO2e/kg)"),INDIRECT($AB189)))</f>
        <v>2.0569628623188403</v>
      </c>
      <c r="AE189" s="212">
        <f ca="1">IF($AB189="DIRECT",$S189,DSTDEV('literature entries'!$D:$AI,IF($J189=1,"ACTIVE     GHGE, FARM GATE (kg CO2e/kg)","GHGE, processor gate (kg CO2e/kg)"),INDIRECT($AB189)))</f>
        <v>1.8731562532671704</v>
      </c>
      <c r="AF189" s="212">
        <f t="shared" ca="1" si="25"/>
        <v>1.8731562532671704</v>
      </c>
    </row>
    <row r="190" spans="1:32" s="19" customFormat="1" ht="17" thickBot="1" x14ac:dyDescent="0.25">
      <c r="A190" s="114">
        <v>1400282000</v>
      </c>
      <c r="B190" s="115" t="s">
        <v>1463</v>
      </c>
      <c r="C190" s="115" t="s">
        <v>1729</v>
      </c>
      <c r="D190" s="115"/>
      <c r="E190" s="115">
        <v>155</v>
      </c>
      <c r="F190" s="111">
        <f t="shared" ca="1" si="16"/>
        <v>14.388813888888889</v>
      </c>
      <c r="G190" s="112">
        <f t="shared" ca="1" si="17"/>
        <v>1.7922</v>
      </c>
      <c r="H190" s="116">
        <v>1.03</v>
      </c>
      <c r="I190" s="117" t="s">
        <v>2724</v>
      </c>
      <c r="J190" s="79">
        <v>1</v>
      </c>
      <c r="K190" s="78" t="s">
        <v>2463</v>
      </c>
      <c r="L190" s="135" t="str">
        <f>IF(ISERROR(GETPIVOTDATA(IF($J190=1,"Count of ACTIVE     CED, FARM GATE (MJ/kg)","Count of CED, processor gate (MJ/kg)"),'Pivot Table_CED'!$A$3,"SUB TYPE",$B190)),"PROXY",IF(GETPIVOTDATA(IF($J190=1,"Count of ACTIVE     CED, FARM GATE (MJ/kg)","Count of CED, processor gate (MJ/kg)"),'Pivot Table_CED'!$A$3,"SUB TYPE",$B190)=0,"PROXY","DB value"))</f>
        <v>PROXY</v>
      </c>
      <c r="M190" s="118">
        <f ca="1">IF($L190="PROXY",DCOUNT('literature entries'!$D:$AI,IF($J190=1,"ACTIVE     CED, FARM GATE (MJ/kg)","CED, processor gate (MJ/kg)"),INDIRECT($K190)),GETPIVOTDATA(IF($J190=1,"Count of ACTIVE     CED, FARM GATE (MJ/kg)","Count of CED, processor gate (MJ/kg)"),'Pivot Table_CED'!$A$3,"SUB TYPE",$B190))</f>
        <v>6</v>
      </c>
      <c r="N190" s="119">
        <f ca="1">IF($L190="PROXY",DAVERAGE('literature entries'!$D:$AI,IF($J190=1,"ACTIVE     CED, FARM GATE (MJ/kg)","CED, processor gate (MJ/kg)"),INDIRECT($K190)),GETPIVOTDATA(IF($J190=1,"Average of ACTIVE     CED, FARM GATE (MJ/kg)","Average of CED, processor gate (MJ/kg)"),'Pivot Table_CED'!$A$3,"SUB TYPE",$B190))</f>
        <v>13.969722222222222</v>
      </c>
      <c r="O190" s="119">
        <f ca="1">IF($L190="PROXY",DSTDEV('literature entries'!D:AI,IF($J190=1,"ACTIVE     CED, FARM GATE (MJ/kg)","CED, processor gate (MJ/kg)"),INDIRECT($K190)),GETPIVOTDATA(IF($J190=1,"StdDev of ACTIVE     CED, FARM GATE (MJ/kg)","StdDev of CED, processor gate (MJ/kg)"),'Pivot Table_CED'!$A$3,"SUB TYPE",$B190))</f>
        <v>12.174509288584247</v>
      </c>
      <c r="P190" s="135" t="str">
        <f>IF(ISERROR(GETPIVOTDATA(IF($J190=1,"Count of ACTIVE     GHGE, FARM GATE (kg CO2e/kg)","Count of GHGE, processor gate (kg CO2e/kg)"),'Pivot Table_GHG'!$A$3,"SUB TYPE",$B190)),"PROXY",IF(GETPIVOTDATA(IF($J190=1,"Count of ACTIVE     GHGE, FARM GATE (kg CO2e/kg)","Count of GHGE, processor gate (kg CO2e/kg)"),'Pivot Table_GHG'!$A$3,"SUB TYPE",$B190)=0,"PROXY","DB value"))</f>
        <v>DB value</v>
      </c>
      <c r="Q190" s="125">
        <f ca="1">IF($P190="PROXY",DCOUNT('literature entries'!$D:$AI,IF($J190=1,"ACTIVE     GHGE, FARM GATE (kg CO2e/kg)","GHGE, processor gate (kg CO2e/kg)"),INDIRECT($K190)),GETPIVOTDATA(IF($J190=1,"ACTIVE     GHGE, FARM GATE (kg CO2e/kg)","Count of GHGE, processor gate (kg CO2e/kg)"),'Pivot Table_GHG'!$A$3,"SUB TYPE",$B190))</f>
        <v>1</v>
      </c>
      <c r="R190" s="190">
        <f ca="1">IF($P190="PROXY",DAVERAGE('literature entries'!$D:$AI,IF($J190=1,"ACTIVE     GHGE, FARM GATE (kg CO2e/kg)","GHGE, processor gate (kg CO2e/kg)"),INDIRECT($K190)),GETPIVOTDATA(IF($J190=1,"Average of ACTIVE     GHGE, FARM GATE (kg CO2e/kg)","Average of GHGE, processor gate (kg CO2e/kg)"),'Pivot Table_GHG'!$A$3,"SUB TYPE",$B190))</f>
        <v>1.74</v>
      </c>
      <c r="S190" s="190" t="e">
        <f ca="1">IF($P190="PROXY",DSTDEV('literature entries'!$D:$AI,IF($J190=1,"ACTIVE     GHGE, FARM GATE (kg CO2e/kg)","GHGE, processor gate (kg CO2e/kg)"),INDIRECT($K190)),GETPIVOTDATA(IF($J190=1,"StdDev of ACTIVE     GHGE, FARM GATE (kg CO2e/kg)","StdDev of GHGE, processor gate (kg CO2e/kg)"),'Pivot Table_GHG'!$A$3,"SUB TYPE",$B190))</f>
        <v>#DIV/0!</v>
      </c>
      <c r="T190" s="88"/>
      <c r="U190" s="89"/>
      <c r="W190" s="213" t="str">
        <f ca="1">IF(L190="PROXY",IF(M190&gt;=5,K190,"need group"),IF(M190&gt;=5,"DIRECT","need group"))</f>
        <v>nut</v>
      </c>
      <c r="X190" s="211">
        <f ca="1">IF($W190="DIRECT",M190,DCOUNT('literature entries'!$D:$AI,IF($J190=1,"ACTIVE     CED, FARM GATE (MJ/kg)","CED, processor gate (MJ/kg)"),INDIRECT($W190)))</f>
        <v>6</v>
      </c>
      <c r="Y190" s="211">
        <f ca="1">IF($W190="DIRECT","",DAVERAGE('literature entries'!$D:$AI,IF($J190=1,"ACTIVE     CED, FARM GATE (MJ/kg)","CED, processor gate (MJ/kg)"),INDIRECT($W190)))</f>
        <v>13.969722222222222</v>
      </c>
      <c r="Z190" s="211">
        <f ca="1">IF($W190="DIRECT",$O190,DSTDEV('literature entries'!$D:$AI,IF($J190=1,"ACTIVE     CED, FARM GATE (MJ/kg)","CED, processor gate (MJ/kg)"),INDIRECT($W190)))</f>
        <v>12.174509288584247</v>
      </c>
      <c r="AA190" s="211">
        <f t="shared" ca="1" si="26"/>
        <v>12.174509288584247</v>
      </c>
      <c r="AB190" s="219" t="s">
        <v>2463</v>
      </c>
      <c r="AC190" s="212">
        <f ca="1">IF($AB190="DIRECT",Q190,DCOUNT('literature entries'!$D:$AI,IF($J190=1,"ACTIVE     GHGE, FARM GATE (kg CO2e/kg)","GHGE, processor gate (kg CO2e/kg)"),INDIRECT($AB190)))</f>
        <v>23</v>
      </c>
      <c r="AD190" s="212">
        <f ca="1">IF($AB190="DIRECT","",DAVERAGE('literature entries'!$D:$AI,IF($J190=1,"ACTIVE     GHGE, FARM GATE (kg CO2e/kg)","GHGE, processor gate (kg CO2e/kg)"),INDIRECT($AB190)))</f>
        <v>2.0569628623188403</v>
      </c>
      <c r="AE190" s="212">
        <f ca="1">IF($AB190="DIRECT",$S190,DSTDEV('literature entries'!$D:$AI,IF($J190=1,"ACTIVE     GHGE, FARM GATE (kg CO2e/kg)","GHGE, processor gate (kg CO2e/kg)"),INDIRECT($AB190)))</f>
        <v>1.8731562532671704</v>
      </c>
      <c r="AF190" s="212">
        <f t="shared" ca="1" si="25"/>
        <v>1.584516638774234</v>
      </c>
    </row>
    <row r="191" spans="1:32" s="19" customFormat="1" ht="17" thickBot="1" x14ac:dyDescent="0.25">
      <c r="A191" s="114">
        <v>1400391000</v>
      </c>
      <c r="B191" s="115" t="s">
        <v>2335</v>
      </c>
      <c r="C191" s="115" t="s">
        <v>1729</v>
      </c>
      <c r="D191" s="115"/>
      <c r="E191" s="115">
        <v>3274</v>
      </c>
      <c r="F191" s="111">
        <f t="shared" ca="1" si="16"/>
        <v>13.969722222222222</v>
      </c>
      <c r="G191" s="112">
        <f t="shared" ca="1" si="17"/>
        <v>1.657</v>
      </c>
      <c r="H191" s="116">
        <v>1</v>
      </c>
      <c r="I191" s="117" t="s">
        <v>2724</v>
      </c>
      <c r="J191" s="79">
        <v>1</v>
      </c>
      <c r="K191" s="78" t="s">
        <v>2463</v>
      </c>
      <c r="L191" s="135" t="str">
        <f>IF(ISERROR(GETPIVOTDATA(IF($J191=1,"Count of ACTIVE     CED, FARM GATE (MJ/kg)","Count of CED, processor gate (MJ/kg)"),'Pivot Table_CED'!$A$3,"SUB TYPE",$B191)),"PROXY",IF(GETPIVOTDATA(IF($J191=1,"Count of ACTIVE     CED, FARM GATE (MJ/kg)","Count of CED, processor gate (MJ/kg)"),'Pivot Table_CED'!$A$3,"SUB TYPE",$B191)=0,"PROXY","DB value"))</f>
        <v>PROXY</v>
      </c>
      <c r="M191" s="118">
        <f ca="1">IF($L191="PROXY",DCOUNT('literature entries'!$D:$AI,IF($J191=1,"ACTIVE     CED, FARM GATE (MJ/kg)","CED, processor gate (MJ/kg)"),INDIRECT($K191)),GETPIVOTDATA(IF($J191=1,"Count of ACTIVE     CED, FARM GATE (MJ/kg)","Count of CED, processor gate (MJ/kg)"),'Pivot Table_CED'!$A$3,"SUB TYPE",$B191))</f>
        <v>6</v>
      </c>
      <c r="N191" s="119">
        <f ca="1">IF($L191="PROXY",DAVERAGE('literature entries'!$D:$AI,IF($J191=1,"ACTIVE     CED, FARM GATE (MJ/kg)","CED, processor gate (MJ/kg)"),INDIRECT($K191)),GETPIVOTDATA(IF($J191=1,"Average of ACTIVE     CED, FARM GATE (MJ/kg)","Average of CED, processor gate (MJ/kg)"),'Pivot Table_CED'!$A$3,"SUB TYPE",$B191))</f>
        <v>13.969722222222222</v>
      </c>
      <c r="O191" s="119">
        <f ca="1">IF($L191="PROXY",DSTDEV('literature entries'!D:AI,IF($J191=1,"ACTIVE     CED, FARM GATE (MJ/kg)","CED, processor gate (MJ/kg)"),INDIRECT($K191)),GETPIVOTDATA(IF($J191=1,"StdDev of ACTIVE     CED, FARM GATE (MJ/kg)","StdDev of CED, processor gate (MJ/kg)"),'Pivot Table_CED'!$A$3,"SUB TYPE",$B191))</f>
        <v>12.174509288584247</v>
      </c>
      <c r="P191" s="135" t="str">
        <f>IF(ISERROR(GETPIVOTDATA(IF($J191=1,"Count of ACTIVE     GHGE, FARM GATE (kg CO2e/kg)","Count of GHGE, processor gate (kg CO2e/kg)"),'Pivot Table_GHG'!$A$3,"SUB TYPE",$B191)),"PROXY",IF(GETPIVOTDATA(IF($J191=1,"Count of ACTIVE     GHGE, FARM GATE (kg CO2e/kg)","Count of GHGE, processor gate (kg CO2e/kg)"),'Pivot Table_GHG'!$A$3,"SUB TYPE",$B191)=0,"PROXY","DB value"))</f>
        <v>DB value</v>
      </c>
      <c r="Q191" s="125">
        <f ca="1">IF($P191="PROXY",DCOUNT('literature entries'!$D:$AI,IF($J191=1,"ACTIVE     GHGE, FARM GATE (kg CO2e/kg)","GHGE, processor gate (kg CO2e/kg)"),INDIRECT($K191)),GETPIVOTDATA(IF($J191=1,"ACTIVE     GHGE, FARM GATE (kg CO2e/kg)","Count of GHGE, processor gate (kg CO2e/kg)"),'Pivot Table_GHG'!$A$3,"SUB TYPE",$B191))</f>
        <v>3</v>
      </c>
      <c r="R191" s="190">
        <f ca="1">IF($P191="PROXY",DAVERAGE('literature entries'!$D:$AI,IF($J191=1,"ACTIVE     GHGE, FARM GATE (kg CO2e/kg)","GHGE, processor gate (kg CO2e/kg)"),INDIRECT($K191)),GETPIVOTDATA(IF($J191=1,"Average of ACTIVE     GHGE, FARM GATE (kg CO2e/kg)","Average of GHGE, processor gate (kg CO2e/kg)"),'Pivot Table_GHG'!$A$3,"SUB TYPE",$B191))</f>
        <v>1.657</v>
      </c>
      <c r="S191" s="190">
        <f ca="1">IF($P191="PROXY",DSTDEV('literature entries'!$D:$AI,IF($J191=1,"ACTIVE     GHGE, FARM GATE (kg CO2e/kg)","GHGE, processor gate (kg CO2e/kg)"),INDIRECT($K191)),GETPIVOTDATA(IF($J191=1,"StdDev of ACTIVE     GHGE, FARM GATE (kg CO2e/kg)","StdDev of GHGE, processor gate (kg CO2e/kg)"),'Pivot Table_GHG'!$A$3,"SUB TYPE",$B191))</f>
        <v>1.2264416007295249</v>
      </c>
      <c r="T191" s="88"/>
      <c r="U191" s="89"/>
      <c r="W191" s="213" t="str">
        <f ca="1">IF(L191="PROXY",IF(M191&gt;=5,K191,"need group"),IF(M191&gt;=5,"DIRECT","need group"))</f>
        <v>nut</v>
      </c>
      <c r="X191" s="211">
        <f ca="1">IF($W191="DIRECT",M191,DCOUNT('literature entries'!$D:$AI,IF($J191=1,"ACTIVE     CED, FARM GATE (MJ/kg)","CED, processor gate (MJ/kg)"),INDIRECT($W191)))</f>
        <v>6</v>
      </c>
      <c r="Y191" s="211">
        <f ca="1">IF($W191="DIRECT","",DAVERAGE('literature entries'!$D:$AI,IF($J191=1,"ACTIVE     CED, FARM GATE (MJ/kg)","CED, processor gate (MJ/kg)"),INDIRECT($W191)))</f>
        <v>13.969722222222222</v>
      </c>
      <c r="Z191" s="211">
        <f ca="1">IF($W191="DIRECT",$O191,DSTDEV('literature entries'!$D:$AI,IF($J191=1,"ACTIVE     CED, FARM GATE (MJ/kg)","CED, processor gate (MJ/kg)"),INDIRECT($W191)))</f>
        <v>12.174509288584247</v>
      </c>
      <c r="AA191" s="211">
        <f t="shared" ca="1" si="26"/>
        <v>12.174509288584247</v>
      </c>
      <c r="AB191" s="219" t="s">
        <v>2463</v>
      </c>
      <c r="AC191" s="212">
        <f ca="1">IF($AB191="DIRECT",Q191,DCOUNT('literature entries'!$D:$AI,IF($J191=1,"ACTIVE     GHGE, FARM GATE (kg CO2e/kg)","GHGE, processor gate (kg CO2e/kg)"),INDIRECT($AB191)))</f>
        <v>23</v>
      </c>
      <c r="AD191" s="212">
        <f ca="1">IF($AB191="DIRECT","",DAVERAGE('literature entries'!$D:$AI,IF($J191=1,"ACTIVE     GHGE, FARM GATE (kg CO2e/kg)","GHGE, processor gate (kg CO2e/kg)"),INDIRECT($AB191)))</f>
        <v>2.0569628623188403</v>
      </c>
      <c r="AE191" s="212">
        <f ca="1">IF($AB191="DIRECT",$S191,DSTDEV('literature entries'!$D:$AI,IF($J191=1,"ACTIVE     GHGE, FARM GATE (kg CO2e/kg)","GHGE, processor gate (kg CO2e/kg)"),INDIRECT($AB191)))</f>
        <v>1.8731562532671704</v>
      </c>
      <c r="AF191" s="212">
        <f t="shared" ca="1" si="25"/>
        <v>1.5089333738212103</v>
      </c>
    </row>
    <row r="192" spans="1:32" s="19" customFormat="1" ht="17" thickBot="1" x14ac:dyDescent="0.25">
      <c r="A192" s="114">
        <v>1500025000</v>
      </c>
      <c r="B192" s="115" t="s">
        <v>1777</v>
      </c>
      <c r="C192" s="115" t="s">
        <v>1778</v>
      </c>
      <c r="D192" s="115"/>
      <c r="E192" s="115">
        <v>729</v>
      </c>
      <c r="F192" s="111">
        <f t="shared" ca="1" si="16"/>
        <v>2.5841213096774194</v>
      </c>
      <c r="G192" s="112">
        <f t="shared" ca="1" si="17"/>
        <v>0.39349345733333324</v>
      </c>
      <c r="H192" s="120">
        <v>1</v>
      </c>
      <c r="I192" s="117" t="s">
        <v>628</v>
      </c>
      <c r="J192" s="79">
        <v>1</v>
      </c>
      <c r="K192" s="78" t="s">
        <v>2702</v>
      </c>
      <c r="L192" s="135" t="str">
        <f>IF(ISERROR(GETPIVOTDATA(IF($J192=1,"Count of ACTIVE     CED, FARM GATE (MJ/kg)","Count of CED, processor gate (MJ/kg)"),'Pivot Table_CED'!$A$3,"SUB TYPE",$B192)),"PROXY",IF(GETPIVOTDATA(IF($J192=1,"Count of ACTIVE     CED, FARM GATE (MJ/kg)","Count of CED, processor gate (MJ/kg)"),'Pivot Table_CED'!$A$3,"SUB TYPE",$B192)=0,"PROXY","DB value"))</f>
        <v>PROXY</v>
      </c>
      <c r="M192" s="118">
        <f ca="1">IF($L192="PROXY",DCOUNT('literature entries'!$D:$AI,IF($J192=1,"ACTIVE     CED, FARM GATE (MJ/kg)","CED, processor gate (MJ/kg)"),INDIRECT($K192)),GETPIVOTDATA(IF($J192=1,"Count of ACTIVE     CED, FARM GATE (MJ/kg)","Count of CED, processor gate (MJ/kg)"),'Pivot Table_CED'!$A$3,"SUB TYPE",$B192))</f>
        <v>31</v>
      </c>
      <c r="N192" s="119">
        <f ca="1">IF($L192="PROXY",DAVERAGE('literature entries'!$D:$AI,IF($J192=1,"ACTIVE     CED, FARM GATE (MJ/kg)","CED, processor gate (MJ/kg)"),INDIRECT($K192)),GETPIVOTDATA(IF($J192=1,"Average of ACTIVE     CED, FARM GATE (MJ/kg)","Average of CED, processor gate (MJ/kg)"),'Pivot Table_CED'!$A$3,"SUB TYPE",$B192))</f>
        <v>2.5841213096774194</v>
      </c>
      <c r="O192" s="119">
        <f ca="1">IF($L192="PROXY",DSTDEV('literature entries'!D:AI,IF($J192=1,"ACTIVE     CED, FARM GATE (MJ/kg)","CED, processor gate (MJ/kg)"),INDIRECT($K192)),GETPIVOTDATA(IF($J192=1,"StdDev of ACTIVE     CED, FARM GATE (MJ/kg)","StdDev of CED, processor gate (MJ/kg)"),'Pivot Table_CED'!$A$3,"SUB TYPE",$B192))</f>
        <v>1.1854190703188778</v>
      </c>
      <c r="P192" s="135" t="str">
        <f>IF(ISERROR(GETPIVOTDATA(IF($J192=1,"Count of ACTIVE     GHGE, FARM GATE (kg CO2e/kg)","Count of GHGE, processor gate (kg CO2e/kg)"),'Pivot Table_GHG'!$A$3,"SUB TYPE",$B192)),"PROXY",IF(GETPIVOTDATA(IF($J192=1,"Count of ACTIVE     GHGE, FARM GATE (kg CO2e/kg)","Count of GHGE, processor gate (kg CO2e/kg)"),'Pivot Table_GHG'!$A$3,"SUB TYPE",$B192)=0,"PROXY","DB value"))</f>
        <v>PROXY</v>
      </c>
      <c r="Q192" s="125">
        <f ca="1">IF($P192="PROXY",DCOUNT('literature entries'!$D:$AI,IF($J192=1,"ACTIVE     GHGE, FARM GATE (kg CO2e/kg)","GHGE, processor gate (kg CO2e/kg)"),INDIRECT($K192)),GETPIVOTDATA(IF($J192=1,"ACTIVE     GHGE, FARM GATE (kg CO2e/kg)","Count of GHGE, processor gate (kg CO2e/kg)"),'Pivot Table_GHG'!$A$3,"SUB TYPE",$B192))</f>
        <v>45</v>
      </c>
      <c r="R192" s="190">
        <f ca="1">IF($P192="PROXY",DAVERAGE('literature entries'!$D:$AI,IF($J192=1,"ACTIVE     GHGE, FARM GATE (kg CO2e/kg)","GHGE, processor gate (kg CO2e/kg)"),INDIRECT($K192)),GETPIVOTDATA(IF($J192=1,"Average of ACTIVE     GHGE, FARM GATE (kg CO2e/kg)","Average of GHGE, processor gate (kg CO2e/kg)"),'Pivot Table_GHG'!$A$3,"SUB TYPE",$B192))</f>
        <v>0.39349345733333324</v>
      </c>
      <c r="S192" s="190">
        <f ca="1">IF($P192="PROXY",DSTDEV('literature entries'!$D:$AI,IF($J192=1,"ACTIVE     GHGE, FARM GATE (kg CO2e/kg)","GHGE, processor gate (kg CO2e/kg)"),INDIRECT($K192)),GETPIVOTDATA(IF($J192=1,"StdDev of ACTIVE     GHGE, FARM GATE (kg CO2e/kg)","StdDev of GHGE, processor gate (kg CO2e/kg)"),'Pivot Table_GHG'!$A$3,"SUB TYPE",$B192))</f>
        <v>0.20361467618492471</v>
      </c>
      <c r="T192" s="88"/>
      <c r="U192" s="89"/>
      <c r="W192" s="213" t="str">
        <f ca="1">IF(L192="PROXY",IF(M192&gt;=5,K192,"need group"),IF(M192&gt;=5,"DIRECT","need group"))</f>
        <v>grains</v>
      </c>
      <c r="X192" s="211">
        <f ca="1">IF($W192="DIRECT",M192,DCOUNT('literature entries'!$D:$AI,IF($J192=1,"ACTIVE     CED, FARM GATE (MJ/kg)","CED, processor gate (MJ/kg)"),INDIRECT($W192)))</f>
        <v>31</v>
      </c>
      <c r="Y192" s="211">
        <f ca="1">IF($W192="DIRECT","",DAVERAGE('literature entries'!$D:$AI,IF($J192=1,"ACTIVE     CED, FARM GATE (MJ/kg)","CED, processor gate (MJ/kg)"),INDIRECT($W192)))</f>
        <v>2.5841213096774194</v>
      </c>
      <c r="Z192" s="211">
        <f ca="1">IF($W192="DIRECT",$O192,DSTDEV('literature entries'!$D:$AI,IF($J192=1,"ACTIVE     CED, FARM GATE (MJ/kg)","CED, processor gate (MJ/kg)"),INDIRECT($W192)))</f>
        <v>1.1854190703188778</v>
      </c>
      <c r="AA192" s="211">
        <f t="shared" ca="1" si="26"/>
        <v>1.1854190703188778</v>
      </c>
      <c r="AB192" s="219" t="str">
        <f ca="1">IF(P192="PROXY",IF(Q192&gt;=5,K192,"need group"),IF(Q192&gt;=5,"DIRECT","need group"))</f>
        <v>grains</v>
      </c>
      <c r="AC192" s="212">
        <f ca="1">IF($AB192="DIRECT",Q192,DCOUNT('literature entries'!$D:$AI,IF($J192=1,"ACTIVE     GHGE, FARM GATE (kg CO2e/kg)","GHGE, processor gate (kg CO2e/kg)"),INDIRECT($AB192)))</f>
        <v>45</v>
      </c>
      <c r="AD192" s="212">
        <f ca="1">IF($AB192="DIRECT","",DAVERAGE('literature entries'!$D:$AI,IF($J192=1,"ACTIVE     GHGE, FARM GATE (kg CO2e/kg)","GHGE, processor gate (kg CO2e/kg)"),INDIRECT($AB192)))</f>
        <v>0.39349345733333324</v>
      </c>
      <c r="AE192" s="212">
        <f ca="1">IF($AB192="DIRECT",$S192,DSTDEV('literature entries'!$D:$AI,IF($J192=1,"ACTIVE     GHGE, FARM GATE (kg CO2e/kg)","GHGE, processor gate (kg CO2e/kg)"),INDIRECT($AB192)))</f>
        <v>0.20361467618492471</v>
      </c>
      <c r="AF192" s="212">
        <f t="shared" ca="1" si="25"/>
        <v>0.20361467618492474</v>
      </c>
    </row>
    <row r="193" spans="1:32" s="19" customFormat="1" ht="17" thickBot="1" x14ac:dyDescent="0.25">
      <c r="A193" s="114">
        <v>1500026000</v>
      </c>
      <c r="B193" s="115" t="s">
        <v>1775</v>
      </c>
      <c r="C193" s="115" t="s">
        <v>1754</v>
      </c>
      <c r="D193" s="115" t="s">
        <v>1776</v>
      </c>
      <c r="E193" s="115">
        <v>19689</v>
      </c>
      <c r="F193" s="111">
        <f t="shared" ca="1" si="16"/>
        <v>2.3743276000000004</v>
      </c>
      <c r="G193" s="112">
        <f t="shared" ca="1" si="17"/>
        <v>0.35789944666666668</v>
      </c>
      <c r="H193" s="120">
        <v>1</v>
      </c>
      <c r="I193" s="117" t="s">
        <v>628</v>
      </c>
      <c r="J193" s="79">
        <v>2</v>
      </c>
      <c r="K193" s="78" t="s">
        <v>3283</v>
      </c>
      <c r="L193" s="135" t="str">
        <f>IF(ISERROR(GETPIVOTDATA(IF($J193=1,"Count of ACTIVE     CED, FARM GATE (MJ/kg)","Count of CED, processor gate (MJ/kg)"),'Pivot Table_CED'!$A$3,"SUB TYPE",$B193)),"PROXY",IF(GETPIVOTDATA(IF($J193=1,"Count of ACTIVE     CED, FARM GATE (MJ/kg)","Count of CED, processor gate (MJ/kg)"),'Pivot Table_CED'!$A$3,"SUB TYPE",$B193)=0,"PROXY","DB value"))</f>
        <v>PROXY</v>
      </c>
      <c r="M193" s="118">
        <f ca="1">IF($L193="PROXY",DCOUNT('literature entries'!$D:$AI,IF($J193=1,"ACTIVE     CED, FARM GATE (MJ/kg)","CED, processor gate (MJ/kg)"),INDIRECT($K193)),GETPIVOTDATA(IF($J193=1,"Count of ACTIVE     CED, FARM GATE (MJ/kg)","Count of CED, processor gate (MJ/kg)"),'Pivot Table_CED'!$A$3,"SUB TYPE",$B193))</f>
        <v>3</v>
      </c>
      <c r="N193" s="119">
        <f ca="1">IF($L193="PROXY",DAVERAGE('literature entries'!$D:$AI,IF($J193=1,"ACTIVE     CED, FARM GATE (MJ/kg)","CED, processor gate (MJ/kg)"),INDIRECT($K193)),GETPIVOTDATA(IF($J193=1,"Average of ACTIVE     CED, FARM GATE (MJ/kg)","Average of CED, processor gate (MJ/kg)"),'Pivot Table_CED'!$A$3,"SUB TYPE",$B193))</f>
        <v>2.3743276000000004</v>
      </c>
      <c r="O193" s="119">
        <f ca="1">IF($L193="PROXY",DSTDEV('literature entries'!D:AI,IF($J193=1,"ACTIVE     CED, FARM GATE (MJ/kg)","CED, processor gate (MJ/kg)"),INDIRECT($K193)),GETPIVOTDATA(IF($J193=1,"StdDev of ACTIVE     CED, FARM GATE (MJ/kg)","StdDev of CED, processor gate (MJ/kg)"),'Pivot Table_CED'!$A$3,"SUB TYPE",$B193))</f>
        <v>0.14835091570708298</v>
      </c>
      <c r="P193" s="135" t="str">
        <f>IF(ISERROR(GETPIVOTDATA(IF($J193=1,"Count of ACTIVE     GHGE, FARM GATE (kg CO2e/kg)","Count of GHGE, processor gate (kg CO2e/kg)"),'Pivot Table_GHG'!$A$3,"SUB TYPE",$B193)),"PROXY",IF(GETPIVOTDATA(IF($J193=1,"Count of ACTIVE     GHGE, FARM GATE (kg CO2e/kg)","Count of GHGE, processor gate (kg CO2e/kg)"),'Pivot Table_GHG'!$A$3,"SUB TYPE",$B193)=0,"PROXY","DB value"))</f>
        <v>PROXY</v>
      </c>
      <c r="Q193" s="125">
        <f ca="1">IF($P193="PROXY",DCOUNT('literature entries'!$D:$AI,IF($J193=1,"ACTIVE     GHGE, FARM GATE (kg CO2e/kg)","GHGE, processor gate (kg CO2e/kg)"),INDIRECT($K193)),GETPIVOTDATA(IF($J193=1,"ACTIVE     GHGE, FARM GATE (kg CO2e/kg)","Count of GHGE, processor gate (kg CO2e/kg)"),'Pivot Table_GHG'!$A$3,"SUB TYPE",$B193))</f>
        <v>3</v>
      </c>
      <c r="R193" s="190">
        <f ca="1">IF($P193="PROXY",DAVERAGE('literature entries'!$D:$AI,IF($J193=1,"ACTIVE     GHGE, FARM GATE (kg CO2e/kg)","GHGE, processor gate (kg CO2e/kg)"),INDIRECT($K193)),GETPIVOTDATA(IF($J193=1,"Average of ACTIVE     GHGE, FARM GATE (kg CO2e/kg)","Average of GHGE, processor gate (kg CO2e/kg)"),'Pivot Table_GHG'!$A$3,"SUB TYPE",$B193))</f>
        <v>0.35789944666666668</v>
      </c>
      <c r="S193" s="190">
        <f ca="1">IF($P193="PROXY",DSTDEV('literature entries'!$D:$AI,IF($J193=1,"ACTIVE     GHGE, FARM GATE (kg CO2e/kg)","GHGE, processor gate (kg CO2e/kg)"),INDIRECT($K193)),GETPIVOTDATA(IF($J193=1,"StdDev of ACTIVE     GHGE, FARM GATE (kg CO2e/kg)","StdDev of GHGE, processor gate (kg CO2e/kg)"),'Pivot Table_GHG'!$A$3,"SUB TYPE",$B193))</f>
        <v>1.0699711970937975E-2</v>
      </c>
      <c r="T193" s="88"/>
      <c r="U193" s="89"/>
      <c r="W193" s="213" t="s">
        <v>3358</v>
      </c>
      <c r="X193" s="211">
        <f ca="1">IF($W193="DIRECT",M193,DCOUNT('literature entries'!$D:$AI,IF($J193=1,"ACTIVE     CED, FARM GATE (MJ/kg)","CED, processor gate (MJ/kg)"),INDIRECT($W193)))</f>
        <v>9</v>
      </c>
      <c r="Y193" s="211">
        <f ca="1">IF($W193="DIRECT","",DAVERAGE('literature entries'!$D:$AI,IF($J193=1,"ACTIVE     CED, FARM GATE (MJ/kg)","CED, processor gate (MJ/kg)"),INDIRECT($W193)))</f>
        <v>3.7933851999999999</v>
      </c>
      <c r="Z193" s="211">
        <f ca="1">IF($W193="DIRECT",$O193,DSTDEV('literature entries'!$D:$AI,IF($J193=1,"ACTIVE     CED, FARM GATE (MJ/kg)","CED, processor gate (MJ/kg)"),INDIRECT($W193)))</f>
        <v>1.2312612173276687</v>
      </c>
      <c r="AA193" s="211">
        <f t="shared" ca="1" si="26"/>
        <v>0.7706619119805399</v>
      </c>
      <c r="AB193" s="219" t="s">
        <v>3358</v>
      </c>
      <c r="AC193" s="212">
        <f ca="1">IF($AB193="DIRECT",Q193,DCOUNT('literature entries'!$D:$AI,IF($J193=1,"ACTIVE     GHGE, FARM GATE (kg CO2e/kg)","GHGE, processor gate (kg CO2e/kg)"),INDIRECT($AB193)))</f>
        <v>9</v>
      </c>
      <c r="AD193" s="212">
        <f ca="1">IF($AB193="DIRECT","",DAVERAGE('literature entries'!$D:$AI,IF($J193=1,"ACTIVE     GHGE, FARM GATE (kg CO2e/kg)","GHGE, processor gate (kg CO2e/kg)"),INDIRECT($AB193)))</f>
        <v>0.43042331</v>
      </c>
      <c r="AE193" s="212">
        <f ca="1">IF($AB193="DIRECT",$S193,DSTDEV('literature entries'!$D:$AI,IF($J193=1,"ACTIVE     GHGE, FARM GATE (kg CO2e/kg)","GHGE, processor gate (kg CO2e/kg)"),INDIRECT($AB193)))</f>
        <v>7.2682317360146784E-2</v>
      </c>
      <c r="AF193" s="212">
        <f t="shared" ca="1" si="25"/>
        <v>6.04357630297662E-2</v>
      </c>
    </row>
    <row r="194" spans="1:32" s="19" customFormat="1" ht="17" thickBot="1" x14ac:dyDescent="0.25">
      <c r="A194" s="114">
        <v>1500027000</v>
      </c>
      <c r="B194" s="115" t="s">
        <v>1773</v>
      </c>
      <c r="C194" s="115" t="s">
        <v>1774</v>
      </c>
      <c r="D194" s="115"/>
      <c r="E194" s="115">
        <v>84</v>
      </c>
      <c r="F194" s="111">
        <f t="shared" ca="1" si="16"/>
        <v>2.5841213096774194</v>
      </c>
      <c r="G194" s="112">
        <f t="shared" ca="1" si="17"/>
        <v>0.39349345733333324</v>
      </c>
      <c r="H194" s="117">
        <v>1</v>
      </c>
      <c r="I194" s="117" t="s">
        <v>594</v>
      </c>
      <c r="J194" s="79">
        <v>1</v>
      </c>
      <c r="K194" s="78" t="s">
        <v>2702</v>
      </c>
      <c r="L194" s="135" t="str">
        <f>IF(ISERROR(GETPIVOTDATA(IF($J194=1,"Count of ACTIVE     CED, FARM GATE (MJ/kg)","Count of CED, processor gate (MJ/kg)"),'Pivot Table_CED'!$A$3,"SUB TYPE",$B194)),"PROXY",IF(GETPIVOTDATA(IF($J194=1,"Count of ACTIVE     CED, FARM GATE (MJ/kg)","Count of CED, processor gate (MJ/kg)"),'Pivot Table_CED'!$A$3,"SUB TYPE",$B194)=0,"PROXY","DB value"))</f>
        <v>PROXY</v>
      </c>
      <c r="M194" s="118">
        <f ca="1">IF($L194="PROXY",DCOUNT('literature entries'!$D:$AI,IF($J194=1,"ACTIVE     CED, FARM GATE (MJ/kg)","CED, processor gate (MJ/kg)"),INDIRECT($K194)),GETPIVOTDATA(IF($J194=1,"Count of ACTIVE     CED, FARM GATE (MJ/kg)","Count of CED, processor gate (MJ/kg)"),'Pivot Table_CED'!$A$3,"SUB TYPE",$B194))</f>
        <v>31</v>
      </c>
      <c r="N194" s="119">
        <f ca="1">IF($L194="PROXY",DAVERAGE('literature entries'!$D:$AI,IF($J194=1,"ACTIVE     CED, FARM GATE (MJ/kg)","CED, processor gate (MJ/kg)"),INDIRECT($K194)),GETPIVOTDATA(IF($J194=1,"Average of ACTIVE     CED, FARM GATE (MJ/kg)","Average of CED, processor gate (MJ/kg)"),'Pivot Table_CED'!$A$3,"SUB TYPE",$B194))</f>
        <v>2.5841213096774194</v>
      </c>
      <c r="O194" s="119">
        <f ca="1">IF($L194="PROXY",DSTDEV('literature entries'!D:AI,IF($J194=1,"ACTIVE     CED, FARM GATE (MJ/kg)","CED, processor gate (MJ/kg)"),INDIRECT($K194)),GETPIVOTDATA(IF($J194=1,"StdDev of ACTIVE     CED, FARM GATE (MJ/kg)","StdDev of CED, processor gate (MJ/kg)"),'Pivot Table_CED'!$A$3,"SUB TYPE",$B194))</f>
        <v>1.1854190703188778</v>
      </c>
      <c r="P194" s="135" t="str">
        <f>IF(ISERROR(GETPIVOTDATA(IF($J194=1,"Count of ACTIVE     GHGE, FARM GATE (kg CO2e/kg)","Count of GHGE, processor gate (kg CO2e/kg)"),'Pivot Table_GHG'!$A$3,"SUB TYPE",$B194)),"PROXY",IF(GETPIVOTDATA(IF($J194=1,"Count of ACTIVE     GHGE, FARM GATE (kg CO2e/kg)","Count of GHGE, processor gate (kg CO2e/kg)"),'Pivot Table_GHG'!$A$3,"SUB TYPE",$B194)=0,"PROXY","DB value"))</f>
        <v>PROXY</v>
      </c>
      <c r="Q194" s="125">
        <f ca="1">IF($P194="PROXY",DCOUNT('literature entries'!$D:$AI,IF($J194=1,"ACTIVE     GHGE, FARM GATE (kg CO2e/kg)","GHGE, processor gate (kg CO2e/kg)"),INDIRECT($K194)),GETPIVOTDATA(IF($J194=1,"ACTIVE     GHGE, FARM GATE (kg CO2e/kg)","Count of GHGE, processor gate (kg CO2e/kg)"),'Pivot Table_GHG'!$A$3,"SUB TYPE",$B194))</f>
        <v>45</v>
      </c>
      <c r="R194" s="190">
        <f ca="1">IF($P194="PROXY",DAVERAGE('literature entries'!$D:$AI,IF($J194=1,"ACTIVE     GHGE, FARM GATE (kg CO2e/kg)","GHGE, processor gate (kg CO2e/kg)"),INDIRECT($K194)),GETPIVOTDATA(IF($J194=1,"Average of ACTIVE     GHGE, FARM GATE (kg CO2e/kg)","Average of GHGE, processor gate (kg CO2e/kg)"),'Pivot Table_GHG'!$A$3,"SUB TYPE",$B194))</f>
        <v>0.39349345733333324</v>
      </c>
      <c r="S194" s="190">
        <f ca="1">IF($P194="PROXY",DSTDEV('literature entries'!$D:$AI,IF($J194=1,"ACTIVE     GHGE, FARM GATE (kg CO2e/kg)","GHGE, processor gate (kg CO2e/kg)"),INDIRECT($K194)),GETPIVOTDATA(IF($J194=1,"StdDev of ACTIVE     GHGE, FARM GATE (kg CO2e/kg)","StdDev of GHGE, processor gate (kg CO2e/kg)"),'Pivot Table_GHG'!$A$3,"SUB TYPE",$B194))</f>
        <v>0.20361467618492471</v>
      </c>
      <c r="T194" s="88"/>
      <c r="U194" s="89"/>
      <c r="W194" s="213" t="str">
        <f ca="1">IF(L194="PROXY",IF(M194&gt;=5,K194,"need group"),IF(M194&gt;=5,"DIRECT","need group"))</f>
        <v>grains</v>
      </c>
      <c r="X194" s="211">
        <f ca="1">IF($W194="DIRECT",M194,DCOUNT('literature entries'!$D:$AI,IF($J194=1,"ACTIVE     CED, FARM GATE (MJ/kg)","CED, processor gate (MJ/kg)"),INDIRECT($W194)))</f>
        <v>31</v>
      </c>
      <c r="Y194" s="211">
        <f ca="1">IF($W194="DIRECT","",DAVERAGE('literature entries'!$D:$AI,IF($J194=1,"ACTIVE     CED, FARM GATE (MJ/kg)","CED, processor gate (MJ/kg)"),INDIRECT($W194)))</f>
        <v>2.5841213096774194</v>
      </c>
      <c r="Z194" s="211">
        <f ca="1">IF($W194="DIRECT",$O194,DSTDEV('literature entries'!$D:$AI,IF($J194=1,"ACTIVE     CED, FARM GATE (MJ/kg)","CED, processor gate (MJ/kg)"),INDIRECT($W194)))</f>
        <v>1.1854190703188778</v>
      </c>
      <c r="AA194" s="211">
        <f t="shared" ca="1" si="26"/>
        <v>1.1854190703188778</v>
      </c>
      <c r="AB194" s="219" t="str">
        <f ca="1">IF(P194="PROXY",IF(Q194&gt;=5,K194,"need group"),IF(Q194&gt;=5,"DIRECT","need group"))</f>
        <v>grains</v>
      </c>
      <c r="AC194" s="212">
        <f ca="1">IF($AB194="DIRECT",Q194,DCOUNT('literature entries'!$D:$AI,IF($J194=1,"ACTIVE     GHGE, FARM GATE (kg CO2e/kg)","GHGE, processor gate (kg CO2e/kg)"),INDIRECT($AB194)))</f>
        <v>45</v>
      </c>
      <c r="AD194" s="212">
        <f ca="1">IF($AB194="DIRECT","",DAVERAGE('literature entries'!$D:$AI,IF($J194=1,"ACTIVE     GHGE, FARM GATE (kg CO2e/kg)","GHGE, processor gate (kg CO2e/kg)"),INDIRECT($AB194)))</f>
        <v>0.39349345733333324</v>
      </c>
      <c r="AE194" s="212">
        <f ca="1">IF($AB194="DIRECT",$S194,DSTDEV('literature entries'!$D:$AI,IF($J194=1,"ACTIVE     GHGE, FARM GATE (kg CO2e/kg)","GHGE, processor gate (kg CO2e/kg)"),INDIRECT($AB194)))</f>
        <v>0.20361467618492471</v>
      </c>
      <c r="AF194" s="212">
        <f t="shared" ca="1" si="25"/>
        <v>0.20361467618492474</v>
      </c>
    </row>
    <row r="195" spans="1:32" s="19" customFormat="1" ht="17" thickBot="1" x14ac:dyDescent="0.25">
      <c r="A195" s="114">
        <v>1500065000</v>
      </c>
      <c r="B195" s="115" t="s">
        <v>1848</v>
      </c>
      <c r="C195" s="115" t="s">
        <v>1849</v>
      </c>
      <c r="D195" s="115"/>
      <c r="E195" s="115">
        <v>277</v>
      </c>
      <c r="F195" s="111">
        <f t="shared" ca="1" si="16"/>
        <v>2.5841213096774194</v>
      </c>
      <c r="G195" s="112">
        <f t="shared" ca="1" si="17"/>
        <v>0.39349345733333324</v>
      </c>
      <c r="H195" s="116">
        <v>1</v>
      </c>
      <c r="I195" s="117" t="s">
        <v>594</v>
      </c>
      <c r="J195" s="79">
        <v>1</v>
      </c>
      <c r="K195" s="78" t="s">
        <v>2702</v>
      </c>
      <c r="L195" s="135" t="str">
        <f>IF(ISERROR(GETPIVOTDATA(IF($J195=1,"Count of ACTIVE     CED, FARM GATE (MJ/kg)","Count of CED, processor gate (MJ/kg)"),'Pivot Table_CED'!$A$3,"SUB TYPE",$B195)),"PROXY",IF(GETPIVOTDATA(IF($J195=1,"Count of ACTIVE     CED, FARM GATE (MJ/kg)","Count of CED, processor gate (MJ/kg)"),'Pivot Table_CED'!$A$3,"SUB TYPE",$B195)=0,"PROXY","DB value"))</f>
        <v>PROXY</v>
      </c>
      <c r="M195" s="118">
        <f ca="1">IF($L195="PROXY",DCOUNT('literature entries'!$D:$AI,IF($J195=1,"ACTIVE     CED, FARM GATE (MJ/kg)","CED, processor gate (MJ/kg)"),INDIRECT($K195)),GETPIVOTDATA(IF($J195=1,"Count of ACTIVE     CED, FARM GATE (MJ/kg)","Count of CED, processor gate (MJ/kg)"),'Pivot Table_CED'!$A$3,"SUB TYPE",$B195))</f>
        <v>31</v>
      </c>
      <c r="N195" s="119">
        <f ca="1">IF($L195="PROXY",DAVERAGE('literature entries'!$D:$AI,IF($J195=1,"ACTIVE     CED, FARM GATE (MJ/kg)","CED, processor gate (MJ/kg)"),INDIRECT($K195)),GETPIVOTDATA(IF($J195=1,"Average of ACTIVE     CED, FARM GATE (MJ/kg)","Average of CED, processor gate (MJ/kg)"),'Pivot Table_CED'!$A$3,"SUB TYPE",$B195))</f>
        <v>2.5841213096774194</v>
      </c>
      <c r="O195" s="119">
        <f ca="1">IF($L195="PROXY",DSTDEV('literature entries'!D:AI,IF($J195=1,"ACTIVE     CED, FARM GATE (MJ/kg)","CED, processor gate (MJ/kg)"),INDIRECT($K195)),GETPIVOTDATA(IF($J195=1,"StdDev of ACTIVE     CED, FARM GATE (MJ/kg)","StdDev of CED, processor gate (MJ/kg)"),'Pivot Table_CED'!$A$3,"SUB TYPE",$B195))</f>
        <v>1.1854190703188778</v>
      </c>
      <c r="P195" s="135" t="str">
        <f>IF(ISERROR(GETPIVOTDATA(IF($J195=1,"Count of ACTIVE     GHGE, FARM GATE (kg CO2e/kg)","Count of GHGE, processor gate (kg CO2e/kg)"),'Pivot Table_GHG'!$A$3,"SUB TYPE",$B195)),"PROXY",IF(GETPIVOTDATA(IF($J195=1,"Count of ACTIVE     GHGE, FARM GATE (kg CO2e/kg)","Count of GHGE, processor gate (kg CO2e/kg)"),'Pivot Table_GHG'!$A$3,"SUB TYPE",$B195)=0,"PROXY","DB value"))</f>
        <v>PROXY</v>
      </c>
      <c r="Q195" s="125">
        <f ca="1">IF($P195="PROXY",DCOUNT('literature entries'!$D:$AI,IF($J195=1,"ACTIVE     GHGE, FARM GATE (kg CO2e/kg)","GHGE, processor gate (kg CO2e/kg)"),INDIRECT($K195)),GETPIVOTDATA(IF($J195=1,"ACTIVE     GHGE, FARM GATE (kg CO2e/kg)","Count of GHGE, processor gate (kg CO2e/kg)"),'Pivot Table_GHG'!$A$3,"SUB TYPE",$B195))</f>
        <v>45</v>
      </c>
      <c r="R195" s="190">
        <f ca="1">IF($P195="PROXY",DAVERAGE('literature entries'!$D:$AI,IF($J195=1,"ACTIVE     GHGE, FARM GATE (kg CO2e/kg)","GHGE, processor gate (kg CO2e/kg)"),INDIRECT($K195)),GETPIVOTDATA(IF($J195=1,"Average of ACTIVE     GHGE, FARM GATE (kg CO2e/kg)","Average of GHGE, processor gate (kg CO2e/kg)"),'Pivot Table_GHG'!$A$3,"SUB TYPE",$B195))</f>
        <v>0.39349345733333324</v>
      </c>
      <c r="S195" s="190">
        <f ca="1">IF($P195="PROXY",DSTDEV('literature entries'!$D:$AI,IF($J195=1,"ACTIVE     GHGE, FARM GATE (kg CO2e/kg)","GHGE, processor gate (kg CO2e/kg)"),INDIRECT($K195)),GETPIVOTDATA(IF($J195=1,"StdDev of ACTIVE     GHGE, FARM GATE (kg CO2e/kg)","StdDev of GHGE, processor gate (kg CO2e/kg)"),'Pivot Table_GHG'!$A$3,"SUB TYPE",$B195))</f>
        <v>0.20361467618492471</v>
      </c>
      <c r="T195" s="88"/>
      <c r="U195" s="89"/>
      <c r="W195" s="213" t="str">
        <f ca="1">IF(L195="PROXY",IF(M195&gt;=5,K195,"need group"),IF(M195&gt;=5,"DIRECT","need group"))</f>
        <v>grains</v>
      </c>
      <c r="X195" s="211">
        <f ca="1">IF($W195="DIRECT",M195,DCOUNT('literature entries'!$D:$AI,IF($J195=1,"ACTIVE     CED, FARM GATE (MJ/kg)","CED, processor gate (MJ/kg)"),INDIRECT($W195)))</f>
        <v>31</v>
      </c>
      <c r="Y195" s="211">
        <f ca="1">IF($W195="DIRECT","",DAVERAGE('literature entries'!$D:$AI,IF($J195=1,"ACTIVE     CED, FARM GATE (MJ/kg)","CED, processor gate (MJ/kg)"),INDIRECT($W195)))</f>
        <v>2.5841213096774194</v>
      </c>
      <c r="Z195" s="211">
        <f ca="1">IF($W195="DIRECT",$O195,DSTDEV('literature entries'!$D:$AI,IF($J195=1,"ACTIVE     CED, FARM GATE (MJ/kg)","CED, processor gate (MJ/kg)"),INDIRECT($W195)))</f>
        <v>1.1854190703188778</v>
      </c>
      <c r="AA195" s="211">
        <f t="shared" ca="1" si="26"/>
        <v>1.1854190703188778</v>
      </c>
      <c r="AB195" s="219" t="str">
        <f ca="1">IF(P195="PROXY",IF(Q195&gt;=5,K195,"need group"),IF(Q195&gt;=5,"DIRECT","need group"))</f>
        <v>grains</v>
      </c>
      <c r="AC195" s="212">
        <f ca="1">IF($AB195="DIRECT",Q195,DCOUNT('literature entries'!$D:$AI,IF($J195=1,"ACTIVE     GHGE, FARM GATE (kg CO2e/kg)","GHGE, processor gate (kg CO2e/kg)"),INDIRECT($AB195)))</f>
        <v>45</v>
      </c>
      <c r="AD195" s="212">
        <f ca="1">IF($AB195="DIRECT","",DAVERAGE('literature entries'!$D:$AI,IF($J195=1,"ACTIVE     GHGE, FARM GATE (kg CO2e/kg)","GHGE, processor gate (kg CO2e/kg)"),INDIRECT($AB195)))</f>
        <v>0.39349345733333324</v>
      </c>
      <c r="AE195" s="212">
        <f ca="1">IF($AB195="DIRECT",$S195,DSTDEV('literature entries'!$D:$AI,IF($J195=1,"ACTIVE     GHGE, FARM GATE (kg CO2e/kg)","GHGE, processor gate (kg CO2e/kg)"),INDIRECT($AB195)))</f>
        <v>0.20361467618492471</v>
      </c>
      <c r="AF195" s="212">
        <f t="shared" ca="1" si="25"/>
        <v>0.20361467618492474</v>
      </c>
    </row>
    <row r="196" spans="1:32" s="19" customFormat="1" ht="17" thickBot="1" x14ac:dyDescent="0.25">
      <c r="A196" s="114">
        <v>1500120000</v>
      </c>
      <c r="B196" s="115" t="s">
        <v>1934</v>
      </c>
      <c r="C196" s="115" t="s">
        <v>1935</v>
      </c>
      <c r="D196" s="115"/>
      <c r="E196" s="115">
        <v>16081</v>
      </c>
      <c r="F196" s="111">
        <f t="shared" ref="F196:F259" ca="1" si="28">N196*H196+T196</f>
        <v>5.8</v>
      </c>
      <c r="G196" s="112">
        <f t="shared" ref="G196:G259" ca="1" si="29">R196*H196+U196</f>
        <v>0.55000000000000004</v>
      </c>
      <c r="H196" s="120">
        <v>1</v>
      </c>
      <c r="I196" s="117" t="s">
        <v>628</v>
      </c>
      <c r="J196" s="79">
        <v>2</v>
      </c>
      <c r="K196" s="78"/>
      <c r="L196" s="135" t="str">
        <f>IF(ISERROR(GETPIVOTDATA(IF($J196=1,"Count of ACTIVE     CED, FARM GATE (MJ/kg)","Count of CED, processor gate (MJ/kg)"),'Pivot Table_CED'!$A$3,"SUB TYPE",$B196)),"PROXY",IF(GETPIVOTDATA(IF($J196=1,"Count of ACTIVE     CED, FARM GATE (MJ/kg)","Count of CED, processor gate (MJ/kg)"),'Pivot Table_CED'!$A$3,"SUB TYPE",$B196)=0,"PROXY","DB value"))</f>
        <v>DB value</v>
      </c>
      <c r="M196" s="118">
        <f ca="1">IF($L196="PROXY",DCOUNT('literature entries'!$D:$AI,IF($J196=1,"ACTIVE     CED, FARM GATE (MJ/kg)","CED, processor gate (MJ/kg)"),INDIRECT($K196)),GETPIVOTDATA(IF($J196=1,"Count of ACTIVE     CED, FARM GATE (MJ/kg)","Count of CED, processor gate (MJ/kg)"),'Pivot Table_CED'!$A$3,"SUB TYPE",$B196))</f>
        <v>1</v>
      </c>
      <c r="N196" s="119">
        <f ca="1">IF($L196="PROXY",DAVERAGE('literature entries'!$D:$AI,IF($J196=1,"ACTIVE     CED, FARM GATE (MJ/kg)","CED, processor gate (MJ/kg)"),INDIRECT($K196)),GETPIVOTDATA(IF($J196=1,"Average of ACTIVE     CED, FARM GATE (MJ/kg)","Average of CED, processor gate (MJ/kg)"),'Pivot Table_CED'!$A$3,"SUB TYPE",$B196))</f>
        <v>5.8</v>
      </c>
      <c r="O196" s="119">
        <f ca="1">IF($L196="PROXY",DSTDEV('literature entries'!D:AI,IF($J196=1,"ACTIVE     CED, FARM GATE (MJ/kg)","CED, processor gate (MJ/kg)"),INDIRECT($K196)),GETPIVOTDATA(IF($J196=1,"StdDev of ACTIVE     CED, FARM GATE (MJ/kg)","StdDev of CED, processor gate (MJ/kg)"),'Pivot Table_CED'!$A$3,"SUB TYPE",$B196))</f>
        <v>0</v>
      </c>
      <c r="P196" s="135" t="str">
        <f>IF(ISERROR(GETPIVOTDATA(IF($J196=1,"Count of ACTIVE     GHGE, FARM GATE (kg CO2e/kg)","Count of GHGE, processor gate (kg CO2e/kg)"),'Pivot Table_GHG'!$A$3,"SUB TYPE",$B196)),"PROXY",IF(GETPIVOTDATA(IF($J196=1,"Count of ACTIVE     GHGE, FARM GATE (kg CO2e/kg)","Count of GHGE, processor gate (kg CO2e/kg)"),'Pivot Table_GHG'!$A$3,"SUB TYPE",$B196)=0,"PROXY","DB value"))</f>
        <v>DB value</v>
      </c>
      <c r="Q196" s="125">
        <f ca="1">IF($P196="PROXY",DCOUNT('literature entries'!$D:$AI,IF($J196=1,"ACTIVE     GHGE, FARM GATE (kg CO2e/kg)","GHGE, processor gate (kg CO2e/kg)"),INDIRECT($K196)),GETPIVOTDATA(IF($J196=1,"ACTIVE     GHGE, FARM GATE (kg CO2e/kg)","Count of GHGE, processor gate (kg CO2e/kg)"),'Pivot Table_GHG'!$A$3,"SUB TYPE",$B196))</f>
        <v>1</v>
      </c>
      <c r="R196" s="190">
        <f ca="1">IF($P196="PROXY",DAVERAGE('literature entries'!$D:$AI,IF($J196=1,"ACTIVE     GHGE, FARM GATE (kg CO2e/kg)","GHGE, processor gate (kg CO2e/kg)"),INDIRECT($K196)),GETPIVOTDATA(IF($J196=1,"Average of ACTIVE     GHGE, FARM GATE (kg CO2e/kg)","Average of GHGE, processor gate (kg CO2e/kg)"),'Pivot Table_GHG'!$A$3,"SUB TYPE",$B196))</f>
        <v>0.55000000000000004</v>
      </c>
      <c r="S196" s="190" t="e">
        <f ca="1">IF($P196="PROXY",DSTDEV('literature entries'!$D:$AI,IF($J196=1,"ACTIVE     GHGE, FARM GATE (kg CO2e/kg)","GHGE, processor gate (kg CO2e/kg)"),INDIRECT($K196)),GETPIVOTDATA(IF($J196=1,"StdDev of ACTIVE     GHGE, FARM GATE (kg CO2e/kg)","StdDev of GHGE, processor gate (kg CO2e/kg)"),'Pivot Table_GHG'!$A$3,"SUB TYPE",$B196))</f>
        <v>#DIV/0!</v>
      </c>
      <c r="T196" s="88"/>
      <c r="U196" s="89"/>
      <c r="W196" s="213" t="s">
        <v>3358</v>
      </c>
      <c r="X196" s="211">
        <f ca="1">IF($W196="DIRECT",M196,DCOUNT('literature entries'!$D:$AI,IF($J196=1,"ACTIVE     CED, FARM GATE (MJ/kg)","CED, processor gate (MJ/kg)"),INDIRECT($W196)))</f>
        <v>9</v>
      </c>
      <c r="Y196" s="211">
        <f ca="1">IF($W196="DIRECT","",DAVERAGE('literature entries'!$D:$AI,IF($J196=1,"ACTIVE     CED, FARM GATE (MJ/kg)","CED, processor gate (MJ/kg)"),INDIRECT($W196)))</f>
        <v>3.7933851999999999</v>
      </c>
      <c r="Z196" s="211">
        <f ca="1">IF($W196="DIRECT",$O196,DSTDEV('literature entries'!$D:$AI,IF($J196=1,"ACTIVE     CED, FARM GATE (MJ/kg)","CED, processor gate (MJ/kg)"),INDIRECT($W196)))</f>
        <v>1.2312612173276687</v>
      </c>
      <c r="AA196" s="211">
        <f t="shared" ca="1" si="26"/>
        <v>1.8825704967954424</v>
      </c>
      <c r="AB196" s="219" t="s">
        <v>3358</v>
      </c>
      <c r="AC196" s="212">
        <f ca="1">IF($AB196="DIRECT",Q196,DCOUNT('literature entries'!$D:$AI,IF($J196=1,"ACTIVE     GHGE, FARM GATE (kg CO2e/kg)","GHGE, processor gate (kg CO2e/kg)"),INDIRECT($AB196)))</f>
        <v>9</v>
      </c>
      <c r="AD196" s="212">
        <f ca="1">IF($AB196="DIRECT","",DAVERAGE('literature entries'!$D:$AI,IF($J196=1,"ACTIVE     GHGE, FARM GATE (kg CO2e/kg)","GHGE, processor gate (kg CO2e/kg)"),INDIRECT($AB196)))</f>
        <v>0.43042331</v>
      </c>
      <c r="AE196" s="212">
        <f ca="1">IF($AB196="DIRECT",$S196,DSTDEV('literature entries'!$D:$AI,IF($J196=1,"ACTIVE     GHGE, FARM GATE (kg CO2e/kg)","GHGE, processor gate (kg CO2e/kg)"),INDIRECT($AB196)))</f>
        <v>7.2682317360146784E-2</v>
      </c>
      <c r="AF196" s="212">
        <f t="shared" ca="1" si="25"/>
        <v>9.2874325389302764E-2</v>
      </c>
    </row>
    <row r="197" spans="1:32" s="19" customFormat="1" ht="17" thickBot="1" x14ac:dyDescent="0.25">
      <c r="A197" s="114">
        <v>1500121000</v>
      </c>
      <c r="B197" s="115" t="s">
        <v>1936</v>
      </c>
      <c r="C197" s="115" t="s">
        <v>1937</v>
      </c>
      <c r="D197" s="115" t="s">
        <v>1938</v>
      </c>
      <c r="E197" s="115">
        <v>12427</v>
      </c>
      <c r="F197" s="111">
        <f t="shared" ca="1" si="28"/>
        <v>5.8</v>
      </c>
      <c r="G197" s="112">
        <f t="shared" ca="1" si="29"/>
        <v>0.55000000000000004</v>
      </c>
      <c r="H197" s="120">
        <v>1</v>
      </c>
      <c r="I197" s="117" t="s">
        <v>628</v>
      </c>
      <c r="J197" s="79">
        <v>2</v>
      </c>
      <c r="K197" s="78" t="s">
        <v>3289</v>
      </c>
      <c r="L197" s="135" t="str">
        <f>IF(ISERROR(GETPIVOTDATA(IF($J197=1,"Count of ACTIVE     CED, FARM GATE (MJ/kg)","Count of CED, processor gate (MJ/kg)"),'Pivot Table_CED'!$A$3,"SUB TYPE",$B197)),"PROXY",IF(GETPIVOTDATA(IF($J197=1,"Count of ACTIVE     CED, FARM GATE (MJ/kg)","Count of CED, processor gate (MJ/kg)"),'Pivot Table_CED'!$A$3,"SUB TYPE",$B197)=0,"PROXY","DB value"))</f>
        <v>PROXY</v>
      </c>
      <c r="M197" s="118">
        <f ca="1">IF($L197="PROXY",DCOUNT('literature entries'!$D:$AI,IF($J197=1,"ACTIVE     CED, FARM GATE (MJ/kg)","CED, processor gate (MJ/kg)"),INDIRECT($K197)),GETPIVOTDATA(IF($J197=1,"Count of ACTIVE     CED, FARM GATE (MJ/kg)","Count of CED, processor gate (MJ/kg)"),'Pivot Table_CED'!$A$3,"SUB TYPE",$B197))</f>
        <v>1</v>
      </c>
      <c r="N197" s="119">
        <f ca="1">IF($L197="PROXY",DAVERAGE('literature entries'!$D:$AI,IF($J197=1,"ACTIVE     CED, FARM GATE (MJ/kg)","CED, processor gate (MJ/kg)"),INDIRECT($K197)),GETPIVOTDATA(IF($J197=1,"Average of ACTIVE     CED, FARM GATE (MJ/kg)","Average of CED, processor gate (MJ/kg)"),'Pivot Table_CED'!$A$3,"SUB TYPE",$B197))</f>
        <v>5.8</v>
      </c>
      <c r="O197" s="119" t="e">
        <f ca="1">IF($L197="PROXY",DSTDEV('literature entries'!D:AI,IF($J197=1,"ACTIVE     CED, FARM GATE (MJ/kg)","CED, processor gate (MJ/kg)"),INDIRECT($K197)),GETPIVOTDATA(IF($J197=1,"StdDev of ACTIVE     CED, FARM GATE (MJ/kg)","StdDev of CED, processor gate (MJ/kg)"),'Pivot Table_CED'!$A$3,"SUB TYPE",$B197))</f>
        <v>#DIV/0!</v>
      </c>
      <c r="P197" s="135" t="str">
        <f>IF(ISERROR(GETPIVOTDATA(IF($J197=1,"Count of ACTIVE     GHGE, FARM GATE (kg CO2e/kg)","Count of GHGE, processor gate (kg CO2e/kg)"),'Pivot Table_GHG'!$A$3,"SUB TYPE",$B197)),"PROXY",IF(GETPIVOTDATA(IF($J197=1,"Count of ACTIVE     GHGE, FARM GATE (kg CO2e/kg)","Count of GHGE, processor gate (kg CO2e/kg)"),'Pivot Table_GHG'!$A$3,"SUB TYPE",$B197)=0,"PROXY","DB value"))</f>
        <v>PROXY</v>
      </c>
      <c r="Q197" s="125">
        <f ca="1">IF($P197="PROXY",DCOUNT('literature entries'!$D:$AI,IF($J197=1,"ACTIVE     GHGE, FARM GATE (kg CO2e/kg)","GHGE, processor gate (kg CO2e/kg)"),INDIRECT($K197)),GETPIVOTDATA(IF($J197=1,"ACTIVE     GHGE, FARM GATE (kg CO2e/kg)","Count of GHGE, processor gate (kg CO2e/kg)"),'Pivot Table_GHG'!$A$3,"SUB TYPE",$B197))</f>
        <v>1</v>
      </c>
      <c r="R197" s="190">
        <f ca="1">IF($P197="PROXY",DAVERAGE('literature entries'!$D:$AI,IF($J197=1,"ACTIVE     GHGE, FARM GATE (kg CO2e/kg)","GHGE, processor gate (kg CO2e/kg)"),INDIRECT($K197)),GETPIVOTDATA(IF($J197=1,"Average of ACTIVE     GHGE, FARM GATE (kg CO2e/kg)","Average of GHGE, processor gate (kg CO2e/kg)"),'Pivot Table_GHG'!$A$3,"SUB TYPE",$B197))</f>
        <v>0.55000000000000004</v>
      </c>
      <c r="S197" s="190" t="e">
        <f ca="1">IF($P197="PROXY",DSTDEV('literature entries'!$D:$AI,IF($J197=1,"ACTIVE     GHGE, FARM GATE (kg CO2e/kg)","GHGE, processor gate (kg CO2e/kg)"),INDIRECT($K197)),GETPIVOTDATA(IF($J197=1,"StdDev of ACTIVE     GHGE, FARM GATE (kg CO2e/kg)","StdDev of GHGE, processor gate (kg CO2e/kg)"),'Pivot Table_GHG'!$A$3,"SUB TYPE",$B197))</f>
        <v>#DIV/0!</v>
      </c>
      <c r="T197" s="88"/>
      <c r="U197" s="89"/>
      <c r="W197" s="213" t="s">
        <v>3358</v>
      </c>
      <c r="X197" s="211">
        <f ca="1">IF($W197="DIRECT",M197,DCOUNT('literature entries'!$D:$AI,IF($J197=1,"ACTIVE     CED, FARM GATE (MJ/kg)","CED, processor gate (MJ/kg)"),INDIRECT($W197)))</f>
        <v>9</v>
      </c>
      <c r="Y197" s="211">
        <f ca="1">IF($W197="DIRECT","",DAVERAGE('literature entries'!$D:$AI,IF($J197=1,"ACTIVE     CED, FARM GATE (MJ/kg)","CED, processor gate (MJ/kg)"),INDIRECT($W197)))</f>
        <v>3.7933851999999999</v>
      </c>
      <c r="Z197" s="211">
        <f ca="1">IF($W197="DIRECT",$O197,DSTDEV('literature entries'!$D:$AI,IF($J197=1,"ACTIVE     CED, FARM GATE (MJ/kg)","CED, processor gate (MJ/kg)"),INDIRECT($W197)))</f>
        <v>1.2312612173276687</v>
      </c>
      <c r="AA197" s="211">
        <f t="shared" ca="1" si="26"/>
        <v>1.8825704967954424</v>
      </c>
      <c r="AB197" s="219" t="s">
        <v>3358</v>
      </c>
      <c r="AC197" s="212">
        <f ca="1">IF($AB197="DIRECT",Q197,DCOUNT('literature entries'!$D:$AI,IF($J197=1,"ACTIVE     GHGE, FARM GATE (kg CO2e/kg)","GHGE, processor gate (kg CO2e/kg)"),INDIRECT($AB197)))</f>
        <v>9</v>
      </c>
      <c r="AD197" s="212">
        <f ca="1">IF($AB197="DIRECT","",DAVERAGE('literature entries'!$D:$AI,IF($J197=1,"ACTIVE     GHGE, FARM GATE (kg CO2e/kg)","GHGE, processor gate (kg CO2e/kg)"),INDIRECT($AB197)))</f>
        <v>0.43042331</v>
      </c>
      <c r="AE197" s="212">
        <f ca="1">IF($AB197="DIRECT",$S197,DSTDEV('literature entries'!$D:$AI,IF($J197=1,"ACTIVE     GHGE, FARM GATE (kg CO2e/kg)","GHGE, processor gate (kg CO2e/kg)"),INDIRECT($AB197)))</f>
        <v>7.2682317360146784E-2</v>
      </c>
      <c r="AF197" s="212">
        <f t="shared" ca="1" si="25"/>
        <v>9.2874325389302764E-2</v>
      </c>
    </row>
    <row r="198" spans="1:32" s="19" customFormat="1" ht="17" thickBot="1" x14ac:dyDescent="0.25">
      <c r="A198" s="114">
        <v>1500122000</v>
      </c>
      <c r="B198" s="115" t="s">
        <v>1933</v>
      </c>
      <c r="C198" s="115" t="s">
        <v>1774</v>
      </c>
      <c r="D198" s="115"/>
      <c r="E198" s="115">
        <v>555</v>
      </c>
      <c r="F198" s="111">
        <f t="shared" ca="1" si="28"/>
        <v>5.8</v>
      </c>
      <c r="G198" s="112">
        <f t="shared" ca="1" si="29"/>
        <v>0.55000000000000004</v>
      </c>
      <c r="H198" s="116">
        <v>1</v>
      </c>
      <c r="I198" s="117" t="s">
        <v>594</v>
      </c>
      <c r="J198" s="79">
        <v>2</v>
      </c>
      <c r="K198" s="78" t="s">
        <v>3289</v>
      </c>
      <c r="L198" s="135" t="str">
        <f>IF(ISERROR(GETPIVOTDATA(IF($J198=1,"Count of ACTIVE     CED, FARM GATE (MJ/kg)","Count of CED, processor gate (MJ/kg)"),'Pivot Table_CED'!$A$3,"SUB TYPE",$B198)),"PROXY",IF(GETPIVOTDATA(IF($J198=1,"Count of ACTIVE     CED, FARM GATE (MJ/kg)","Count of CED, processor gate (MJ/kg)"),'Pivot Table_CED'!$A$3,"SUB TYPE",$B198)=0,"PROXY","DB value"))</f>
        <v>PROXY</v>
      </c>
      <c r="M198" s="118">
        <f ca="1">IF($L198="PROXY",DCOUNT('literature entries'!$D:$AI,IF($J198=1,"ACTIVE     CED, FARM GATE (MJ/kg)","CED, processor gate (MJ/kg)"),INDIRECT($K198)),GETPIVOTDATA(IF($J198=1,"Count of ACTIVE     CED, FARM GATE (MJ/kg)","Count of CED, processor gate (MJ/kg)"),'Pivot Table_CED'!$A$3,"SUB TYPE",$B198))</f>
        <v>1</v>
      </c>
      <c r="N198" s="119">
        <f ca="1">IF($L198="PROXY",DAVERAGE('literature entries'!$D:$AI,IF($J198=1,"ACTIVE     CED, FARM GATE (MJ/kg)","CED, processor gate (MJ/kg)"),INDIRECT($K198)),GETPIVOTDATA(IF($J198=1,"Average of ACTIVE     CED, FARM GATE (MJ/kg)","Average of CED, processor gate (MJ/kg)"),'Pivot Table_CED'!$A$3,"SUB TYPE",$B198))</f>
        <v>5.8</v>
      </c>
      <c r="O198" s="119" t="e">
        <f ca="1">IF($L198="PROXY",DSTDEV('literature entries'!D:AI,IF($J198=1,"ACTIVE     CED, FARM GATE (MJ/kg)","CED, processor gate (MJ/kg)"),INDIRECT($K198)),GETPIVOTDATA(IF($J198=1,"StdDev of ACTIVE     CED, FARM GATE (MJ/kg)","StdDev of CED, processor gate (MJ/kg)"),'Pivot Table_CED'!$A$3,"SUB TYPE",$B198))</f>
        <v>#DIV/0!</v>
      </c>
      <c r="P198" s="135" t="str">
        <f>IF(ISERROR(GETPIVOTDATA(IF($J198=1,"Count of ACTIVE     GHGE, FARM GATE (kg CO2e/kg)","Count of GHGE, processor gate (kg CO2e/kg)"),'Pivot Table_GHG'!$A$3,"SUB TYPE",$B198)),"PROXY",IF(GETPIVOTDATA(IF($J198=1,"Count of ACTIVE     GHGE, FARM GATE (kg CO2e/kg)","Count of GHGE, processor gate (kg CO2e/kg)"),'Pivot Table_GHG'!$A$3,"SUB TYPE",$B198)=0,"PROXY","DB value"))</f>
        <v>PROXY</v>
      </c>
      <c r="Q198" s="125">
        <f ca="1">IF($P198="PROXY",DCOUNT('literature entries'!$D:$AI,IF($J198=1,"ACTIVE     GHGE, FARM GATE (kg CO2e/kg)","GHGE, processor gate (kg CO2e/kg)"),INDIRECT($K198)),GETPIVOTDATA(IF($J198=1,"ACTIVE     GHGE, FARM GATE (kg CO2e/kg)","Count of GHGE, processor gate (kg CO2e/kg)"),'Pivot Table_GHG'!$A$3,"SUB TYPE",$B198))</f>
        <v>1</v>
      </c>
      <c r="R198" s="190">
        <f ca="1">IF($P198="PROXY",DAVERAGE('literature entries'!$D:$AI,IF($J198=1,"ACTIVE     GHGE, FARM GATE (kg CO2e/kg)","GHGE, processor gate (kg CO2e/kg)"),INDIRECT($K198)),GETPIVOTDATA(IF($J198=1,"Average of ACTIVE     GHGE, FARM GATE (kg CO2e/kg)","Average of GHGE, processor gate (kg CO2e/kg)"),'Pivot Table_GHG'!$A$3,"SUB TYPE",$B198))</f>
        <v>0.55000000000000004</v>
      </c>
      <c r="S198" s="190" t="e">
        <f ca="1">IF($P198="PROXY",DSTDEV('literature entries'!$D:$AI,IF($J198=1,"ACTIVE     GHGE, FARM GATE (kg CO2e/kg)","GHGE, processor gate (kg CO2e/kg)"),INDIRECT($K198)),GETPIVOTDATA(IF($J198=1,"StdDev of ACTIVE     GHGE, FARM GATE (kg CO2e/kg)","StdDev of GHGE, processor gate (kg CO2e/kg)"),'Pivot Table_GHG'!$A$3,"SUB TYPE",$B198))</f>
        <v>#DIV/0!</v>
      </c>
      <c r="T198" s="88"/>
      <c r="U198" s="89"/>
      <c r="W198" s="213" t="s">
        <v>3358</v>
      </c>
      <c r="X198" s="211">
        <f ca="1">IF($W198="DIRECT",M198,DCOUNT('literature entries'!$D:$AI,IF($J198=1,"ACTIVE     CED, FARM GATE (MJ/kg)","CED, processor gate (MJ/kg)"),INDIRECT($W198)))</f>
        <v>9</v>
      </c>
      <c r="Y198" s="211">
        <f ca="1">IF($W198="DIRECT","",DAVERAGE('literature entries'!$D:$AI,IF($J198=1,"ACTIVE     CED, FARM GATE (MJ/kg)","CED, processor gate (MJ/kg)"),INDIRECT($W198)))</f>
        <v>3.7933851999999999</v>
      </c>
      <c r="Z198" s="211">
        <f ca="1">IF($W198="DIRECT",$O198,DSTDEV('literature entries'!$D:$AI,IF($J198=1,"ACTIVE     CED, FARM GATE (MJ/kg)","CED, processor gate (MJ/kg)"),INDIRECT($W198)))</f>
        <v>1.2312612173276687</v>
      </c>
      <c r="AA198" s="211">
        <f t="shared" ca="1" si="26"/>
        <v>1.8825704967954424</v>
      </c>
      <c r="AB198" s="219" t="s">
        <v>3358</v>
      </c>
      <c r="AC198" s="212">
        <f ca="1">IF($AB198="DIRECT",Q198,DCOUNT('literature entries'!$D:$AI,IF($J198=1,"ACTIVE     GHGE, FARM GATE (kg CO2e/kg)","GHGE, processor gate (kg CO2e/kg)"),INDIRECT($AB198)))</f>
        <v>9</v>
      </c>
      <c r="AD198" s="212">
        <f ca="1">IF($AB198="DIRECT","",DAVERAGE('literature entries'!$D:$AI,IF($J198=1,"ACTIVE     GHGE, FARM GATE (kg CO2e/kg)","GHGE, processor gate (kg CO2e/kg)"),INDIRECT($AB198)))</f>
        <v>0.43042331</v>
      </c>
      <c r="AE198" s="212">
        <f ca="1">IF($AB198="DIRECT",$S198,DSTDEV('literature entries'!$D:$AI,IF($J198=1,"ACTIVE     GHGE, FARM GATE (kg CO2e/kg)","GHGE, processor gate (kg CO2e/kg)"),INDIRECT($AB198)))</f>
        <v>7.2682317360146784E-2</v>
      </c>
      <c r="AF198" s="212">
        <f t="shared" ca="1" si="25"/>
        <v>9.2874325389302764E-2</v>
      </c>
    </row>
    <row r="199" spans="1:32" s="19" customFormat="1" ht="17" thickBot="1" x14ac:dyDescent="0.25">
      <c r="A199" s="114">
        <v>1500123000</v>
      </c>
      <c r="B199" s="115" t="s">
        <v>1940</v>
      </c>
      <c r="C199" s="115" t="s">
        <v>1941</v>
      </c>
      <c r="D199" s="115"/>
      <c r="E199" s="115">
        <v>34670</v>
      </c>
      <c r="F199" s="111">
        <f t="shared" ca="1" si="28"/>
        <v>8.8000000000000007</v>
      </c>
      <c r="G199" s="112">
        <f t="shared" ca="1" si="29"/>
        <v>0.76</v>
      </c>
      <c r="H199" s="120">
        <v>1</v>
      </c>
      <c r="I199" s="117" t="s">
        <v>628</v>
      </c>
      <c r="J199" s="79">
        <v>2</v>
      </c>
      <c r="K199" s="78"/>
      <c r="L199" s="135" t="str">
        <f>IF(ISERROR(GETPIVOTDATA(IF($J199=1,"Count of ACTIVE     CED, FARM GATE (MJ/kg)","Count of CED, processor gate (MJ/kg)"),'Pivot Table_CED'!$A$3,"SUB TYPE",$B199)),"PROXY",IF(GETPIVOTDATA(IF($J199=1,"Count of ACTIVE     CED, FARM GATE (MJ/kg)","Count of CED, processor gate (MJ/kg)"),'Pivot Table_CED'!$A$3,"SUB TYPE",$B199)=0,"PROXY","DB value"))</f>
        <v>DB value</v>
      </c>
      <c r="M199" s="118">
        <f ca="1">IF($L199="PROXY",DCOUNT('literature entries'!$D:$AI,IF($J199=1,"ACTIVE     CED, FARM GATE (MJ/kg)","CED, processor gate (MJ/kg)"),INDIRECT($K199)),GETPIVOTDATA(IF($J199=1,"Count of ACTIVE     CED, FARM GATE (MJ/kg)","Count of CED, processor gate (MJ/kg)"),'Pivot Table_CED'!$A$3,"SUB TYPE",$B199))</f>
        <v>1</v>
      </c>
      <c r="N199" s="119">
        <f ca="1">IF($L199="PROXY",DAVERAGE('literature entries'!$D:$AI,IF($J199=1,"ACTIVE     CED, FARM GATE (MJ/kg)","CED, processor gate (MJ/kg)"),INDIRECT($K199)),GETPIVOTDATA(IF($J199=1,"Average of ACTIVE     CED, FARM GATE (MJ/kg)","Average of CED, processor gate (MJ/kg)"),'Pivot Table_CED'!$A$3,"SUB TYPE",$B199))</f>
        <v>8.8000000000000007</v>
      </c>
      <c r="O199" s="119">
        <f ca="1">IF($L199="PROXY",DSTDEV('literature entries'!D:AI,IF($J199=1,"ACTIVE     CED, FARM GATE (MJ/kg)","CED, processor gate (MJ/kg)"),INDIRECT($K199)),GETPIVOTDATA(IF($J199=1,"StdDev of ACTIVE     CED, FARM GATE (MJ/kg)","StdDev of CED, processor gate (MJ/kg)"),'Pivot Table_CED'!$A$3,"SUB TYPE",$B199))</f>
        <v>0</v>
      </c>
      <c r="P199" s="135" t="str">
        <f>IF(ISERROR(GETPIVOTDATA(IF($J199=1,"Count of ACTIVE     GHGE, FARM GATE (kg CO2e/kg)","Count of GHGE, processor gate (kg CO2e/kg)"),'Pivot Table_GHG'!$A$3,"SUB TYPE",$B199)),"PROXY",IF(GETPIVOTDATA(IF($J199=1,"Count of ACTIVE     GHGE, FARM GATE (kg CO2e/kg)","Count of GHGE, processor gate (kg CO2e/kg)"),'Pivot Table_GHG'!$A$3,"SUB TYPE",$B199)=0,"PROXY","DB value"))</f>
        <v>DB value</v>
      </c>
      <c r="Q199" s="125">
        <f ca="1">IF($P199="PROXY",DCOUNT('literature entries'!$D:$AI,IF($J199=1,"ACTIVE     GHGE, FARM GATE (kg CO2e/kg)","GHGE, processor gate (kg CO2e/kg)"),INDIRECT($K199)),GETPIVOTDATA(IF($J199=1,"ACTIVE     GHGE, FARM GATE (kg CO2e/kg)","Count of GHGE, processor gate (kg CO2e/kg)"),'Pivot Table_GHG'!$A$3,"SUB TYPE",$B199))</f>
        <v>1</v>
      </c>
      <c r="R199" s="190">
        <f ca="1">IF($P199="PROXY",DAVERAGE('literature entries'!$D:$AI,IF($J199=1,"ACTIVE     GHGE, FARM GATE (kg CO2e/kg)","GHGE, processor gate (kg CO2e/kg)"),INDIRECT($K199)),GETPIVOTDATA(IF($J199=1,"Average of ACTIVE     GHGE, FARM GATE (kg CO2e/kg)","Average of GHGE, processor gate (kg CO2e/kg)"),'Pivot Table_GHG'!$A$3,"SUB TYPE",$B199))</f>
        <v>0.76</v>
      </c>
      <c r="S199" s="190" t="e">
        <f ca="1">IF($P199="PROXY",DSTDEV('literature entries'!$D:$AI,IF($J199=1,"ACTIVE     GHGE, FARM GATE (kg CO2e/kg)","GHGE, processor gate (kg CO2e/kg)"),INDIRECT($K199)),GETPIVOTDATA(IF($J199=1,"StdDev of ACTIVE     GHGE, FARM GATE (kg CO2e/kg)","StdDev of GHGE, processor gate (kg CO2e/kg)"),'Pivot Table_GHG'!$A$3,"SUB TYPE",$B199))</f>
        <v>#DIV/0!</v>
      </c>
      <c r="T199" s="88"/>
      <c r="U199" s="89"/>
      <c r="W199" s="221" t="s">
        <v>3367</v>
      </c>
      <c r="X199" s="211"/>
      <c r="Y199" s="211"/>
      <c r="Z199" s="211">
        <v>0</v>
      </c>
      <c r="AA199" s="211">
        <v>0</v>
      </c>
      <c r="AB199" s="221" t="s">
        <v>3367</v>
      </c>
      <c r="AC199" s="212"/>
      <c r="AD199" s="212"/>
      <c r="AE199" s="212">
        <v>0</v>
      </c>
      <c r="AF199" s="212">
        <v>0</v>
      </c>
    </row>
    <row r="200" spans="1:32" s="19" customFormat="1" ht="17" thickBot="1" x14ac:dyDescent="0.25">
      <c r="A200" s="114">
        <v>1500124000</v>
      </c>
      <c r="B200" s="115" t="s">
        <v>1942</v>
      </c>
      <c r="C200" s="115" t="s">
        <v>1943</v>
      </c>
      <c r="D200" s="115"/>
      <c r="E200" s="115">
        <v>49699</v>
      </c>
      <c r="F200" s="111">
        <f t="shared" ca="1" si="28"/>
        <v>6.6880000000000006</v>
      </c>
      <c r="G200" s="112">
        <f t="shared" ca="1" si="29"/>
        <v>0.5776</v>
      </c>
      <c r="H200" s="120">
        <v>0.76</v>
      </c>
      <c r="I200" s="117" t="s">
        <v>4437</v>
      </c>
      <c r="J200" s="79">
        <v>2</v>
      </c>
      <c r="K200" s="78" t="s">
        <v>3287</v>
      </c>
      <c r="L200" s="135" t="str">
        <f>IF(ISERROR(GETPIVOTDATA(IF($J200=1,"Count of ACTIVE     CED, FARM GATE (MJ/kg)","Count of CED, processor gate (MJ/kg)"),'Pivot Table_CED'!$A$3,"SUB TYPE",$B200)),"PROXY",IF(GETPIVOTDATA(IF($J200=1,"Count of ACTIVE     CED, FARM GATE (MJ/kg)","Count of CED, processor gate (MJ/kg)"),'Pivot Table_CED'!$A$3,"SUB TYPE",$B200)=0,"PROXY","DB value"))</f>
        <v>PROXY</v>
      </c>
      <c r="M200" s="118">
        <f ca="1">IF($L200="PROXY",DCOUNT('literature entries'!$D:$AI,IF($J200=1,"ACTIVE     CED, FARM GATE (MJ/kg)","CED, processor gate (MJ/kg)"),INDIRECT($K200)),GETPIVOTDATA(IF($J200=1,"Count of ACTIVE     CED, FARM GATE (MJ/kg)","Count of CED, processor gate (MJ/kg)"),'Pivot Table_CED'!$A$3,"SUB TYPE",$B200))</f>
        <v>1</v>
      </c>
      <c r="N200" s="119">
        <f ca="1">IF($L200="PROXY",DAVERAGE('literature entries'!$D:$AI,IF($J200=1,"ACTIVE     CED, FARM GATE (MJ/kg)","CED, processor gate (MJ/kg)"),INDIRECT($K200)),GETPIVOTDATA(IF($J200=1,"Average of ACTIVE     CED, FARM GATE (MJ/kg)","Average of CED, processor gate (MJ/kg)"),'Pivot Table_CED'!$A$3,"SUB TYPE",$B200))</f>
        <v>8.8000000000000007</v>
      </c>
      <c r="O200" s="119" t="e">
        <f ca="1">IF($L200="PROXY",DSTDEV('literature entries'!D:AI,IF($J200=1,"ACTIVE     CED, FARM GATE (MJ/kg)","CED, processor gate (MJ/kg)"),INDIRECT($K200)),GETPIVOTDATA(IF($J200=1,"StdDev of ACTIVE     CED, FARM GATE (MJ/kg)","StdDev of CED, processor gate (MJ/kg)"),'Pivot Table_CED'!$A$3,"SUB TYPE",$B200))</f>
        <v>#DIV/0!</v>
      </c>
      <c r="P200" s="135" t="str">
        <f>IF(ISERROR(GETPIVOTDATA(IF($J200=1,"Count of ACTIVE     GHGE, FARM GATE (kg CO2e/kg)","Count of GHGE, processor gate (kg CO2e/kg)"),'Pivot Table_GHG'!$A$3,"SUB TYPE",$B200)),"PROXY",IF(GETPIVOTDATA(IF($J200=1,"Count of ACTIVE     GHGE, FARM GATE (kg CO2e/kg)","Count of GHGE, processor gate (kg CO2e/kg)"),'Pivot Table_GHG'!$A$3,"SUB TYPE",$B200)=0,"PROXY","DB value"))</f>
        <v>PROXY</v>
      </c>
      <c r="Q200" s="125">
        <f ca="1">IF($P200="PROXY",DCOUNT('literature entries'!$D:$AI,IF($J200=1,"ACTIVE     GHGE, FARM GATE (kg CO2e/kg)","GHGE, processor gate (kg CO2e/kg)"),INDIRECT($K200)),GETPIVOTDATA(IF($J200=1,"ACTIVE     GHGE, FARM GATE (kg CO2e/kg)","Count of GHGE, processor gate (kg CO2e/kg)"),'Pivot Table_GHG'!$A$3,"SUB TYPE",$B200))</f>
        <v>1</v>
      </c>
      <c r="R200" s="190">
        <f ca="1">IF($P200="PROXY",DAVERAGE('literature entries'!$D:$AI,IF($J200=1,"ACTIVE     GHGE, FARM GATE (kg CO2e/kg)","GHGE, processor gate (kg CO2e/kg)"),INDIRECT($K200)),GETPIVOTDATA(IF($J200=1,"Average of ACTIVE     GHGE, FARM GATE (kg CO2e/kg)","Average of GHGE, processor gate (kg CO2e/kg)"),'Pivot Table_GHG'!$A$3,"SUB TYPE",$B200))</f>
        <v>0.76</v>
      </c>
      <c r="S200" s="190" t="e">
        <f ca="1">IF($P200="PROXY",DSTDEV('literature entries'!$D:$AI,IF($J200=1,"ACTIVE     GHGE, FARM GATE (kg CO2e/kg)","GHGE, processor gate (kg CO2e/kg)"),INDIRECT($K200)),GETPIVOTDATA(IF($J200=1,"StdDev of ACTIVE     GHGE, FARM GATE (kg CO2e/kg)","StdDev of GHGE, processor gate (kg CO2e/kg)"),'Pivot Table_GHG'!$A$3,"SUB TYPE",$B200))</f>
        <v>#DIV/0!</v>
      </c>
      <c r="T200" s="88"/>
      <c r="U200" s="89"/>
      <c r="W200" s="221" t="s">
        <v>3367</v>
      </c>
      <c r="X200" s="211"/>
      <c r="Y200" s="211"/>
      <c r="Z200" s="211">
        <v>0</v>
      </c>
      <c r="AA200" s="211">
        <v>0</v>
      </c>
      <c r="AB200" s="221" t="s">
        <v>3367</v>
      </c>
      <c r="AC200" s="212"/>
      <c r="AD200" s="212"/>
      <c r="AE200" s="212">
        <v>0</v>
      </c>
      <c r="AF200" s="212">
        <v>0</v>
      </c>
    </row>
    <row r="201" spans="1:32" s="19" customFormat="1" ht="17" thickBot="1" x14ac:dyDescent="0.25">
      <c r="A201" s="114">
        <v>1500125000</v>
      </c>
      <c r="B201" s="115" t="s">
        <v>1939</v>
      </c>
      <c r="C201" s="115" t="s">
        <v>1731</v>
      </c>
      <c r="D201" s="115"/>
      <c r="E201" s="115">
        <v>45585</v>
      </c>
      <c r="F201" s="111">
        <f t="shared" ca="1" si="28"/>
        <v>15.165668500000001</v>
      </c>
      <c r="G201" s="112">
        <f t="shared" ca="1" si="29"/>
        <v>1.1993259000000001</v>
      </c>
      <c r="H201" s="120">
        <v>1</v>
      </c>
      <c r="I201" s="117" t="s">
        <v>628</v>
      </c>
      <c r="J201" s="79">
        <v>2</v>
      </c>
      <c r="K201" s="78"/>
      <c r="L201" s="135" t="str">
        <f>IF(ISERROR(GETPIVOTDATA(IF($J201=1,"Count of ACTIVE     CED, FARM GATE (MJ/kg)","Count of CED, processor gate (MJ/kg)"),'Pivot Table_CED'!$A$3,"SUB TYPE",$B201)),"PROXY",IF(GETPIVOTDATA(IF($J201=1,"Count of ACTIVE     CED, FARM GATE (MJ/kg)","Count of CED, processor gate (MJ/kg)"),'Pivot Table_CED'!$A$3,"SUB TYPE",$B201)=0,"PROXY","DB value"))</f>
        <v>DB value</v>
      </c>
      <c r="M201" s="118">
        <f ca="1">IF($L201="PROXY",DCOUNT('literature entries'!$D:$AI,IF($J201=1,"ACTIVE     CED, FARM GATE (MJ/kg)","CED, processor gate (MJ/kg)"),INDIRECT($K201)),GETPIVOTDATA(IF($J201=1,"Count of ACTIVE     CED, FARM GATE (MJ/kg)","Count of CED, processor gate (MJ/kg)"),'Pivot Table_CED'!$A$3,"SUB TYPE",$B201))</f>
        <v>2</v>
      </c>
      <c r="N201" s="119">
        <f ca="1">IF($L201="PROXY",DAVERAGE('literature entries'!$D:$AI,IF($J201=1,"ACTIVE     CED, FARM GATE (MJ/kg)","CED, processor gate (MJ/kg)"),INDIRECT($K201)),GETPIVOTDATA(IF($J201=1,"Average of ACTIVE     CED, FARM GATE (MJ/kg)","Average of CED, processor gate (MJ/kg)"),'Pivot Table_CED'!$A$3,"SUB TYPE",$B201))</f>
        <v>15.165668500000001</v>
      </c>
      <c r="O201" s="119">
        <f ca="1">IF($L201="PROXY",DSTDEV('literature entries'!D:AI,IF($J201=1,"ACTIVE     CED, FARM GATE (MJ/kg)","CED, processor gate (MJ/kg)"),INDIRECT($K201)),GETPIVOTDATA(IF($J201=1,"StdDev of ACTIVE     CED, FARM GATE (MJ/kg)","StdDev of CED, processor gate (MJ/kg)"),'Pivot Table_CED'!$A$3,"SUB TYPE",$B201))</f>
        <v>0.68476291400781419</v>
      </c>
      <c r="P201" s="135" t="str">
        <f>IF(ISERROR(GETPIVOTDATA(IF($J201=1,"Count of ACTIVE     GHGE, FARM GATE (kg CO2e/kg)","Count of GHGE, processor gate (kg CO2e/kg)"),'Pivot Table_GHG'!$A$3,"SUB TYPE",$B201)),"PROXY",IF(GETPIVOTDATA(IF($J201=1,"Count of ACTIVE     GHGE, FARM GATE (kg CO2e/kg)","Count of GHGE, processor gate (kg CO2e/kg)"),'Pivot Table_GHG'!$A$3,"SUB TYPE",$B201)=0,"PROXY","DB value"))</f>
        <v>DB value</v>
      </c>
      <c r="Q201" s="125">
        <f ca="1">IF($P201="PROXY",DCOUNT('literature entries'!$D:$AI,IF($J201=1,"ACTIVE     GHGE, FARM GATE (kg CO2e/kg)","GHGE, processor gate (kg CO2e/kg)"),INDIRECT($K201)),GETPIVOTDATA(IF($J201=1,"ACTIVE     GHGE, FARM GATE (kg CO2e/kg)","Count of GHGE, processor gate (kg CO2e/kg)"),'Pivot Table_GHG'!$A$3,"SUB TYPE",$B201))</f>
        <v>2</v>
      </c>
      <c r="R201" s="190">
        <f ca="1">IF($P201="PROXY",DAVERAGE('literature entries'!$D:$AI,IF($J201=1,"ACTIVE     GHGE, FARM GATE (kg CO2e/kg)","GHGE, processor gate (kg CO2e/kg)"),INDIRECT($K201)),GETPIVOTDATA(IF($J201=1,"Average of ACTIVE     GHGE, FARM GATE (kg CO2e/kg)","Average of GHGE, processor gate (kg CO2e/kg)"),'Pivot Table_GHG'!$A$3,"SUB TYPE",$B201))</f>
        <v>1.1993259000000001</v>
      </c>
      <c r="S201" s="190">
        <f ca="1">IF($P201="PROXY",DSTDEV('literature entries'!$D:$AI,IF($J201=1,"ACTIVE     GHGE, FARM GATE (kg CO2e/kg)","GHGE, processor gate (kg CO2e/kg)"),INDIRECT($K201)),GETPIVOTDATA(IF($J201=1,"StdDev of ACTIVE     GHGE, FARM GATE (kg CO2e/kg)","StdDev of GHGE, processor gate (kg CO2e/kg)"),'Pivot Table_GHG'!$A$3,"SUB TYPE",$B201))</f>
        <v>6.5269350016069774E-2</v>
      </c>
      <c r="T201" s="88"/>
      <c r="U201" s="89"/>
      <c r="W201" s="213" t="s">
        <v>3354</v>
      </c>
      <c r="X201" s="211">
        <f ca="1">IF($W201="DIRECT",M201,DCOUNT('literature entries'!$D:$AI,IF($J201=1,"ACTIVE     CED, FARM GATE (MJ/kg)","CED, processor gate (MJ/kg)"),INDIRECT($W201)))</f>
        <v>16</v>
      </c>
      <c r="Y201" s="211">
        <f ca="1">IF($W201="DIRECT","",DAVERAGE('literature entries'!$D:$AI,IF($J201=1,"ACTIVE     CED, FARM GATE (MJ/kg)","CED, processor gate (MJ/kg)"),INDIRECT($W201)))</f>
        <v>11.873325197282607</v>
      </c>
      <c r="Z201" s="211">
        <f ca="1">IF($W201="DIRECT",$O201,DSTDEV('literature entries'!$D:$AI,IF($J201=1,"ACTIVE     CED, FARM GATE (MJ/kg)","CED, processor gate (MJ/kg)"),INDIRECT($W201)))</f>
        <v>5.663275464099641</v>
      </c>
      <c r="AA201" s="211">
        <f t="shared" ref="AA201:AA227" ca="1" si="30">IF($W201="DIRECT",$O201,$Z201/$Y201*$N201)</f>
        <v>7.2336398511493183</v>
      </c>
      <c r="AB201" s="219" t="s">
        <v>3354</v>
      </c>
      <c r="AC201" s="212">
        <f ca="1">IF($AB201="DIRECT",Q201,DCOUNT('literature entries'!$D:$AI,IF($J201=1,"ACTIVE     GHGE, FARM GATE (kg CO2e/kg)","GHGE, processor gate (kg CO2e/kg)"),INDIRECT($AB201)))</f>
        <v>19</v>
      </c>
      <c r="AD201" s="212">
        <f ca="1">IF($AB201="DIRECT","",DAVERAGE('literature entries'!$D:$AI,IF($J201=1,"ACTIVE     GHGE, FARM GATE (kg CO2e/kg)","GHGE, processor gate (kg CO2e/kg)"),INDIRECT($AB201)))</f>
        <v>3.6074757576297722</v>
      </c>
      <c r="AE201" s="212">
        <f ca="1">IF($AB201="DIRECT",$S201,DSTDEV('literature entries'!$D:$AI,IF($J201=1,"ACTIVE     GHGE, FARM GATE (kg CO2e/kg)","GHGE, processor gate (kg CO2e/kg)"),INDIRECT($AB201)))</f>
        <v>2.5306182127862726</v>
      </c>
      <c r="AF201" s="212">
        <f t="shared" ref="AF201:AF227" ca="1" si="31">IF($AB201="DIRECT",$S201,$AE201/$AD201*$R201)</f>
        <v>0.8413184646320131</v>
      </c>
    </row>
    <row r="202" spans="1:32" s="19" customFormat="1" ht="17" thickBot="1" x14ac:dyDescent="0.25">
      <c r="A202" s="114">
        <v>1500126000</v>
      </c>
      <c r="B202" s="115" t="s">
        <v>1944</v>
      </c>
      <c r="C202" s="115" t="s">
        <v>1945</v>
      </c>
      <c r="D202" s="115"/>
      <c r="E202" s="115">
        <v>3050</v>
      </c>
      <c r="F202" s="111">
        <f t="shared" ca="1" si="28"/>
        <v>2.5841213096774194</v>
      </c>
      <c r="G202" s="112">
        <f t="shared" ca="1" si="29"/>
        <v>0.39349345733333324</v>
      </c>
      <c r="H202" s="117">
        <v>1</v>
      </c>
      <c r="I202" s="117" t="s">
        <v>2724</v>
      </c>
      <c r="J202" s="79">
        <v>1</v>
      </c>
      <c r="K202" s="78" t="s">
        <v>2702</v>
      </c>
      <c r="L202" s="135" t="str">
        <f>IF(ISERROR(GETPIVOTDATA(IF($J202=1,"Count of ACTIVE     CED, FARM GATE (MJ/kg)","Count of CED, processor gate (MJ/kg)"),'Pivot Table_CED'!$A$3,"SUB TYPE",$B202)),"PROXY",IF(GETPIVOTDATA(IF($J202=1,"Count of ACTIVE     CED, FARM GATE (MJ/kg)","Count of CED, processor gate (MJ/kg)"),'Pivot Table_CED'!$A$3,"SUB TYPE",$B202)=0,"PROXY","DB value"))</f>
        <v>PROXY</v>
      </c>
      <c r="M202" s="118">
        <f ca="1">IF($L202="PROXY",DCOUNT('literature entries'!$D:$AI,IF($J202=1,"ACTIVE     CED, FARM GATE (MJ/kg)","CED, processor gate (MJ/kg)"),INDIRECT($K202)),GETPIVOTDATA(IF($J202=1,"Count of ACTIVE     CED, FARM GATE (MJ/kg)","Count of CED, processor gate (MJ/kg)"),'Pivot Table_CED'!$A$3,"SUB TYPE",$B202))</f>
        <v>31</v>
      </c>
      <c r="N202" s="119">
        <f ca="1">IF($L202="PROXY",DAVERAGE('literature entries'!$D:$AI,IF($J202=1,"ACTIVE     CED, FARM GATE (MJ/kg)","CED, processor gate (MJ/kg)"),INDIRECT($K202)),GETPIVOTDATA(IF($J202=1,"Average of ACTIVE     CED, FARM GATE (MJ/kg)","Average of CED, processor gate (MJ/kg)"),'Pivot Table_CED'!$A$3,"SUB TYPE",$B202))</f>
        <v>2.5841213096774194</v>
      </c>
      <c r="O202" s="119">
        <f ca="1">IF($L202="PROXY",DSTDEV('literature entries'!D:AI,IF($J202=1,"ACTIVE     CED, FARM GATE (MJ/kg)","CED, processor gate (MJ/kg)"),INDIRECT($K202)),GETPIVOTDATA(IF($J202=1,"StdDev of ACTIVE     CED, FARM GATE (MJ/kg)","StdDev of CED, processor gate (MJ/kg)"),'Pivot Table_CED'!$A$3,"SUB TYPE",$B202))</f>
        <v>1.1854190703188778</v>
      </c>
      <c r="P202" s="135" t="str">
        <f>IF(ISERROR(GETPIVOTDATA(IF($J202=1,"Count of ACTIVE     GHGE, FARM GATE (kg CO2e/kg)","Count of GHGE, processor gate (kg CO2e/kg)"),'Pivot Table_GHG'!$A$3,"SUB TYPE",$B202)),"PROXY",IF(GETPIVOTDATA(IF($J202=1,"Count of ACTIVE     GHGE, FARM GATE (kg CO2e/kg)","Count of GHGE, processor gate (kg CO2e/kg)"),'Pivot Table_GHG'!$A$3,"SUB TYPE",$B202)=0,"PROXY","DB value"))</f>
        <v>PROXY</v>
      </c>
      <c r="Q202" s="125">
        <f ca="1">IF($P202="PROXY",DCOUNT('literature entries'!$D:$AI,IF($J202=1,"ACTIVE     GHGE, FARM GATE (kg CO2e/kg)","GHGE, processor gate (kg CO2e/kg)"),INDIRECT($K202)),GETPIVOTDATA(IF($J202=1,"ACTIVE     GHGE, FARM GATE (kg CO2e/kg)","Count of GHGE, processor gate (kg CO2e/kg)"),'Pivot Table_GHG'!$A$3,"SUB TYPE",$B202))</f>
        <v>45</v>
      </c>
      <c r="R202" s="190">
        <f ca="1">IF($P202="PROXY",DAVERAGE('literature entries'!$D:$AI,IF($J202=1,"ACTIVE     GHGE, FARM GATE (kg CO2e/kg)","GHGE, processor gate (kg CO2e/kg)"),INDIRECT($K202)),GETPIVOTDATA(IF($J202=1,"Average of ACTIVE     GHGE, FARM GATE (kg CO2e/kg)","Average of GHGE, processor gate (kg CO2e/kg)"),'Pivot Table_GHG'!$A$3,"SUB TYPE",$B202))</f>
        <v>0.39349345733333324</v>
      </c>
      <c r="S202" s="190">
        <f ca="1">IF($P202="PROXY",DSTDEV('literature entries'!$D:$AI,IF($J202=1,"ACTIVE     GHGE, FARM GATE (kg CO2e/kg)","GHGE, processor gate (kg CO2e/kg)"),INDIRECT($K202)),GETPIVOTDATA(IF($J202=1,"StdDev of ACTIVE     GHGE, FARM GATE (kg CO2e/kg)","StdDev of GHGE, processor gate (kg CO2e/kg)"),'Pivot Table_GHG'!$A$3,"SUB TYPE",$B202))</f>
        <v>0.20361467618492471</v>
      </c>
      <c r="T202" s="88"/>
      <c r="U202" s="89"/>
      <c r="W202" s="213" t="str">
        <f ca="1">IF(L202="PROXY",IF(M202&gt;=5,K202,"need group"),IF(M202&gt;=5,"DIRECT","need group"))</f>
        <v>grains</v>
      </c>
      <c r="X202" s="211">
        <f ca="1">IF($W202="DIRECT",M202,DCOUNT('literature entries'!$D:$AI,IF($J202=1,"ACTIVE     CED, FARM GATE (MJ/kg)","CED, processor gate (MJ/kg)"),INDIRECT($W202)))</f>
        <v>31</v>
      </c>
      <c r="Y202" s="211">
        <f ca="1">IF($W202="DIRECT","",DAVERAGE('literature entries'!$D:$AI,IF($J202=1,"ACTIVE     CED, FARM GATE (MJ/kg)","CED, processor gate (MJ/kg)"),INDIRECT($W202)))</f>
        <v>2.5841213096774194</v>
      </c>
      <c r="Z202" s="211">
        <f ca="1">IF($W202="DIRECT",$O202,DSTDEV('literature entries'!$D:$AI,IF($J202=1,"ACTIVE     CED, FARM GATE (MJ/kg)","CED, processor gate (MJ/kg)"),INDIRECT($W202)))</f>
        <v>1.1854190703188778</v>
      </c>
      <c r="AA202" s="211">
        <f t="shared" ca="1" si="30"/>
        <v>1.1854190703188778</v>
      </c>
      <c r="AB202" s="219" t="str">
        <f ca="1">IF(P202="PROXY",IF(Q202&gt;=5,K202,"need group"),IF(Q202&gt;=5,"DIRECT","need group"))</f>
        <v>grains</v>
      </c>
      <c r="AC202" s="212">
        <f ca="1">IF($AB202="DIRECT",Q202,DCOUNT('literature entries'!$D:$AI,IF($J202=1,"ACTIVE     GHGE, FARM GATE (kg CO2e/kg)","GHGE, processor gate (kg CO2e/kg)"),INDIRECT($AB202)))</f>
        <v>45</v>
      </c>
      <c r="AD202" s="212">
        <f ca="1">IF($AB202="DIRECT","",DAVERAGE('literature entries'!$D:$AI,IF($J202=1,"ACTIVE     GHGE, FARM GATE (kg CO2e/kg)","GHGE, processor gate (kg CO2e/kg)"),INDIRECT($AB202)))</f>
        <v>0.39349345733333324</v>
      </c>
      <c r="AE202" s="212">
        <f ca="1">IF($AB202="DIRECT",$S202,DSTDEV('literature entries'!$D:$AI,IF($J202=1,"ACTIVE     GHGE, FARM GATE (kg CO2e/kg)","GHGE, processor gate (kg CO2e/kg)"),INDIRECT($AB202)))</f>
        <v>0.20361467618492471</v>
      </c>
      <c r="AF202" s="212">
        <f t="shared" ca="1" si="31"/>
        <v>0.20361467618492474</v>
      </c>
    </row>
    <row r="203" spans="1:32" s="19" customFormat="1" thickBot="1" x14ac:dyDescent="0.25">
      <c r="A203" s="114">
        <v>1500127000</v>
      </c>
      <c r="B203" s="115" t="s">
        <v>1946</v>
      </c>
      <c r="C203" s="115" t="s">
        <v>1945</v>
      </c>
      <c r="D203" s="115"/>
      <c r="E203" s="115">
        <v>6356</v>
      </c>
      <c r="F203" s="111">
        <f t="shared" ca="1" si="28"/>
        <v>6.6422391390721502</v>
      </c>
      <c r="G203" s="112">
        <f t="shared" ca="1" si="29"/>
        <v>0.75708261249999997</v>
      </c>
      <c r="H203" s="116">
        <v>2.78</v>
      </c>
      <c r="I203" s="116" t="s">
        <v>2724</v>
      </c>
      <c r="J203" s="79">
        <v>1</v>
      </c>
      <c r="K203" s="78"/>
      <c r="L203" s="135" t="str">
        <f>IF(ISERROR(GETPIVOTDATA(IF($J203=1,"Count of ACTIVE     CED, FARM GATE (MJ/kg)","Count of CED, processor gate (MJ/kg)"),'Pivot Table_CED'!$A$3,"SUB TYPE",$B203)),"PROXY",IF(GETPIVOTDATA(IF($J203=1,"Count of ACTIVE     CED, FARM GATE (MJ/kg)","Count of CED, processor gate (MJ/kg)"),'Pivot Table_CED'!$A$3,"SUB TYPE",$B203)=0,"PROXY","DB value"))</f>
        <v>DB value</v>
      </c>
      <c r="M203" s="118">
        <f ca="1">IF($L203="PROXY",DCOUNT('literature entries'!$D:$AI,IF($J203=1,"ACTIVE     CED, FARM GATE (MJ/kg)","CED, processor gate (MJ/kg)"),INDIRECT($K203)),GETPIVOTDATA(IF($J203=1,"Count of ACTIVE     CED, FARM GATE (MJ/kg)","Count of CED, processor gate (MJ/kg)"),'Pivot Table_CED'!$A$3,"SUB TYPE",$B203))</f>
        <v>4</v>
      </c>
      <c r="N203" s="119">
        <f ca="1">IF($L203="PROXY",DAVERAGE('literature entries'!$D:$AI,IF($J203=1,"ACTIVE     CED, FARM GATE (MJ/kg)","CED, processor gate (MJ/kg)"),INDIRECT($K203)),GETPIVOTDATA(IF($J203=1,"Average of ACTIVE     CED, FARM GATE (MJ/kg)","Average of CED, processor gate (MJ/kg)"),'Pivot Table_CED'!$A$3,"SUB TYPE",$B203))</f>
        <v>2.3892946543425002</v>
      </c>
      <c r="O203" s="119">
        <f ca="1">IF($L203="PROXY",DSTDEV('literature entries'!D:AI,IF($J203=1,"ACTIVE     CED, FARM GATE (MJ/kg)","CED, processor gate (MJ/kg)"),INDIRECT($K203)),GETPIVOTDATA(IF($J203=1,"StdDev of ACTIVE     CED, FARM GATE (MJ/kg)","StdDev of CED, processor gate (MJ/kg)"),'Pivot Table_CED'!$A$3,"SUB TYPE",$B203))</f>
        <v>0.34327258394537385</v>
      </c>
      <c r="P203" s="135" t="str">
        <f>IF(ISERROR(GETPIVOTDATA(IF($J203=1,"Count of ACTIVE     GHGE, FARM GATE (kg CO2e/kg)","Count of GHGE, processor gate (kg CO2e/kg)"),'Pivot Table_GHG'!$A$3,"SUB TYPE",$B203)),"PROXY",IF(GETPIVOTDATA(IF($J203=1,"Count of ACTIVE     GHGE, FARM GATE (kg CO2e/kg)","Count of GHGE, processor gate (kg CO2e/kg)"),'Pivot Table_GHG'!$A$3,"SUB TYPE",$B203)=0,"PROXY","DB value"))</f>
        <v>DB value</v>
      </c>
      <c r="Q203" s="125">
        <f ca="1">IF($P203="PROXY",DCOUNT('literature entries'!$D:$AI,IF($J203=1,"ACTIVE     GHGE, FARM GATE (kg CO2e/kg)","GHGE, processor gate (kg CO2e/kg)"),INDIRECT($K203)),GETPIVOTDATA(IF($J203=1,"ACTIVE     GHGE, FARM GATE (kg CO2e/kg)","Count of GHGE, processor gate (kg CO2e/kg)"),'Pivot Table_GHG'!$A$3,"SUB TYPE",$B203))</f>
        <v>4</v>
      </c>
      <c r="R203" s="190">
        <f ca="1">IF($P203="PROXY",DAVERAGE('literature entries'!$D:$AI,IF($J203=1,"ACTIVE     GHGE, FARM GATE (kg CO2e/kg)","GHGE, processor gate (kg CO2e/kg)"),INDIRECT($K203)),GETPIVOTDATA(IF($J203=1,"Average of ACTIVE     GHGE, FARM GATE (kg CO2e/kg)","Average of GHGE, processor gate (kg CO2e/kg)"),'Pivot Table_GHG'!$A$3,"SUB TYPE",$B203))</f>
        <v>0.272331875</v>
      </c>
      <c r="S203" s="190">
        <f ca="1">IF($P203="PROXY",DSTDEV('literature entries'!$D:$AI,IF($J203=1,"ACTIVE     GHGE, FARM GATE (kg CO2e/kg)","GHGE, processor gate (kg CO2e/kg)"),INDIRECT($K203)),GETPIVOTDATA(IF($J203=1,"StdDev of ACTIVE     GHGE, FARM GATE (kg CO2e/kg)","StdDev of GHGE, processor gate (kg CO2e/kg)"),'Pivot Table_GHG'!$A$3,"SUB TYPE",$B203))</f>
        <v>7.8881189566321147E-2</v>
      </c>
      <c r="T203" s="88"/>
      <c r="U203" s="89"/>
      <c r="W203" s="213" t="s">
        <v>3361</v>
      </c>
      <c r="X203" s="211">
        <f ca="1">IF($W203="DIRECT",M203,DCOUNT('literature entries'!$D:$AI,IF($J203=1,"ACTIVE     CED, FARM GATE (MJ/kg)","CED, processor gate (MJ/kg)"),INDIRECT($W203)))</f>
        <v>60</v>
      </c>
      <c r="Y203" s="211">
        <f ca="1">IF($W203="DIRECT","",DAVERAGE('literature entries'!$D:$AI,IF($J203=1,"ACTIVE     CED, FARM GATE (MJ/kg)","CED, processor gate (MJ/kg)"),INDIRECT($W203)))</f>
        <v>3.4907536756076811</v>
      </c>
      <c r="Z203" s="211">
        <f ca="1">IF($W203="DIRECT",$O203,DSTDEV('literature entries'!$D:$AI,IF($J203=1,"ACTIVE     CED, FARM GATE (MJ/kg)","CED, processor gate (MJ/kg)"),INDIRECT($W203)))</f>
        <v>2.8914615487691551</v>
      </c>
      <c r="AA203" s="211">
        <f t="shared" ca="1" si="30"/>
        <v>1.9791008658061116</v>
      </c>
      <c r="AB203" s="219" t="s">
        <v>3361</v>
      </c>
      <c r="AC203" s="212">
        <f ca="1">IF($AB203="DIRECT",Q203,DCOUNT('literature entries'!$D:$AI,IF($J203=1,"ACTIVE     GHGE, FARM GATE (kg CO2e/kg)","GHGE, processor gate (kg CO2e/kg)"),INDIRECT($AB203)))</f>
        <v>130</v>
      </c>
      <c r="AD203" s="212">
        <f ca="1">IF($AB203="DIRECT","",DAVERAGE('literature entries'!$D:$AI,IF($J203=1,"ACTIVE     GHGE, FARM GATE (kg CO2e/kg)","GHGE, processor gate (kg CO2e/kg)"),INDIRECT($AB203)))</f>
        <v>0.57143231537198591</v>
      </c>
      <c r="AE203" s="212">
        <f ca="1">IF($AB203="DIRECT",$S203,DSTDEV('literature entries'!$D:$AI,IF($J203=1,"ACTIVE     GHGE, FARM GATE (kg CO2e/kg)","GHGE, processor gate (kg CO2e/kg)"),INDIRECT($AB203)))</f>
        <v>0.97567296151555694</v>
      </c>
      <c r="AF203" s="212">
        <f t="shared" ca="1" si="31"/>
        <v>0.46498393571488339</v>
      </c>
    </row>
    <row r="204" spans="1:32" s="19" customFormat="1" ht="17" thickBot="1" x14ac:dyDescent="0.25">
      <c r="A204" s="114">
        <v>1500226000</v>
      </c>
      <c r="B204" s="115" t="s">
        <v>2083</v>
      </c>
      <c r="C204" s="115" t="s">
        <v>2084</v>
      </c>
      <c r="D204" s="115"/>
      <c r="E204" s="115">
        <v>8</v>
      </c>
      <c r="F204" s="111">
        <f t="shared" ca="1" si="28"/>
        <v>2.5841213096774194</v>
      </c>
      <c r="G204" s="112">
        <f t="shared" ca="1" si="29"/>
        <v>0.47</v>
      </c>
      <c r="H204" s="116">
        <v>1</v>
      </c>
      <c r="I204" s="117" t="s">
        <v>594</v>
      </c>
      <c r="J204" s="79">
        <v>1</v>
      </c>
      <c r="K204" s="78" t="s">
        <v>2702</v>
      </c>
      <c r="L204" s="135" t="str">
        <f>IF(ISERROR(GETPIVOTDATA(IF($J204=1,"Count of ACTIVE     CED, FARM GATE (MJ/kg)","Count of CED, processor gate (MJ/kg)"),'Pivot Table_CED'!$A$3,"SUB TYPE",$B204)),"PROXY",IF(GETPIVOTDATA(IF($J204=1,"Count of ACTIVE     CED, FARM GATE (MJ/kg)","Count of CED, processor gate (MJ/kg)"),'Pivot Table_CED'!$A$3,"SUB TYPE",$B204)=0,"PROXY","DB value"))</f>
        <v>PROXY</v>
      </c>
      <c r="M204" s="118">
        <f ca="1">IF($L204="PROXY",DCOUNT('literature entries'!$D:$AI,IF($J204=1,"ACTIVE     CED, FARM GATE (MJ/kg)","CED, processor gate (MJ/kg)"),INDIRECT($K204)),GETPIVOTDATA(IF($J204=1,"Count of ACTIVE     CED, FARM GATE (MJ/kg)","Count of CED, processor gate (MJ/kg)"),'Pivot Table_CED'!$A$3,"SUB TYPE",$B204))</f>
        <v>31</v>
      </c>
      <c r="N204" s="119">
        <f ca="1">IF($L204="PROXY",DAVERAGE('literature entries'!$D:$AI,IF($J204=1,"ACTIVE     CED, FARM GATE (MJ/kg)","CED, processor gate (MJ/kg)"),INDIRECT($K204)),GETPIVOTDATA(IF($J204=1,"Average of ACTIVE     CED, FARM GATE (MJ/kg)","Average of CED, processor gate (MJ/kg)"),'Pivot Table_CED'!$A$3,"SUB TYPE",$B204))</f>
        <v>2.5841213096774194</v>
      </c>
      <c r="O204" s="119">
        <f ca="1">IF($L204="PROXY",DSTDEV('literature entries'!D:AI,IF($J204=1,"ACTIVE     CED, FARM GATE (MJ/kg)","CED, processor gate (MJ/kg)"),INDIRECT($K204)),GETPIVOTDATA(IF($J204=1,"StdDev of ACTIVE     CED, FARM GATE (MJ/kg)","StdDev of CED, processor gate (MJ/kg)"),'Pivot Table_CED'!$A$3,"SUB TYPE",$B204))</f>
        <v>1.1854190703188778</v>
      </c>
      <c r="P204" s="135" t="str">
        <f>IF(ISERROR(GETPIVOTDATA(IF($J204=1,"Count of ACTIVE     GHGE, FARM GATE (kg CO2e/kg)","Count of GHGE, processor gate (kg CO2e/kg)"),'Pivot Table_GHG'!$A$3,"SUB TYPE",$B204)),"PROXY",IF(GETPIVOTDATA(IF($J204=1,"Count of ACTIVE     GHGE, FARM GATE (kg CO2e/kg)","Count of GHGE, processor gate (kg CO2e/kg)"),'Pivot Table_GHG'!$A$3,"SUB TYPE",$B204)=0,"PROXY","DB value"))</f>
        <v>DB value</v>
      </c>
      <c r="Q204" s="125">
        <f ca="1">IF($P204="PROXY",DCOUNT('literature entries'!$D:$AI,IF($J204=1,"ACTIVE     GHGE, FARM GATE (kg CO2e/kg)","GHGE, processor gate (kg CO2e/kg)"),INDIRECT($K204)),GETPIVOTDATA(IF($J204=1,"ACTIVE     GHGE, FARM GATE (kg CO2e/kg)","Count of GHGE, processor gate (kg CO2e/kg)"),'Pivot Table_GHG'!$A$3,"SUB TYPE",$B204))</f>
        <v>1</v>
      </c>
      <c r="R204" s="190">
        <f ca="1">IF($P204="PROXY",DAVERAGE('literature entries'!$D:$AI,IF($J204=1,"ACTIVE     GHGE, FARM GATE (kg CO2e/kg)","GHGE, processor gate (kg CO2e/kg)"),INDIRECT($K204)),GETPIVOTDATA(IF($J204=1,"Average of ACTIVE     GHGE, FARM GATE (kg CO2e/kg)","Average of GHGE, processor gate (kg CO2e/kg)"),'Pivot Table_GHG'!$A$3,"SUB TYPE",$B204))</f>
        <v>0.47</v>
      </c>
      <c r="S204" s="190" t="e">
        <f ca="1">IF($P204="PROXY",DSTDEV('literature entries'!$D:$AI,IF($J204=1,"ACTIVE     GHGE, FARM GATE (kg CO2e/kg)","GHGE, processor gate (kg CO2e/kg)"),INDIRECT($K204)),GETPIVOTDATA(IF($J204=1,"StdDev of ACTIVE     GHGE, FARM GATE (kg CO2e/kg)","StdDev of GHGE, processor gate (kg CO2e/kg)"),'Pivot Table_GHG'!$A$3,"SUB TYPE",$B204))</f>
        <v>#DIV/0!</v>
      </c>
      <c r="T204" s="88"/>
      <c r="U204" s="89"/>
      <c r="W204" s="213" t="str">
        <f ca="1">IF(L204="PROXY",IF(M204&gt;=5,K204,"need group"),IF(M204&gt;=5,"DIRECT","need group"))</f>
        <v>grains</v>
      </c>
      <c r="X204" s="211">
        <f ca="1">IF($W204="DIRECT",M204,DCOUNT('literature entries'!$D:$AI,IF($J204=1,"ACTIVE     CED, FARM GATE (MJ/kg)","CED, processor gate (MJ/kg)"),INDIRECT($W204)))</f>
        <v>31</v>
      </c>
      <c r="Y204" s="211">
        <f ca="1">IF($W204="DIRECT","",DAVERAGE('literature entries'!$D:$AI,IF($J204=1,"ACTIVE     CED, FARM GATE (MJ/kg)","CED, processor gate (MJ/kg)"),INDIRECT($W204)))</f>
        <v>2.5841213096774194</v>
      </c>
      <c r="Z204" s="211">
        <f ca="1">IF($W204="DIRECT",$O204,DSTDEV('literature entries'!$D:$AI,IF($J204=1,"ACTIVE     CED, FARM GATE (MJ/kg)","CED, processor gate (MJ/kg)"),INDIRECT($W204)))</f>
        <v>1.1854190703188778</v>
      </c>
      <c r="AA204" s="211">
        <f t="shared" ca="1" si="30"/>
        <v>1.1854190703188778</v>
      </c>
      <c r="AB204" s="219" t="s">
        <v>2702</v>
      </c>
      <c r="AC204" s="212">
        <f ca="1">IF($AB204="DIRECT",Q204,DCOUNT('literature entries'!$D:$AI,IF($J204=1,"ACTIVE     GHGE, FARM GATE (kg CO2e/kg)","GHGE, processor gate (kg CO2e/kg)"),INDIRECT($AB204)))</f>
        <v>45</v>
      </c>
      <c r="AD204" s="212">
        <f ca="1">IF($AB204="DIRECT","",DAVERAGE('literature entries'!$D:$AI,IF($J204=1,"ACTIVE     GHGE, FARM GATE (kg CO2e/kg)","GHGE, processor gate (kg CO2e/kg)"),INDIRECT($AB204)))</f>
        <v>0.39349345733333324</v>
      </c>
      <c r="AE204" s="212">
        <f ca="1">IF($AB204="DIRECT",$S204,DSTDEV('literature entries'!$D:$AI,IF($J204=1,"ACTIVE     GHGE, FARM GATE (kg CO2e/kg)","GHGE, processor gate (kg CO2e/kg)"),INDIRECT($AB204)))</f>
        <v>0.20361467618492471</v>
      </c>
      <c r="AF204" s="212">
        <f t="shared" ca="1" si="31"/>
        <v>0.24320327574302431</v>
      </c>
    </row>
    <row r="205" spans="1:32" s="19" customFormat="1" ht="17" thickBot="1" x14ac:dyDescent="0.25">
      <c r="A205" s="114">
        <v>1500231000</v>
      </c>
      <c r="B205" s="115" t="s">
        <v>2092</v>
      </c>
      <c r="C205" s="115" t="s">
        <v>1774</v>
      </c>
      <c r="D205" s="115"/>
      <c r="E205" s="115">
        <v>711</v>
      </c>
      <c r="F205" s="111">
        <f t="shared" ca="1" si="28"/>
        <v>4.6857999999999995</v>
      </c>
      <c r="G205" s="112">
        <f t="shared" ca="1" si="29"/>
        <v>0.49838499999999997</v>
      </c>
      <c r="H205" s="116">
        <v>1</v>
      </c>
      <c r="I205" s="117" t="s">
        <v>2724</v>
      </c>
      <c r="J205" s="79">
        <v>2</v>
      </c>
      <c r="K205" s="78" t="s">
        <v>3288</v>
      </c>
      <c r="L205" s="135" t="str">
        <f>IF(ISERROR(GETPIVOTDATA(IF($J205=1,"Count of ACTIVE     CED, FARM GATE (MJ/kg)","Count of CED, processor gate (MJ/kg)"),'Pivot Table_CED'!$A$3,"SUB TYPE",$B205)),"PROXY",IF(GETPIVOTDATA(IF($J205=1,"Count of ACTIVE     CED, FARM GATE (MJ/kg)","Count of CED, processor gate (MJ/kg)"),'Pivot Table_CED'!$A$3,"SUB TYPE",$B205)=0,"PROXY","DB value"))</f>
        <v>PROXY</v>
      </c>
      <c r="M205" s="118">
        <f ca="1">IF($L205="PROXY",DCOUNT('literature entries'!$D:$AI,IF($J205=1,"ACTIVE     CED, FARM GATE (MJ/kg)","CED, processor gate (MJ/kg)"),INDIRECT($K205)),GETPIVOTDATA(IF($J205=1,"Count of ACTIVE     CED, FARM GATE (MJ/kg)","Count of CED, processor gate (MJ/kg)"),'Pivot Table_CED'!$A$3,"SUB TYPE",$B205))</f>
        <v>2</v>
      </c>
      <c r="N205" s="119">
        <f ca="1">IF($L205="PROXY",DAVERAGE('literature entries'!$D:$AI,IF($J205=1,"ACTIVE     CED, FARM GATE (MJ/kg)","CED, processor gate (MJ/kg)"),INDIRECT($K205)),GETPIVOTDATA(IF($J205=1,"Average of ACTIVE     CED, FARM GATE (MJ/kg)","Average of CED, processor gate (MJ/kg)"),'Pivot Table_CED'!$A$3,"SUB TYPE",$B205))</f>
        <v>4.6857999999999995</v>
      </c>
      <c r="O205" s="119">
        <f ca="1">IF($L205="PROXY",DSTDEV('literature entries'!D:AI,IF($J205=1,"ACTIVE     CED, FARM GATE (MJ/kg)","CED, processor gate (MJ/kg)"),INDIRECT($K205)),GETPIVOTDATA(IF($J205=1,"StdDev of ACTIVE     CED, FARM GATE (MJ/kg)","StdDev of CED, processor gate (MJ/kg)"),'Pivot Table_CED'!$A$3,"SUB TYPE",$B205))</f>
        <v>0.231223917448001</v>
      </c>
      <c r="P205" s="135" t="str">
        <f>IF(ISERROR(GETPIVOTDATA(IF($J205=1,"Count of ACTIVE     GHGE, FARM GATE (kg CO2e/kg)","Count of GHGE, processor gate (kg CO2e/kg)"),'Pivot Table_GHG'!$A$3,"SUB TYPE",$B205)),"PROXY",IF(GETPIVOTDATA(IF($J205=1,"Count of ACTIVE     GHGE, FARM GATE (kg CO2e/kg)","Count of GHGE, processor gate (kg CO2e/kg)"),'Pivot Table_GHG'!$A$3,"SUB TYPE",$B205)=0,"PROXY","DB value"))</f>
        <v>PROXY</v>
      </c>
      <c r="Q205" s="125">
        <f ca="1">IF($P205="PROXY",DCOUNT('literature entries'!$D:$AI,IF($J205=1,"ACTIVE     GHGE, FARM GATE (kg CO2e/kg)","GHGE, processor gate (kg CO2e/kg)"),INDIRECT($K205)),GETPIVOTDATA(IF($J205=1,"ACTIVE     GHGE, FARM GATE (kg CO2e/kg)","Count of GHGE, processor gate (kg CO2e/kg)"),'Pivot Table_GHG'!$A$3,"SUB TYPE",$B205))</f>
        <v>2</v>
      </c>
      <c r="R205" s="190">
        <f ca="1">IF($P205="PROXY",DAVERAGE('literature entries'!$D:$AI,IF($J205=1,"ACTIVE     GHGE, FARM GATE (kg CO2e/kg)","GHGE, processor gate (kg CO2e/kg)"),INDIRECT($K205)),GETPIVOTDATA(IF($J205=1,"Average of ACTIVE     GHGE, FARM GATE (kg CO2e/kg)","Average of GHGE, processor gate (kg CO2e/kg)"),'Pivot Table_GHG'!$A$3,"SUB TYPE",$B205))</f>
        <v>0.49838499999999997</v>
      </c>
      <c r="S205" s="190">
        <f ca="1">IF($P205="PROXY",DSTDEV('literature entries'!$D:$AI,IF($J205=1,"ACTIVE     GHGE, FARM GATE (kg CO2e/kg)","GHGE, processor gate (kg CO2e/kg)"),INDIRECT($K205)),GETPIVOTDATA(IF($J205=1,"StdDev of ACTIVE     GHGE, FARM GATE (kg CO2e/kg)","StdDev of GHGE, processor gate (kg CO2e/kg)"),'Pivot Table_GHG'!$A$3,"SUB TYPE",$B205))</f>
        <v>3.5885669145217299E-2</v>
      </c>
      <c r="T205" s="88"/>
      <c r="U205" s="89"/>
      <c r="W205" s="213" t="s">
        <v>3358</v>
      </c>
      <c r="X205" s="211">
        <f ca="1">IF($W205="DIRECT",M205,DCOUNT('literature entries'!$D:$AI,IF($J205=1,"ACTIVE     CED, FARM GATE (MJ/kg)","CED, processor gate (MJ/kg)"),INDIRECT($W205)))</f>
        <v>9</v>
      </c>
      <c r="Y205" s="211">
        <f ca="1">IF($W205="DIRECT","",DAVERAGE('literature entries'!$D:$AI,IF($J205=1,"ACTIVE     CED, FARM GATE (MJ/kg)","CED, processor gate (MJ/kg)"),INDIRECT($W205)))</f>
        <v>3.7933851999999999</v>
      </c>
      <c r="Z205" s="211">
        <f ca="1">IF($W205="DIRECT",$O205,DSTDEV('literature entries'!$D:$AI,IF($J205=1,"ACTIVE     CED, FARM GATE (MJ/kg)","CED, processor gate (MJ/kg)"),INDIRECT($W205)))</f>
        <v>1.2312612173276687</v>
      </c>
      <c r="AA205" s="211">
        <f t="shared" ca="1" si="30"/>
        <v>1.520922212738635</v>
      </c>
      <c r="AB205" s="219" t="s">
        <v>3358</v>
      </c>
      <c r="AC205" s="212">
        <f ca="1">IF($AB205="DIRECT",Q205,DCOUNT('literature entries'!$D:$AI,IF($J205=1,"ACTIVE     GHGE, FARM GATE (kg CO2e/kg)","GHGE, processor gate (kg CO2e/kg)"),INDIRECT($AB205)))</f>
        <v>9</v>
      </c>
      <c r="AD205" s="212">
        <f ca="1">IF($AB205="DIRECT","",DAVERAGE('literature entries'!$D:$AI,IF($J205=1,"ACTIVE     GHGE, FARM GATE (kg CO2e/kg)","GHGE, processor gate (kg CO2e/kg)"),INDIRECT($AB205)))</f>
        <v>0.43042331</v>
      </c>
      <c r="AE205" s="212">
        <f ca="1">IF($AB205="DIRECT",$S205,DSTDEV('literature entries'!$D:$AI,IF($J205=1,"ACTIVE     GHGE, FARM GATE (kg CO2e/kg)","GHGE, processor gate (kg CO2e/kg)"),INDIRECT($AB205)))</f>
        <v>7.2682317360146784E-2</v>
      </c>
      <c r="AF205" s="212">
        <f t="shared" ca="1" si="31"/>
        <v>8.4158492107541186E-2</v>
      </c>
    </row>
    <row r="206" spans="1:32" s="19" customFormat="1" ht="17" thickBot="1" x14ac:dyDescent="0.25">
      <c r="A206" s="127">
        <v>1500232000</v>
      </c>
      <c r="B206" s="115" t="s">
        <v>2093</v>
      </c>
      <c r="C206" s="115" t="s">
        <v>1754</v>
      </c>
      <c r="D206" s="115"/>
      <c r="E206" s="115">
        <v>1147</v>
      </c>
      <c r="F206" s="111">
        <f t="shared" ca="1" si="28"/>
        <v>4.6857999999999995</v>
      </c>
      <c r="G206" s="112">
        <f t="shared" ca="1" si="29"/>
        <v>0.49838499999999997</v>
      </c>
      <c r="H206" s="116">
        <v>1</v>
      </c>
      <c r="I206" s="117" t="s">
        <v>2724</v>
      </c>
      <c r="J206" s="79">
        <v>2</v>
      </c>
      <c r="K206" s="78"/>
      <c r="L206" s="135" t="str">
        <f>IF(ISERROR(GETPIVOTDATA(IF($J206=1,"Count of ACTIVE     CED, FARM GATE (MJ/kg)","Count of CED, processor gate (MJ/kg)"),'Pivot Table_CED'!$A$3,"SUB TYPE",$B206)),"PROXY",IF(GETPIVOTDATA(IF($J206=1,"Count of ACTIVE     CED, FARM GATE (MJ/kg)","Count of CED, processor gate (MJ/kg)"),'Pivot Table_CED'!$A$3,"SUB TYPE",$B206)=0,"PROXY","DB value"))</f>
        <v>DB value</v>
      </c>
      <c r="M206" s="118">
        <f ca="1">IF($L206="PROXY",DCOUNT('literature entries'!$D:$AI,IF($J206=1,"ACTIVE     CED, FARM GATE (MJ/kg)","CED, processor gate (MJ/kg)"),INDIRECT($K206)),GETPIVOTDATA(IF($J206=1,"Count of ACTIVE     CED, FARM GATE (MJ/kg)","Count of CED, processor gate (MJ/kg)"),'Pivot Table_CED'!$A$3,"SUB TYPE",$B206))</f>
        <v>2</v>
      </c>
      <c r="N206" s="119">
        <f ca="1">IF($L206="PROXY",DAVERAGE('literature entries'!$D:$AI,IF($J206=1,"ACTIVE     CED, FARM GATE (MJ/kg)","CED, processor gate (MJ/kg)"),INDIRECT($K206)),GETPIVOTDATA(IF($J206=1,"Average of ACTIVE     CED, FARM GATE (MJ/kg)","Average of CED, processor gate (MJ/kg)"),'Pivot Table_CED'!$A$3,"SUB TYPE",$B206))</f>
        <v>4.6857999999999995</v>
      </c>
      <c r="O206" s="119">
        <f ca="1">IF($L206="PROXY",DSTDEV('literature entries'!D:AI,IF($J206=1,"ACTIVE     CED, FARM GATE (MJ/kg)","CED, processor gate (MJ/kg)"),INDIRECT($K206)),GETPIVOTDATA(IF($J206=1,"StdDev of ACTIVE     CED, FARM GATE (MJ/kg)","StdDev of CED, processor gate (MJ/kg)"),'Pivot Table_CED'!$A$3,"SUB TYPE",$B206))</f>
        <v>0.23122391744800974</v>
      </c>
      <c r="P206" s="135" t="str">
        <f>IF(ISERROR(GETPIVOTDATA(IF($J206=1,"Count of ACTIVE     GHGE, FARM GATE (kg CO2e/kg)","Count of GHGE, processor gate (kg CO2e/kg)"),'Pivot Table_GHG'!$A$3,"SUB TYPE",$B206)),"PROXY",IF(GETPIVOTDATA(IF($J206=1,"Count of ACTIVE     GHGE, FARM GATE (kg CO2e/kg)","Count of GHGE, processor gate (kg CO2e/kg)"),'Pivot Table_GHG'!$A$3,"SUB TYPE",$B206)=0,"PROXY","DB value"))</f>
        <v>DB value</v>
      </c>
      <c r="Q206" s="125">
        <f ca="1">IF($P206="PROXY",DCOUNT('literature entries'!$D:$AI,IF($J206=1,"ACTIVE     GHGE, FARM GATE (kg CO2e/kg)","GHGE, processor gate (kg CO2e/kg)"),INDIRECT($K206)),GETPIVOTDATA(IF($J206=1,"ACTIVE     GHGE, FARM GATE (kg CO2e/kg)","Count of GHGE, processor gate (kg CO2e/kg)"),'Pivot Table_GHG'!$A$3,"SUB TYPE",$B206))</f>
        <v>2</v>
      </c>
      <c r="R206" s="190">
        <f ca="1">IF($P206="PROXY",DAVERAGE('literature entries'!$D:$AI,IF($J206=1,"ACTIVE     GHGE, FARM GATE (kg CO2e/kg)","GHGE, processor gate (kg CO2e/kg)"),INDIRECT($K206)),GETPIVOTDATA(IF($J206=1,"Average of ACTIVE     GHGE, FARM GATE (kg CO2e/kg)","Average of GHGE, processor gate (kg CO2e/kg)"),'Pivot Table_GHG'!$A$3,"SUB TYPE",$B206))</f>
        <v>0.49838499999999997</v>
      </c>
      <c r="S206" s="190">
        <f ca="1">IF($P206="PROXY",DSTDEV('literature entries'!$D:$AI,IF($J206=1,"ACTIVE     GHGE, FARM GATE (kg CO2e/kg)","GHGE, processor gate (kg CO2e/kg)"),INDIRECT($K206)),GETPIVOTDATA(IF($J206=1,"StdDev of ACTIVE     GHGE, FARM GATE (kg CO2e/kg)","StdDev of GHGE, processor gate (kg CO2e/kg)"),'Pivot Table_GHG'!$A$3,"SUB TYPE",$B206))</f>
        <v>3.588566914521818E-2</v>
      </c>
      <c r="T206" s="88"/>
      <c r="U206" s="89"/>
      <c r="W206" s="213" t="s">
        <v>3358</v>
      </c>
      <c r="X206" s="211">
        <f ca="1">IF($W206="DIRECT",M206,DCOUNT('literature entries'!$D:$AI,IF($J206=1,"ACTIVE     CED, FARM GATE (MJ/kg)","CED, processor gate (MJ/kg)"),INDIRECT($W206)))</f>
        <v>9</v>
      </c>
      <c r="Y206" s="211">
        <f ca="1">IF($W206="DIRECT","",DAVERAGE('literature entries'!$D:$AI,IF($J206=1,"ACTIVE     CED, FARM GATE (MJ/kg)","CED, processor gate (MJ/kg)"),INDIRECT($W206)))</f>
        <v>3.7933851999999999</v>
      </c>
      <c r="Z206" s="211">
        <f ca="1">IF($W206="DIRECT",$O206,DSTDEV('literature entries'!$D:$AI,IF($J206=1,"ACTIVE     CED, FARM GATE (MJ/kg)","CED, processor gate (MJ/kg)"),INDIRECT($W206)))</f>
        <v>1.2312612173276687</v>
      </c>
      <c r="AA206" s="211">
        <f t="shared" ca="1" si="30"/>
        <v>1.520922212738635</v>
      </c>
      <c r="AB206" s="219" t="s">
        <v>3358</v>
      </c>
      <c r="AC206" s="212">
        <f ca="1">IF($AB206="DIRECT",Q206,DCOUNT('literature entries'!$D:$AI,IF($J206=1,"ACTIVE     GHGE, FARM GATE (kg CO2e/kg)","GHGE, processor gate (kg CO2e/kg)"),INDIRECT($AB206)))</f>
        <v>9</v>
      </c>
      <c r="AD206" s="212">
        <f ca="1">IF($AB206="DIRECT","",DAVERAGE('literature entries'!$D:$AI,IF($J206=1,"ACTIVE     GHGE, FARM GATE (kg CO2e/kg)","GHGE, processor gate (kg CO2e/kg)"),INDIRECT($AB206)))</f>
        <v>0.43042331</v>
      </c>
      <c r="AE206" s="212">
        <f ca="1">IF($AB206="DIRECT",$S206,DSTDEV('literature entries'!$D:$AI,IF($J206=1,"ACTIVE     GHGE, FARM GATE (kg CO2e/kg)","GHGE, processor gate (kg CO2e/kg)"),INDIRECT($AB206)))</f>
        <v>7.2682317360146784E-2</v>
      </c>
      <c r="AF206" s="212">
        <f t="shared" ca="1" si="31"/>
        <v>8.4158492107541186E-2</v>
      </c>
    </row>
    <row r="207" spans="1:32" s="19" customFormat="1" ht="17" thickBot="1" x14ac:dyDescent="0.25">
      <c r="A207" s="114">
        <v>1500233000</v>
      </c>
      <c r="B207" s="115" t="s">
        <v>2094</v>
      </c>
      <c r="C207" s="115" t="s">
        <v>2095</v>
      </c>
      <c r="D207" s="115"/>
      <c r="E207" s="115">
        <v>13263</v>
      </c>
      <c r="F207" s="111">
        <f t="shared" ca="1" si="28"/>
        <v>2.7705333333333328</v>
      </c>
      <c r="G207" s="112">
        <f t="shared" ca="1" si="29"/>
        <v>0.47382249999999998</v>
      </c>
      <c r="H207" s="116">
        <v>1</v>
      </c>
      <c r="I207" s="117" t="s">
        <v>628</v>
      </c>
      <c r="J207" s="79">
        <v>1</v>
      </c>
      <c r="K207" s="78"/>
      <c r="L207" s="135" t="str">
        <f>IF(ISERROR(GETPIVOTDATA(IF($J207=1,"Count of ACTIVE     CED, FARM GATE (MJ/kg)","Count of CED, processor gate (MJ/kg)"),'Pivot Table_CED'!$A$3,"SUB TYPE",$B207)),"PROXY",IF(GETPIVOTDATA(IF($J207=1,"Count of ACTIVE     CED, FARM GATE (MJ/kg)","Count of CED, processor gate (MJ/kg)"),'Pivot Table_CED'!$A$3,"SUB TYPE",$B207)=0,"PROXY","DB value"))</f>
        <v>DB value</v>
      </c>
      <c r="M207" s="118">
        <f ca="1">IF($L207="PROXY",DCOUNT('literature entries'!$D:$AI,IF($J207=1,"ACTIVE     CED, FARM GATE (MJ/kg)","CED, processor gate (MJ/kg)"),INDIRECT($K207)),GETPIVOTDATA(IF($J207=1,"Count of ACTIVE     CED, FARM GATE (MJ/kg)","Count of CED, processor gate (MJ/kg)"),'Pivot Table_CED'!$A$3,"SUB TYPE",$B207))</f>
        <v>3</v>
      </c>
      <c r="N207" s="119">
        <f ca="1">IF($L207="PROXY",DAVERAGE('literature entries'!$D:$AI,IF($J207=1,"ACTIVE     CED, FARM GATE (MJ/kg)","CED, processor gate (MJ/kg)"),INDIRECT($K207)),GETPIVOTDATA(IF($J207=1,"Average of ACTIVE     CED, FARM GATE (MJ/kg)","Average of CED, processor gate (MJ/kg)"),'Pivot Table_CED'!$A$3,"SUB TYPE",$B207))</f>
        <v>2.7705333333333328</v>
      </c>
      <c r="O207" s="119">
        <f ca="1">IF($L207="PROXY",DSTDEV('literature entries'!D:AI,IF($J207=1,"ACTIVE     CED, FARM GATE (MJ/kg)","CED, processor gate (MJ/kg)"),INDIRECT($K207)),GETPIVOTDATA(IF($J207=1,"StdDev of ACTIVE     CED, FARM GATE (MJ/kg)","StdDev of CED, processor gate (MJ/kg)"),'Pivot Table_CED'!$A$3,"SUB TYPE",$B207))</f>
        <v>0.19825101092638764</v>
      </c>
      <c r="P207" s="135" t="str">
        <f>IF(ISERROR(GETPIVOTDATA(IF($J207=1,"Count of ACTIVE     GHGE, FARM GATE (kg CO2e/kg)","Count of GHGE, processor gate (kg CO2e/kg)"),'Pivot Table_GHG'!$A$3,"SUB TYPE",$B207)),"PROXY",IF(GETPIVOTDATA(IF($J207=1,"Count of ACTIVE     GHGE, FARM GATE (kg CO2e/kg)","Count of GHGE, processor gate (kg CO2e/kg)"),'Pivot Table_GHG'!$A$3,"SUB TYPE",$B207)=0,"PROXY","DB value"))</f>
        <v>DB value</v>
      </c>
      <c r="Q207" s="125">
        <f ca="1">IF($P207="PROXY",DCOUNT('literature entries'!$D:$AI,IF($J207=1,"ACTIVE     GHGE, FARM GATE (kg CO2e/kg)","GHGE, processor gate (kg CO2e/kg)"),INDIRECT($K207)),GETPIVOTDATA(IF($J207=1,"ACTIVE     GHGE, FARM GATE (kg CO2e/kg)","Count of GHGE, processor gate (kg CO2e/kg)"),'Pivot Table_GHG'!$A$3,"SUB TYPE",$B207))</f>
        <v>4</v>
      </c>
      <c r="R207" s="190">
        <f ca="1">IF($P207="PROXY",DAVERAGE('literature entries'!$D:$AI,IF($J207=1,"ACTIVE     GHGE, FARM GATE (kg CO2e/kg)","GHGE, processor gate (kg CO2e/kg)"),INDIRECT($K207)),GETPIVOTDATA(IF($J207=1,"Average of ACTIVE     GHGE, FARM GATE (kg CO2e/kg)","Average of GHGE, processor gate (kg CO2e/kg)"),'Pivot Table_GHG'!$A$3,"SUB TYPE",$B207))</f>
        <v>0.47382249999999998</v>
      </c>
      <c r="S207" s="190">
        <f ca="1">IF($P207="PROXY",DSTDEV('literature entries'!$D:$AI,IF($J207=1,"ACTIVE     GHGE, FARM GATE (kg CO2e/kg)","GHGE, processor gate (kg CO2e/kg)"),INDIRECT($K207)),GETPIVOTDATA(IF($J207=1,"StdDev of ACTIVE     GHGE, FARM GATE (kg CO2e/kg)","StdDev of GHGE, processor gate (kg CO2e/kg)"),'Pivot Table_GHG'!$A$3,"SUB TYPE",$B207))</f>
        <v>0.125787230505856</v>
      </c>
      <c r="T207" s="88"/>
      <c r="U207" s="89"/>
      <c r="W207" s="213" t="s">
        <v>2702</v>
      </c>
      <c r="X207" s="211">
        <f ca="1">IF($W207="DIRECT",M207,DCOUNT('literature entries'!$D:$AI,IF($J207=1,"ACTIVE     CED, FARM GATE (MJ/kg)","CED, processor gate (MJ/kg)"),INDIRECT($W207)))</f>
        <v>31</v>
      </c>
      <c r="Y207" s="211">
        <f ca="1">IF($W207="DIRECT","",DAVERAGE('literature entries'!$D:$AI,IF($J207=1,"ACTIVE     CED, FARM GATE (MJ/kg)","CED, processor gate (MJ/kg)"),INDIRECT($W207)))</f>
        <v>2.5841213096774194</v>
      </c>
      <c r="Z207" s="211">
        <f ca="1">IF($W207="DIRECT",$O207,DSTDEV('literature entries'!$D:$AI,IF($J207=1,"ACTIVE     CED, FARM GATE (MJ/kg)","CED, processor gate (MJ/kg)"),INDIRECT($W207)))</f>
        <v>1.1854190703188778</v>
      </c>
      <c r="AA207" s="211">
        <f t="shared" ca="1" si="30"/>
        <v>1.2709322259710165</v>
      </c>
      <c r="AB207" s="219" t="s">
        <v>2702</v>
      </c>
      <c r="AC207" s="212">
        <f ca="1">IF($AB207="DIRECT",Q207,DCOUNT('literature entries'!$D:$AI,IF($J207=1,"ACTIVE     GHGE, FARM GATE (kg CO2e/kg)","GHGE, processor gate (kg CO2e/kg)"),INDIRECT($AB207)))</f>
        <v>45</v>
      </c>
      <c r="AD207" s="212">
        <f ca="1">IF($AB207="DIRECT","",DAVERAGE('literature entries'!$D:$AI,IF($J207=1,"ACTIVE     GHGE, FARM GATE (kg CO2e/kg)","GHGE, processor gate (kg CO2e/kg)"),INDIRECT($AB207)))</f>
        <v>0.39349345733333324</v>
      </c>
      <c r="AE207" s="212">
        <f ca="1">IF($AB207="DIRECT",$S207,DSTDEV('literature entries'!$D:$AI,IF($J207=1,"ACTIVE     GHGE, FARM GATE (kg CO2e/kg)","GHGE, processor gate (kg CO2e/kg)"),INDIRECT($AB207)))</f>
        <v>0.20361467618492471</v>
      </c>
      <c r="AF207" s="212">
        <f t="shared" ca="1" si="31"/>
        <v>0.24518124281010456</v>
      </c>
    </row>
    <row r="208" spans="1:32" s="19" customFormat="1" ht="17" thickBot="1" x14ac:dyDescent="0.25">
      <c r="A208" s="114">
        <v>1500323000</v>
      </c>
      <c r="B208" s="115" t="s">
        <v>2239</v>
      </c>
      <c r="C208" s="115" t="s">
        <v>2084</v>
      </c>
      <c r="D208" s="115"/>
      <c r="E208" s="115">
        <v>15650</v>
      </c>
      <c r="F208" s="111">
        <f t="shared" ca="1" si="28"/>
        <v>5.8391599999999997</v>
      </c>
      <c r="G208" s="112">
        <f t="shared" ca="1" si="29"/>
        <v>1.540643545130288</v>
      </c>
      <c r="H208" s="116">
        <v>1</v>
      </c>
      <c r="I208" s="117" t="s">
        <v>594</v>
      </c>
      <c r="J208" s="79">
        <v>2</v>
      </c>
      <c r="K208" s="78"/>
      <c r="L208" s="135" t="str">
        <f>IF(ISERROR(GETPIVOTDATA(IF($J208=1,"Count of ACTIVE     CED, FARM GATE (MJ/kg)","Count of CED, processor gate (MJ/kg)"),'Pivot Table_CED'!$A$3,"SUB TYPE",$B208)),"PROXY",IF(GETPIVOTDATA(IF($J208=1,"Count of ACTIVE     CED, FARM GATE (MJ/kg)","Count of CED, processor gate (MJ/kg)"),'Pivot Table_CED'!$A$3,"SUB TYPE",$B208)=0,"PROXY","DB value"))</f>
        <v>DB value</v>
      </c>
      <c r="M208" s="118">
        <f ca="1">IF($L208="PROXY",DCOUNT('literature entries'!$D:$AI,IF($J208=1,"ACTIVE     CED, FARM GATE (MJ/kg)","CED, processor gate (MJ/kg)"),INDIRECT($K208)),GETPIVOTDATA(IF($J208=1,"Count of ACTIVE     CED, FARM GATE (MJ/kg)","Count of CED, processor gate (MJ/kg)"),'Pivot Table_CED'!$A$3,"SUB TYPE",$B208))</f>
        <v>3</v>
      </c>
      <c r="N208" s="119">
        <f ca="1">IF($L208="PROXY",DAVERAGE('literature entries'!$D:$AI,IF($J208=1,"ACTIVE     CED, FARM GATE (MJ/kg)","CED, processor gate (MJ/kg)"),INDIRECT($K208)),GETPIVOTDATA(IF($J208=1,"Average of ACTIVE     CED, FARM GATE (MJ/kg)","Average of CED, processor gate (MJ/kg)"),'Pivot Table_CED'!$A$3,"SUB TYPE",$B208))</f>
        <v>5.8391599999999997</v>
      </c>
      <c r="O208" s="119">
        <f ca="1">IF($L208="PROXY",DSTDEV('literature entries'!D:AI,IF($J208=1,"ACTIVE     CED, FARM GATE (MJ/kg)","CED, processor gate (MJ/kg)"),INDIRECT($K208)),GETPIVOTDATA(IF($J208=1,"StdDev of ACTIVE     CED, FARM GATE (MJ/kg)","StdDev of CED, processor gate (MJ/kg)"),'Pivot Table_CED'!$A$3,"SUB TYPE",$B208))</f>
        <v>3.4472162756055815</v>
      </c>
      <c r="P208" s="135" t="str">
        <f>IF(ISERROR(GETPIVOTDATA(IF($J208=1,"Count of ACTIVE     GHGE, FARM GATE (kg CO2e/kg)","Count of GHGE, processor gate (kg CO2e/kg)"),'Pivot Table_GHG'!$A$3,"SUB TYPE",$B208)),"PROXY",IF(GETPIVOTDATA(IF($J208=1,"Count of ACTIVE     GHGE, FARM GATE (kg CO2e/kg)","Count of GHGE, processor gate (kg CO2e/kg)"),'Pivot Table_GHG'!$A$3,"SUB TYPE",$B208)=0,"PROXY","DB value"))</f>
        <v>DB value</v>
      </c>
      <c r="Q208" s="125">
        <f ca="1">IF($P208="PROXY",DCOUNT('literature entries'!$D:$AI,IF($J208=1,"ACTIVE     GHGE, FARM GATE (kg CO2e/kg)","GHGE, processor gate (kg CO2e/kg)"),INDIRECT($K208)),GETPIVOTDATA(IF($J208=1,"ACTIVE     GHGE, FARM GATE (kg CO2e/kg)","Count of GHGE, processor gate (kg CO2e/kg)"),'Pivot Table_GHG'!$A$3,"SUB TYPE",$B208))</f>
        <v>8</v>
      </c>
      <c r="R208" s="190">
        <f ca="1">IF($P208="PROXY",DAVERAGE('literature entries'!$D:$AI,IF($J208=1,"ACTIVE     GHGE, FARM GATE (kg CO2e/kg)","GHGE, processor gate (kg CO2e/kg)"),INDIRECT($K208)),GETPIVOTDATA(IF($J208=1,"Average of ACTIVE     GHGE, FARM GATE (kg CO2e/kg)","Average of GHGE, processor gate (kg CO2e/kg)"),'Pivot Table_GHG'!$A$3,"SUB TYPE",$B208))</f>
        <v>1.540643545130288</v>
      </c>
      <c r="S208" s="190">
        <f ca="1">IF($P208="PROXY",DSTDEV('literature entries'!$D:$AI,IF($J208=1,"ACTIVE     GHGE, FARM GATE (kg CO2e/kg)","GHGE, processor gate (kg CO2e/kg)"),INDIRECT($K208)),GETPIVOTDATA(IF($J208=1,"StdDev of ACTIVE     GHGE, FARM GATE (kg CO2e/kg)","StdDev of GHGE, processor gate (kg CO2e/kg)"),'Pivot Table_GHG'!$A$3,"SUB TYPE",$B208))</f>
        <v>1.6219269893594999</v>
      </c>
      <c r="T208" s="88"/>
      <c r="U208" s="89"/>
      <c r="W208" s="223" t="s">
        <v>2702</v>
      </c>
      <c r="X208" s="211">
        <f ca="1">IF($W208="DIRECT",M208,DCOUNT('literature entries'!$D:$AI,"ACTIVE     CED, FARM GATE (MJ/kg)",INDIRECT($W208)))</f>
        <v>31</v>
      </c>
      <c r="Y208" s="211">
        <f ca="1">IF($W208="DIRECT","",DAVERAGE('literature entries'!$D:$AI,"ACTIVE     CED, FARM GATE (MJ/kg)",INDIRECT($W208)))</f>
        <v>2.5841213096774194</v>
      </c>
      <c r="Z208" s="211">
        <f ca="1">IF($W208="DIRECT",$O208,DSTDEV('literature entries'!$D:$AI,"ACTIVE     CED, FARM GATE (MJ/kg)",INDIRECT($W208)))</f>
        <v>1.1854190703188778</v>
      </c>
      <c r="AA208" s="211">
        <f t="shared" ca="1" si="30"/>
        <v>2.6786093952792203</v>
      </c>
      <c r="AB208" s="219" t="str">
        <f ca="1">IF(P208="PROXY",IF(Q208&gt;=5,K208,"need group"),IF(Q208&gt;=5,"DIRECT","need group"))</f>
        <v>DIRECT</v>
      </c>
      <c r="AC208" s="212">
        <f ca="1">IF($AB208="DIRECT",Q208,DCOUNT('literature entries'!$D:$AI,IF($J208=1,"ACTIVE     GHGE, FARM GATE (kg CO2e/kg)","GHGE, processor gate (kg CO2e/kg)"),INDIRECT($AB208)))</f>
        <v>8</v>
      </c>
      <c r="AD208" s="212" t="str">
        <f ca="1">IF($AB208="DIRECT","",DAVERAGE('literature entries'!$D:$AI,IF($J208=1,"ACTIVE     GHGE, FARM GATE (kg CO2e/kg)","GHGE, processor gate (kg CO2e/kg)"),INDIRECT($AB208)))</f>
        <v/>
      </c>
      <c r="AE208" s="212">
        <f ca="1">IF($AB208="DIRECT",$S208,DSTDEV('literature entries'!$D:$AI,IF($J208=1,"ACTIVE     GHGE, FARM GATE (kg CO2e/kg)","GHGE, processor gate (kg CO2e/kg)"),INDIRECT($AB208)))</f>
        <v>1.6219269893594999</v>
      </c>
      <c r="AF208" s="212">
        <f t="shared" ca="1" si="31"/>
        <v>1.6219269893594999</v>
      </c>
    </row>
    <row r="209" spans="1:32" s="19" customFormat="1" ht="17" thickBot="1" x14ac:dyDescent="0.25">
      <c r="A209" s="114">
        <v>1500324000</v>
      </c>
      <c r="B209" s="115" t="s">
        <v>2236</v>
      </c>
      <c r="C209" s="115" t="s">
        <v>2237</v>
      </c>
      <c r="D209" s="115"/>
      <c r="E209" s="115">
        <v>1983</v>
      </c>
      <c r="F209" s="111">
        <f t="shared" ca="1" si="28"/>
        <v>6.6866666666666665</v>
      </c>
      <c r="G209" s="112">
        <f t="shared" ca="1" si="29"/>
        <v>2.0609339082246336</v>
      </c>
      <c r="H209" s="116">
        <v>1</v>
      </c>
      <c r="I209" s="117" t="s">
        <v>594</v>
      </c>
      <c r="J209" s="79">
        <v>1</v>
      </c>
      <c r="K209" s="78"/>
      <c r="L209" s="135" t="str">
        <f>IF(ISERROR(GETPIVOTDATA(IF($J209=1,"Count of ACTIVE     CED, FARM GATE (MJ/kg)","Count of CED, processor gate (MJ/kg)"),'Pivot Table_CED'!$A$3,"SUB TYPE",$B209)),"PROXY",IF(GETPIVOTDATA(IF($J209=1,"Count of ACTIVE     CED, FARM GATE (MJ/kg)","Count of CED, processor gate (MJ/kg)"),'Pivot Table_CED'!$A$3,"SUB TYPE",$B209)=0,"PROXY","DB value"))</f>
        <v>DB value</v>
      </c>
      <c r="M209" s="118">
        <f ca="1">IF($L209="PROXY",DCOUNT('literature entries'!$D:$AI,IF($J209=1,"ACTIVE     CED, FARM GATE (MJ/kg)","CED, processor gate (MJ/kg)"),INDIRECT($K209)),GETPIVOTDATA(IF($J209=1,"Count of ACTIVE     CED, FARM GATE (MJ/kg)","Count of CED, processor gate (MJ/kg)"),'Pivot Table_CED'!$A$3,"SUB TYPE",$B209))</f>
        <v>6</v>
      </c>
      <c r="N209" s="119">
        <f ca="1">IF($L209="PROXY",DAVERAGE('literature entries'!$D:$AI,IF($J209=1,"ACTIVE     CED, FARM GATE (MJ/kg)","CED, processor gate (MJ/kg)"),INDIRECT($K209)),GETPIVOTDATA(IF($J209=1,"Average of ACTIVE     CED, FARM GATE (MJ/kg)","Average of CED, processor gate (MJ/kg)"),'Pivot Table_CED'!$A$3,"SUB TYPE",$B209))</f>
        <v>6.6866666666666665</v>
      </c>
      <c r="O209" s="119">
        <f ca="1">IF($L209="PROXY",DSTDEV('literature entries'!D:AI,IF($J209=1,"ACTIVE     CED, FARM GATE (MJ/kg)","CED, processor gate (MJ/kg)"),INDIRECT($K209)),GETPIVOTDATA(IF($J209=1,"StdDev of ACTIVE     CED, FARM GATE (MJ/kg)","StdDev of CED, processor gate (MJ/kg)"),'Pivot Table_CED'!$A$3,"SUB TYPE",$B209))</f>
        <v>1.7820175831530605</v>
      </c>
      <c r="P209" s="135" t="str">
        <f>IF(ISERROR(GETPIVOTDATA(IF($J209=1,"Count of ACTIVE     GHGE, FARM GATE (kg CO2e/kg)","Count of GHGE, processor gate (kg CO2e/kg)"),'Pivot Table_GHG'!$A$3,"SUB TYPE",$B209)),"PROXY",IF(GETPIVOTDATA(IF($J209=1,"Count of ACTIVE     GHGE, FARM GATE (kg CO2e/kg)","Count of GHGE, processor gate (kg CO2e/kg)"),'Pivot Table_GHG'!$A$3,"SUB TYPE",$B209)=0,"PROXY","DB value"))</f>
        <v>DB value</v>
      </c>
      <c r="Q209" s="125">
        <f ca="1">IF($P209="PROXY",DCOUNT('literature entries'!$D:$AI,IF($J209=1,"ACTIVE     GHGE, FARM GATE (kg CO2e/kg)","GHGE, processor gate (kg CO2e/kg)"),INDIRECT($K209)),GETPIVOTDATA(IF($J209=1,"ACTIVE     GHGE, FARM GATE (kg CO2e/kg)","Count of GHGE, processor gate (kg CO2e/kg)"),'Pivot Table_GHG'!$A$3,"SUB TYPE",$B209))</f>
        <v>12</v>
      </c>
      <c r="R209" s="190">
        <f ca="1">IF($P209="PROXY",DAVERAGE('literature entries'!$D:$AI,IF($J209=1,"ACTIVE     GHGE, FARM GATE (kg CO2e/kg)","GHGE, processor gate (kg CO2e/kg)"),INDIRECT($K209)),GETPIVOTDATA(IF($J209=1,"Average of ACTIVE     GHGE, FARM GATE (kg CO2e/kg)","Average of GHGE, processor gate (kg CO2e/kg)"),'Pivot Table_GHG'!$A$3,"SUB TYPE",$B209))</f>
        <v>2.0609339082246336</v>
      </c>
      <c r="S209" s="190">
        <f ca="1">IF($P209="PROXY",DSTDEV('literature entries'!$D:$AI,IF($J209=1,"ACTIVE     GHGE, FARM GATE (kg CO2e/kg)","GHGE, processor gate (kg CO2e/kg)"),INDIRECT($K209)),GETPIVOTDATA(IF($J209=1,"StdDev of ACTIVE     GHGE, FARM GATE (kg CO2e/kg)","StdDev of GHGE, processor gate (kg CO2e/kg)"),'Pivot Table_GHG'!$A$3,"SUB TYPE",$B209))</f>
        <v>1.650151605839224</v>
      </c>
      <c r="T209" s="88"/>
      <c r="U209" s="89"/>
      <c r="W209" s="213" t="str">
        <f ca="1">IF(L209="PROXY",IF(M209&gt;=5,K209,"need group"),IF(M209&gt;=5,"DIRECT","need group"))</f>
        <v>DIRECT</v>
      </c>
      <c r="X209" s="211">
        <f ca="1">IF($W209="DIRECT",M209,DCOUNT('literature entries'!$D:$AI,IF($J209=1,"ACTIVE     CED, FARM GATE (MJ/kg)","CED, processor gate (MJ/kg)"),INDIRECT($W209)))</f>
        <v>6</v>
      </c>
      <c r="Y209" s="211" t="str">
        <f ca="1">IF($W209="DIRECT","",DAVERAGE('literature entries'!$D:$AI,IF($J209=1,"ACTIVE     CED, FARM GATE (MJ/kg)","CED, processor gate (MJ/kg)"),INDIRECT($W209)))</f>
        <v/>
      </c>
      <c r="Z209" s="211">
        <f ca="1">IF($W209="DIRECT",$O209,DSTDEV('literature entries'!$D:$AI,IF($J209=1,"ACTIVE     CED, FARM GATE (MJ/kg)","CED, processor gate (MJ/kg)"),INDIRECT($W209)))</f>
        <v>1.7820175831530605</v>
      </c>
      <c r="AA209" s="211">
        <f t="shared" ca="1" si="30"/>
        <v>1.7820175831530605</v>
      </c>
      <c r="AB209" s="219" t="str">
        <f ca="1">IF(P209="PROXY",IF(Q209&gt;=5,K209,"need group"),IF(Q209&gt;=5,"DIRECT","need group"))</f>
        <v>DIRECT</v>
      </c>
      <c r="AC209" s="212">
        <f ca="1">IF($AB209="DIRECT",Q209,DCOUNT('literature entries'!$D:$AI,IF($J209=1,"ACTIVE     GHGE, FARM GATE (kg CO2e/kg)","GHGE, processor gate (kg CO2e/kg)"),INDIRECT($AB209)))</f>
        <v>12</v>
      </c>
      <c r="AD209" s="212" t="str">
        <f ca="1">IF($AB209="DIRECT","",DAVERAGE('literature entries'!$D:$AI,IF($J209=1,"ACTIVE     GHGE, FARM GATE (kg CO2e/kg)","GHGE, processor gate (kg CO2e/kg)"),INDIRECT($AB209)))</f>
        <v/>
      </c>
      <c r="AE209" s="212">
        <f ca="1">IF($AB209="DIRECT",$S209,DSTDEV('literature entries'!$D:$AI,IF($J209=1,"ACTIVE     GHGE, FARM GATE (kg CO2e/kg)","GHGE, processor gate (kg CO2e/kg)"),INDIRECT($AB209)))</f>
        <v>1.650151605839224</v>
      </c>
      <c r="AF209" s="212">
        <f t="shared" ca="1" si="31"/>
        <v>1.650151605839224</v>
      </c>
    </row>
    <row r="210" spans="1:32" s="19" customFormat="1" ht="17" thickBot="1" x14ac:dyDescent="0.25">
      <c r="A210" s="114">
        <v>1500325000</v>
      </c>
      <c r="B210" s="115" t="s">
        <v>2238</v>
      </c>
      <c r="C210" s="115" t="s">
        <v>1754</v>
      </c>
      <c r="D210" s="115"/>
      <c r="E210" s="115">
        <v>27487</v>
      </c>
      <c r="F210" s="111">
        <f t="shared" ca="1" si="28"/>
        <v>5.3975</v>
      </c>
      <c r="G210" s="112">
        <f t="shared" ca="1" si="29"/>
        <v>1.3567</v>
      </c>
      <c r="H210" s="116">
        <v>1</v>
      </c>
      <c r="I210" s="117" t="s">
        <v>594</v>
      </c>
      <c r="J210" s="79">
        <v>2</v>
      </c>
      <c r="K210" s="78" t="s">
        <v>3282</v>
      </c>
      <c r="L210" s="135" t="str">
        <f>IF(ISERROR(GETPIVOTDATA(IF($J210=1,"Count of ACTIVE     CED, FARM GATE (MJ/kg)","Count of CED, processor gate (MJ/kg)"),'Pivot Table_CED'!$A$3,"SUB TYPE",$B210)),"PROXY",IF(GETPIVOTDATA(IF($J210=1,"Count of ACTIVE     CED, FARM GATE (MJ/kg)","Count of CED, processor gate (MJ/kg)"),'Pivot Table_CED'!$A$3,"SUB TYPE",$B210)=0,"PROXY","DB value"))</f>
        <v>PROXY</v>
      </c>
      <c r="M210" s="118">
        <f ca="1">IF($L210="PROXY",DCOUNT('literature entries'!$D:$AI,IF($J210=1,"ACTIVE     CED, FARM GATE (MJ/kg)","CED, processor gate (MJ/kg)"),INDIRECT($K210)),GETPIVOTDATA(IF($J210=1,"Count of ACTIVE     CED, FARM GATE (MJ/kg)","Count of CED, processor gate (MJ/kg)"),'Pivot Table_CED'!$A$3,"SUB TYPE",$B210))</f>
        <v>1</v>
      </c>
      <c r="N210" s="119">
        <f ca="1">IF($L210="PROXY",DAVERAGE('literature entries'!$D:$AI,IF($J210=1,"ACTIVE     CED, FARM GATE (MJ/kg)","CED, processor gate (MJ/kg)"),INDIRECT($K210)),GETPIVOTDATA(IF($J210=1,"Average of ACTIVE     CED, FARM GATE (MJ/kg)","Average of CED, processor gate (MJ/kg)"),'Pivot Table_CED'!$A$3,"SUB TYPE",$B210))</f>
        <v>5.3975</v>
      </c>
      <c r="O210" s="119" t="e">
        <f ca="1">IF($L210="PROXY",DSTDEV('literature entries'!D:AI,IF($J210=1,"ACTIVE     CED, FARM GATE (MJ/kg)","CED, processor gate (MJ/kg)"),INDIRECT($K210)),GETPIVOTDATA(IF($J210=1,"StdDev of ACTIVE     CED, FARM GATE (MJ/kg)","StdDev of CED, processor gate (MJ/kg)"),'Pivot Table_CED'!$A$3,"SUB TYPE",$B210))</f>
        <v>#DIV/0!</v>
      </c>
      <c r="P210" s="135" t="str">
        <f>IF(ISERROR(GETPIVOTDATA(IF($J210=1,"Count of ACTIVE     GHGE, FARM GATE (kg CO2e/kg)","Count of GHGE, processor gate (kg CO2e/kg)"),'Pivot Table_GHG'!$A$3,"SUB TYPE",$B210)),"PROXY",IF(GETPIVOTDATA(IF($J210=1,"Count of ACTIVE     GHGE, FARM GATE (kg CO2e/kg)","Count of GHGE, processor gate (kg CO2e/kg)"),'Pivot Table_GHG'!$A$3,"SUB TYPE",$B210)=0,"PROXY","DB value"))</f>
        <v>PROXY</v>
      </c>
      <c r="Q210" s="125">
        <f ca="1">IF($P210="PROXY",DCOUNT('literature entries'!$D:$AI,IF($J210=1,"ACTIVE     GHGE, FARM GATE (kg CO2e/kg)","GHGE, processor gate (kg CO2e/kg)"),INDIRECT($K210)),GETPIVOTDATA(IF($J210=1,"ACTIVE     GHGE, FARM GATE (kg CO2e/kg)","Count of GHGE, processor gate (kg CO2e/kg)"),'Pivot Table_GHG'!$A$3,"SUB TYPE",$B210))</f>
        <v>1</v>
      </c>
      <c r="R210" s="190">
        <f ca="1">IF($P210="PROXY",DAVERAGE('literature entries'!$D:$AI,IF($J210=1,"ACTIVE     GHGE, FARM GATE (kg CO2e/kg)","GHGE, processor gate (kg CO2e/kg)"),INDIRECT($K210)),GETPIVOTDATA(IF($J210=1,"Average of ACTIVE     GHGE, FARM GATE (kg CO2e/kg)","Average of GHGE, processor gate (kg CO2e/kg)"),'Pivot Table_GHG'!$A$3,"SUB TYPE",$B210))</f>
        <v>1.3567</v>
      </c>
      <c r="S210" s="190" t="e">
        <f ca="1">IF($P210="PROXY",DSTDEV('literature entries'!$D:$AI,IF($J210=1,"ACTIVE     GHGE, FARM GATE (kg CO2e/kg)","GHGE, processor gate (kg CO2e/kg)"),INDIRECT($K210)),GETPIVOTDATA(IF($J210=1,"StdDev of ACTIVE     GHGE, FARM GATE (kg CO2e/kg)","StdDev of GHGE, processor gate (kg CO2e/kg)"),'Pivot Table_GHG'!$A$3,"SUB TYPE",$B210))</f>
        <v>#DIV/0!</v>
      </c>
      <c r="T210" s="88"/>
      <c r="U210" s="89"/>
      <c r="W210" s="213" t="s">
        <v>3358</v>
      </c>
      <c r="X210" s="211">
        <f ca="1">IF($W210="DIRECT",M210,DCOUNT('literature entries'!$D:$AI,IF($J210=1,"ACTIVE     CED, FARM GATE (MJ/kg)","CED, processor gate (MJ/kg)"),INDIRECT($W210)))</f>
        <v>9</v>
      </c>
      <c r="Y210" s="211">
        <f ca="1">IF($W210="DIRECT","",DAVERAGE('literature entries'!$D:$AI,IF($J210=1,"ACTIVE     CED, FARM GATE (MJ/kg)","CED, processor gate (MJ/kg)"),INDIRECT($W210)))</f>
        <v>3.7933851999999999</v>
      </c>
      <c r="Z210" s="211">
        <f ca="1">IF($W210="DIRECT",$O210,DSTDEV('literature entries'!$D:$AI,IF($J210=1,"ACTIVE     CED, FARM GATE (MJ/kg)","CED, processor gate (MJ/kg)"),INDIRECT($W210)))</f>
        <v>1.2312612173276687</v>
      </c>
      <c r="AA210" s="211">
        <f t="shared" ca="1" si="30"/>
        <v>1.7519265959402415</v>
      </c>
      <c r="AB210" s="219" t="s">
        <v>3358</v>
      </c>
      <c r="AC210" s="212">
        <f ca="1">IF($AB210="DIRECT",Q210,DCOUNT('literature entries'!$D:$AI,IF($J210=1,"ACTIVE     GHGE, FARM GATE (kg CO2e/kg)","GHGE, processor gate (kg CO2e/kg)"),INDIRECT($AB210)))</f>
        <v>9</v>
      </c>
      <c r="AD210" s="212">
        <f ca="1">IF($AB210="DIRECT","",DAVERAGE('literature entries'!$D:$AI,IF($J210=1,"ACTIVE     GHGE, FARM GATE (kg CO2e/kg)","GHGE, processor gate (kg CO2e/kg)"),INDIRECT($AB210)))</f>
        <v>0.43042331</v>
      </c>
      <c r="AE210" s="212">
        <f ca="1">IF($AB210="DIRECT",$S210,DSTDEV('literature entries'!$D:$AI,IF($J210=1,"ACTIVE     GHGE, FARM GATE (kg CO2e/kg)","GHGE, processor gate (kg CO2e/kg)"),INDIRECT($AB210)))</f>
        <v>7.2682317360146784E-2</v>
      </c>
      <c r="AF210" s="212">
        <f t="shared" ca="1" si="31"/>
        <v>0.2290956313739401</v>
      </c>
    </row>
    <row r="211" spans="1:32" s="19" customFormat="1" ht="17" thickBot="1" x14ac:dyDescent="0.25">
      <c r="A211" s="114">
        <v>1500326000</v>
      </c>
      <c r="B211" s="115" t="s">
        <v>2235</v>
      </c>
      <c r="C211" s="115" t="s">
        <v>1774</v>
      </c>
      <c r="D211" s="115"/>
      <c r="E211" s="115">
        <v>50</v>
      </c>
      <c r="F211" s="111">
        <f t="shared" ca="1" si="28"/>
        <v>5.3975</v>
      </c>
      <c r="G211" s="112">
        <f t="shared" ca="1" si="29"/>
        <v>1.3567</v>
      </c>
      <c r="H211" s="116">
        <v>1</v>
      </c>
      <c r="I211" s="117" t="s">
        <v>594</v>
      </c>
      <c r="J211" s="79">
        <v>2</v>
      </c>
      <c r="K211" s="78"/>
      <c r="L211" s="135" t="str">
        <f>IF(ISERROR(GETPIVOTDATA(IF($J211=1,"Count of ACTIVE     CED, FARM GATE (MJ/kg)","Count of CED, processor gate (MJ/kg)"),'Pivot Table_CED'!$A$3,"SUB TYPE",$B211)),"PROXY",IF(GETPIVOTDATA(IF($J211=1,"Count of ACTIVE     CED, FARM GATE (MJ/kg)","Count of CED, processor gate (MJ/kg)"),'Pivot Table_CED'!$A$3,"SUB TYPE",$B211)=0,"PROXY","DB value"))</f>
        <v>DB value</v>
      </c>
      <c r="M211" s="118">
        <f ca="1">IF($L211="PROXY",DCOUNT('literature entries'!$D:$AI,IF($J211=1,"ACTIVE     CED, FARM GATE (MJ/kg)","CED, processor gate (MJ/kg)"),INDIRECT($K211)),GETPIVOTDATA(IF($J211=1,"Count of ACTIVE     CED, FARM GATE (MJ/kg)","Count of CED, processor gate (MJ/kg)"),'Pivot Table_CED'!$A$3,"SUB TYPE",$B211))</f>
        <v>1</v>
      </c>
      <c r="N211" s="119">
        <f ca="1">IF($L211="PROXY",DAVERAGE('literature entries'!$D:$AI,IF($J211=1,"ACTIVE     CED, FARM GATE (MJ/kg)","CED, processor gate (MJ/kg)"),INDIRECT($K211)),GETPIVOTDATA(IF($J211=1,"Average of ACTIVE     CED, FARM GATE (MJ/kg)","Average of CED, processor gate (MJ/kg)"),'Pivot Table_CED'!$A$3,"SUB TYPE",$B211))</f>
        <v>5.3975</v>
      </c>
      <c r="O211" s="119">
        <f ca="1">IF($L211="PROXY",DSTDEV('literature entries'!D:AI,IF($J211=1,"ACTIVE     CED, FARM GATE (MJ/kg)","CED, processor gate (MJ/kg)"),INDIRECT($K211)),GETPIVOTDATA(IF($J211=1,"StdDev of ACTIVE     CED, FARM GATE (MJ/kg)","StdDev of CED, processor gate (MJ/kg)"),'Pivot Table_CED'!$A$3,"SUB TYPE",$B211))</f>
        <v>0</v>
      </c>
      <c r="P211" s="135" t="str">
        <f>IF(ISERROR(GETPIVOTDATA(IF($J211=1,"Count of ACTIVE     GHGE, FARM GATE (kg CO2e/kg)","Count of GHGE, processor gate (kg CO2e/kg)"),'Pivot Table_GHG'!$A$3,"SUB TYPE",$B211)),"PROXY",IF(GETPIVOTDATA(IF($J211=1,"Count of ACTIVE     GHGE, FARM GATE (kg CO2e/kg)","Count of GHGE, processor gate (kg CO2e/kg)"),'Pivot Table_GHG'!$A$3,"SUB TYPE",$B211)=0,"PROXY","DB value"))</f>
        <v>DB value</v>
      </c>
      <c r="Q211" s="125">
        <f ca="1">IF($P211="PROXY",DCOUNT('literature entries'!$D:$AI,IF($J211=1,"ACTIVE     GHGE, FARM GATE (kg CO2e/kg)","GHGE, processor gate (kg CO2e/kg)"),INDIRECT($K211)),GETPIVOTDATA(IF($J211=1,"ACTIVE     GHGE, FARM GATE (kg CO2e/kg)","Count of GHGE, processor gate (kg CO2e/kg)"),'Pivot Table_GHG'!$A$3,"SUB TYPE",$B211))</f>
        <v>1</v>
      </c>
      <c r="R211" s="190">
        <f ca="1">IF($P211="PROXY",DAVERAGE('literature entries'!$D:$AI,IF($J211=1,"ACTIVE     GHGE, FARM GATE (kg CO2e/kg)","GHGE, processor gate (kg CO2e/kg)"),INDIRECT($K211)),GETPIVOTDATA(IF($J211=1,"Average of ACTIVE     GHGE, FARM GATE (kg CO2e/kg)","Average of GHGE, processor gate (kg CO2e/kg)"),'Pivot Table_GHG'!$A$3,"SUB TYPE",$B211))</f>
        <v>1.3567</v>
      </c>
      <c r="S211" s="190" t="e">
        <f ca="1">IF($P211="PROXY",DSTDEV('literature entries'!$D:$AI,IF($J211=1,"ACTIVE     GHGE, FARM GATE (kg CO2e/kg)","GHGE, processor gate (kg CO2e/kg)"),INDIRECT($K211)),GETPIVOTDATA(IF($J211=1,"StdDev of ACTIVE     GHGE, FARM GATE (kg CO2e/kg)","StdDev of GHGE, processor gate (kg CO2e/kg)"),'Pivot Table_GHG'!$A$3,"SUB TYPE",$B211))</f>
        <v>#DIV/0!</v>
      </c>
      <c r="T211" s="88"/>
      <c r="U211" s="89"/>
      <c r="W211" s="213" t="s">
        <v>3358</v>
      </c>
      <c r="X211" s="211">
        <f ca="1">IF($W211="DIRECT",M211,DCOUNT('literature entries'!$D:$AI,IF($J211=1,"ACTIVE     CED, FARM GATE (MJ/kg)","CED, processor gate (MJ/kg)"),INDIRECT($W211)))</f>
        <v>9</v>
      </c>
      <c r="Y211" s="211">
        <f ca="1">IF($W211="DIRECT","",DAVERAGE('literature entries'!$D:$AI,IF($J211=1,"ACTIVE     CED, FARM GATE (MJ/kg)","CED, processor gate (MJ/kg)"),INDIRECT($W211)))</f>
        <v>3.7933851999999999</v>
      </c>
      <c r="Z211" s="211">
        <f ca="1">IF($W211="DIRECT",$O211,DSTDEV('literature entries'!$D:$AI,IF($J211=1,"ACTIVE     CED, FARM GATE (MJ/kg)","CED, processor gate (MJ/kg)"),INDIRECT($W211)))</f>
        <v>1.2312612173276687</v>
      </c>
      <c r="AA211" s="211">
        <f t="shared" ca="1" si="30"/>
        <v>1.7519265959402415</v>
      </c>
      <c r="AB211" s="219" t="s">
        <v>3358</v>
      </c>
      <c r="AC211" s="212">
        <f ca="1">IF($AB211="DIRECT",Q211,DCOUNT('literature entries'!$D:$AI,IF($J211=1,"ACTIVE     GHGE, FARM GATE (kg CO2e/kg)","GHGE, processor gate (kg CO2e/kg)"),INDIRECT($AB211)))</f>
        <v>9</v>
      </c>
      <c r="AD211" s="212">
        <f ca="1">IF($AB211="DIRECT","",DAVERAGE('literature entries'!$D:$AI,IF($J211=1,"ACTIVE     GHGE, FARM GATE (kg CO2e/kg)","GHGE, processor gate (kg CO2e/kg)"),INDIRECT($AB211)))</f>
        <v>0.43042331</v>
      </c>
      <c r="AE211" s="212">
        <f ca="1">IF($AB211="DIRECT",$S211,DSTDEV('literature entries'!$D:$AI,IF($J211=1,"ACTIVE     GHGE, FARM GATE (kg CO2e/kg)","GHGE, processor gate (kg CO2e/kg)"),INDIRECT($AB211)))</f>
        <v>7.2682317360146784E-2</v>
      </c>
      <c r="AF211" s="212">
        <f t="shared" ca="1" si="31"/>
        <v>0.2290956313739401</v>
      </c>
    </row>
    <row r="212" spans="1:32" s="19" customFormat="1" ht="17" thickBot="1" x14ac:dyDescent="0.25">
      <c r="A212" s="114">
        <v>1500328000</v>
      </c>
      <c r="B212" s="115" t="s">
        <v>2243</v>
      </c>
      <c r="C212" s="115" t="s">
        <v>2244</v>
      </c>
      <c r="D212" s="115"/>
      <c r="E212" s="115">
        <v>2057</v>
      </c>
      <c r="F212" s="111">
        <f t="shared" ca="1" si="28"/>
        <v>2.6956580300000001</v>
      </c>
      <c r="G212" s="112">
        <f t="shared" ca="1" si="29"/>
        <v>0.385175779</v>
      </c>
      <c r="H212" s="116">
        <v>1</v>
      </c>
      <c r="I212" s="117" t="s">
        <v>594</v>
      </c>
      <c r="J212" s="79">
        <v>1</v>
      </c>
      <c r="K212" s="78"/>
      <c r="L212" s="135" t="str">
        <f>IF(ISERROR(GETPIVOTDATA(IF($J212=1,"Count of ACTIVE     CED, FARM GATE (MJ/kg)","Count of CED, processor gate (MJ/kg)"),'Pivot Table_CED'!$A$3,"SUB TYPE",$B212)),"PROXY",IF(GETPIVOTDATA(IF($J212=1,"Count of ACTIVE     CED, FARM GATE (MJ/kg)","Count of CED, processor gate (MJ/kg)"),'Pivot Table_CED'!$A$3,"SUB TYPE",$B212)=0,"PROXY","DB value"))</f>
        <v>DB value</v>
      </c>
      <c r="M212" s="118">
        <f ca="1">IF($L212="PROXY",DCOUNT('literature entries'!$D:$AI,IF($J212=1,"ACTIVE     CED, FARM GATE (MJ/kg)","CED, processor gate (MJ/kg)"),INDIRECT($K212)),GETPIVOTDATA(IF($J212=1,"Count of ACTIVE     CED, FARM GATE (MJ/kg)","Count of CED, processor gate (MJ/kg)"),'Pivot Table_CED'!$A$3,"SUB TYPE",$B212))</f>
        <v>20</v>
      </c>
      <c r="N212" s="119">
        <f ca="1">IF($L212="PROXY",DAVERAGE('literature entries'!$D:$AI,IF($J212=1,"ACTIVE     CED, FARM GATE (MJ/kg)","CED, processor gate (MJ/kg)"),INDIRECT($K212)),GETPIVOTDATA(IF($J212=1,"Average of ACTIVE     CED, FARM GATE (MJ/kg)","Average of CED, processor gate (MJ/kg)"),'Pivot Table_CED'!$A$3,"SUB TYPE",$B212))</f>
        <v>2.6956580300000001</v>
      </c>
      <c r="O212" s="119">
        <f ca="1">IF($L212="PROXY",DSTDEV('literature entries'!D:AI,IF($J212=1,"ACTIVE     CED, FARM GATE (MJ/kg)","CED, processor gate (MJ/kg)"),INDIRECT($K212)),GETPIVOTDATA(IF($J212=1,"StdDev of ACTIVE     CED, FARM GATE (MJ/kg)","StdDev of CED, processor gate (MJ/kg)"),'Pivot Table_CED'!$A$3,"SUB TYPE",$B212))</f>
        <v>1.3247895032637358</v>
      </c>
      <c r="P212" s="135" t="str">
        <f>IF(ISERROR(GETPIVOTDATA(IF($J212=1,"Count of ACTIVE     GHGE, FARM GATE (kg CO2e/kg)","Count of GHGE, processor gate (kg CO2e/kg)"),'Pivot Table_GHG'!$A$3,"SUB TYPE",$B212)),"PROXY",IF(GETPIVOTDATA(IF($J212=1,"Count of ACTIVE     GHGE, FARM GATE (kg CO2e/kg)","Count of GHGE, processor gate (kg CO2e/kg)"),'Pivot Table_GHG'!$A$3,"SUB TYPE",$B212)=0,"PROXY","DB value"))</f>
        <v>DB value</v>
      </c>
      <c r="Q212" s="125">
        <f ca="1">IF($P212="PROXY",DCOUNT('literature entries'!$D:$AI,IF($J212=1,"ACTIVE     GHGE, FARM GATE (kg CO2e/kg)","GHGE, processor gate (kg CO2e/kg)"),INDIRECT($K212)),GETPIVOTDATA(IF($J212=1,"ACTIVE     GHGE, FARM GATE (kg CO2e/kg)","Count of GHGE, processor gate (kg CO2e/kg)"),'Pivot Table_GHG'!$A$3,"SUB TYPE",$B212))</f>
        <v>20</v>
      </c>
      <c r="R212" s="190">
        <f ca="1">IF($P212="PROXY",DAVERAGE('literature entries'!$D:$AI,IF($J212=1,"ACTIVE     GHGE, FARM GATE (kg CO2e/kg)","GHGE, processor gate (kg CO2e/kg)"),INDIRECT($K212)),GETPIVOTDATA(IF($J212=1,"Average of ACTIVE     GHGE, FARM GATE (kg CO2e/kg)","Average of GHGE, processor gate (kg CO2e/kg)"),'Pivot Table_GHG'!$A$3,"SUB TYPE",$B212))</f>
        <v>0.385175779</v>
      </c>
      <c r="S212" s="190">
        <f ca="1">IF($P212="PROXY",DSTDEV('literature entries'!$D:$AI,IF($J212=1,"ACTIVE     GHGE, FARM GATE (kg CO2e/kg)","GHGE, processor gate (kg CO2e/kg)"),INDIRECT($K212)),GETPIVOTDATA(IF($J212=1,"StdDev of ACTIVE     GHGE, FARM GATE (kg CO2e/kg)","StdDev of GHGE, processor gate (kg CO2e/kg)"),'Pivot Table_GHG'!$A$3,"SUB TYPE",$B212))</f>
        <v>0.18272507972769947</v>
      </c>
      <c r="T212" s="88"/>
      <c r="U212" s="89"/>
      <c r="W212" s="213" t="str">
        <f ca="1">IF(L212="PROXY",IF(M212&gt;=5,K212,"need group"),IF(M212&gt;=5,"DIRECT","need group"))</f>
        <v>DIRECT</v>
      </c>
      <c r="X212" s="211">
        <f ca="1">IF($W212="DIRECT",M212,DCOUNT('literature entries'!$D:$AI,IF($J212=1,"ACTIVE     CED, FARM GATE (MJ/kg)","CED, processor gate (MJ/kg)"),INDIRECT($W212)))</f>
        <v>20</v>
      </c>
      <c r="Y212" s="211" t="str">
        <f ca="1">IF($W212="DIRECT","",DAVERAGE('literature entries'!$D:$AI,IF($J212=1,"ACTIVE     CED, FARM GATE (MJ/kg)","CED, processor gate (MJ/kg)"),INDIRECT($W212)))</f>
        <v/>
      </c>
      <c r="Z212" s="211">
        <f ca="1">IF($W212="DIRECT",$O212,DSTDEV('literature entries'!$D:$AI,IF($J212=1,"ACTIVE     CED, FARM GATE (MJ/kg)","CED, processor gate (MJ/kg)"),INDIRECT($W212)))</f>
        <v>1.3247895032637358</v>
      </c>
      <c r="AA212" s="211">
        <f t="shared" ca="1" si="30"/>
        <v>1.3247895032637358</v>
      </c>
      <c r="AB212" s="219" t="str">
        <f ca="1">IF(P212="PROXY",IF(Q212&gt;=5,K212,"need group"),IF(Q212&gt;=5,"DIRECT","need group"))</f>
        <v>DIRECT</v>
      </c>
      <c r="AC212" s="212">
        <f ca="1">IF($AB212="DIRECT",Q212,DCOUNT('literature entries'!$D:$AI,IF($J212=1,"ACTIVE     GHGE, FARM GATE (kg CO2e/kg)","GHGE, processor gate (kg CO2e/kg)"),INDIRECT($AB212)))</f>
        <v>20</v>
      </c>
      <c r="AD212" s="212" t="str">
        <f ca="1">IF($AB212="DIRECT","",DAVERAGE('literature entries'!$D:$AI,IF($J212=1,"ACTIVE     GHGE, FARM GATE (kg CO2e/kg)","GHGE, processor gate (kg CO2e/kg)"),INDIRECT($AB212)))</f>
        <v/>
      </c>
      <c r="AE212" s="212">
        <f ca="1">IF($AB212="DIRECT",$S212,DSTDEV('literature entries'!$D:$AI,IF($J212=1,"ACTIVE     GHGE, FARM GATE (kg CO2e/kg)","GHGE, processor gate (kg CO2e/kg)"),INDIRECT($AB212)))</f>
        <v>0.18272507972769947</v>
      </c>
      <c r="AF212" s="212">
        <f t="shared" ca="1" si="31"/>
        <v>0.18272507972769947</v>
      </c>
    </row>
    <row r="213" spans="1:32" s="19" customFormat="1" ht="17" thickBot="1" x14ac:dyDescent="0.25">
      <c r="A213" s="114">
        <v>1500329000</v>
      </c>
      <c r="B213" s="115" t="s">
        <v>2242</v>
      </c>
      <c r="C213" s="115" t="s">
        <v>1754</v>
      </c>
      <c r="D213" s="115"/>
      <c r="E213" s="115">
        <v>5</v>
      </c>
      <c r="F213" s="111">
        <f t="shared" ca="1" si="28"/>
        <v>3.9486279999999998</v>
      </c>
      <c r="G213" s="112">
        <f t="shared" ca="1" si="29"/>
        <v>0.41778048333333334</v>
      </c>
      <c r="H213" s="116">
        <v>1</v>
      </c>
      <c r="I213" s="117" t="s">
        <v>594</v>
      </c>
      <c r="J213" s="79">
        <v>2</v>
      </c>
      <c r="K213" s="78"/>
      <c r="L213" s="135" t="str">
        <f>IF(ISERROR(GETPIVOTDATA(IF($J213=1,"Count of ACTIVE     CED, FARM GATE (MJ/kg)","Count of CED, processor gate (MJ/kg)"),'Pivot Table_CED'!$A$3,"SUB TYPE",$B213)),"PROXY",IF(GETPIVOTDATA(IF($J213=1,"Count of ACTIVE     CED, FARM GATE (MJ/kg)","Count of CED, processor gate (MJ/kg)"),'Pivot Table_CED'!$A$3,"SUB TYPE",$B213)=0,"PROXY","DB value"))</f>
        <v>DB value</v>
      </c>
      <c r="M213" s="118">
        <f ca="1">IF($L213="PROXY",DCOUNT('literature entries'!$D:$AI,IF($J213=1,"ACTIVE     CED, FARM GATE (MJ/kg)","CED, processor gate (MJ/kg)"),INDIRECT($K213)),GETPIVOTDATA(IF($J213=1,"Count of ACTIVE     CED, FARM GATE (MJ/kg)","Count of CED, processor gate (MJ/kg)"),'Pivot Table_CED'!$A$3,"SUB TYPE",$B213))</f>
        <v>3</v>
      </c>
      <c r="N213" s="119">
        <f ca="1">IF($L213="PROXY",DAVERAGE('literature entries'!$D:$AI,IF($J213=1,"ACTIVE     CED, FARM GATE (MJ/kg)","CED, processor gate (MJ/kg)"),INDIRECT($K213)),GETPIVOTDATA(IF($J213=1,"Average of ACTIVE     CED, FARM GATE (MJ/kg)","Average of CED, processor gate (MJ/kg)"),'Pivot Table_CED'!$A$3,"SUB TYPE",$B213))</f>
        <v>3.9486279999999998</v>
      </c>
      <c r="O213" s="119">
        <f ca="1">IF($L213="PROXY",DSTDEV('literature entries'!D:AI,IF($J213=1,"ACTIVE     CED, FARM GATE (MJ/kg)","CED, processor gate (MJ/kg)"),INDIRECT($K213)),GETPIVOTDATA(IF($J213=1,"StdDev of ACTIVE     CED, FARM GATE (MJ/kg)","StdDev of CED, processor gate (MJ/kg)"),'Pivot Table_CED'!$A$3,"SUB TYPE",$B213))</f>
        <v>0.38585443542451386</v>
      </c>
      <c r="P213" s="135" t="str">
        <f>IF(ISERROR(GETPIVOTDATA(IF($J213=1,"Count of ACTIVE     GHGE, FARM GATE (kg CO2e/kg)","Count of GHGE, processor gate (kg CO2e/kg)"),'Pivot Table_GHG'!$A$3,"SUB TYPE",$B213)),"PROXY",IF(GETPIVOTDATA(IF($J213=1,"Count of ACTIVE     GHGE, FARM GATE (kg CO2e/kg)","Count of GHGE, processor gate (kg CO2e/kg)"),'Pivot Table_GHG'!$A$3,"SUB TYPE",$B213)=0,"PROXY","DB value"))</f>
        <v>DB value</v>
      </c>
      <c r="Q213" s="125">
        <f ca="1">IF($P213="PROXY",DCOUNT('literature entries'!$D:$AI,IF($J213=1,"ACTIVE     GHGE, FARM GATE (kg CO2e/kg)","GHGE, processor gate (kg CO2e/kg)"),INDIRECT($K213)),GETPIVOTDATA(IF($J213=1,"ACTIVE     GHGE, FARM GATE (kg CO2e/kg)","Count of GHGE, processor gate (kg CO2e/kg)"),'Pivot Table_GHG'!$A$3,"SUB TYPE",$B213))</f>
        <v>3</v>
      </c>
      <c r="R213" s="190">
        <f ca="1">IF($P213="PROXY",DAVERAGE('literature entries'!$D:$AI,IF($J213=1,"ACTIVE     GHGE, FARM GATE (kg CO2e/kg)","GHGE, processor gate (kg CO2e/kg)"),INDIRECT($K213)),GETPIVOTDATA(IF($J213=1,"Average of ACTIVE     GHGE, FARM GATE (kg CO2e/kg)","Average of GHGE, processor gate (kg CO2e/kg)"),'Pivot Table_GHG'!$A$3,"SUB TYPE",$B213))</f>
        <v>0.41778048333333334</v>
      </c>
      <c r="S213" s="190">
        <f ca="1">IF($P213="PROXY",DSTDEV('literature entries'!$D:$AI,IF($J213=1,"ACTIVE     GHGE, FARM GATE (kg CO2e/kg)","GHGE, processor gate (kg CO2e/kg)"),INDIRECT($K213)),GETPIVOTDATA(IF($J213=1,"StdDev of ACTIVE     GHGE, FARM GATE (kg CO2e/kg)","StdDev of GHGE, processor gate (kg CO2e/kg)"),'Pivot Table_GHG'!$A$3,"SUB TYPE",$B213))</f>
        <v>2.179658538386561E-2</v>
      </c>
      <c r="T213" s="88"/>
      <c r="U213" s="89"/>
      <c r="W213" s="213" t="s">
        <v>3358</v>
      </c>
      <c r="X213" s="211">
        <f ca="1">IF($W213="DIRECT",M213,DCOUNT('literature entries'!$D:$AI,IF($J213=1,"ACTIVE     CED, FARM GATE (MJ/kg)","CED, processor gate (MJ/kg)"),INDIRECT($W213)))</f>
        <v>9</v>
      </c>
      <c r="Y213" s="211">
        <f ca="1">IF($W213="DIRECT","",DAVERAGE('literature entries'!$D:$AI,IF($J213=1,"ACTIVE     CED, FARM GATE (MJ/kg)","CED, processor gate (MJ/kg)"),INDIRECT($W213)))</f>
        <v>3.7933851999999999</v>
      </c>
      <c r="Z213" s="211">
        <f ca="1">IF($W213="DIRECT",$O213,DSTDEV('literature entries'!$D:$AI,IF($J213=1,"ACTIVE     CED, FARM GATE (MJ/kg)","CED, processor gate (MJ/kg)"),INDIRECT($W213)))</f>
        <v>1.2312612173276687</v>
      </c>
      <c r="AA213" s="211">
        <f t="shared" ca="1" si="30"/>
        <v>1.2816500992448954</v>
      </c>
      <c r="AB213" s="219" t="s">
        <v>3358</v>
      </c>
      <c r="AC213" s="212">
        <f ca="1">IF($AB213="DIRECT",Q213,DCOUNT('literature entries'!$D:$AI,IF($J213=1,"ACTIVE     GHGE, FARM GATE (kg CO2e/kg)","GHGE, processor gate (kg CO2e/kg)"),INDIRECT($AB213)))</f>
        <v>9</v>
      </c>
      <c r="AD213" s="212">
        <f ca="1">IF($AB213="DIRECT","",DAVERAGE('literature entries'!$D:$AI,IF($J213=1,"ACTIVE     GHGE, FARM GATE (kg CO2e/kg)","GHGE, processor gate (kg CO2e/kg)"),INDIRECT($AB213)))</f>
        <v>0.43042331</v>
      </c>
      <c r="AE213" s="212">
        <f ca="1">IF($AB213="DIRECT",$S213,DSTDEV('literature entries'!$D:$AI,IF($J213=1,"ACTIVE     GHGE, FARM GATE (kg CO2e/kg)","GHGE, processor gate (kg CO2e/kg)"),INDIRECT($AB213)))</f>
        <v>7.2682317360146784E-2</v>
      </c>
      <c r="AF213" s="212">
        <f t="shared" ca="1" si="31"/>
        <v>7.0547419182545784E-2</v>
      </c>
    </row>
    <row r="214" spans="1:32" s="19" customFormat="1" ht="17" thickBot="1" x14ac:dyDescent="0.25">
      <c r="A214" s="114">
        <v>1500345000</v>
      </c>
      <c r="B214" s="115" t="s">
        <v>2264</v>
      </c>
      <c r="C214" s="115" t="s">
        <v>1943</v>
      </c>
      <c r="D214" s="115"/>
      <c r="E214" s="115">
        <v>1</v>
      </c>
      <c r="F214" s="111">
        <f t="shared" ca="1" si="28"/>
        <v>5.0787000000000004</v>
      </c>
      <c r="G214" s="112">
        <f t="shared" ca="1" si="29"/>
        <v>0.48759999999999998</v>
      </c>
      <c r="H214" s="116">
        <v>1</v>
      </c>
      <c r="I214" s="117" t="s">
        <v>2724</v>
      </c>
      <c r="J214" s="79">
        <v>2</v>
      </c>
      <c r="K214" s="78" t="s">
        <v>3290</v>
      </c>
      <c r="L214" s="135" t="str">
        <f>IF(ISERROR(GETPIVOTDATA(IF($J214=1,"Count of ACTIVE     CED, FARM GATE (MJ/kg)","Count of CED, processor gate (MJ/kg)"),'Pivot Table_CED'!$A$3,"SUB TYPE",$B214)),"PROXY",IF(GETPIVOTDATA(IF($J214=1,"Count of ACTIVE     CED, FARM GATE (MJ/kg)","Count of CED, processor gate (MJ/kg)"),'Pivot Table_CED'!$A$3,"SUB TYPE",$B214)=0,"PROXY","DB value"))</f>
        <v>PROXY</v>
      </c>
      <c r="M214" s="118">
        <f ca="1">IF($L214="PROXY",DCOUNT('literature entries'!$D:$AI,IF($J214=1,"ACTIVE     CED, FARM GATE (MJ/kg)","CED, processor gate (MJ/kg)"),INDIRECT($K214)),GETPIVOTDATA(IF($J214=1,"Count of ACTIVE     CED, FARM GATE (MJ/kg)","Count of CED, processor gate (MJ/kg)"),'Pivot Table_CED'!$A$3,"SUB TYPE",$B214))</f>
        <v>1</v>
      </c>
      <c r="N214" s="119">
        <f ca="1">IF($L214="PROXY",DAVERAGE('literature entries'!$D:$AI,IF($J214=1,"ACTIVE     CED, FARM GATE (MJ/kg)","CED, processor gate (MJ/kg)"),INDIRECT($K214)),GETPIVOTDATA(IF($J214=1,"Average of ACTIVE     CED, FARM GATE (MJ/kg)","Average of CED, processor gate (MJ/kg)"),'Pivot Table_CED'!$A$3,"SUB TYPE",$B214))</f>
        <v>5.0787000000000004</v>
      </c>
      <c r="O214" s="119" t="e">
        <f ca="1">IF($L214="PROXY",DSTDEV('literature entries'!D:AI,IF($J214=1,"ACTIVE     CED, FARM GATE (MJ/kg)","CED, processor gate (MJ/kg)"),INDIRECT($K214)),GETPIVOTDATA(IF($J214=1,"StdDev of ACTIVE     CED, FARM GATE (MJ/kg)","StdDev of CED, processor gate (MJ/kg)"),'Pivot Table_CED'!$A$3,"SUB TYPE",$B214))</f>
        <v>#DIV/0!</v>
      </c>
      <c r="P214" s="135" t="str">
        <f>IF(ISERROR(GETPIVOTDATA(IF($J214=1,"Count of ACTIVE     GHGE, FARM GATE (kg CO2e/kg)","Count of GHGE, processor gate (kg CO2e/kg)"),'Pivot Table_GHG'!$A$3,"SUB TYPE",$B214)),"PROXY",IF(GETPIVOTDATA(IF($J214=1,"Count of ACTIVE     GHGE, FARM GATE (kg CO2e/kg)","Count of GHGE, processor gate (kg CO2e/kg)"),'Pivot Table_GHG'!$A$3,"SUB TYPE",$B214)=0,"PROXY","DB value"))</f>
        <v>PROXY</v>
      </c>
      <c r="Q214" s="125">
        <f ca="1">IF($P214="PROXY",DCOUNT('literature entries'!$D:$AI,IF($J214=1,"ACTIVE     GHGE, FARM GATE (kg CO2e/kg)","GHGE, processor gate (kg CO2e/kg)"),INDIRECT($K214)),GETPIVOTDATA(IF($J214=1,"ACTIVE     GHGE, FARM GATE (kg CO2e/kg)","Count of GHGE, processor gate (kg CO2e/kg)"),'Pivot Table_GHG'!$A$3,"SUB TYPE",$B214))</f>
        <v>1</v>
      </c>
      <c r="R214" s="190">
        <f ca="1">IF($P214="PROXY",DAVERAGE('literature entries'!$D:$AI,IF($J214=1,"ACTIVE     GHGE, FARM GATE (kg CO2e/kg)","GHGE, processor gate (kg CO2e/kg)"),INDIRECT($K214)),GETPIVOTDATA(IF($J214=1,"Average of ACTIVE     GHGE, FARM GATE (kg CO2e/kg)","Average of GHGE, processor gate (kg CO2e/kg)"),'Pivot Table_GHG'!$A$3,"SUB TYPE",$B214))</f>
        <v>0.48759999999999998</v>
      </c>
      <c r="S214" s="190" t="e">
        <f ca="1">IF($P214="PROXY",DSTDEV('literature entries'!$D:$AI,IF($J214=1,"ACTIVE     GHGE, FARM GATE (kg CO2e/kg)","GHGE, processor gate (kg CO2e/kg)"),INDIRECT($K214)),GETPIVOTDATA(IF($J214=1,"StdDev of ACTIVE     GHGE, FARM GATE (kg CO2e/kg)","StdDev of GHGE, processor gate (kg CO2e/kg)"),'Pivot Table_GHG'!$A$3,"SUB TYPE",$B214))</f>
        <v>#DIV/0!</v>
      </c>
      <c r="T214" s="88"/>
      <c r="U214" s="89"/>
      <c r="W214" s="213" t="s">
        <v>3364</v>
      </c>
      <c r="X214" s="211">
        <f ca="1">IF($W214="DIRECT",M214,DCOUNT('literature entries'!$D:$AI,IF($J214=1,"ACTIVE     CED, FARM GATE (MJ/kg)","CED, processor gate (MJ/kg)"),INDIRECT($W214)))</f>
        <v>14</v>
      </c>
      <c r="Y214" s="211">
        <f ca="1">IF($W214="DIRECT","",DAVERAGE('literature entries'!$D:$AI,IF($J214=1,"ACTIVE     CED, FARM GATE (MJ/kg)","CED, processor gate (MJ/kg)"),INDIRECT($W214)))</f>
        <v>8.8453455837076262</v>
      </c>
      <c r="Z214" s="211">
        <f ca="1">IF($W214="DIRECT",$O214,DSTDEV('literature entries'!$D:$AI,IF($J214=1,"ACTIVE     CED, FARM GATE (MJ/kg)","CED, processor gate (MJ/kg)"),INDIRECT($W214)))</f>
        <v>17.468328408482019</v>
      </c>
      <c r="AA214" s="211">
        <f t="shared" ca="1" si="30"/>
        <v>10.029726781005108</v>
      </c>
      <c r="AB214" s="219" t="s">
        <v>3364</v>
      </c>
      <c r="AC214" s="212">
        <f ca="1">IF($AB214="DIRECT",Q214,DCOUNT('literature entries'!$D:$AI,IF($J214=1,"ACTIVE     GHGE, FARM GATE (kg CO2e/kg)","GHGE, processor gate (kg CO2e/kg)"),INDIRECT($AB214)))</f>
        <v>13</v>
      </c>
      <c r="AD214" s="212">
        <f ca="1">IF($AB214="DIRECT","",DAVERAGE('literature entries'!$D:$AI,IF($J214=1,"ACTIVE     GHGE, FARM GATE (kg CO2e/kg)","GHGE, processor gate (kg CO2e/kg)"),INDIRECT($AB214)))</f>
        <v>1.0611859137782504</v>
      </c>
      <c r="AE214" s="212">
        <f ca="1">IF($AB214="DIRECT",$S214,DSTDEV('literature entries'!$D:$AI,IF($J214=1,"ACTIVE     GHGE, FARM GATE (kg CO2e/kg)","GHGE, processor gate (kg CO2e/kg)"),INDIRECT($AB214)))</f>
        <v>1.8055997061726943</v>
      </c>
      <c r="AF214" s="212">
        <f t="shared" ca="1" si="31"/>
        <v>0.8296476661617086</v>
      </c>
    </row>
    <row r="215" spans="1:32" s="19" customFormat="1" ht="17" thickBot="1" x14ac:dyDescent="0.25">
      <c r="A215" s="114">
        <v>1500381000</v>
      </c>
      <c r="B215" s="115" t="s">
        <v>2320</v>
      </c>
      <c r="C215" s="115" t="s">
        <v>1754</v>
      </c>
      <c r="D215" s="115"/>
      <c r="E215" s="115">
        <v>259</v>
      </c>
      <c r="F215" s="111">
        <f t="shared" ca="1" si="28"/>
        <v>2.3743276000000004</v>
      </c>
      <c r="G215" s="112">
        <f t="shared" ca="1" si="29"/>
        <v>0.35789944666666668</v>
      </c>
      <c r="H215" s="116">
        <v>1</v>
      </c>
      <c r="I215" s="117" t="s">
        <v>594</v>
      </c>
      <c r="J215" s="79">
        <v>2</v>
      </c>
      <c r="K215" s="78" t="s">
        <v>3283</v>
      </c>
      <c r="L215" s="135" t="str">
        <f>IF(ISERROR(GETPIVOTDATA(IF($J215=1,"Count of ACTIVE     CED, FARM GATE (MJ/kg)","Count of CED, processor gate (MJ/kg)"),'Pivot Table_CED'!$A$3,"SUB TYPE",$B215)),"PROXY",IF(GETPIVOTDATA(IF($J215=1,"Count of ACTIVE     CED, FARM GATE (MJ/kg)","Count of CED, processor gate (MJ/kg)"),'Pivot Table_CED'!$A$3,"SUB TYPE",$B215)=0,"PROXY","DB value"))</f>
        <v>PROXY</v>
      </c>
      <c r="M215" s="118">
        <f ca="1">IF($L215="PROXY",DCOUNT('literature entries'!$D:$AI,IF($J215=1,"ACTIVE     CED, FARM GATE (MJ/kg)","CED, processor gate (MJ/kg)"),INDIRECT($K215)),GETPIVOTDATA(IF($J215=1,"Count of ACTIVE     CED, FARM GATE (MJ/kg)","Count of CED, processor gate (MJ/kg)"),'Pivot Table_CED'!$A$3,"SUB TYPE",$B215))</f>
        <v>3</v>
      </c>
      <c r="N215" s="119">
        <f ca="1">IF($L215="PROXY",DAVERAGE('literature entries'!$D:$AI,IF($J215=1,"ACTIVE     CED, FARM GATE (MJ/kg)","CED, processor gate (MJ/kg)"),INDIRECT($K215)),GETPIVOTDATA(IF($J215=1,"Average of ACTIVE     CED, FARM GATE (MJ/kg)","Average of CED, processor gate (MJ/kg)"),'Pivot Table_CED'!$A$3,"SUB TYPE",$B215))</f>
        <v>2.3743276000000004</v>
      </c>
      <c r="O215" s="119">
        <f ca="1">IF($L215="PROXY",DSTDEV('literature entries'!D:AI,IF($J215=1,"ACTIVE     CED, FARM GATE (MJ/kg)","CED, processor gate (MJ/kg)"),INDIRECT($K215)),GETPIVOTDATA(IF($J215=1,"StdDev of ACTIVE     CED, FARM GATE (MJ/kg)","StdDev of CED, processor gate (MJ/kg)"),'Pivot Table_CED'!$A$3,"SUB TYPE",$B215))</f>
        <v>0.14835091570708298</v>
      </c>
      <c r="P215" s="135" t="str">
        <f>IF(ISERROR(GETPIVOTDATA(IF($J215=1,"Count of ACTIVE     GHGE, FARM GATE (kg CO2e/kg)","Count of GHGE, processor gate (kg CO2e/kg)"),'Pivot Table_GHG'!$A$3,"SUB TYPE",$B215)),"PROXY",IF(GETPIVOTDATA(IF($J215=1,"Count of ACTIVE     GHGE, FARM GATE (kg CO2e/kg)","Count of GHGE, processor gate (kg CO2e/kg)"),'Pivot Table_GHG'!$A$3,"SUB TYPE",$B215)=0,"PROXY","DB value"))</f>
        <v>PROXY</v>
      </c>
      <c r="Q215" s="125">
        <f ca="1">IF($P215="PROXY",DCOUNT('literature entries'!$D:$AI,IF($J215=1,"ACTIVE     GHGE, FARM GATE (kg CO2e/kg)","GHGE, processor gate (kg CO2e/kg)"),INDIRECT($K215)),GETPIVOTDATA(IF($J215=1,"ACTIVE     GHGE, FARM GATE (kg CO2e/kg)","Count of GHGE, processor gate (kg CO2e/kg)"),'Pivot Table_GHG'!$A$3,"SUB TYPE",$B215))</f>
        <v>3</v>
      </c>
      <c r="R215" s="190">
        <f ca="1">IF($P215="PROXY",DAVERAGE('literature entries'!$D:$AI,IF($J215=1,"ACTIVE     GHGE, FARM GATE (kg CO2e/kg)","GHGE, processor gate (kg CO2e/kg)"),INDIRECT($K215)),GETPIVOTDATA(IF($J215=1,"Average of ACTIVE     GHGE, FARM GATE (kg CO2e/kg)","Average of GHGE, processor gate (kg CO2e/kg)"),'Pivot Table_GHG'!$A$3,"SUB TYPE",$B215))</f>
        <v>0.35789944666666668</v>
      </c>
      <c r="S215" s="190">
        <f ca="1">IF($P215="PROXY",DSTDEV('literature entries'!$D:$AI,IF($J215=1,"ACTIVE     GHGE, FARM GATE (kg CO2e/kg)","GHGE, processor gate (kg CO2e/kg)"),INDIRECT($K215)),GETPIVOTDATA(IF($J215=1,"StdDev of ACTIVE     GHGE, FARM GATE (kg CO2e/kg)","StdDev of GHGE, processor gate (kg CO2e/kg)"),'Pivot Table_GHG'!$A$3,"SUB TYPE",$B215))</f>
        <v>1.0699711970937975E-2</v>
      </c>
      <c r="T215" s="88"/>
      <c r="U215" s="89"/>
      <c r="W215" s="213" t="s">
        <v>3358</v>
      </c>
      <c r="X215" s="211">
        <f ca="1">IF($W215="DIRECT",M215,DCOUNT('literature entries'!$D:$AI,IF($J215=1,"ACTIVE     CED, FARM GATE (MJ/kg)","CED, processor gate (MJ/kg)"),INDIRECT($W215)))</f>
        <v>9</v>
      </c>
      <c r="Y215" s="211">
        <f ca="1">IF($W215="DIRECT","",DAVERAGE('literature entries'!$D:$AI,IF($J215=1,"ACTIVE     CED, FARM GATE (MJ/kg)","CED, processor gate (MJ/kg)"),INDIRECT($W215)))</f>
        <v>3.7933851999999999</v>
      </c>
      <c r="Z215" s="211">
        <f ca="1">IF($W215="DIRECT",$O215,DSTDEV('literature entries'!$D:$AI,IF($J215=1,"ACTIVE     CED, FARM GATE (MJ/kg)","CED, processor gate (MJ/kg)"),INDIRECT($W215)))</f>
        <v>1.2312612173276687</v>
      </c>
      <c r="AA215" s="211">
        <f t="shared" ca="1" si="30"/>
        <v>0.7706619119805399</v>
      </c>
      <c r="AB215" s="219" t="s">
        <v>3358</v>
      </c>
      <c r="AC215" s="212">
        <f ca="1">IF($AB215="DIRECT",Q215,DCOUNT('literature entries'!$D:$AI,IF($J215=1,"ACTIVE     GHGE, FARM GATE (kg CO2e/kg)","GHGE, processor gate (kg CO2e/kg)"),INDIRECT($AB215)))</f>
        <v>9</v>
      </c>
      <c r="AD215" s="212">
        <f ca="1">IF($AB215="DIRECT","",DAVERAGE('literature entries'!$D:$AI,IF($J215=1,"ACTIVE     GHGE, FARM GATE (kg CO2e/kg)","GHGE, processor gate (kg CO2e/kg)"),INDIRECT($AB215)))</f>
        <v>0.43042331</v>
      </c>
      <c r="AE215" s="212">
        <f ca="1">IF($AB215="DIRECT",$S215,DSTDEV('literature entries'!$D:$AI,IF($J215=1,"ACTIVE     GHGE, FARM GATE (kg CO2e/kg)","GHGE, processor gate (kg CO2e/kg)"),INDIRECT($AB215)))</f>
        <v>7.2682317360146784E-2</v>
      </c>
      <c r="AF215" s="212">
        <f t="shared" ca="1" si="31"/>
        <v>6.04357630297662E-2</v>
      </c>
    </row>
    <row r="216" spans="1:32" s="19" customFormat="1" ht="17" thickBot="1" x14ac:dyDescent="0.25">
      <c r="A216" s="114">
        <v>1500401000</v>
      </c>
      <c r="B216" s="115" t="s">
        <v>2351</v>
      </c>
      <c r="C216" s="115" t="s">
        <v>2084</v>
      </c>
      <c r="D216" s="115" t="s">
        <v>2352</v>
      </c>
      <c r="E216" s="115">
        <v>16047</v>
      </c>
      <c r="F216" s="111">
        <f t="shared" ca="1" si="28"/>
        <v>2.2353750000000003</v>
      </c>
      <c r="G216" s="112">
        <f t="shared" ca="1" si="29"/>
        <v>0.3467578947368421</v>
      </c>
      <c r="H216" s="116">
        <v>1</v>
      </c>
      <c r="I216" s="117" t="s">
        <v>2724</v>
      </c>
      <c r="J216" s="79">
        <v>1</v>
      </c>
      <c r="K216" s="78"/>
      <c r="L216" s="135" t="str">
        <f>IF(ISERROR(GETPIVOTDATA(IF($J216=1,"Count of ACTIVE     CED, FARM GATE (MJ/kg)","Count of CED, processor gate (MJ/kg)"),'Pivot Table_CED'!$A$3,"SUB TYPE",$B216)),"PROXY",IF(GETPIVOTDATA(IF($J216=1,"Count of ACTIVE     CED, FARM GATE (MJ/kg)","Count of CED, processor gate (MJ/kg)"),'Pivot Table_CED'!$A$3,"SUB TYPE",$B216)=0,"PROXY","DB value"))</f>
        <v>DB value</v>
      </c>
      <c r="M216" s="118">
        <f ca="1">IF($L216="PROXY",DCOUNT('literature entries'!$D:$AI,IF($J216=1,"ACTIVE     CED, FARM GATE (MJ/kg)","CED, processor gate (MJ/kg)"),INDIRECT($K216)),GETPIVOTDATA(IF($J216=1,"Count of ACTIVE     CED, FARM GATE (MJ/kg)","Count of CED, processor gate (MJ/kg)"),'Pivot Table_CED'!$A$3,"SUB TYPE",$B216))</f>
        <v>8</v>
      </c>
      <c r="N216" s="119">
        <f ca="1">IF($L216="PROXY",DAVERAGE('literature entries'!$D:$AI,IF($J216=1,"ACTIVE     CED, FARM GATE (MJ/kg)","CED, processor gate (MJ/kg)"),INDIRECT($K216)),GETPIVOTDATA(IF($J216=1,"Average of ACTIVE     CED, FARM GATE (MJ/kg)","Average of CED, processor gate (MJ/kg)"),'Pivot Table_CED'!$A$3,"SUB TYPE",$B216))</f>
        <v>2.2353750000000003</v>
      </c>
      <c r="O216" s="119">
        <f ca="1">IF($L216="PROXY",DSTDEV('literature entries'!D:AI,IF($J216=1,"ACTIVE     CED, FARM GATE (MJ/kg)","CED, processor gate (MJ/kg)"),INDIRECT($K216)),GETPIVOTDATA(IF($J216=1,"StdDev of ACTIVE     CED, FARM GATE (MJ/kg)","StdDev of CED, processor gate (MJ/kg)"),'Pivot Table_CED'!$A$3,"SUB TYPE",$B216))</f>
        <v>1.0285647333611454</v>
      </c>
      <c r="P216" s="135" t="str">
        <f>IF(ISERROR(GETPIVOTDATA(IF($J216=1,"Count of ACTIVE     GHGE, FARM GATE (kg CO2e/kg)","Count of GHGE, processor gate (kg CO2e/kg)"),'Pivot Table_GHG'!$A$3,"SUB TYPE",$B216)),"PROXY",IF(GETPIVOTDATA(IF($J216=1,"Count of ACTIVE     GHGE, FARM GATE (kg CO2e/kg)","Count of GHGE, processor gate (kg CO2e/kg)"),'Pivot Table_GHG'!$A$3,"SUB TYPE",$B216)=0,"PROXY","DB value"))</f>
        <v>DB value</v>
      </c>
      <c r="Q216" s="125">
        <f ca="1">IF($P216="PROXY",DCOUNT('literature entries'!$D:$AI,IF($J216=1,"ACTIVE     GHGE, FARM GATE (kg CO2e/kg)","GHGE, processor gate (kg CO2e/kg)"),INDIRECT($K216)),GETPIVOTDATA(IF($J216=1,"ACTIVE     GHGE, FARM GATE (kg CO2e/kg)","Count of GHGE, processor gate (kg CO2e/kg)"),'Pivot Table_GHG'!$A$3,"SUB TYPE",$B216))</f>
        <v>19</v>
      </c>
      <c r="R216" s="190">
        <f ca="1">IF($P216="PROXY",DAVERAGE('literature entries'!$D:$AI,IF($J216=1,"ACTIVE     GHGE, FARM GATE (kg CO2e/kg)","GHGE, processor gate (kg CO2e/kg)"),INDIRECT($K216)),GETPIVOTDATA(IF($J216=1,"Average of ACTIVE     GHGE, FARM GATE (kg CO2e/kg)","Average of GHGE, processor gate (kg CO2e/kg)"),'Pivot Table_GHG'!$A$3,"SUB TYPE",$B216))</f>
        <v>0.3467578947368421</v>
      </c>
      <c r="S216" s="190">
        <f ca="1">IF($P216="PROXY",DSTDEV('literature entries'!$D:$AI,IF($J216=1,"ACTIVE     GHGE, FARM GATE (kg CO2e/kg)","GHGE, processor gate (kg CO2e/kg)"),INDIRECT($K216)),GETPIVOTDATA(IF($J216=1,"StdDev of ACTIVE     GHGE, FARM GATE (kg CO2e/kg)","StdDev of GHGE, processor gate (kg CO2e/kg)"),'Pivot Table_GHG'!$A$3,"SUB TYPE",$B216))</f>
        <v>0.1880892882406576</v>
      </c>
      <c r="T216" s="88"/>
      <c r="U216" s="89"/>
      <c r="W216" s="213" t="str">
        <f ca="1">IF(L216="PROXY",IF(M216&gt;=5,K216,"need group"),IF(M216&gt;=5,"DIRECT","need group"))</f>
        <v>DIRECT</v>
      </c>
      <c r="X216" s="211">
        <f ca="1">IF($W216="DIRECT",M216,DCOUNT('literature entries'!$D:$AI,IF($J216=1,"ACTIVE     CED, FARM GATE (MJ/kg)","CED, processor gate (MJ/kg)"),INDIRECT($W216)))</f>
        <v>8</v>
      </c>
      <c r="Y216" s="211" t="str">
        <f ca="1">IF($W216="DIRECT","",DAVERAGE('literature entries'!$D:$AI,IF($J216=1,"ACTIVE     CED, FARM GATE (MJ/kg)","CED, processor gate (MJ/kg)"),INDIRECT($W216)))</f>
        <v/>
      </c>
      <c r="Z216" s="211">
        <f ca="1">IF($W216="DIRECT",$O216,DSTDEV('literature entries'!$D:$AI,IF($J216=1,"ACTIVE     CED, FARM GATE (MJ/kg)","CED, processor gate (MJ/kg)"),INDIRECT($W216)))</f>
        <v>1.0285647333611454</v>
      </c>
      <c r="AA216" s="211">
        <f t="shared" ca="1" si="30"/>
        <v>1.0285647333611454</v>
      </c>
      <c r="AB216" s="219" t="str">
        <f ca="1">IF(P216="PROXY",IF(Q216&gt;=5,K216,"need group"),IF(Q216&gt;=5,"DIRECT","need group"))</f>
        <v>DIRECT</v>
      </c>
      <c r="AC216" s="212">
        <f ca="1">IF($AB216="DIRECT",Q216,DCOUNT('literature entries'!$D:$AI,IF($J216=1,"ACTIVE     GHGE, FARM GATE (kg CO2e/kg)","GHGE, processor gate (kg CO2e/kg)"),INDIRECT($AB216)))</f>
        <v>19</v>
      </c>
      <c r="AD216" s="212" t="str">
        <f ca="1">IF($AB216="DIRECT","",DAVERAGE('literature entries'!$D:$AI,IF($J216=1,"ACTIVE     GHGE, FARM GATE (kg CO2e/kg)","GHGE, processor gate (kg CO2e/kg)"),INDIRECT($AB216)))</f>
        <v/>
      </c>
      <c r="AE216" s="212">
        <f ca="1">IF($AB216="DIRECT",$S216,DSTDEV('literature entries'!$D:$AI,IF($J216=1,"ACTIVE     GHGE, FARM GATE (kg CO2e/kg)","GHGE, processor gate (kg CO2e/kg)"),INDIRECT($AB216)))</f>
        <v>0.1880892882406576</v>
      </c>
      <c r="AF216" s="212">
        <f t="shared" ca="1" si="31"/>
        <v>0.1880892882406576</v>
      </c>
    </row>
    <row r="217" spans="1:32" s="19" customFormat="1" ht="17" thickBot="1" x14ac:dyDescent="0.25">
      <c r="A217" s="114">
        <v>1500402000</v>
      </c>
      <c r="B217" s="115" t="s">
        <v>2348</v>
      </c>
      <c r="C217" s="115" t="s">
        <v>1754</v>
      </c>
      <c r="D217" s="115"/>
      <c r="E217" s="115">
        <v>49993</v>
      </c>
      <c r="F217" s="111">
        <f t="shared" ca="1" si="28"/>
        <v>2.3743276000000004</v>
      </c>
      <c r="G217" s="112">
        <f t="shared" ca="1" si="29"/>
        <v>0.35789944666666668</v>
      </c>
      <c r="H217" s="116">
        <v>1</v>
      </c>
      <c r="I217" s="117" t="s">
        <v>594</v>
      </c>
      <c r="J217" s="79">
        <v>2</v>
      </c>
      <c r="K217" s="78"/>
      <c r="L217" s="135" t="str">
        <f>IF(ISERROR(GETPIVOTDATA(IF($J217=1,"Count of ACTIVE     CED, FARM GATE (MJ/kg)","Count of CED, processor gate (MJ/kg)"),'Pivot Table_CED'!$A$3,"SUB TYPE",$B217)),"PROXY",IF(GETPIVOTDATA(IF($J217=1,"Count of ACTIVE     CED, FARM GATE (MJ/kg)","Count of CED, processor gate (MJ/kg)"),'Pivot Table_CED'!$A$3,"SUB TYPE",$B217)=0,"PROXY","DB value"))</f>
        <v>DB value</v>
      </c>
      <c r="M217" s="118">
        <f ca="1">IF($L217="PROXY",DCOUNT('literature entries'!$D:$AI,IF($J217=1,"ACTIVE     CED, FARM GATE (MJ/kg)","CED, processor gate (MJ/kg)"),INDIRECT($K217)),GETPIVOTDATA(IF($J217=1,"Count of ACTIVE     CED, FARM GATE (MJ/kg)","Count of CED, processor gate (MJ/kg)"),'Pivot Table_CED'!$A$3,"SUB TYPE",$B217))</f>
        <v>3</v>
      </c>
      <c r="N217" s="119">
        <f ca="1">IF($L217="PROXY",DAVERAGE('literature entries'!$D:$AI,IF($J217=1,"ACTIVE     CED, FARM GATE (MJ/kg)","CED, processor gate (MJ/kg)"),INDIRECT($K217)),GETPIVOTDATA(IF($J217=1,"Average of ACTIVE     CED, FARM GATE (MJ/kg)","Average of CED, processor gate (MJ/kg)"),'Pivot Table_CED'!$A$3,"SUB TYPE",$B217))</f>
        <v>2.3743276000000004</v>
      </c>
      <c r="O217" s="119">
        <f ca="1">IF($L217="PROXY",DSTDEV('literature entries'!D:AI,IF($J217=1,"ACTIVE     CED, FARM GATE (MJ/kg)","CED, processor gate (MJ/kg)"),INDIRECT($K217)),GETPIVOTDATA(IF($J217=1,"StdDev of ACTIVE     CED, FARM GATE (MJ/kg)","StdDev of CED, processor gate (MJ/kg)"),'Pivot Table_CED'!$A$3,"SUB TYPE",$B217))</f>
        <v>0.14835091570707604</v>
      </c>
      <c r="P217" s="135" t="str">
        <f>IF(ISERROR(GETPIVOTDATA(IF($J217=1,"Count of ACTIVE     GHGE, FARM GATE (kg CO2e/kg)","Count of GHGE, processor gate (kg CO2e/kg)"),'Pivot Table_GHG'!$A$3,"SUB TYPE",$B217)),"PROXY",IF(GETPIVOTDATA(IF($J217=1,"Count of ACTIVE     GHGE, FARM GATE (kg CO2e/kg)","Count of GHGE, processor gate (kg CO2e/kg)"),'Pivot Table_GHG'!$A$3,"SUB TYPE",$B217)=0,"PROXY","DB value"))</f>
        <v>DB value</v>
      </c>
      <c r="Q217" s="125">
        <f ca="1">IF($P217="PROXY",DCOUNT('literature entries'!$D:$AI,IF($J217=1,"ACTIVE     GHGE, FARM GATE (kg CO2e/kg)","GHGE, processor gate (kg CO2e/kg)"),INDIRECT($K217)),GETPIVOTDATA(IF($J217=1,"ACTIVE     GHGE, FARM GATE (kg CO2e/kg)","Count of GHGE, processor gate (kg CO2e/kg)"),'Pivot Table_GHG'!$A$3,"SUB TYPE",$B217))</f>
        <v>3</v>
      </c>
      <c r="R217" s="190">
        <f ca="1">IF($P217="PROXY",DAVERAGE('literature entries'!$D:$AI,IF($J217=1,"ACTIVE     GHGE, FARM GATE (kg CO2e/kg)","GHGE, processor gate (kg CO2e/kg)"),INDIRECT($K217)),GETPIVOTDATA(IF($J217=1,"Average of ACTIVE     GHGE, FARM GATE (kg CO2e/kg)","Average of GHGE, processor gate (kg CO2e/kg)"),'Pivot Table_GHG'!$A$3,"SUB TYPE",$B217))</f>
        <v>0.35789944666666668</v>
      </c>
      <c r="S217" s="190">
        <f ca="1">IF($P217="PROXY",DSTDEV('literature entries'!$D:$AI,IF($J217=1,"ACTIVE     GHGE, FARM GATE (kg CO2e/kg)","GHGE, processor gate (kg CO2e/kg)"),INDIRECT($K217)),GETPIVOTDATA(IF($J217=1,"StdDev of ACTIVE     GHGE, FARM GATE (kg CO2e/kg)","StdDev of GHGE, processor gate (kg CO2e/kg)"),'Pivot Table_GHG'!$A$3,"SUB TYPE",$B217))</f>
        <v>1.0699711970936575E-2</v>
      </c>
      <c r="T217" s="88"/>
      <c r="U217" s="89"/>
      <c r="W217" s="213" t="s">
        <v>3358</v>
      </c>
      <c r="X217" s="211">
        <f ca="1">IF($W217="DIRECT",M217,DCOUNT('literature entries'!$D:$AI,IF($J217=1,"ACTIVE     CED, FARM GATE (MJ/kg)","CED, processor gate (MJ/kg)"),INDIRECT($W217)))</f>
        <v>9</v>
      </c>
      <c r="Y217" s="211">
        <f ca="1">IF($W217="DIRECT","",DAVERAGE('literature entries'!$D:$AI,IF($J217=1,"ACTIVE     CED, FARM GATE (MJ/kg)","CED, processor gate (MJ/kg)"),INDIRECT($W217)))</f>
        <v>3.7933851999999999</v>
      </c>
      <c r="Z217" s="211">
        <f ca="1">IF($W217="DIRECT",$O217,DSTDEV('literature entries'!$D:$AI,IF($J217=1,"ACTIVE     CED, FARM GATE (MJ/kg)","CED, processor gate (MJ/kg)"),INDIRECT($W217)))</f>
        <v>1.2312612173276687</v>
      </c>
      <c r="AA217" s="211">
        <f t="shared" ca="1" si="30"/>
        <v>0.7706619119805399</v>
      </c>
      <c r="AB217" s="219" t="s">
        <v>3358</v>
      </c>
      <c r="AC217" s="212">
        <f ca="1">IF($AB217="DIRECT",Q217,DCOUNT('literature entries'!$D:$AI,IF($J217=1,"ACTIVE     GHGE, FARM GATE (kg CO2e/kg)","GHGE, processor gate (kg CO2e/kg)"),INDIRECT($AB217)))</f>
        <v>9</v>
      </c>
      <c r="AD217" s="212">
        <f ca="1">IF($AB217="DIRECT","",DAVERAGE('literature entries'!$D:$AI,IF($J217=1,"ACTIVE     GHGE, FARM GATE (kg CO2e/kg)","GHGE, processor gate (kg CO2e/kg)"),INDIRECT($AB217)))</f>
        <v>0.43042331</v>
      </c>
      <c r="AE217" s="212">
        <f ca="1">IF($AB217="DIRECT",$S217,DSTDEV('literature entries'!$D:$AI,IF($J217=1,"ACTIVE     GHGE, FARM GATE (kg CO2e/kg)","GHGE, processor gate (kg CO2e/kg)"),INDIRECT($AB217)))</f>
        <v>7.2682317360146784E-2</v>
      </c>
      <c r="AF217" s="212">
        <f t="shared" ca="1" si="31"/>
        <v>6.04357630297662E-2</v>
      </c>
    </row>
    <row r="218" spans="1:32" s="19" customFormat="1" ht="17" thickBot="1" x14ac:dyDescent="0.25">
      <c r="A218" s="114">
        <v>1500403000</v>
      </c>
      <c r="B218" s="115" t="s">
        <v>2349</v>
      </c>
      <c r="C218" s="115" t="s">
        <v>2350</v>
      </c>
      <c r="D218" s="115"/>
      <c r="E218" s="115">
        <v>2448</v>
      </c>
      <c r="F218" s="111">
        <f t="shared" ca="1" si="28"/>
        <v>2.3743276000000004</v>
      </c>
      <c r="G218" s="112">
        <f t="shared" ca="1" si="29"/>
        <v>0.35789944666666668</v>
      </c>
      <c r="H218" s="116">
        <v>1</v>
      </c>
      <c r="I218" s="117" t="s">
        <v>2724</v>
      </c>
      <c r="J218" s="79">
        <v>2</v>
      </c>
      <c r="K218" s="78" t="s">
        <v>3283</v>
      </c>
      <c r="L218" s="135" t="str">
        <f>IF(ISERROR(GETPIVOTDATA(IF($J218=1,"Count of ACTIVE     CED, FARM GATE (MJ/kg)","Count of CED, processor gate (MJ/kg)"),'Pivot Table_CED'!$A$3,"SUB TYPE",$B218)),"PROXY",IF(GETPIVOTDATA(IF($J218=1,"Count of ACTIVE     CED, FARM GATE (MJ/kg)","Count of CED, processor gate (MJ/kg)"),'Pivot Table_CED'!$A$3,"SUB TYPE",$B218)=0,"PROXY","DB value"))</f>
        <v>PROXY</v>
      </c>
      <c r="M218" s="118">
        <f ca="1">IF($L218="PROXY",DCOUNT('literature entries'!$D:$AI,IF($J218=1,"ACTIVE     CED, FARM GATE (MJ/kg)","CED, processor gate (MJ/kg)"),INDIRECT($K218)),GETPIVOTDATA(IF($J218=1,"Count of ACTIVE     CED, FARM GATE (MJ/kg)","Count of CED, processor gate (MJ/kg)"),'Pivot Table_CED'!$A$3,"SUB TYPE",$B218))</f>
        <v>3</v>
      </c>
      <c r="N218" s="119">
        <f ca="1">IF($L218="PROXY",DAVERAGE('literature entries'!$D:$AI,IF($J218=1,"ACTIVE     CED, FARM GATE (MJ/kg)","CED, processor gate (MJ/kg)"),INDIRECT($K218)),GETPIVOTDATA(IF($J218=1,"Average of ACTIVE     CED, FARM GATE (MJ/kg)","Average of CED, processor gate (MJ/kg)"),'Pivot Table_CED'!$A$3,"SUB TYPE",$B218))</f>
        <v>2.3743276000000004</v>
      </c>
      <c r="O218" s="119">
        <f ca="1">IF($L218="PROXY",DSTDEV('literature entries'!D:AI,IF($J218=1,"ACTIVE     CED, FARM GATE (MJ/kg)","CED, processor gate (MJ/kg)"),INDIRECT($K218)),GETPIVOTDATA(IF($J218=1,"StdDev of ACTIVE     CED, FARM GATE (MJ/kg)","StdDev of CED, processor gate (MJ/kg)"),'Pivot Table_CED'!$A$3,"SUB TYPE",$B218))</f>
        <v>0.14835091570708298</v>
      </c>
      <c r="P218" s="135" t="str">
        <f>IF(ISERROR(GETPIVOTDATA(IF($J218=1,"Count of ACTIVE     GHGE, FARM GATE (kg CO2e/kg)","Count of GHGE, processor gate (kg CO2e/kg)"),'Pivot Table_GHG'!$A$3,"SUB TYPE",$B218)),"PROXY",IF(GETPIVOTDATA(IF($J218=1,"Count of ACTIVE     GHGE, FARM GATE (kg CO2e/kg)","Count of GHGE, processor gate (kg CO2e/kg)"),'Pivot Table_GHG'!$A$3,"SUB TYPE",$B218)=0,"PROXY","DB value"))</f>
        <v>PROXY</v>
      </c>
      <c r="Q218" s="125">
        <f ca="1">IF($P218="PROXY",DCOUNT('literature entries'!$D:$AI,IF($J218=1,"ACTIVE     GHGE, FARM GATE (kg CO2e/kg)","GHGE, processor gate (kg CO2e/kg)"),INDIRECT($K218)),GETPIVOTDATA(IF($J218=1,"ACTIVE     GHGE, FARM GATE (kg CO2e/kg)","Count of GHGE, processor gate (kg CO2e/kg)"),'Pivot Table_GHG'!$A$3,"SUB TYPE",$B218))</f>
        <v>3</v>
      </c>
      <c r="R218" s="190">
        <f ca="1">IF($P218="PROXY",DAVERAGE('literature entries'!$D:$AI,IF($J218=1,"ACTIVE     GHGE, FARM GATE (kg CO2e/kg)","GHGE, processor gate (kg CO2e/kg)"),INDIRECT($K218)),GETPIVOTDATA(IF($J218=1,"Average of ACTIVE     GHGE, FARM GATE (kg CO2e/kg)","Average of GHGE, processor gate (kg CO2e/kg)"),'Pivot Table_GHG'!$A$3,"SUB TYPE",$B218))</f>
        <v>0.35789944666666668</v>
      </c>
      <c r="S218" s="190">
        <f ca="1">IF($P218="PROXY",DSTDEV('literature entries'!$D:$AI,IF($J218=1,"ACTIVE     GHGE, FARM GATE (kg CO2e/kg)","GHGE, processor gate (kg CO2e/kg)"),INDIRECT($K218)),GETPIVOTDATA(IF($J218=1,"StdDev of ACTIVE     GHGE, FARM GATE (kg CO2e/kg)","StdDev of GHGE, processor gate (kg CO2e/kg)"),'Pivot Table_GHG'!$A$3,"SUB TYPE",$B218))</f>
        <v>1.0699711970937975E-2</v>
      </c>
      <c r="T218" s="88"/>
      <c r="U218" s="89"/>
      <c r="W218" s="213" t="s">
        <v>3358</v>
      </c>
      <c r="X218" s="211">
        <f ca="1">IF($W218="DIRECT",M218,DCOUNT('literature entries'!$D:$AI,IF($J218=1,"ACTIVE     CED, FARM GATE (MJ/kg)","CED, processor gate (MJ/kg)"),INDIRECT($W218)))</f>
        <v>9</v>
      </c>
      <c r="Y218" s="211">
        <f ca="1">IF($W218="DIRECT","",DAVERAGE('literature entries'!$D:$AI,IF($J218=1,"ACTIVE     CED, FARM GATE (MJ/kg)","CED, processor gate (MJ/kg)"),INDIRECT($W218)))</f>
        <v>3.7933851999999999</v>
      </c>
      <c r="Z218" s="211">
        <f ca="1">IF($W218="DIRECT",$O218,DSTDEV('literature entries'!$D:$AI,IF($J218=1,"ACTIVE     CED, FARM GATE (MJ/kg)","CED, processor gate (MJ/kg)"),INDIRECT($W218)))</f>
        <v>1.2312612173276687</v>
      </c>
      <c r="AA218" s="211">
        <f t="shared" ca="1" si="30"/>
        <v>0.7706619119805399</v>
      </c>
      <c r="AB218" s="219" t="s">
        <v>3358</v>
      </c>
      <c r="AC218" s="212">
        <f ca="1">IF($AB218="DIRECT",Q218,DCOUNT('literature entries'!$D:$AI,IF($J218=1,"ACTIVE     GHGE, FARM GATE (kg CO2e/kg)","GHGE, processor gate (kg CO2e/kg)"),INDIRECT($AB218)))</f>
        <v>9</v>
      </c>
      <c r="AD218" s="212">
        <f ca="1">IF($AB218="DIRECT","",DAVERAGE('literature entries'!$D:$AI,IF($J218=1,"ACTIVE     GHGE, FARM GATE (kg CO2e/kg)","GHGE, processor gate (kg CO2e/kg)"),INDIRECT($AB218)))</f>
        <v>0.43042331</v>
      </c>
      <c r="AE218" s="212">
        <f ca="1">IF($AB218="DIRECT",$S218,DSTDEV('literature entries'!$D:$AI,IF($J218=1,"ACTIVE     GHGE, FARM GATE (kg CO2e/kg)","GHGE, processor gate (kg CO2e/kg)"),INDIRECT($AB218)))</f>
        <v>7.2682317360146784E-2</v>
      </c>
      <c r="AF218" s="212">
        <f t="shared" ca="1" si="31"/>
        <v>6.04357630297662E-2</v>
      </c>
    </row>
    <row r="219" spans="1:32" s="19" customFormat="1" ht="17" thickBot="1" x14ac:dyDescent="0.25">
      <c r="A219" s="114">
        <v>1500404000</v>
      </c>
      <c r="B219" s="115" t="s">
        <v>2347</v>
      </c>
      <c r="C219" s="115" t="s">
        <v>1774</v>
      </c>
      <c r="D219" s="115"/>
      <c r="E219" s="115">
        <v>10250</v>
      </c>
      <c r="F219" s="111">
        <f t="shared" ca="1" si="28"/>
        <v>2.3743276000000004</v>
      </c>
      <c r="G219" s="112">
        <f t="shared" ca="1" si="29"/>
        <v>0.35789944666666668</v>
      </c>
      <c r="H219" s="116">
        <v>1</v>
      </c>
      <c r="I219" s="117" t="s">
        <v>2724</v>
      </c>
      <c r="J219" s="79">
        <v>2</v>
      </c>
      <c r="K219" s="78" t="s">
        <v>3283</v>
      </c>
      <c r="L219" s="135" t="str">
        <f>IF(ISERROR(GETPIVOTDATA(IF($J219=1,"Count of ACTIVE     CED, FARM GATE (MJ/kg)","Count of CED, processor gate (MJ/kg)"),'Pivot Table_CED'!$A$3,"SUB TYPE",$B219)),"PROXY",IF(GETPIVOTDATA(IF($J219=1,"Count of ACTIVE     CED, FARM GATE (MJ/kg)","Count of CED, processor gate (MJ/kg)"),'Pivot Table_CED'!$A$3,"SUB TYPE",$B219)=0,"PROXY","DB value"))</f>
        <v>PROXY</v>
      </c>
      <c r="M219" s="118">
        <f ca="1">IF($L219="PROXY",DCOUNT('literature entries'!$D:$AI,IF($J219=1,"ACTIVE     CED, FARM GATE (MJ/kg)","CED, processor gate (MJ/kg)"),INDIRECT($K219)),GETPIVOTDATA(IF($J219=1,"Count of ACTIVE     CED, FARM GATE (MJ/kg)","Count of CED, processor gate (MJ/kg)"),'Pivot Table_CED'!$A$3,"SUB TYPE",$B219))</f>
        <v>3</v>
      </c>
      <c r="N219" s="119">
        <f ca="1">IF($L219="PROXY",DAVERAGE('literature entries'!$D:$AI,IF($J219=1,"ACTIVE     CED, FARM GATE (MJ/kg)","CED, processor gate (MJ/kg)"),INDIRECT($K219)),GETPIVOTDATA(IF($J219=1,"Average of ACTIVE     CED, FARM GATE (MJ/kg)","Average of CED, processor gate (MJ/kg)"),'Pivot Table_CED'!$A$3,"SUB TYPE",$B219))</f>
        <v>2.3743276000000004</v>
      </c>
      <c r="O219" s="119">
        <f ca="1">IF($L219="PROXY",DSTDEV('literature entries'!D:AI,IF($J219=1,"ACTIVE     CED, FARM GATE (MJ/kg)","CED, processor gate (MJ/kg)"),INDIRECT($K219)),GETPIVOTDATA(IF($J219=1,"StdDev of ACTIVE     CED, FARM GATE (MJ/kg)","StdDev of CED, processor gate (MJ/kg)"),'Pivot Table_CED'!$A$3,"SUB TYPE",$B219))</f>
        <v>0.14835091570708298</v>
      </c>
      <c r="P219" s="135" t="str">
        <f>IF(ISERROR(GETPIVOTDATA(IF($J219=1,"Count of ACTIVE     GHGE, FARM GATE (kg CO2e/kg)","Count of GHGE, processor gate (kg CO2e/kg)"),'Pivot Table_GHG'!$A$3,"SUB TYPE",$B219)),"PROXY",IF(GETPIVOTDATA(IF($J219=1,"Count of ACTIVE     GHGE, FARM GATE (kg CO2e/kg)","Count of GHGE, processor gate (kg CO2e/kg)"),'Pivot Table_GHG'!$A$3,"SUB TYPE",$B219)=0,"PROXY","DB value"))</f>
        <v>PROXY</v>
      </c>
      <c r="Q219" s="125">
        <f ca="1">IF($P219="PROXY",DCOUNT('literature entries'!$D:$AI,IF($J219=1,"ACTIVE     GHGE, FARM GATE (kg CO2e/kg)","GHGE, processor gate (kg CO2e/kg)"),INDIRECT($K219)),GETPIVOTDATA(IF($J219=1,"ACTIVE     GHGE, FARM GATE (kg CO2e/kg)","Count of GHGE, processor gate (kg CO2e/kg)"),'Pivot Table_GHG'!$A$3,"SUB TYPE",$B219))</f>
        <v>3</v>
      </c>
      <c r="R219" s="190">
        <f ca="1">IF($P219="PROXY",DAVERAGE('literature entries'!$D:$AI,IF($J219=1,"ACTIVE     GHGE, FARM GATE (kg CO2e/kg)","GHGE, processor gate (kg CO2e/kg)"),INDIRECT($K219)),GETPIVOTDATA(IF($J219=1,"Average of ACTIVE     GHGE, FARM GATE (kg CO2e/kg)","Average of GHGE, processor gate (kg CO2e/kg)"),'Pivot Table_GHG'!$A$3,"SUB TYPE",$B219))</f>
        <v>0.35789944666666668</v>
      </c>
      <c r="S219" s="190">
        <f ca="1">IF($P219="PROXY",DSTDEV('literature entries'!$D:$AI,IF($J219=1,"ACTIVE     GHGE, FARM GATE (kg CO2e/kg)","GHGE, processor gate (kg CO2e/kg)"),INDIRECT($K219)),GETPIVOTDATA(IF($J219=1,"StdDev of ACTIVE     GHGE, FARM GATE (kg CO2e/kg)","StdDev of GHGE, processor gate (kg CO2e/kg)"),'Pivot Table_GHG'!$A$3,"SUB TYPE",$B219))</f>
        <v>1.0699711970937975E-2</v>
      </c>
      <c r="T219" s="88"/>
      <c r="U219" s="89"/>
      <c r="W219" s="213" t="s">
        <v>3358</v>
      </c>
      <c r="X219" s="211">
        <f ca="1">IF($W219="DIRECT",M219,DCOUNT('literature entries'!$D:$AI,IF($J219=1,"ACTIVE     CED, FARM GATE (MJ/kg)","CED, processor gate (MJ/kg)"),INDIRECT($W219)))</f>
        <v>9</v>
      </c>
      <c r="Y219" s="211">
        <f ca="1">IF($W219="DIRECT","",DAVERAGE('literature entries'!$D:$AI,IF($J219=1,"ACTIVE     CED, FARM GATE (MJ/kg)","CED, processor gate (MJ/kg)"),INDIRECT($W219)))</f>
        <v>3.7933851999999999</v>
      </c>
      <c r="Z219" s="211">
        <f ca="1">IF($W219="DIRECT",$O219,DSTDEV('literature entries'!$D:$AI,IF($J219=1,"ACTIVE     CED, FARM GATE (MJ/kg)","CED, processor gate (MJ/kg)"),INDIRECT($W219)))</f>
        <v>1.2312612173276687</v>
      </c>
      <c r="AA219" s="211">
        <f t="shared" ca="1" si="30"/>
        <v>0.7706619119805399</v>
      </c>
      <c r="AB219" s="219" t="s">
        <v>3358</v>
      </c>
      <c r="AC219" s="212">
        <f ca="1">IF($AB219="DIRECT",Q219,DCOUNT('literature entries'!$D:$AI,IF($J219=1,"ACTIVE     GHGE, FARM GATE (kg CO2e/kg)","GHGE, processor gate (kg CO2e/kg)"),INDIRECT($AB219)))</f>
        <v>9</v>
      </c>
      <c r="AD219" s="212">
        <f ca="1">IF($AB219="DIRECT","",DAVERAGE('literature entries'!$D:$AI,IF($J219=1,"ACTIVE     GHGE, FARM GATE (kg CO2e/kg)","GHGE, processor gate (kg CO2e/kg)"),INDIRECT($AB219)))</f>
        <v>0.43042331</v>
      </c>
      <c r="AE219" s="212">
        <f ca="1">IF($AB219="DIRECT",$S219,DSTDEV('literature entries'!$D:$AI,IF($J219=1,"ACTIVE     GHGE, FARM GATE (kg CO2e/kg)","GHGE, processor gate (kg CO2e/kg)"),INDIRECT($AB219)))</f>
        <v>7.2682317360146784E-2</v>
      </c>
      <c r="AF219" s="212">
        <f t="shared" ca="1" si="31"/>
        <v>6.04357630297662E-2</v>
      </c>
    </row>
    <row r="220" spans="1:32" s="19" customFormat="1" ht="17" thickBot="1" x14ac:dyDescent="0.25">
      <c r="A220" s="114">
        <v>1500405000</v>
      </c>
      <c r="B220" s="115" t="s">
        <v>2353</v>
      </c>
      <c r="C220" s="115" t="s">
        <v>2084</v>
      </c>
      <c r="D220" s="115"/>
      <c r="E220" s="115">
        <v>185</v>
      </c>
      <c r="F220" s="111">
        <f t="shared" ca="1" si="28"/>
        <v>6.2229040000000015</v>
      </c>
      <c r="G220" s="112">
        <f t="shared" ca="1" si="29"/>
        <v>1.7710142519944732</v>
      </c>
      <c r="H220" s="116">
        <v>1</v>
      </c>
      <c r="I220" s="117" t="s">
        <v>594</v>
      </c>
      <c r="J220" s="79">
        <v>1</v>
      </c>
      <c r="K220" s="78" t="s">
        <v>3281</v>
      </c>
      <c r="L220" s="135" t="str">
        <f>IF(ISERROR(GETPIVOTDATA(IF($J220=1,"Count of ACTIVE     CED, FARM GATE (MJ/kg)","Count of CED, processor gate (MJ/kg)"),'Pivot Table_CED'!$A$3,"SUB TYPE",$B220)),"PROXY",IF(GETPIVOTDATA(IF($J220=1,"Count of ACTIVE     CED, FARM GATE (MJ/kg)","Count of CED, processor gate (MJ/kg)"),'Pivot Table_CED'!$A$3,"SUB TYPE",$B220)=0,"PROXY","DB value"))</f>
        <v>PROXY</v>
      </c>
      <c r="M220" s="118">
        <f ca="1">IF($L220="PROXY",DCOUNT('literature entries'!$D:$AI,IF($J220=1,"ACTIVE     CED, FARM GATE (MJ/kg)","CED, processor gate (MJ/kg)"),INDIRECT($K220)),GETPIVOTDATA(IF($J220=1,"Count of ACTIVE     CED, FARM GATE (MJ/kg)","Count of CED, processor gate (MJ/kg)"),'Pivot Table_CED'!$A$3,"SUB TYPE",$B220))</f>
        <v>10</v>
      </c>
      <c r="N220" s="119">
        <f ca="1">IF($L220="PROXY",DAVERAGE('literature entries'!$D:$AI,IF($J220=1,"ACTIVE     CED, FARM GATE (MJ/kg)","CED, processor gate (MJ/kg)"),INDIRECT($K220)),GETPIVOTDATA(IF($J220=1,"Average of ACTIVE     CED, FARM GATE (MJ/kg)","Average of CED, processor gate (MJ/kg)"),'Pivot Table_CED'!$A$3,"SUB TYPE",$B220))</f>
        <v>6.2229040000000015</v>
      </c>
      <c r="O220" s="119">
        <f ca="1">IF($L220="PROXY",DSTDEV('literature entries'!D:AI,IF($J220=1,"ACTIVE     CED, FARM GATE (MJ/kg)","CED, processor gate (MJ/kg)"),INDIRECT($K220)),GETPIVOTDATA(IF($J220=1,"StdDev of ACTIVE     CED, FARM GATE (MJ/kg)","StdDev of CED, processor gate (MJ/kg)"),'Pivot Table_CED'!$A$3,"SUB TYPE",$B220))</f>
        <v>2.150052591331967</v>
      </c>
      <c r="P220" s="135" t="str">
        <f>IF(ISERROR(GETPIVOTDATA(IF($J220=1,"Count of ACTIVE     GHGE, FARM GATE (kg CO2e/kg)","Count of GHGE, processor gate (kg CO2e/kg)"),'Pivot Table_GHG'!$A$3,"SUB TYPE",$B220)),"PROXY",IF(GETPIVOTDATA(IF($J220=1,"Count of ACTIVE     GHGE, FARM GATE (kg CO2e/kg)","Count of GHGE, processor gate (kg CO2e/kg)"),'Pivot Table_GHG'!$A$3,"SUB TYPE",$B220)=0,"PROXY","DB value"))</f>
        <v>PROXY</v>
      </c>
      <c r="Q220" s="125">
        <f ca="1">IF($P220="PROXY",DCOUNT('literature entries'!$D:$AI,IF($J220=1,"ACTIVE     GHGE, FARM GATE (kg CO2e/kg)","GHGE, processor gate (kg CO2e/kg)"),INDIRECT($K220)),GETPIVOTDATA(IF($J220=1,"ACTIVE     GHGE, FARM GATE (kg CO2e/kg)","Count of GHGE, processor gate (kg CO2e/kg)"),'Pivot Table_GHG'!$A$3,"SUB TYPE",$B220))</f>
        <v>21</v>
      </c>
      <c r="R220" s="190">
        <f ca="1">IF($P220="PROXY",DAVERAGE('literature entries'!$D:$AI,IF($J220=1,"ACTIVE     GHGE, FARM GATE (kg CO2e/kg)","GHGE, processor gate (kg CO2e/kg)"),INDIRECT($K220)),GETPIVOTDATA(IF($J220=1,"Average of ACTIVE     GHGE, FARM GATE (kg CO2e/kg)","Average of GHGE, processor gate (kg CO2e/kg)"),'Pivot Table_GHG'!$A$3,"SUB TYPE",$B220))</f>
        <v>1.7710142519944732</v>
      </c>
      <c r="S220" s="190">
        <f ca="1">IF($P220="PROXY",DSTDEV('literature entries'!$D:$AI,IF($J220=1,"ACTIVE     GHGE, FARM GATE (kg CO2e/kg)","GHGE, processor gate (kg CO2e/kg)"),INDIRECT($K220)),GETPIVOTDATA(IF($J220=1,"StdDev of ACTIVE     GHGE, FARM GATE (kg CO2e/kg)","StdDev of GHGE, processor gate (kg CO2e/kg)"),'Pivot Table_GHG'!$A$3,"SUB TYPE",$B220))</f>
        <v>1.5854936777487276</v>
      </c>
      <c r="T220" s="88"/>
      <c r="U220" s="89"/>
      <c r="W220" s="213" t="str">
        <f ca="1">IF(L220="PROXY",IF(M220&gt;=5,K220,"need group"),IF(M220&gt;=5,"DIRECT","need group"))</f>
        <v>rice</v>
      </c>
      <c r="X220" s="211">
        <f ca="1">IF($W220="DIRECT",M220,DCOUNT('literature entries'!$D:$AI,IF($J220=1,"ACTIVE     CED, FARM GATE (MJ/kg)","CED, processor gate (MJ/kg)"),INDIRECT($W220)))</f>
        <v>10</v>
      </c>
      <c r="Y220" s="211">
        <f ca="1">IF($W220="DIRECT","",DAVERAGE('literature entries'!$D:$AI,IF($J220=1,"ACTIVE     CED, FARM GATE (MJ/kg)","CED, processor gate (MJ/kg)"),INDIRECT($W220)))</f>
        <v>6.2229040000000015</v>
      </c>
      <c r="Z220" s="211">
        <f ca="1">IF($W220="DIRECT",$O220,DSTDEV('literature entries'!$D:$AI,IF($J220=1,"ACTIVE     CED, FARM GATE (MJ/kg)","CED, processor gate (MJ/kg)"),INDIRECT($W220)))</f>
        <v>2.150052591331967</v>
      </c>
      <c r="AA220" s="211">
        <f t="shared" ca="1" si="30"/>
        <v>2.150052591331967</v>
      </c>
      <c r="AB220" s="219" t="str">
        <f ca="1">IF(P220="PROXY",IF(Q220&gt;=5,K220,"need group"),IF(Q220&gt;=5,"DIRECT","need group"))</f>
        <v>rice</v>
      </c>
      <c r="AC220" s="212">
        <f ca="1">IF($AB220="DIRECT",Q220,DCOUNT('literature entries'!$D:$AI,IF($J220=1,"ACTIVE     GHGE, FARM GATE (kg CO2e/kg)","GHGE, processor gate (kg CO2e/kg)"),INDIRECT($AB220)))</f>
        <v>21</v>
      </c>
      <c r="AD220" s="212">
        <f ca="1">IF($AB220="DIRECT","",DAVERAGE('literature entries'!$D:$AI,IF($J220=1,"ACTIVE     GHGE, FARM GATE (kg CO2e/kg)","GHGE, processor gate (kg CO2e/kg)"),INDIRECT($AB220)))</f>
        <v>1.7710142519944732</v>
      </c>
      <c r="AE220" s="212">
        <f ca="1">IF($AB220="DIRECT",$S220,DSTDEV('literature entries'!$D:$AI,IF($J220=1,"ACTIVE     GHGE, FARM GATE (kg CO2e/kg)","GHGE, processor gate (kg CO2e/kg)"),INDIRECT($AB220)))</f>
        <v>1.5854936777487276</v>
      </c>
      <c r="AF220" s="212">
        <f t="shared" ca="1" si="31"/>
        <v>1.5854936777487276</v>
      </c>
    </row>
    <row r="221" spans="1:32" s="19" customFormat="1" ht="17" thickBot="1" x14ac:dyDescent="0.25">
      <c r="A221" s="114">
        <v>1800002000</v>
      </c>
      <c r="B221" s="115" t="s">
        <v>1725</v>
      </c>
      <c r="C221" s="115" t="s">
        <v>1726</v>
      </c>
      <c r="D221" s="115" t="s">
        <v>1727</v>
      </c>
      <c r="E221" s="115">
        <v>48</v>
      </c>
      <c r="F221" s="111">
        <f t="shared" ca="1" si="28"/>
        <v>8.24</v>
      </c>
      <c r="G221" s="112">
        <f t="shared" ca="1" si="29"/>
        <v>6.25</v>
      </c>
      <c r="H221" s="117">
        <v>1</v>
      </c>
      <c r="I221" s="117" t="s">
        <v>594</v>
      </c>
      <c r="J221" s="79">
        <v>1</v>
      </c>
      <c r="K221" s="78" t="s">
        <v>3280</v>
      </c>
      <c r="L221" s="135" t="str">
        <f>IF(ISERROR(GETPIVOTDATA(IF($J221=1,"Count of ACTIVE     CED, FARM GATE (MJ/kg)","Count of CED, processor gate (MJ/kg)"),'Pivot Table_CED'!$A$3,"SUB TYPE",$B221)),"PROXY",IF(GETPIVOTDATA(IF($J221=1,"Count of ACTIVE     CED, FARM GATE (MJ/kg)","Count of CED, processor gate (MJ/kg)"),'Pivot Table_CED'!$A$3,"SUB TYPE",$B221)=0,"PROXY","DB value"))</f>
        <v>PROXY</v>
      </c>
      <c r="M221" s="118">
        <f ca="1">IF($L221="PROXY",DCOUNT('literature entries'!$D:$AI,IF($J221=1,"ACTIVE     CED, FARM GATE (MJ/kg)","CED, processor gate (MJ/kg)"),INDIRECT($K221)),GETPIVOTDATA(IF($J221=1,"Count of ACTIVE     CED, FARM GATE (MJ/kg)","Count of CED, processor gate (MJ/kg)"),'Pivot Table_CED'!$A$3,"SUB TYPE",$B221))</f>
        <v>1</v>
      </c>
      <c r="N221" s="119">
        <f ca="1">IF($L221="PROXY",DAVERAGE('literature entries'!$D:$AI,IF($J221=1,"ACTIVE     CED, FARM GATE (MJ/kg)","CED, processor gate (MJ/kg)"),INDIRECT($K221)),GETPIVOTDATA(IF($J221=1,"Average of ACTIVE     CED, FARM GATE (MJ/kg)","Average of CED, processor gate (MJ/kg)"),'Pivot Table_CED'!$A$3,"SUB TYPE",$B221))</f>
        <v>8.24</v>
      </c>
      <c r="O221" s="119" t="e">
        <f ca="1">IF($L221="PROXY",DSTDEV('literature entries'!D:AI,IF($J221=1,"ACTIVE     CED, FARM GATE (MJ/kg)","CED, processor gate (MJ/kg)"),INDIRECT($K221)),GETPIVOTDATA(IF($J221=1,"StdDev of ACTIVE     CED, FARM GATE (MJ/kg)","StdDev of CED, processor gate (MJ/kg)"),'Pivot Table_CED'!$A$3,"SUB TYPE",$B221))</f>
        <v>#DIV/0!</v>
      </c>
      <c r="P221" s="135" t="str">
        <f>IF(ISERROR(GETPIVOTDATA(IF($J221=1,"Count of ACTIVE     GHGE, FARM GATE (kg CO2e/kg)","Count of GHGE, processor gate (kg CO2e/kg)"),'Pivot Table_GHG'!$A$3,"SUB TYPE",$B221)),"PROXY",IF(GETPIVOTDATA(IF($J221=1,"Count of ACTIVE     GHGE, FARM GATE (kg CO2e/kg)","Count of GHGE, processor gate (kg CO2e/kg)"),'Pivot Table_GHG'!$A$3,"SUB TYPE",$B221)=0,"PROXY","DB value"))</f>
        <v>PROXY</v>
      </c>
      <c r="Q221" s="125">
        <f ca="1">IF($P221="PROXY",DCOUNT('literature entries'!$D:$AI,IF($J221=1,"ACTIVE     GHGE, FARM GATE (kg CO2e/kg)","GHGE, processor gate (kg CO2e/kg)"),INDIRECT($K221)),GETPIVOTDATA(IF($J221=1,"ACTIVE     GHGE, FARM GATE (kg CO2e/kg)","Count of GHGE, processor gate (kg CO2e/kg)"),'Pivot Table_GHG'!$A$3,"SUB TYPE",$B221))</f>
        <v>1</v>
      </c>
      <c r="R221" s="190">
        <f ca="1">IF($P221="PROXY",DAVERAGE('literature entries'!$D:$AI,IF($J221=1,"ACTIVE     GHGE, FARM GATE (kg CO2e/kg)","GHGE, processor gate (kg CO2e/kg)"),INDIRECT($K221)),GETPIVOTDATA(IF($J221=1,"Average of ACTIVE     GHGE, FARM GATE (kg CO2e/kg)","Average of GHGE, processor gate (kg CO2e/kg)"),'Pivot Table_GHG'!$A$3,"SUB TYPE",$B221))</f>
        <v>6.25</v>
      </c>
      <c r="S221" s="190" t="e">
        <f ca="1">IF($P221="PROXY",DSTDEV('literature entries'!$D:$AI,IF($J221=1,"ACTIVE     GHGE, FARM GATE (kg CO2e/kg)","GHGE, processor gate (kg CO2e/kg)"),INDIRECT($K221)),GETPIVOTDATA(IF($J221=1,"StdDev of ACTIVE     GHGE, FARM GATE (kg CO2e/kg)","StdDev of GHGE, processor gate (kg CO2e/kg)"),'Pivot Table_GHG'!$A$3,"SUB TYPE",$B221))</f>
        <v>#DIV/0!</v>
      </c>
      <c r="T221" s="80"/>
      <c r="U221" s="81"/>
      <c r="W221" s="213" t="s">
        <v>2702</v>
      </c>
      <c r="X221" s="211">
        <f ca="1">IF($W221="DIRECT",M221,DCOUNT('literature entries'!$D:$AI,IF($J221=1,"ACTIVE     CED, FARM GATE (MJ/kg)","CED, processor gate (MJ/kg)"),INDIRECT($W221)))</f>
        <v>31</v>
      </c>
      <c r="Y221" s="211">
        <f ca="1">IF($W221="DIRECT","",DAVERAGE('literature entries'!$D:$AI,IF($J221=1,"ACTIVE     CED, FARM GATE (MJ/kg)","CED, processor gate (MJ/kg)"),INDIRECT($W221)))</f>
        <v>2.5841213096774194</v>
      </c>
      <c r="Z221" s="211">
        <f ca="1">IF($W221="DIRECT",$O221,DSTDEV('literature entries'!$D:$AI,IF($J221=1,"ACTIVE     CED, FARM GATE (MJ/kg)","CED, processor gate (MJ/kg)"),INDIRECT($W221)))</f>
        <v>1.1854190703188778</v>
      </c>
      <c r="AA221" s="211">
        <f t="shared" ca="1" si="30"/>
        <v>3.7799514685504039</v>
      </c>
      <c r="AB221" s="219" t="s">
        <v>2702</v>
      </c>
      <c r="AC221" s="212">
        <f ca="1">IF($AB221="DIRECT",Q221,DCOUNT('literature entries'!$D:$AI,IF($J221=1,"ACTIVE     GHGE, FARM GATE (kg CO2e/kg)","GHGE, processor gate (kg CO2e/kg)"),INDIRECT($AB221)))</f>
        <v>45</v>
      </c>
      <c r="AD221" s="212">
        <f ca="1">IF($AB221="DIRECT","",DAVERAGE('literature entries'!$D:$AI,IF($J221=1,"ACTIVE     GHGE, FARM GATE (kg CO2e/kg)","GHGE, processor gate (kg CO2e/kg)"),INDIRECT($AB221)))</f>
        <v>0.39349345733333324</v>
      </c>
      <c r="AE221" s="212">
        <f ca="1">IF($AB221="DIRECT",$S221,DSTDEV('literature entries'!$D:$AI,IF($J221=1,"ACTIVE     GHGE, FARM GATE (kg CO2e/kg)","GHGE, processor gate (kg CO2e/kg)"),INDIRECT($AB221)))</f>
        <v>0.20361467618492471</v>
      </c>
      <c r="AF221" s="212">
        <f t="shared" ca="1" si="31"/>
        <v>3.2340861136040471</v>
      </c>
    </row>
    <row r="222" spans="1:32" s="19" customFormat="1" ht="17" thickBot="1" x14ac:dyDescent="0.25">
      <c r="A222" s="114">
        <v>1901028000</v>
      </c>
      <c r="B222" s="115" t="s">
        <v>1781</v>
      </c>
      <c r="C222" s="115" t="s">
        <v>1782</v>
      </c>
      <c r="D222" s="115"/>
      <c r="E222" s="115">
        <v>94</v>
      </c>
      <c r="F222" s="111">
        <f t="shared" ca="1" si="28"/>
        <v>1.5507451766666669</v>
      </c>
      <c r="G222" s="112">
        <f t="shared" ca="1" si="29"/>
        <v>0.22093143666666668</v>
      </c>
      <c r="H222" s="117">
        <v>1</v>
      </c>
      <c r="I222" s="117" t="s">
        <v>594</v>
      </c>
      <c r="J222" s="79">
        <v>1</v>
      </c>
      <c r="K222" s="78" t="s">
        <v>893</v>
      </c>
      <c r="L222" s="135" t="str">
        <f>IF(ISERROR(GETPIVOTDATA(IF($J222=1,"Count of ACTIVE     CED, FARM GATE (MJ/kg)","Count of CED, processor gate (MJ/kg)"),'Pivot Table_CED'!$A$3,"SUB TYPE",$B222)),"PROXY",IF(GETPIVOTDATA(IF($J222=1,"Count of ACTIVE     CED, FARM GATE (MJ/kg)","Count of CED, processor gate (MJ/kg)"),'Pivot Table_CED'!$A$3,"SUB TYPE",$B222)=0,"PROXY","DB value"))</f>
        <v>PROXY</v>
      </c>
      <c r="M222" s="118">
        <f ca="1">IF($L222="PROXY",DCOUNT('literature entries'!$D:$AI,IF($J222=1,"ACTIVE     CED, FARM GATE (MJ/kg)","CED, processor gate (MJ/kg)"),INDIRECT($K222)),GETPIVOTDATA(IF($J222=1,"Count of ACTIVE     CED, FARM GATE (MJ/kg)","Count of CED, processor gate (MJ/kg)"),'Pivot Table_CED'!$A$3,"SUB TYPE",$B222))</f>
        <v>3</v>
      </c>
      <c r="N222" s="119">
        <f ca="1">IF($L222="PROXY",DAVERAGE('literature entries'!$D:$AI,IF($J222=1,"ACTIVE     CED, FARM GATE (MJ/kg)","CED, processor gate (MJ/kg)"),INDIRECT($K222)),GETPIVOTDATA(IF($J222=1,"Average of ACTIVE     CED, FARM GATE (MJ/kg)","Average of CED, processor gate (MJ/kg)"),'Pivot Table_CED'!$A$3,"SUB TYPE",$B222))</f>
        <v>1.5507451766666669</v>
      </c>
      <c r="O222" s="119">
        <f ca="1">IF($L222="PROXY",DSTDEV('literature entries'!D:AI,IF($J222=1,"ACTIVE     CED, FARM GATE (MJ/kg)","CED, processor gate (MJ/kg)"),INDIRECT($K222)),GETPIVOTDATA(IF($J222=1,"StdDev of ACTIVE     CED, FARM GATE (MJ/kg)","StdDev of CED, processor gate (MJ/kg)"),'Pivot Table_CED'!$A$3,"SUB TYPE",$B222))</f>
        <v>1.545573713255328</v>
      </c>
      <c r="P222" s="135" t="str">
        <f>IF(ISERROR(GETPIVOTDATA(IF($J222=1,"Count of ACTIVE     GHGE, FARM GATE (kg CO2e/kg)","Count of GHGE, processor gate (kg CO2e/kg)"),'Pivot Table_GHG'!$A$3,"SUB TYPE",$B222)),"PROXY",IF(GETPIVOTDATA(IF($J222=1,"Count of ACTIVE     GHGE, FARM GATE (kg CO2e/kg)","Count of GHGE, processor gate (kg CO2e/kg)"),'Pivot Table_GHG'!$A$3,"SUB TYPE",$B222)=0,"PROXY","DB value"))</f>
        <v>PROXY</v>
      </c>
      <c r="Q222" s="125">
        <f ca="1">IF($P222="PROXY",DCOUNT('literature entries'!$D:$AI,IF($J222=1,"ACTIVE     GHGE, FARM GATE (kg CO2e/kg)","GHGE, processor gate (kg CO2e/kg)"),INDIRECT($K222)),GETPIVOTDATA(IF($J222=1,"ACTIVE     GHGE, FARM GATE (kg CO2e/kg)","Count of GHGE, processor gate (kg CO2e/kg)"),'Pivot Table_GHG'!$A$3,"SUB TYPE",$B222))</f>
        <v>3</v>
      </c>
      <c r="R222" s="190">
        <f ca="1">IF($P222="PROXY",DAVERAGE('literature entries'!$D:$AI,IF($J222=1,"ACTIVE     GHGE, FARM GATE (kg CO2e/kg)","GHGE, processor gate (kg CO2e/kg)"),INDIRECT($K222)),GETPIVOTDATA(IF($J222=1,"Average of ACTIVE     GHGE, FARM GATE (kg CO2e/kg)","Average of GHGE, processor gate (kg CO2e/kg)"),'Pivot Table_GHG'!$A$3,"SUB TYPE",$B222))</f>
        <v>0.22093143666666668</v>
      </c>
      <c r="S222" s="190">
        <f ca="1">IF($P222="PROXY",DSTDEV('literature entries'!$D:$AI,IF($J222=1,"ACTIVE     GHGE, FARM GATE (kg CO2e/kg)","GHGE, processor gate (kg CO2e/kg)"),INDIRECT($K222)),GETPIVOTDATA(IF($J222=1,"StdDev of ACTIVE     GHGE, FARM GATE (kg CO2e/kg)","StdDev of GHGE, processor gate (kg CO2e/kg)"),'Pivot Table_GHG'!$A$3,"SUB TYPE",$B222))</f>
        <v>8.3542949461742316E-2</v>
      </c>
      <c r="T222" s="88"/>
      <c r="U222" s="89"/>
      <c r="W222" s="213" t="s">
        <v>2457</v>
      </c>
      <c r="X222" s="211">
        <f ca="1">IF($W222="DIRECT",M222,DCOUNT('literature entries'!$D:$AI,IF($J222=1,"ACTIVE     CED, FARM GATE (MJ/kg)","CED, processor gate (MJ/kg)"),INDIRECT($W222)))</f>
        <v>10</v>
      </c>
      <c r="Y222" s="211">
        <f ca="1">IF($W222="DIRECT","",DAVERAGE('literature entries'!$D:$AI,IF($J222=1,"ACTIVE     CED, FARM GATE (MJ/kg)","CED, processor gate (MJ/kg)"),INDIRECT($W222)))</f>
        <v>2.5657274700000001</v>
      </c>
      <c r="Z222" s="211">
        <f ca="1">IF($W222="DIRECT",$O222,DSTDEV('literature entries'!$D:$AI,IF($J222=1,"ACTIVE     CED, FARM GATE (MJ/kg)","CED, processor gate (MJ/kg)"),INDIRECT($W222)))</f>
        <v>1.5197673074222315</v>
      </c>
      <c r="AA222" s="211">
        <f t="shared" ca="1" si="30"/>
        <v>0.91855890744339763</v>
      </c>
      <c r="AB222" s="219" t="s">
        <v>2457</v>
      </c>
      <c r="AC222" s="212">
        <f ca="1">IF($AB222="DIRECT",Q222,DCOUNT('literature entries'!$D:$AI,IF($J222=1,"ACTIVE     GHGE, FARM GATE (kg CO2e/kg)","GHGE, processor gate (kg CO2e/kg)"),INDIRECT($AB222)))</f>
        <v>22</v>
      </c>
      <c r="AD222" s="212">
        <f ca="1">IF($AB222="DIRECT","",DAVERAGE('literature entries'!$D:$AI,IF($J222=1,"ACTIVE     GHGE, FARM GATE (kg CO2e/kg)","GHGE, processor gate (kg CO2e/kg)"),INDIRECT($AB222)))</f>
        <v>0.18561974136363635</v>
      </c>
      <c r="AE222" s="212">
        <f ca="1">IF($AB222="DIRECT",$S222,DSTDEV('literature entries'!$D:$AI,IF($J222=1,"ACTIVE     GHGE, FARM GATE (kg CO2e/kg)","GHGE, processor gate (kg CO2e/kg)"),INDIRECT($AB222)))</f>
        <v>9.7833632177637575E-2</v>
      </c>
      <c r="AF222" s="212">
        <f t="shared" ca="1" si="31"/>
        <v>0.11644518386102046</v>
      </c>
    </row>
    <row r="223" spans="1:32" s="19" customFormat="1" ht="17" thickBot="1" x14ac:dyDescent="0.25">
      <c r="A223" s="114">
        <v>1901029000</v>
      </c>
      <c r="B223" s="115" t="s">
        <v>1779</v>
      </c>
      <c r="C223" s="115" t="s">
        <v>1780</v>
      </c>
      <c r="D223" s="115"/>
      <c r="E223" s="115">
        <v>16552</v>
      </c>
      <c r="F223" s="111">
        <f t="shared" ca="1" si="28"/>
        <v>17.509358323446691</v>
      </c>
      <c r="G223" s="112">
        <f t="shared" ca="1" si="29"/>
        <v>2.4945218258396311</v>
      </c>
      <c r="H223" s="120">
        <v>11.290931989924436</v>
      </c>
      <c r="I223" s="117" t="s">
        <v>2737</v>
      </c>
      <c r="J223" s="79">
        <v>1</v>
      </c>
      <c r="K223" s="78" t="s">
        <v>893</v>
      </c>
      <c r="L223" s="135" t="str">
        <f>IF(ISERROR(GETPIVOTDATA(IF($J223=1,"Count of ACTIVE     CED, FARM GATE (MJ/kg)","Count of CED, processor gate (MJ/kg)"),'Pivot Table_CED'!$A$3,"SUB TYPE",$B223)),"PROXY",IF(GETPIVOTDATA(IF($J223=1,"Count of ACTIVE     CED, FARM GATE (MJ/kg)","Count of CED, processor gate (MJ/kg)"),'Pivot Table_CED'!$A$3,"SUB TYPE",$B223)=0,"PROXY","DB value"))</f>
        <v>PROXY</v>
      </c>
      <c r="M223" s="118">
        <f ca="1">IF($L223="PROXY",DCOUNT('literature entries'!$D:$AI,IF($J223=1,"ACTIVE     CED, FARM GATE (MJ/kg)","CED, processor gate (MJ/kg)"),INDIRECT($K223)),GETPIVOTDATA(IF($J223=1,"Count of ACTIVE     CED, FARM GATE (MJ/kg)","Count of CED, processor gate (MJ/kg)"),'Pivot Table_CED'!$A$3,"SUB TYPE",$B223))</f>
        <v>3</v>
      </c>
      <c r="N223" s="119">
        <f ca="1">IF($L223="PROXY",DAVERAGE('literature entries'!$D:$AI,IF($J223=1,"ACTIVE     CED, FARM GATE (MJ/kg)","CED, processor gate (MJ/kg)"),INDIRECT($K223)),GETPIVOTDATA(IF($J223=1,"Average of ACTIVE     CED, FARM GATE (MJ/kg)","Average of CED, processor gate (MJ/kg)"),'Pivot Table_CED'!$A$3,"SUB TYPE",$B223))</f>
        <v>1.5507451766666669</v>
      </c>
      <c r="O223" s="119">
        <f ca="1">IF($L223="PROXY",DSTDEV('literature entries'!D:AI,IF($J223=1,"ACTIVE     CED, FARM GATE (MJ/kg)","CED, processor gate (MJ/kg)"),INDIRECT($K223)),GETPIVOTDATA(IF($J223=1,"StdDev of ACTIVE     CED, FARM GATE (MJ/kg)","StdDev of CED, processor gate (MJ/kg)"),'Pivot Table_CED'!$A$3,"SUB TYPE",$B223))</f>
        <v>1.545573713255328</v>
      </c>
      <c r="P223" s="135" t="str">
        <f>IF(ISERROR(GETPIVOTDATA(IF($J223=1,"Count of ACTIVE     GHGE, FARM GATE (kg CO2e/kg)","Count of GHGE, processor gate (kg CO2e/kg)"),'Pivot Table_GHG'!$A$3,"SUB TYPE",$B223)),"PROXY",IF(GETPIVOTDATA(IF($J223=1,"Count of ACTIVE     GHGE, FARM GATE (kg CO2e/kg)","Count of GHGE, processor gate (kg CO2e/kg)"),'Pivot Table_GHG'!$A$3,"SUB TYPE",$B223)=0,"PROXY","DB value"))</f>
        <v>PROXY</v>
      </c>
      <c r="Q223" s="125">
        <f ca="1">IF($P223="PROXY",DCOUNT('literature entries'!$D:$AI,IF($J223=1,"ACTIVE     GHGE, FARM GATE (kg CO2e/kg)","GHGE, processor gate (kg CO2e/kg)"),INDIRECT($K223)),GETPIVOTDATA(IF($J223=1,"ACTIVE     GHGE, FARM GATE (kg CO2e/kg)","Count of GHGE, processor gate (kg CO2e/kg)"),'Pivot Table_GHG'!$A$3,"SUB TYPE",$B223))</f>
        <v>3</v>
      </c>
      <c r="R223" s="190">
        <f ca="1">IF($P223="PROXY",DAVERAGE('literature entries'!$D:$AI,IF($J223=1,"ACTIVE     GHGE, FARM GATE (kg CO2e/kg)","GHGE, processor gate (kg CO2e/kg)"),INDIRECT($K223)),GETPIVOTDATA(IF($J223=1,"Average of ACTIVE     GHGE, FARM GATE (kg CO2e/kg)","Average of GHGE, processor gate (kg CO2e/kg)"),'Pivot Table_GHG'!$A$3,"SUB TYPE",$B223))</f>
        <v>0.22093143666666668</v>
      </c>
      <c r="S223" s="190">
        <f ca="1">IF($P223="PROXY",DSTDEV('literature entries'!$D:$AI,IF($J223=1,"ACTIVE     GHGE, FARM GATE (kg CO2e/kg)","GHGE, processor gate (kg CO2e/kg)"),INDIRECT($K223)),GETPIVOTDATA(IF($J223=1,"StdDev of ACTIVE     GHGE, FARM GATE (kg CO2e/kg)","StdDev of GHGE, processor gate (kg CO2e/kg)"),'Pivot Table_GHG'!$A$3,"SUB TYPE",$B223))</f>
        <v>8.3542949461742316E-2</v>
      </c>
      <c r="T223" s="88"/>
      <c r="U223" s="89"/>
      <c r="W223" s="213" t="s">
        <v>2457</v>
      </c>
      <c r="X223" s="211">
        <f ca="1">IF($W223="DIRECT",M223,DCOUNT('literature entries'!$D:$AI,IF($J223=1,"ACTIVE     CED, FARM GATE (MJ/kg)","CED, processor gate (MJ/kg)"),INDIRECT($W223)))</f>
        <v>10</v>
      </c>
      <c r="Y223" s="211">
        <f ca="1">IF($W223="DIRECT","",DAVERAGE('literature entries'!$D:$AI,IF($J223=1,"ACTIVE     CED, FARM GATE (MJ/kg)","CED, processor gate (MJ/kg)"),INDIRECT($W223)))</f>
        <v>2.5657274700000001</v>
      </c>
      <c r="Z223" s="211">
        <f ca="1">IF($W223="DIRECT",$O223,DSTDEV('literature entries'!$D:$AI,IF($J223=1,"ACTIVE     CED, FARM GATE (MJ/kg)","CED, processor gate (MJ/kg)"),INDIRECT($W223)))</f>
        <v>1.5197673074222315</v>
      </c>
      <c r="AA223" s="211">
        <f t="shared" ca="1" si="30"/>
        <v>0.91855890744339763</v>
      </c>
      <c r="AB223" s="219" t="s">
        <v>2457</v>
      </c>
      <c r="AC223" s="212">
        <f ca="1">IF($AB223="DIRECT",Q223,DCOUNT('literature entries'!$D:$AI,IF($J223=1,"ACTIVE     GHGE, FARM GATE (kg CO2e/kg)","GHGE, processor gate (kg CO2e/kg)"),INDIRECT($AB223)))</f>
        <v>22</v>
      </c>
      <c r="AD223" s="212">
        <f ca="1">IF($AB223="DIRECT","",DAVERAGE('literature entries'!$D:$AI,IF($J223=1,"ACTIVE     GHGE, FARM GATE (kg CO2e/kg)","GHGE, processor gate (kg CO2e/kg)"),INDIRECT($AB223)))</f>
        <v>0.18561974136363635</v>
      </c>
      <c r="AE223" s="212">
        <f ca="1">IF($AB223="DIRECT",$S223,DSTDEV('literature entries'!$D:$AI,IF($J223=1,"ACTIVE     GHGE, FARM GATE (kg CO2e/kg)","GHGE, processor gate (kg CO2e/kg)"),INDIRECT($AB223)))</f>
        <v>9.7833632177637575E-2</v>
      </c>
      <c r="AF223" s="212">
        <f t="shared" ca="1" si="31"/>
        <v>0.11644518386102046</v>
      </c>
    </row>
    <row r="224" spans="1:32" s="19" customFormat="1" ht="17" thickBot="1" x14ac:dyDescent="0.25">
      <c r="A224" s="114">
        <v>1901184000</v>
      </c>
      <c r="B224" s="115" t="s">
        <v>2031</v>
      </c>
      <c r="C224" s="115" t="s">
        <v>1782</v>
      </c>
      <c r="D224" s="115" t="s">
        <v>2032</v>
      </c>
      <c r="E224" s="115">
        <v>27421</v>
      </c>
      <c r="F224" s="111">
        <f t="shared" ca="1" si="28"/>
        <v>1.5507451766666669</v>
      </c>
      <c r="G224" s="112">
        <f t="shared" ca="1" si="29"/>
        <v>0.22093143666666668</v>
      </c>
      <c r="H224" s="116">
        <v>1</v>
      </c>
      <c r="I224" s="117" t="s">
        <v>594</v>
      </c>
      <c r="J224" s="79">
        <v>1</v>
      </c>
      <c r="K224" s="78" t="s">
        <v>893</v>
      </c>
      <c r="L224" s="135" t="str">
        <f>IF(ISERROR(GETPIVOTDATA(IF($J224=1,"Count of ACTIVE     CED, FARM GATE (MJ/kg)","Count of CED, processor gate (MJ/kg)"),'Pivot Table_CED'!$A$3,"SUB TYPE",$B224)),"PROXY",IF(GETPIVOTDATA(IF($J224=1,"Count of ACTIVE     CED, FARM GATE (MJ/kg)","Count of CED, processor gate (MJ/kg)"),'Pivot Table_CED'!$A$3,"SUB TYPE",$B224)=0,"PROXY","DB value"))</f>
        <v>PROXY</v>
      </c>
      <c r="M224" s="118">
        <f ca="1">IF($L224="PROXY",DCOUNT('literature entries'!$D:$AI,IF($J224=1,"ACTIVE     CED, FARM GATE (MJ/kg)","CED, processor gate (MJ/kg)"),INDIRECT($K224)),GETPIVOTDATA(IF($J224=1,"Count of ACTIVE     CED, FARM GATE (MJ/kg)","Count of CED, processor gate (MJ/kg)"),'Pivot Table_CED'!$A$3,"SUB TYPE",$B224))</f>
        <v>3</v>
      </c>
      <c r="N224" s="119">
        <f ca="1">IF($L224="PROXY",DAVERAGE('literature entries'!$D:$AI,IF($J224=1,"ACTIVE     CED, FARM GATE (MJ/kg)","CED, processor gate (MJ/kg)"),INDIRECT($K224)),GETPIVOTDATA(IF($J224=1,"Average of ACTIVE     CED, FARM GATE (MJ/kg)","Average of CED, processor gate (MJ/kg)"),'Pivot Table_CED'!$A$3,"SUB TYPE",$B224))</f>
        <v>1.5507451766666669</v>
      </c>
      <c r="O224" s="119">
        <f ca="1">IF($L224="PROXY",DSTDEV('literature entries'!D:AI,IF($J224=1,"ACTIVE     CED, FARM GATE (MJ/kg)","CED, processor gate (MJ/kg)"),INDIRECT($K224)),GETPIVOTDATA(IF($J224=1,"StdDev of ACTIVE     CED, FARM GATE (MJ/kg)","StdDev of CED, processor gate (MJ/kg)"),'Pivot Table_CED'!$A$3,"SUB TYPE",$B224))</f>
        <v>1.545573713255328</v>
      </c>
      <c r="P224" s="135" t="str">
        <f>IF(ISERROR(GETPIVOTDATA(IF($J224=1,"Count of ACTIVE     GHGE, FARM GATE (kg CO2e/kg)","Count of GHGE, processor gate (kg CO2e/kg)"),'Pivot Table_GHG'!$A$3,"SUB TYPE",$B224)),"PROXY",IF(GETPIVOTDATA(IF($J224=1,"Count of ACTIVE     GHGE, FARM GATE (kg CO2e/kg)","Count of GHGE, processor gate (kg CO2e/kg)"),'Pivot Table_GHG'!$A$3,"SUB TYPE",$B224)=0,"PROXY","DB value"))</f>
        <v>PROXY</v>
      </c>
      <c r="Q224" s="125">
        <f ca="1">IF($P224="PROXY",DCOUNT('literature entries'!$D:$AI,IF($J224=1,"ACTIVE     GHGE, FARM GATE (kg CO2e/kg)","GHGE, processor gate (kg CO2e/kg)"),INDIRECT($K224)),GETPIVOTDATA(IF($J224=1,"ACTIVE     GHGE, FARM GATE (kg CO2e/kg)","Count of GHGE, processor gate (kg CO2e/kg)"),'Pivot Table_GHG'!$A$3,"SUB TYPE",$B224))</f>
        <v>3</v>
      </c>
      <c r="R224" s="190">
        <f ca="1">IF($P224="PROXY",DAVERAGE('literature entries'!$D:$AI,IF($J224=1,"ACTIVE     GHGE, FARM GATE (kg CO2e/kg)","GHGE, processor gate (kg CO2e/kg)"),INDIRECT($K224)),GETPIVOTDATA(IF($J224=1,"Average of ACTIVE     GHGE, FARM GATE (kg CO2e/kg)","Average of GHGE, processor gate (kg CO2e/kg)"),'Pivot Table_GHG'!$A$3,"SUB TYPE",$B224))</f>
        <v>0.22093143666666668</v>
      </c>
      <c r="S224" s="190">
        <f ca="1">IF($P224="PROXY",DSTDEV('literature entries'!$D:$AI,IF($J224=1,"ACTIVE     GHGE, FARM GATE (kg CO2e/kg)","GHGE, processor gate (kg CO2e/kg)"),INDIRECT($K224)),GETPIVOTDATA(IF($J224=1,"StdDev of ACTIVE     GHGE, FARM GATE (kg CO2e/kg)","StdDev of GHGE, processor gate (kg CO2e/kg)"),'Pivot Table_GHG'!$A$3,"SUB TYPE",$B224))</f>
        <v>8.3542949461742316E-2</v>
      </c>
      <c r="T224" s="88"/>
      <c r="U224" s="89"/>
      <c r="W224" s="213" t="s">
        <v>2457</v>
      </c>
      <c r="X224" s="211">
        <f ca="1">IF($W224="DIRECT",M224,DCOUNT('literature entries'!$D:$AI,IF($J224=1,"ACTIVE     CED, FARM GATE (MJ/kg)","CED, processor gate (MJ/kg)"),INDIRECT($W224)))</f>
        <v>10</v>
      </c>
      <c r="Y224" s="211">
        <f ca="1">IF($W224="DIRECT","",DAVERAGE('literature entries'!$D:$AI,IF($J224=1,"ACTIVE     CED, FARM GATE (MJ/kg)","CED, processor gate (MJ/kg)"),INDIRECT($W224)))</f>
        <v>2.5657274700000001</v>
      </c>
      <c r="Z224" s="211">
        <f ca="1">IF($W224="DIRECT",$O224,DSTDEV('literature entries'!$D:$AI,IF($J224=1,"ACTIVE     CED, FARM GATE (MJ/kg)","CED, processor gate (MJ/kg)"),INDIRECT($W224)))</f>
        <v>1.5197673074222315</v>
      </c>
      <c r="AA224" s="211">
        <f t="shared" ca="1" si="30"/>
        <v>0.91855890744339763</v>
      </c>
      <c r="AB224" s="219" t="s">
        <v>2457</v>
      </c>
      <c r="AC224" s="212">
        <f ca="1">IF($AB224="DIRECT",Q224,DCOUNT('literature entries'!$D:$AI,IF($J224=1,"ACTIVE     GHGE, FARM GATE (kg CO2e/kg)","GHGE, processor gate (kg CO2e/kg)"),INDIRECT($AB224)))</f>
        <v>22</v>
      </c>
      <c r="AD224" s="212">
        <f ca="1">IF($AB224="DIRECT","",DAVERAGE('literature entries'!$D:$AI,IF($J224=1,"ACTIVE     GHGE, FARM GATE (kg CO2e/kg)","GHGE, processor gate (kg CO2e/kg)"),INDIRECT($AB224)))</f>
        <v>0.18561974136363635</v>
      </c>
      <c r="AE224" s="212">
        <f ca="1">IF($AB224="DIRECT",$S224,DSTDEV('literature entries'!$D:$AI,IF($J224=1,"ACTIVE     GHGE, FARM GATE (kg CO2e/kg)","GHGE, processor gate (kg CO2e/kg)"),INDIRECT($AB224)))</f>
        <v>9.7833632177637575E-2</v>
      </c>
      <c r="AF224" s="212">
        <f t="shared" ca="1" si="31"/>
        <v>0.11644518386102046</v>
      </c>
    </row>
    <row r="225" spans="1:32" s="19" customFormat="1" ht="17" thickBot="1" x14ac:dyDescent="0.25">
      <c r="A225" s="114">
        <v>1901220000</v>
      </c>
      <c r="B225" s="115" t="s">
        <v>2071</v>
      </c>
      <c r="C225" s="115" t="s">
        <v>1782</v>
      </c>
      <c r="D225" s="115" t="s">
        <v>2072</v>
      </c>
      <c r="E225" s="115">
        <v>22047</v>
      </c>
      <c r="F225" s="111">
        <f t="shared" ca="1" si="28"/>
        <v>1.5507451766666669</v>
      </c>
      <c r="G225" s="112">
        <f t="shared" ca="1" si="29"/>
        <v>0.22093143666666668</v>
      </c>
      <c r="H225" s="116">
        <v>1</v>
      </c>
      <c r="I225" s="117" t="s">
        <v>594</v>
      </c>
      <c r="J225" s="79">
        <v>1</v>
      </c>
      <c r="K225" s="78" t="s">
        <v>893</v>
      </c>
      <c r="L225" s="135" t="str">
        <f>IF(ISERROR(GETPIVOTDATA(IF($J225=1,"Count of ACTIVE     CED, FARM GATE (MJ/kg)","Count of CED, processor gate (MJ/kg)"),'Pivot Table_CED'!$A$3,"SUB TYPE",$B225)),"PROXY",IF(GETPIVOTDATA(IF($J225=1,"Count of ACTIVE     CED, FARM GATE (MJ/kg)","Count of CED, processor gate (MJ/kg)"),'Pivot Table_CED'!$A$3,"SUB TYPE",$B225)=0,"PROXY","DB value"))</f>
        <v>PROXY</v>
      </c>
      <c r="M225" s="118">
        <f ca="1">IF($L225="PROXY",DCOUNT('literature entries'!$D:$AI,IF($J225=1,"ACTIVE     CED, FARM GATE (MJ/kg)","CED, processor gate (MJ/kg)"),INDIRECT($K225)),GETPIVOTDATA(IF($J225=1,"Count of ACTIVE     CED, FARM GATE (MJ/kg)","Count of CED, processor gate (MJ/kg)"),'Pivot Table_CED'!$A$3,"SUB TYPE",$B225))</f>
        <v>3</v>
      </c>
      <c r="N225" s="119">
        <f ca="1">IF($L225="PROXY",DAVERAGE('literature entries'!$D:$AI,IF($J225=1,"ACTIVE     CED, FARM GATE (MJ/kg)","CED, processor gate (MJ/kg)"),INDIRECT($K225)),GETPIVOTDATA(IF($J225=1,"Average of ACTIVE     CED, FARM GATE (MJ/kg)","Average of CED, processor gate (MJ/kg)"),'Pivot Table_CED'!$A$3,"SUB TYPE",$B225))</f>
        <v>1.5507451766666669</v>
      </c>
      <c r="O225" s="119">
        <f ca="1">IF($L225="PROXY",DSTDEV('literature entries'!D:AI,IF($J225=1,"ACTIVE     CED, FARM GATE (MJ/kg)","CED, processor gate (MJ/kg)"),INDIRECT($K225)),GETPIVOTDATA(IF($J225=1,"StdDev of ACTIVE     CED, FARM GATE (MJ/kg)","StdDev of CED, processor gate (MJ/kg)"),'Pivot Table_CED'!$A$3,"SUB TYPE",$B225))</f>
        <v>1.545573713255328</v>
      </c>
      <c r="P225" s="135" t="str">
        <f>IF(ISERROR(GETPIVOTDATA(IF($J225=1,"Count of ACTIVE     GHGE, FARM GATE (kg CO2e/kg)","Count of GHGE, processor gate (kg CO2e/kg)"),'Pivot Table_GHG'!$A$3,"SUB TYPE",$B225)),"PROXY",IF(GETPIVOTDATA(IF($J225=1,"Count of ACTIVE     GHGE, FARM GATE (kg CO2e/kg)","Count of GHGE, processor gate (kg CO2e/kg)"),'Pivot Table_GHG'!$A$3,"SUB TYPE",$B225)=0,"PROXY","DB value"))</f>
        <v>PROXY</v>
      </c>
      <c r="Q225" s="125">
        <f ca="1">IF($P225="PROXY",DCOUNT('literature entries'!$D:$AI,IF($J225=1,"ACTIVE     GHGE, FARM GATE (kg CO2e/kg)","GHGE, processor gate (kg CO2e/kg)"),INDIRECT($K225)),GETPIVOTDATA(IF($J225=1,"ACTIVE     GHGE, FARM GATE (kg CO2e/kg)","Count of GHGE, processor gate (kg CO2e/kg)"),'Pivot Table_GHG'!$A$3,"SUB TYPE",$B225))</f>
        <v>3</v>
      </c>
      <c r="R225" s="190">
        <f ca="1">IF($P225="PROXY",DAVERAGE('literature entries'!$D:$AI,IF($J225=1,"ACTIVE     GHGE, FARM GATE (kg CO2e/kg)","GHGE, processor gate (kg CO2e/kg)"),INDIRECT($K225)),GETPIVOTDATA(IF($J225=1,"Average of ACTIVE     GHGE, FARM GATE (kg CO2e/kg)","Average of GHGE, processor gate (kg CO2e/kg)"),'Pivot Table_GHG'!$A$3,"SUB TYPE",$B225))</f>
        <v>0.22093143666666668</v>
      </c>
      <c r="S225" s="190">
        <f ca="1">IF($P225="PROXY",DSTDEV('literature entries'!$D:$AI,IF($J225=1,"ACTIVE     GHGE, FARM GATE (kg CO2e/kg)","GHGE, processor gate (kg CO2e/kg)"),INDIRECT($K225)),GETPIVOTDATA(IF($J225=1,"StdDev of ACTIVE     GHGE, FARM GATE (kg CO2e/kg)","StdDev of GHGE, processor gate (kg CO2e/kg)"),'Pivot Table_GHG'!$A$3,"SUB TYPE",$B225))</f>
        <v>8.3542949461742316E-2</v>
      </c>
      <c r="T225" s="88"/>
      <c r="U225" s="89"/>
      <c r="W225" s="213" t="s">
        <v>2457</v>
      </c>
      <c r="X225" s="211">
        <f ca="1">IF($W225="DIRECT",M225,DCOUNT('literature entries'!$D:$AI,IF($J225=1,"ACTIVE     CED, FARM GATE (MJ/kg)","CED, processor gate (MJ/kg)"),INDIRECT($W225)))</f>
        <v>10</v>
      </c>
      <c r="Y225" s="211">
        <f ca="1">IF($W225="DIRECT","",DAVERAGE('literature entries'!$D:$AI,IF($J225=1,"ACTIVE     CED, FARM GATE (MJ/kg)","CED, processor gate (MJ/kg)"),INDIRECT($W225)))</f>
        <v>2.5657274700000001</v>
      </c>
      <c r="Z225" s="211">
        <f ca="1">IF($W225="DIRECT",$O225,DSTDEV('literature entries'!$D:$AI,IF($J225=1,"ACTIVE     CED, FARM GATE (MJ/kg)","CED, processor gate (MJ/kg)"),INDIRECT($W225)))</f>
        <v>1.5197673074222315</v>
      </c>
      <c r="AA225" s="211">
        <f t="shared" ca="1" si="30"/>
        <v>0.91855890744339763</v>
      </c>
      <c r="AB225" s="219" t="s">
        <v>2457</v>
      </c>
      <c r="AC225" s="212">
        <f ca="1">IF($AB225="DIRECT",Q225,DCOUNT('literature entries'!$D:$AI,IF($J225=1,"ACTIVE     GHGE, FARM GATE (kg CO2e/kg)","GHGE, processor gate (kg CO2e/kg)"),INDIRECT($AB225)))</f>
        <v>22</v>
      </c>
      <c r="AD225" s="212">
        <f ca="1">IF($AB225="DIRECT","",DAVERAGE('literature entries'!$D:$AI,IF($J225=1,"ACTIVE     GHGE, FARM GATE (kg CO2e/kg)","GHGE, processor gate (kg CO2e/kg)"),INDIRECT($AB225)))</f>
        <v>0.18561974136363635</v>
      </c>
      <c r="AE225" s="212">
        <f ca="1">IF($AB225="DIRECT",$S225,DSTDEV('literature entries'!$D:$AI,IF($J225=1,"ACTIVE     GHGE, FARM GATE (kg CO2e/kg)","GHGE, processor gate (kg CO2e/kg)"),INDIRECT($AB225)))</f>
        <v>9.7833632177637575E-2</v>
      </c>
      <c r="AF225" s="212">
        <f t="shared" ca="1" si="31"/>
        <v>0.11644518386102046</v>
      </c>
    </row>
    <row r="226" spans="1:32" s="19" customFormat="1" ht="17" thickBot="1" x14ac:dyDescent="0.25">
      <c r="A226" s="114">
        <v>1901249000</v>
      </c>
      <c r="B226" s="115" t="s">
        <v>2119</v>
      </c>
      <c r="C226" s="115" t="s">
        <v>2120</v>
      </c>
      <c r="D226" s="115"/>
      <c r="E226" s="115">
        <v>1460</v>
      </c>
      <c r="F226" s="111">
        <f t="shared" ca="1" si="28"/>
        <v>11.874746019210736</v>
      </c>
      <c r="G226" s="112">
        <f t="shared" ca="1" si="29"/>
        <v>1.6917703421236769</v>
      </c>
      <c r="H226" s="120">
        <v>7.6574450772986129</v>
      </c>
      <c r="I226" s="117" t="s">
        <v>2737</v>
      </c>
      <c r="J226" s="79">
        <v>1</v>
      </c>
      <c r="K226" s="78" t="s">
        <v>893</v>
      </c>
      <c r="L226" s="135" t="str">
        <f>IF(ISERROR(GETPIVOTDATA(IF($J226=1,"Count of ACTIVE     CED, FARM GATE (MJ/kg)","Count of CED, processor gate (MJ/kg)"),'Pivot Table_CED'!$A$3,"SUB TYPE",$B226)),"PROXY",IF(GETPIVOTDATA(IF($J226=1,"Count of ACTIVE     CED, FARM GATE (MJ/kg)","Count of CED, processor gate (MJ/kg)"),'Pivot Table_CED'!$A$3,"SUB TYPE",$B226)=0,"PROXY","DB value"))</f>
        <v>PROXY</v>
      </c>
      <c r="M226" s="118">
        <f ca="1">IF($L226="PROXY",DCOUNT('literature entries'!$D:$AI,IF($J226=1,"ACTIVE     CED, FARM GATE (MJ/kg)","CED, processor gate (MJ/kg)"),INDIRECT($K226)),GETPIVOTDATA(IF($J226=1,"Count of ACTIVE     CED, FARM GATE (MJ/kg)","Count of CED, processor gate (MJ/kg)"),'Pivot Table_CED'!$A$3,"SUB TYPE",$B226))</f>
        <v>3</v>
      </c>
      <c r="N226" s="119">
        <f ca="1">IF($L226="PROXY",DAVERAGE('literature entries'!$D:$AI,IF($J226=1,"ACTIVE     CED, FARM GATE (MJ/kg)","CED, processor gate (MJ/kg)"),INDIRECT($K226)),GETPIVOTDATA(IF($J226=1,"Average of ACTIVE     CED, FARM GATE (MJ/kg)","Average of CED, processor gate (MJ/kg)"),'Pivot Table_CED'!$A$3,"SUB TYPE",$B226))</f>
        <v>1.5507451766666669</v>
      </c>
      <c r="O226" s="119">
        <f ca="1">IF($L226="PROXY",DSTDEV('literature entries'!D:AI,IF($J226=1,"ACTIVE     CED, FARM GATE (MJ/kg)","CED, processor gate (MJ/kg)"),INDIRECT($K226)),GETPIVOTDATA(IF($J226=1,"StdDev of ACTIVE     CED, FARM GATE (MJ/kg)","StdDev of CED, processor gate (MJ/kg)"),'Pivot Table_CED'!$A$3,"SUB TYPE",$B226))</f>
        <v>1.545573713255328</v>
      </c>
      <c r="P226" s="135" t="str">
        <f>IF(ISERROR(GETPIVOTDATA(IF($J226=1,"Count of ACTIVE     GHGE, FARM GATE (kg CO2e/kg)","Count of GHGE, processor gate (kg CO2e/kg)"),'Pivot Table_GHG'!$A$3,"SUB TYPE",$B226)),"PROXY",IF(GETPIVOTDATA(IF($J226=1,"Count of ACTIVE     GHGE, FARM GATE (kg CO2e/kg)","Count of GHGE, processor gate (kg CO2e/kg)"),'Pivot Table_GHG'!$A$3,"SUB TYPE",$B226)=0,"PROXY","DB value"))</f>
        <v>PROXY</v>
      </c>
      <c r="Q226" s="125">
        <f ca="1">IF($P226="PROXY",DCOUNT('literature entries'!$D:$AI,IF($J226=1,"ACTIVE     GHGE, FARM GATE (kg CO2e/kg)","GHGE, processor gate (kg CO2e/kg)"),INDIRECT($K226)),GETPIVOTDATA(IF($J226=1,"ACTIVE     GHGE, FARM GATE (kg CO2e/kg)","Count of GHGE, processor gate (kg CO2e/kg)"),'Pivot Table_GHG'!$A$3,"SUB TYPE",$B226))</f>
        <v>3</v>
      </c>
      <c r="R226" s="190">
        <f ca="1">IF($P226="PROXY",DAVERAGE('literature entries'!$D:$AI,IF($J226=1,"ACTIVE     GHGE, FARM GATE (kg CO2e/kg)","GHGE, processor gate (kg CO2e/kg)"),INDIRECT($K226)),GETPIVOTDATA(IF($J226=1,"Average of ACTIVE     GHGE, FARM GATE (kg CO2e/kg)","Average of GHGE, processor gate (kg CO2e/kg)"),'Pivot Table_GHG'!$A$3,"SUB TYPE",$B226))</f>
        <v>0.22093143666666668</v>
      </c>
      <c r="S226" s="190">
        <f ca="1">IF($P226="PROXY",DSTDEV('literature entries'!$D:$AI,IF($J226=1,"ACTIVE     GHGE, FARM GATE (kg CO2e/kg)","GHGE, processor gate (kg CO2e/kg)"),INDIRECT($K226)),GETPIVOTDATA(IF($J226=1,"StdDev of ACTIVE     GHGE, FARM GATE (kg CO2e/kg)","StdDev of GHGE, processor gate (kg CO2e/kg)"),'Pivot Table_GHG'!$A$3,"SUB TYPE",$B226))</f>
        <v>8.3542949461742316E-2</v>
      </c>
      <c r="T226" s="88"/>
      <c r="U226" s="89"/>
      <c r="W226" s="213" t="s">
        <v>2457</v>
      </c>
      <c r="X226" s="211">
        <f ca="1">IF($W226="DIRECT",M226,DCOUNT('literature entries'!$D:$AI,IF($J226=1,"ACTIVE     CED, FARM GATE (MJ/kg)","CED, processor gate (MJ/kg)"),INDIRECT($W226)))</f>
        <v>10</v>
      </c>
      <c r="Y226" s="211">
        <f ca="1">IF($W226="DIRECT","",DAVERAGE('literature entries'!$D:$AI,IF($J226=1,"ACTIVE     CED, FARM GATE (MJ/kg)","CED, processor gate (MJ/kg)"),INDIRECT($W226)))</f>
        <v>2.5657274700000001</v>
      </c>
      <c r="Z226" s="211">
        <f ca="1">IF($W226="DIRECT",$O226,DSTDEV('literature entries'!$D:$AI,IF($J226=1,"ACTIVE     CED, FARM GATE (MJ/kg)","CED, processor gate (MJ/kg)"),INDIRECT($W226)))</f>
        <v>1.5197673074222315</v>
      </c>
      <c r="AA226" s="211">
        <f t="shared" ca="1" si="30"/>
        <v>0.91855890744339763</v>
      </c>
      <c r="AB226" s="219" t="s">
        <v>2457</v>
      </c>
      <c r="AC226" s="212">
        <f ca="1">IF($AB226="DIRECT",Q226,DCOUNT('literature entries'!$D:$AI,IF($J226=1,"ACTIVE     GHGE, FARM GATE (kg CO2e/kg)","GHGE, processor gate (kg CO2e/kg)"),INDIRECT($AB226)))</f>
        <v>22</v>
      </c>
      <c r="AD226" s="212">
        <f ca="1">IF($AB226="DIRECT","",DAVERAGE('literature entries'!$D:$AI,IF($J226=1,"ACTIVE     GHGE, FARM GATE (kg CO2e/kg)","GHGE, processor gate (kg CO2e/kg)"),INDIRECT($AB226)))</f>
        <v>0.18561974136363635</v>
      </c>
      <c r="AE226" s="212">
        <f ca="1">IF($AB226="DIRECT",$S226,DSTDEV('literature entries'!$D:$AI,IF($J226=1,"ACTIVE     GHGE, FARM GATE (kg CO2e/kg)","GHGE, processor gate (kg CO2e/kg)"),INDIRECT($AB226)))</f>
        <v>9.7833632177637575E-2</v>
      </c>
      <c r="AF226" s="212">
        <f t="shared" ca="1" si="31"/>
        <v>0.11644518386102046</v>
      </c>
    </row>
    <row r="227" spans="1:32" s="19" customFormat="1" ht="17" thickBot="1" x14ac:dyDescent="0.25">
      <c r="A227" s="114">
        <v>1901334000</v>
      </c>
      <c r="B227" s="115" t="s">
        <v>2246</v>
      </c>
      <c r="C227" s="115" t="s">
        <v>2247</v>
      </c>
      <c r="D227" s="115" t="s">
        <v>2248</v>
      </c>
      <c r="E227" s="115">
        <v>15910</v>
      </c>
      <c r="F227" s="111">
        <f t="shared" ca="1" si="28"/>
        <v>1.5507451766666669</v>
      </c>
      <c r="G227" s="112">
        <f t="shared" ca="1" si="29"/>
        <v>0.22093143666666668</v>
      </c>
      <c r="H227" s="116">
        <v>1</v>
      </c>
      <c r="I227" s="117" t="s">
        <v>594</v>
      </c>
      <c r="J227" s="79">
        <v>1</v>
      </c>
      <c r="K227" s="78" t="s">
        <v>893</v>
      </c>
      <c r="L227" s="135" t="str">
        <f>IF(ISERROR(GETPIVOTDATA(IF($J227=1,"Count of ACTIVE     CED, FARM GATE (MJ/kg)","Count of CED, processor gate (MJ/kg)"),'Pivot Table_CED'!$A$3,"SUB TYPE",$B227)),"PROXY",IF(GETPIVOTDATA(IF($J227=1,"Count of ACTIVE     CED, FARM GATE (MJ/kg)","Count of CED, processor gate (MJ/kg)"),'Pivot Table_CED'!$A$3,"SUB TYPE",$B227)=0,"PROXY","DB value"))</f>
        <v>PROXY</v>
      </c>
      <c r="M227" s="118">
        <f ca="1">IF($L227="PROXY",DCOUNT('literature entries'!$D:$AI,IF($J227=1,"ACTIVE     CED, FARM GATE (MJ/kg)","CED, processor gate (MJ/kg)"),INDIRECT($K227)),GETPIVOTDATA(IF($J227=1,"Count of ACTIVE     CED, FARM GATE (MJ/kg)","Count of CED, processor gate (MJ/kg)"),'Pivot Table_CED'!$A$3,"SUB TYPE",$B227))</f>
        <v>3</v>
      </c>
      <c r="N227" s="119">
        <f ca="1">IF($L227="PROXY",DAVERAGE('literature entries'!$D:$AI,IF($J227=1,"ACTIVE     CED, FARM GATE (MJ/kg)","CED, processor gate (MJ/kg)"),INDIRECT($K227)),GETPIVOTDATA(IF($J227=1,"Average of ACTIVE     CED, FARM GATE (MJ/kg)","Average of CED, processor gate (MJ/kg)"),'Pivot Table_CED'!$A$3,"SUB TYPE",$B227))</f>
        <v>1.5507451766666669</v>
      </c>
      <c r="O227" s="119">
        <f ca="1">IF($L227="PROXY",DSTDEV('literature entries'!D:AI,IF($J227=1,"ACTIVE     CED, FARM GATE (MJ/kg)","CED, processor gate (MJ/kg)"),INDIRECT($K227)),GETPIVOTDATA(IF($J227=1,"StdDev of ACTIVE     CED, FARM GATE (MJ/kg)","StdDev of CED, processor gate (MJ/kg)"),'Pivot Table_CED'!$A$3,"SUB TYPE",$B227))</f>
        <v>1.545573713255328</v>
      </c>
      <c r="P227" s="135" t="str">
        <f>IF(ISERROR(GETPIVOTDATA(IF($J227=1,"Count of ACTIVE     GHGE, FARM GATE (kg CO2e/kg)","Count of GHGE, processor gate (kg CO2e/kg)"),'Pivot Table_GHG'!$A$3,"SUB TYPE",$B227)),"PROXY",IF(GETPIVOTDATA(IF($J227=1,"Count of ACTIVE     GHGE, FARM GATE (kg CO2e/kg)","Count of GHGE, processor gate (kg CO2e/kg)"),'Pivot Table_GHG'!$A$3,"SUB TYPE",$B227)=0,"PROXY","DB value"))</f>
        <v>PROXY</v>
      </c>
      <c r="Q227" s="125">
        <f ca="1">IF($P227="PROXY",DCOUNT('literature entries'!$D:$AI,IF($J227=1,"ACTIVE     GHGE, FARM GATE (kg CO2e/kg)","GHGE, processor gate (kg CO2e/kg)"),INDIRECT($K227)),GETPIVOTDATA(IF($J227=1,"ACTIVE     GHGE, FARM GATE (kg CO2e/kg)","Count of GHGE, processor gate (kg CO2e/kg)"),'Pivot Table_GHG'!$A$3,"SUB TYPE",$B227))</f>
        <v>3</v>
      </c>
      <c r="R227" s="190">
        <f ca="1">IF($P227="PROXY",DAVERAGE('literature entries'!$D:$AI,IF($J227=1,"ACTIVE     GHGE, FARM GATE (kg CO2e/kg)","GHGE, processor gate (kg CO2e/kg)"),INDIRECT($K227)),GETPIVOTDATA(IF($J227=1,"Average of ACTIVE     GHGE, FARM GATE (kg CO2e/kg)","Average of GHGE, processor gate (kg CO2e/kg)"),'Pivot Table_GHG'!$A$3,"SUB TYPE",$B227))</f>
        <v>0.22093143666666668</v>
      </c>
      <c r="S227" s="190">
        <f ca="1">IF($P227="PROXY",DSTDEV('literature entries'!$D:$AI,IF($J227=1,"ACTIVE     GHGE, FARM GATE (kg CO2e/kg)","GHGE, processor gate (kg CO2e/kg)"),INDIRECT($K227)),GETPIVOTDATA(IF($J227=1,"StdDev of ACTIVE     GHGE, FARM GATE (kg CO2e/kg)","StdDev of GHGE, processor gate (kg CO2e/kg)"),'Pivot Table_GHG'!$A$3,"SUB TYPE",$B227))</f>
        <v>8.3542949461742316E-2</v>
      </c>
      <c r="T227" s="88"/>
      <c r="U227" s="89"/>
      <c r="W227" s="213" t="s">
        <v>2457</v>
      </c>
      <c r="X227" s="211">
        <f ca="1">IF($W227="DIRECT",M227,DCOUNT('literature entries'!$D:$AI,IF($J227=1,"ACTIVE     CED, FARM GATE (MJ/kg)","CED, processor gate (MJ/kg)"),INDIRECT($W227)))</f>
        <v>10</v>
      </c>
      <c r="Y227" s="211">
        <f ca="1">IF($W227="DIRECT","",DAVERAGE('literature entries'!$D:$AI,IF($J227=1,"ACTIVE     CED, FARM GATE (MJ/kg)","CED, processor gate (MJ/kg)"),INDIRECT($W227)))</f>
        <v>2.5657274700000001</v>
      </c>
      <c r="Z227" s="211">
        <f ca="1">IF($W227="DIRECT",$O227,DSTDEV('literature entries'!$D:$AI,IF($J227=1,"ACTIVE     CED, FARM GATE (MJ/kg)","CED, processor gate (MJ/kg)"),INDIRECT($W227)))</f>
        <v>1.5197673074222315</v>
      </c>
      <c r="AA227" s="211">
        <f t="shared" ca="1" si="30"/>
        <v>0.91855890744339763</v>
      </c>
      <c r="AB227" s="219" t="s">
        <v>2457</v>
      </c>
      <c r="AC227" s="212">
        <f ca="1">IF($AB227="DIRECT",Q227,DCOUNT('literature entries'!$D:$AI,IF($J227=1,"ACTIVE     GHGE, FARM GATE (kg CO2e/kg)","GHGE, processor gate (kg CO2e/kg)"),INDIRECT($AB227)))</f>
        <v>22</v>
      </c>
      <c r="AD227" s="212">
        <f ca="1">IF($AB227="DIRECT","",DAVERAGE('literature entries'!$D:$AI,IF($J227=1,"ACTIVE     GHGE, FARM GATE (kg CO2e/kg)","GHGE, processor gate (kg CO2e/kg)"),INDIRECT($AB227)))</f>
        <v>0.18561974136363635</v>
      </c>
      <c r="AE227" s="212">
        <f ca="1">IF($AB227="DIRECT",$S227,DSTDEV('literature entries'!$D:$AI,IF($J227=1,"ACTIVE     GHGE, FARM GATE (kg CO2e/kg)","GHGE, processor gate (kg CO2e/kg)"),INDIRECT($AB227)))</f>
        <v>9.7833632177637575E-2</v>
      </c>
      <c r="AF227" s="212">
        <f t="shared" ca="1" si="31"/>
        <v>0.11644518386102046</v>
      </c>
    </row>
    <row r="228" spans="1:32" s="19" customFormat="1" ht="17" thickBot="1" x14ac:dyDescent="0.25">
      <c r="A228" s="114">
        <v>1902105000</v>
      </c>
      <c r="B228" s="115" t="s">
        <v>1908</v>
      </c>
      <c r="C228" s="115" t="s">
        <v>1909</v>
      </c>
      <c r="D228" s="115"/>
      <c r="E228" s="115">
        <v>12421</v>
      </c>
      <c r="F228" s="111">
        <f t="shared" ca="1" si="28"/>
        <v>0</v>
      </c>
      <c r="G228" s="112">
        <f t="shared" ca="1" si="29"/>
        <v>0.87</v>
      </c>
      <c r="H228" s="116">
        <v>1</v>
      </c>
      <c r="I228" s="117" t="s">
        <v>594</v>
      </c>
      <c r="J228" s="79">
        <v>1</v>
      </c>
      <c r="K228" s="78" t="s">
        <v>2465</v>
      </c>
      <c r="L228" s="135" t="str">
        <f>IF(ISERROR(GETPIVOTDATA(IF($J228=1,"Count of ACTIVE     CED, FARM GATE (MJ/kg)","Count of CED, processor gate (MJ/kg)"),'Pivot Table_CED'!$A$3,"SUB TYPE",$B228)),"PROXY",IF(GETPIVOTDATA(IF($J228=1,"Count of ACTIVE     CED, FARM GATE (MJ/kg)","Count of CED, processor gate (MJ/kg)"),'Pivot Table_CED'!$A$3,"SUB TYPE",$B228)=0,"PROXY","DB value"))</f>
        <v>DB value</v>
      </c>
      <c r="M228" s="118">
        <f ca="1">IF($L228="PROXY",DCOUNT('literature entries'!$D:$AI,IF($J228=1,"ACTIVE     CED, FARM GATE (MJ/kg)","CED, processor gate (MJ/kg)"),INDIRECT($K228)),GETPIVOTDATA(IF($J228=1,"Count of ACTIVE     CED, FARM GATE (MJ/kg)","Count of CED, processor gate (MJ/kg)"),'Pivot Table_CED'!$A$3,"SUB TYPE",$B228))</f>
        <v>1</v>
      </c>
      <c r="N228" s="119">
        <f ca="1">IF($L228="PROXY",DAVERAGE('literature entries'!$D:$AI,IF($J228=1,"ACTIVE     CED, FARM GATE (MJ/kg)","CED, processor gate (MJ/kg)"),INDIRECT($K228)),GETPIVOTDATA(IF($J228=1,"Average of ACTIVE     CED, FARM GATE (MJ/kg)","Average of CED, processor gate (MJ/kg)"),'Pivot Table_CED'!$A$3,"SUB TYPE",$B228))</f>
        <v>0</v>
      </c>
      <c r="O228" s="119">
        <f ca="1">IF($L228="PROXY",DSTDEV('literature entries'!D:AI,IF($J228=1,"ACTIVE     CED, FARM GATE (MJ/kg)","CED, processor gate (MJ/kg)"),INDIRECT($K228)),GETPIVOTDATA(IF($J228=1,"StdDev of ACTIVE     CED, FARM GATE (MJ/kg)","StdDev of CED, processor gate (MJ/kg)"),'Pivot Table_CED'!$A$3,"SUB TYPE",$B228))</f>
        <v>0</v>
      </c>
      <c r="P228" s="135" t="str">
        <f>IF(ISERROR(GETPIVOTDATA(IF($J228=1,"Count of ACTIVE     GHGE, FARM GATE (kg CO2e/kg)","Count of GHGE, processor gate (kg CO2e/kg)"),'Pivot Table_GHG'!$A$3,"SUB TYPE",$B228)),"PROXY",IF(GETPIVOTDATA(IF($J228=1,"Count of ACTIVE     GHGE, FARM GATE (kg CO2e/kg)","Count of GHGE, processor gate (kg CO2e/kg)"),'Pivot Table_GHG'!$A$3,"SUB TYPE",$B228)=0,"PROXY","DB value"))</f>
        <v>DB value</v>
      </c>
      <c r="Q228" s="125">
        <f ca="1">IF($P228="PROXY",DCOUNT('literature entries'!$D:$AI,IF($J228=1,"ACTIVE     GHGE, FARM GATE (kg CO2e/kg)","GHGE, processor gate (kg CO2e/kg)"),INDIRECT($K228)),GETPIVOTDATA(IF($J228=1,"ACTIVE     GHGE, FARM GATE (kg CO2e/kg)","Count of GHGE, processor gate (kg CO2e/kg)"),'Pivot Table_GHG'!$A$3,"SUB TYPE",$B228))</f>
        <v>1</v>
      </c>
      <c r="R228" s="190">
        <f ca="1">IF($P228="PROXY",DAVERAGE('literature entries'!$D:$AI,IF($J228=1,"ACTIVE     GHGE, FARM GATE (kg CO2e/kg)","GHGE, processor gate (kg CO2e/kg)"),INDIRECT($K228)),GETPIVOTDATA(IF($J228=1,"Average of ACTIVE     GHGE, FARM GATE (kg CO2e/kg)","Average of GHGE, processor gate (kg CO2e/kg)"),'Pivot Table_GHG'!$A$3,"SUB TYPE",$B228))</f>
        <v>0.87</v>
      </c>
      <c r="S228" s="190" t="e">
        <f ca="1">IF($P228="PROXY",DSTDEV('literature entries'!$D:$AI,IF($J228=1,"ACTIVE     GHGE, FARM GATE (kg CO2e/kg)","GHGE, processor gate (kg CO2e/kg)"),INDIRECT($K228)),GETPIVOTDATA(IF($J228=1,"StdDev of ACTIVE     GHGE, FARM GATE (kg CO2e/kg)","StdDev of GHGE, processor gate (kg CO2e/kg)"),'Pivot Table_GHG'!$A$3,"SUB TYPE",$B228))</f>
        <v>#DIV/0!</v>
      </c>
      <c r="T228" s="88"/>
      <c r="U228" s="89"/>
      <c r="W228" s="221" t="s">
        <v>3367</v>
      </c>
      <c r="X228" s="211"/>
      <c r="Y228" s="211"/>
      <c r="Z228" s="211">
        <v>0</v>
      </c>
      <c r="AA228" s="211">
        <v>0</v>
      </c>
      <c r="AB228" s="221" t="s">
        <v>3367</v>
      </c>
      <c r="AC228" s="212"/>
      <c r="AD228" s="212"/>
      <c r="AE228" s="212">
        <v>0</v>
      </c>
      <c r="AF228" s="212">
        <v>0</v>
      </c>
    </row>
    <row r="229" spans="1:32" s="19" customFormat="1" ht="17" thickBot="1" x14ac:dyDescent="0.25">
      <c r="A229" s="114">
        <v>1902119000</v>
      </c>
      <c r="B229" s="115" t="s">
        <v>1930</v>
      </c>
      <c r="C229" s="115" t="s">
        <v>1931</v>
      </c>
      <c r="D229" s="115" t="s">
        <v>1932</v>
      </c>
      <c r="E229" s="115">
        <v>19105</v>
      </c>
      <c r="F229" s="111">
        <f t="shared" ca="1" si="28"/>
        <v>0</v>
      </c>
      <c r="G229" s="112">
        <f t="shared" ca="1" si="29"/>
        <v>0.87</v>
      </c>
      <c r="H229" s="116">
        <v>1</v>
      </c>
      <c r="I229" s="117" t="s">
        <v>594</v>
      </c>
      <c r="J229" s="79">
        <v>1</v>
      </c>
      <c r="K229" s="78" t="s">
        <v>2465</v>
      </c>
      <c r="L229" s="135" t="str">
        <f>IF(ISERROR(GETPIVOTDATA(IF($J229=1,"Count of ACTIVE     CED, FARM GATE (MJ/kg)","Count of CED, processor gate (MJ/kg)"),'Pivot Table_CED'!$A$3,"SUB TYPE",$B229)),"PROXY",IF(GETPIVOTDATA(IF($J229=1,"Count of ACTIVE     CED, FARM GATE (MJ/kg)","Count of CED, processor gate (MJ/kg)"),'Pivot Table_CED'!$A$3,"SUB TYPE",$B229)=0,"PROXY","DB value"))</f>
        <v>PROXY</v>
      </c>
      <c r="M229" s="118">
        <f ca="1">IF($L229="PROXY",DCOUNT('literature entries'!$D:$AI,IF($J229=1,"ACTIVE     CED, FARM GATE (MJ/kg)","CED, processor gate (MJ/kg)"),INDIRECT($K229)),GETPIVOTDATA(IF($J229=1,"Count of ACTIVE     CED, FARM GATE (MJ/kg)","Count of CED, processor gate (MJ/kg)"),'Pivot Table_CED'!$A$3,"SUB TYPE",$B229))</f>
        <v>1</v>
      </c>
      <c r="N229" s="119">
        <f ca="1">IF($L229="PROXY",DAVERAGE('literature entries'!$D:$AI,IF($J229=1,"ACTIVE     CED, FARM GATE (MJ/kg)","CED, processor gate (MJ/kg)"),INDIRECT($K229)),GETPIVOTDATA(IF($J229=1,"Average of ACTIVE     CED, FARM GATE (MJ/kg)","Average of CED, processor gate (MJ/kg)"),'Pivot Table_CED'!$A$3,"SUB TYPE",$B229))</f>
        <v>0</v>
      </c>
      <c r="O229" s="119" t="e">
        <f ca="1">IF($L229="PROXY",DSTDEV('literature entries'!D:AI,IF($J229=1,"ACTIVE     CED, FARM GATE (MJ/kg)","CED, processor gate (MJ/kg)"),INDIRECT($K229)),GETPIVOTDATA(IF($J229=1,"StdDev of ACTIVE     CED, FARM GATE (MJ/kg)","StdDev of CED, processor gate (MJ/kg)"),'Pivot Table_CED'!$A$3,"SUB TYPE",$B229))</f>
        <v>#DIV/0!</v>
      </c>
      <c r="P229" s="135" t="str">
        <f>IF(ISERROR(GETPIVOTDATA(IF($J229=1,"Count of ACTIVE     GHGE, FARM GATE (kg CO2e/kg)","Count of GHGE, processor gate (kg CO2e/kg)"),'Pivot Table_GHG'!$A$3,"SUB TYPE",$B229)),"PROXY",IF(GETPIVOTDATA(IF($J229=1,"Count of ACTIVE     GHGE, FARM GATE (kg CO2e/kg)","Count of GHGE, processor gate (kg CO2e/kg)"),'Pivot Table_GHG'!$A$3,"SUB TYPE",$B229)=0,"PROXY","DB value"))</f>
        <v>PROXY</v>
      </c>
      <c r="Q229" s="125">
        <f ca="1">IF($P229="PROXY",DCOUNT('literature entries'!$D:$AI,IF($J229=1,"ACTIVE     GHGE, FARM GATE (kg CO2e/kg)","GHGE, processor gate (kg CO2e/kg)"),INDIRECT($K229)),GETPIVOTDATA(IF($J229=1,"ACTIVE     GHGE, FARM GATE (kg CO2e/kg)","Count of GHGE, processor gate (kg CO2e/kg)"),'Pivot Table_GHG'!$A$3,"SUB TYPE",$B229))</f>
        <v>2</v>
      </c>
      <c r="R229" s="190">
        <f ca="1">IF($P229="PROXY",DAVERAGE('literature entries'!$D:$AI,IF($J229=1,"ACTIVE     GHGE, FARM GATE (kg CO2e/kg)","GHGE, processor gate (kg CO2e/kg)"),INDIRECT($K229)),GETPIVOTDATA(IF($J229=1,"Average of ACTIVE     GHGE, FARM GATE (kg CO2e/kg)","Average of GHGE, processor gate (kg CO2e/kg)"),'Pivot Table_GHG'!$A$3,"SUB TYPE",$B229))</f>
        <v>0.87</v>
      </c>
      <c r="S229" s="190">
        <f ca="1">IF($P229="PROXY",DSTDEV('literature entries'!$D:$AI,IF($J229=1,"ACTIVE     GHGE, FARM GATE (kg CO2e/kg)","GHGE, processor gate (kg CO2e/kg)"),INDIRECT($K229)),GETPIVOTDATA(IF($J229=1,"StdDev of ACTIVE     GHGE, FARM GATE (kg CO2e/kg)","StdDev of GHGE, processor gate (kg CO2e/kg)"),'Pivot Table_GHG'!$A$3,"SUB TYPE",$B229))</f>
        <v>0</v>
      </c>
      <c r="T229" s="88"/>
      <c r="U229" s="89"/>
      <c r="W229" s="221" t="s">
        <v>3367</v>
      </c>
      <c r="X229" s="211"/>
      <c r="Y229" s="211"/>
      <c r="Z229" s="211">
        <v>0</v>
      </c>
      <c r="AA229" s="211">
        <v>0</v>
      </c>
      <c r="AB229" s="221" t="s">
        <v>3367</v>
      </c>
      <c r="AC229" s="212"/>
      <c r="AD229" s="212"/>
      <c r="AE229" s="212">
        <v>0</v>
      </c>
      <c r="AF229" s="212">
        <v>0</v>
      </c>
    </row>
    <row r="230" spans="1:32" s="19" customFormat="1" ht="17" thickBot="1" x14ac:dyDescent="0.25">
      <c r="A230" s="114">
        <v>1902143000</v>
      </c>
      <c r="B230" s="115" t="s">
        <v>1964</v>
      </c>
      <c r="C230" s="115" t="s">
        <v>1965</v>
      </c>
      <c r="D230" s="115"/>
      <c r="E230" s="115">
        <v>4949</v>
      </c>
      <c r="F230" s="111">
        <f t="shared" ca="1" si="28"/>
        <v>0</v>
      </c>
      <c r="G230" s="112">
        <f t="shared" ca="1" si="29"/>
        <v>0.87</v>
      </c>
      <c r="H230" s="116">
        <v>1</v>
      </c>
      <c r="I230" s="117" t="s">
        <v>594</v>
      </c>
      <c r="J230" s="79">
        <v>1</v>
      </c>
      <c r="K230" s="78" t="s">
        <v>2465</v>
      </c>
      <c r="L230" s="135" t="str">
        <f>IF(ISERROR(GETPIVOTDATA(IF($J230=1,"Count of ACTIVE     CED, FARM GATE (MJ/kg)","Count of CED, processor gate (MJ/kg)"),'Pivot Table_CED'!$A$3,"SUB TYPE",$B230)),"PROXY",IF(GETPIVOTDATA(IF($J230=1,"Count of ACTIVE     CED, FARM GATE (MJ/kg)","Count of CED, processor gate (MJ/kg)"),'Pivot Table_CED'!$A$3,"SUB TYPE",$B230)=0,"PROXY","DB value"))</f>
        <v>PROXY</v>
      </c>
      <c r="M230" s="118">
        <f ca="1">IF($L230="PROXY",DCOUNT('literature entries'!$D:$AI,IF($J230=1,"ACTIVE     CED, FARM GATE (MJ/kg)","CED, processor gate (MJ/kg)"),INDIRECT($K230)),GETPIVOTDATA(IF($J230=1,"Count of ACTIVE     CED, FARM GATE (MJ/kg)","Count of CED, processor gate (MJ/kg)"),'Pivot Table_CED'!$A$3,"SUB TYPE",$B230))</f>
        <v>1</v>
      </c>
      <c r="N230" s="119">
        <f ca="1">IF($L230="PROXY",DAVERAGE('literature entries'!$D:$AI,IF($J230=1,"ACTIVE     CED, FARM GATE (MJ/kg)","CED, processor gate (MJ/kg)"),INDIRECT($K230)),GETPIVOTDATA(IF($J230=1,"Average of ACTIVE     CED, FARM GATE (MJ/kg)","Average of CED, processor gate (MJ/kg)"),'Pivot Table_CED'!$A$3,"SUB TYPE",$B230))</f>
        <v>0</v>
      </c>
      <c r="O230" s="119" t="e">
        <f ca="1">IF($L230="PROXY",DSTDEV('literature entries'!D:AI,IF($J230=1,"ACTIVE     CED, FARM GATE (MJ/kg)","CED, processor gate (MJ/kg)"),INDIRECT($K230)),GETPIVOTDATA(IF($J230=1,"StdDev of ACTIVE     CED, FARM GATE (MJ/kg)","StdDev of CED, processor gate (MJ/kg)"),'Pivot Table_CED'!$A$3,"SUB TYPE",$B230))</f>
        <v>#DIV/0!</v>
      </c>
      <c r="P230" s="135" t="str">
        <f>IF(ISERROR(GETPIVOTDATA(IF($J230=1,"Count of ACTIVE     GHGE, FARM GATE (kg CO2e/kg)","Count of GHGE, processor gate (kg CO2e/kg)"),'Pivot Table_GHG'!$A$3,"SUB TYPE",$B230)),"PROXY",IF(GETPIVOTDATA(IF($J230=1,"Count of ACTIVE     GHGE, FARM GATE (kg CO2e/kg)","Count of GHGE, processor gate (kg CO2e/kg)"),'Pivot Table_GHG'!$A$3,"SUB TYPE",$B230)=0,"PROXY","DB value"))</f>
        <v>PROXY</v>
      </c>
      <c r="Q230" s="125">
        <f ca="1">IF($P230="PROXY",DCOUNT('literature entries'!$D:$AI,IF($J230=1,"ACTIVE     GHGE, FARM GATE (kg CO2e/kg)","GHGE, processor gate (kg CO2e/kg)"),INDIRECT($K230)),GETPIVOTDATA(IF($J230=1,"ACTIVE     GHGE, FARM GATE (kg CO2e/kg)","Count of GHGE, processor gate (kg CO2e/kg)"),'Pivot Table_GHG'!$A$3,"SUB TYPE",$B230))</f>
        <v>2</v>
      </c>
      <c r="R230" s="190">
        <f ca="1">IF($P230="PROXY",DAVERAGE('literature entries'!$D:$AI,IF($J230=1,"ACTIVE     GHGE, FARM GATE (kg CO2e/kg)","GHGE, processor gate (kg CO2e/kg)"),INDIRECT($K230)),GETPIVOTDATA(IF($J230=1,"Average of ACTIVE     GHGE, FARM GATE (kg CO2e/kg)","Average of GHGE, processor gate (kg CO2e/kg)"),'Pivot Table_GHG'!$A$3,"SUB TYPE",$B230))</f>
        <v>0.87</v>
      </c>
      <c r="S230" s="190">
        <f ca="1">IF($P230="PROXY",DSTDEV('literature entries'!$D:$AI,IF($J230=1,"ACTIVE     GHGE, FARM GATE (kg CO2e/kg)","GHGE, processor gate (kg CO2e/kg)"),INDIRECT($K230)),GETPIVOTDATA(IF($J230=1,"StdDev of ACTIVE     GHGE, FARM GATE (kg CO2e/kg)","StdDev of GHGE, processor gate (kg CO2e/kg)"),'Pivot Table_GHG'!$A$3,"SUB TYPE",$B230))</f>
        <v>0</v>
      </c>
      <c r="T230" s="88"/>
      <c r="U230" s="89"/>
      <c r="W230" s="221" t="s">
        <v>3367</v>
      </c>
      <c r="X230" s="211"/>
      <c r="Y230" s="211"/>
      <c r="Z230" s="211">
        <v>0</v>
      </c>
      <c r="AA230" s="211">
        <v>0</v>
      </c>
      <c r="AB230" s="221" t="s">
        <v>3367</v>
      </c>
      <c r="AC230" s="212"/>
      <c r="AD230" s="212"/>
      <c r="AE230" s="212">
        <v>0</v>
      </c>
      <c r="AF230" s="212">
        <v>0</v>
      </c>
    </row>
    <row r="231" spans="1:32" s="19" customFormat="1" ht="17" thickBot="1" x14ac:dyDescent="0.25">
      <c r="A231" s="114">
        <v>1902274000</v>
      </c>
      <c r="B231" s="115" t="s">
        <v>2157</v>
      </c>
      <c r="C231" s="115" t="s">
        <v>2158</v>
      </c>
      <c r="D231" s="115"/>
      <c r="E231" s="115">
        <v>24206</v>
      </c>
      <c r="F231" s="111">
        <f t="shared" ca="1" si="28"/>
        <v>0</v>
      </c>
      <c r="G231" s="112">
        <f t="shared" ca="1" si="29"/>
        <v>0.87</v>
      </c>
      <c r="H231" s="116">
        <v>1</v>
      </c>
      <c r="I231" s="117" t="s">
        <v>594</v>
      </c>
      <c r="J231" s="79">
        <v>1</v>
      </c>
      <c r="K231" s="78" t="s">
        <v>2465</v>
      </c>
      <c r="L231" s="135" t="str">
        <f>IF(ISERROR(GETPIVOTDATA(IF($J231=1,"Count of ACTIVE     CED, FARM GATE (MJ/kg)","Count of CED, processor gate (MJ/kg)"),'Pivot Table_CED'!$A$3,"SUB TYPE",$B231)),"PROXY",IF(GETPIVOTDATA(IF($J231=1,"Count of ACTIVE     CED, FARM GATE (MJ/kg)","Count of CED, processor gate (MJ/kg)"),'Pivot Table_CED'!$A$3,"SUB TYPE",$B231)=0,"PROXY","DB value"))</f>
        <v>PROXY</v>
      </c>
      <c r="M231" s="118">
        <f ca="1">IF($L231="PROXY",DCOUNT('literature entries'!$D:$AI,IF($J231=1,"ACTIVE     CED, FARM GATE (MJ/kg)","CED, processor gate (MJ/kg)"),INDIRECT($K231)),GETPIVOTDATA(IF($J231=1,"Count of ACTIVE     CED, FARM GATE (MJ/kg)","Count of CED, processor gate (MJ/kg)"),'Pivot Table_CED'!$A$3,"SUB TYPE",$B231))</f>
        <v>1</v>
      </c>
      <c r="N231" s="119">
        <f ca="1">IF($L231="PROXY",DAVERAGE('literature entries'!$D:$AI,IF($J231=1,"ACTIVE     CED, FARM GATE (MJ/kg)","CED, processor gate (MJ/kg)"),INDIRECT($K231)),GETPIVOTDATA(IF($J231=1,"Average of ACTIVE     CED, FARM GATE (MJ/kg)","Average of CED, processor gate (MJ/kg)"),'Pivot Table_CED'!$A$3,"SUB TYPE",$B231))</f>
        <v>0</v>
      </c>
      <c r="O231" s="119" t="e">
        <f ca="1">IF($L231="PROXY",DSTDEV('literature entries'!D:AI,IF($J231=1,"ACTIVE     CED, FARM GATE (MJ/kg)","CED, processor gate (MJ/kg)"),INDIRECT($K231)),GETPIVOTDATA(IF($J231=1,"StdDev of ACTIVE     CED, FARM GATE (MJ/kg)","StdDev of CED, processor gate (MJ/kg)"),'Pivot Table_CED'!$A$3,"SUB TYPE",$B231))</f>
        <v>#DIV/0!</v>
      </c>
      <c r="P231" s="135" t="str">
        <f>IF(ISERROR(GETPIVOTDATA(IF($J231=1,"Count of ACTIVE     GHGE, FARM GATE (kg CO2e/kg)","Count of GHGE, processor gate (kg CO2e/kg)"),'Pivot Table_GHG'!$A$3,"SUB TYPE",$B231)),"PROXY",IF(GETPIVOTDATA(IF($J231=1,"Count of ACTIVE     GHGE, FARM GATE (kg CO2e/kg)","Count of GHGE, processor gate (kg CO2e/kg)"),'Pivot Table_GHG'!$A$3,"SUB TYPE",$B231)=0,"PROXY","DB value"))</f>
        <v>DB value</v>
      </c>
      <c r="Q231" s="125">
        <f ca="1">IF($P231="PROXY",DCOUNT('literature entries'!$D:$AI,IF($J231=1,"ACTIVE     GHGE, FARM GATE (kg CO2e/kg)","GHGE, processor gate (kg CO2e/kg)"),INDIRECT($K231)),GETPIVOTDATA(IF($J231=1,"ACTIVE     GHGE, FARM GATE (kg CO2e/kg)","Count of GHGE, processor gate (kg CO2e/kg)"),'Pivot Table_GHG'!$A$3,"SUB TYPE",$B231))</f>
        <v>1</v>
      </c>
      <c r="R231" s="190">
        <f ca="1">IF($P231="PROXY",DAVERAGE('literature entries'!$D:$AI,IF($J231=1,"ACTIVE     GHGE, FARM GATE (kg CO2e/kg)","GHGE, processor gate (kg CO2e/kg)"),INDIRECT($K231)),GETPIVOTDATA(IF($J231=1,"Average of ACTIVE     GHGE, FARM GATE (kg CO2e/kg)","Average of GHGE, processor gate (kg CO2e/kg)"),'Pivot Table_GHG'!$A$3,"SUB TYPE",$B231))</f>
        <v>0.87</v>
      </c>
      <c r="S231" s="190" t="e">
        <f ca="1">IF($P231="PROXY",DSTDEV('literature entries'!$D:$AI,IF($J231=1,"ACTIVE     GHGE, FARM GATE (kg CO2e/kg)","GHGE, processor gate (kg CO2e/kg)"),INDIRECT($K231)),GETPIVOTDATA(IF($J231=1,"StdDev of ACTIVE     GHGE, FARM GATE (kg CO2e/kg)","StdDev of GHGE, processor gate (kg CO2e/kg)"),'Pivot Table_GHG'!$A$3,"SUB TYPE",$B231))</f>
        <v>#DIV/0!</v>
      </c>
      <c r="T231" s="88"/>
      <c r="U231" s="89"/>
      <c r="W231" s="221" t="s">
        <v>3367</v>
      </c>
      <c r="X231" s="211"/>
      <c r="Y231" s="211"/>
      <c r="Z231" s="211">
        <v>0</v>
      </c>
      <c r="AA231" s="211">
        <v>0</v>
      </c>
      <c r="AB231" s="221" t="s">
        <v>3367</v>
      </c>
      <c r="AC231" s="212"/>
      <c r="AD231" s="212"/>
      <c r="AE231" s="212">
        <v>0</v>
      </c>
      <c r="AF231" s="212">
        <v>0</v>
      </c>
    </row>
    <row r="232" spans="1:32" s="19" customFormat="1" ht="17" thickBot="1" x14ac:dyDescent="0.25">
      <c r="A232" s="114">
        <v>1902354000</v>
      </c>
      <c r="B232" s="115" t="s">
        <v>2274</v>
      </c>
      <c r="C232" s="115" t="s">
        <v>2095</v>
      </c>
      <c r="D232" s="115" t="s">
        <v>2275</v>
      </c>
      <c r="E232" s="115">
        <v>37630</v>
      </c>
      <c r="F232" s="111">
        <f t="shared" ca="1" si="28"/>
        <v>0</v>
      </c>
      <c r="G232" s="112">
        <f t="shared" ca="1" si="29"/>
        <v>0.87</v>
      </c>
      <c r="H232" s="116">
        <v>1</v>
      </c>
      <c r="I232" s="117" t="s">
        <v>594</v>
      </c>
      <c r="J232" s="79">
        <v>1</v>
      </c>
      <c r="K232" s="78" t="s">
        <v>2465</v>
      </c>
      <c r="L232" s="135" t="str">
        <f>IF(ISERROR(GETPIVOTDATA(IF($J232=1,"Count of ACTIVE     CED, FARM GATE (MJ/kg)","Count of CED, processor gate (MJ/kg)"),'Pivot Table_CED'!$A$3,"SUB TYPE",$B232)),"PROXY",IF(GETPIVOTDATA(IF($J232=1,"Count of ACTIVE     CED, FARM GATE (MJ/kg)","Count of CED, processor gate (MJ/kg)"),'Pivot Table_CED'!$A$3,"SUB TYPE",$B232)=0,"PROXY","DB value"))</f>
        <v>PROXY</v>
      </c>
      <c r="M232" s="118">
        <f ca="1">IF($L232="PROXY",DCOUNT('literature entries'!$D:$AI,IF($J232=1,"ACTIVE     CED, FARM GATE (MJ/kg)","CED, processor gate (MJ/kg)"),INDIRECT($K232)),GETPIVOTDATA(IF($J232=1,"Count of ACTIVE     CED, FARM GATE (MJ/kg)","Count of CED, processor gate (MJ/kg)"),'Pivot Table_CED'!$A$3,"SUB TYPE",$B232))</f>
        <v>1</v>
      </c>
      <c r="N232" s="119">
        <f ca="1">IF($L232="PROXY",DAVERAGE('literature entries'!$D:$AI,IF($J232=1,"ACTIVE     CED, FARM GATE (MJ/kg)","CED, processor gate (MJ/kg)"),INDIRECT($K232)),GETPIVOTDATA(IF($J232=1,"Average of ACTIVE     CED, FARM GATE (MJ/kg)","Average of CED, processor gate (MJ/kg)"),'Pivot Table_CED'!$A$3,"SUB TYPE",$B232))</f>
        <v>0</v>
      </c>
      <c r="O232" s="119" t="e">
        <f ca="1">IF($L232="PROXY",DSTDEV('literature entries'!D:AI,IF($J232=1,"ACTIVE     CED, FARM GATE (MJ/kg)","CED, processor gate (MJ/kg)"),INDIRECT($K232)),GETPIVOTDATA(IF($J232=1,"StdDev of ACTIVE     CED, FARM GATE (MJ/kg)","StdDev of CED, processor gate (MJ/kg)"),'Pivot Table_CED'!$A$3,"SUB TYPE",$B232))</f>
        <v>#DIV/0!</v>
      </c>
      <c r="P232" s="135" t="str">
        <f>IF(ISERROR(GETPIVOTDATA(IF($J232=1,"Count of ACTIVE     GHGE, FARM GATE (kg CO2e/kg)","Count of GHGE, processor gate (kg CO2e/kg)"),'Pivot Table_GHG'!$A$3,"SUB TYPE",$B232)),"PROXY",IF(GETPIVOTDATA(IF($J232=1,"Count of ACTIVE     GHGE, FARM GATE (kg CO2e/kg)","Count of GHGE, processor gate (kg CO2e/kg)"),'Pivot Table_GHG'!$A$3,"SUB TYPE",$B232)=0,"PROXY","DB value"))</f>
        <v>PROXY</v>
      </c>
      <c r="Q232" s="125">
        <f ca="1">IF($P232="PROXY",DCOUNT('literature entries'!$D:$AI,IF($J232=1,"ACTIVE     GHGE, FARM GATE (kg CO2e/kg)","GHGE, processor gate (kg CO2e/kg)"),INDIRECT($K232)),GETPIVOTDATA(IF($J232=1,"ACTIVE     GHGE, FARM GATE (kg CO2e/kg)","Count of GHGE, processor gate (kg CO2e/kg)"),'Pivot Table_GHG'!$A$3,"SUB TYPE",$B232))</f>
        <v>2</v>
      </c>
      <c r="R232" s="190">
        <f ca="1">IF($P232="PROXY",DAVERAGE('literature entries'!$D:$AI,IF($J232=1,"ACTIVE     GHGE, FARM GATE (kg CO2e/kg)","GHGE, processor gate (kg CO2e/kg)"),INDIRECT($K232)),GETPIVOTDATA(IF($J232=1,"Average of ACTIVE     GHGE, FARM GATE (kg CO2e/kg)","Average of GHGE, processor gate (kg CO2e/kg)"),'Pivot Table_GHG'!$A$3,"SUB TYPE",$B232))</f>
        <v>0.87</v>
      </c>
      <c r="S232" s="190">
        <f ca="1">IF($P232="PROXY",DSTDEV('literature entries'!$D:$AI,IF($J232=1,"ACTIVE     GHGE, FARM GATE (kg CO2e/kg)","GHGE, processor gate (kg CO2e/kg)"),INDIRECT($K232)),GETPIVOTDATA(IF($J232=1,"StdDev of ACTIVE     GHGE, FARM GATE (kg CO2e/kg)","StdDev of GHGE, processor gate (kg CO2e/kg)"),'Pivot Table_GHG'!$A$3,"SUB TYPE",$B232))</f>
        <v>0</v>
      </c>
      <c r="T232" s="88"/>
      <c r="U232" s="89"/>
      <c r="W232" s="221" t="s">
        <v>3367</v>
      </c>
      <c r="X232" s="211"/>
      <c r="Y232" s="211"/>
      <c r="Z232" s="211">
        <v>0</v>
      </c>
      <c r="AA232" s="211">
        <v>0</v>
      </c>
      <c r="AB232" s="221" t="s">
        <v>3367</v>
      </c>
      <c r="AC232" s="212"/>
      <c r="AD232" s="212"/>
      <c r="AE232" s="212">
        <v>0</v>
      </c>
      <c r="AF232" s="212">
        <v>0</v>
      </c>
    </row>
    <row r="233" spans="1:32" s="19" customFormat="1" ht="17" thickBot="1" x14ac:dyDescent="0.25">
      <c r="A233" s="114">
        <v>2001162900</v>
      </c>
      <c r="B233" s="115" t="s">
        <v>1994</v>
      </c>
      <c r="C233" s="115" t="s">
        <v>1808</v>
      </c>
      <c r="D233" s="115" t="s">
        <v>1809</v>
      </c>
      <c r="E233" s="115">
        <v>68</v>
      </c>
      <c r="F233" s="111">
        <f t="shared" ca="1" si="28"/>
        <v>2.5841213096774194</v>
      </c>
      <c r="G233" s="112">
        <f t="shared" ca="1" si="29"/>
        <v>0.39349345733333324</v>
      </c>
      <c r="H233" s="116">
        <v>1</v>
      </c>
      <c r="I233" s="117" t="s">
        <v>594</v>
      </c>
      <c r="J233" s="79">
        <v>1</v>
      </c>
      <c r="K233" s="78" t="s">
        <v>2702</v>
      </c>
      <c r="L233" s="135" t="str">
        <f>IF(ISERROR(GETPIVOTDATA(IF($J233=1,"Count of ACTIVE     CED, FARM GATE (MJ/kg)","Count of CED, processor gate (MJ/kg)"),'Pivot Table_CED'!$A$3,"SUB TYPE",$B233)),"PROXY",IF(GETPIVOTDATA(IF($J233=1,"Count of ACTIVE     CED, FARM GATE (MJ/kg)","Count of CED, processor gate (MJ/kg)"),'Pivot Table_CED'!$A$3,"SUB TYPE",$B233)=0,"PROXY","DB value"))</f>
        <v>PROXY</v>
      </c>
      <c r="M233" s="118">
        <f ca="1">IF($L233="PROXY",DCOUNT('literature entries'!$D:$AI,IF($J233=1,"ACTIVE     CED, FARM GATE (MJ/kg)","CED, processor gate (MJ/kg)"),INDIRECT($K233)),GETPIVOTDATA(IF($J233=1,"Count of ACTIVE     CED, FARM GATE (MJ/kg)","Count of CED, processor gate (MJ/kg)"),'Pivot Table_CED'!$A$3,"SUB TYPE",$B233))</f>
        <v>31</v>
      </c>
      <c r="N233" s="119">
        <f ca="1">IF($L233="PROXY",DAVERAGE('literature entries'!$D:$AI,IF($J233=1,"ACTIVE     CED, FARM GATE (MJ/kg)","CED, processor gate (MJ/kg)"),INDIRECT($K233)),GETPIVOTDATA(IF($J233=1,"Average of ACTIVE     CED, FARM GATE (MJ/kg)","Average of CED, processor gate (MJ/kg)"),'Pivot Table_CED'!$A$3,"SUB TYPE",$B233))</f>
        <v>2.5841213096774194</v>
      </c>
      <c r="O233" s="119">
        <f ca="1">IF($L233="PROXY",DSTDEV('literature entries'!D:AI,IF($J233=1,"ACTIVE     CED, FARM GATE (MJ/kg)","CED, processor gate (MJ/kg)"),INDIRECT($K233)),GETPIVOTDATA(IF($J233=1,"StdDev of ACTIVE     CED, FARM GATE (MJ/kg)","StdDev of CED, processor gate (MJ/kg)"),'Pivot Table_CED'!$A$3,"SUB TYPE",$B233))</f>
        <v>1.1854190703188778</v>
      </c>
      <c r="P233" s="135" t="str">
        <f>IF(ISERROR(GETPIVOTDATA(IF($J233=1,"Count of ACTIVE     GHGE, FARM GATE (kg CO2e/kg)","Count of GHGE, processor gate (kg CO2e/kg)"),'Pivot Table_GHG'!$A$3,"SUB TYPE",$B233)),"PROXY",IF(GETPIVOTDATA(IF($J233=1,"Count of ACTIVE     GHGE, FARM GATE (kg CO2e/kg)","Count of GHGE, processor gate (kg CO2e/kg)"),'Pivot Table_GHG'!$A$3,"SUB TYPE",$B233)=0,"PROXY","DB value"))</f>
        <v>PROXY</v>
      </c>
      <c r="Q233" s="125">
        <f ca="1">IF($P233="PROXY",DCOUNT('literature entries'!$D:$AI,IF($J233=1,"ACTIVE     GHGE, FARM GATE (kg CO2e/kg)","GHGE, processor gate (kg CO2e/kg)"),INDIRECT($K233)),GETPIVOTDATA(IF($J233=1,"ACTIVE     GHGE, FARM GATE (kg CO2e/kg)","Count of GHGE, processor gate (kg CO2e/kg)"),'Pivot Table_GHG'!$A$3,"SUB TYPE",$B233))</f>
        <v>45</v>
      </c>
      <c r="R233" s="190">
        <f ca="1">IF($P233="PROXY",DAVERAGE('literature entries'!$D:$AI,IF($J233=1,"ACTIVE     GHGE, FARM GATE (kg CO2e/kg)","GHGE, processor gate (kg CO2e/kg)"),INDIRECT($K233)),GETPIVOTDATA(IF($J233=1,"Average of ACTIVE     GHGE, FARM GATE (kg CO2e/kg)","Average of GHGE, processor gate (kg CO2e/kg)"),'Pivot Table_GHG'!$A$3,"SUB TYPE",$B233))</f>
        <v>0.39349345733333324</v>
      </c>
      <c r="S233" s="190">
        <f ca="1">IF($P233="PROXY",DSTDEV('literature entries'!$D:$AI,IF($J233=1,"ACTIVE     GHGE, FARM GATE (kg CO2e/kg)","GHGE, processor gate (kg CO2e/kg)"),INDIRECT($K233)),GETPIVOTDATA(IF($J233=1,"StdDev of ACTIVE     GHGE, FARM GATE (kg CO2e/kg)","StdDev of GHGE, processor gate (kg CO2e/kg)"),'Pivot Table_GHG'!$A$3,"SUB TYPE",$B233))</f>
        <v>0.20361467618492471</v>
      </c>
      <c r="T233" s="88"/>
      <c r="U233" s="89"/>
      <c r="W233" s="213" t="str">
        <f ca="1">IF(L233="PROXY",IF(M233&gt;=5,K233,"need group"),IF(M233&gt;=5,"DIRECT","need group"))</f>
        <v>grains</v>
      </c>
      <c r="X233" s="211">
        <f ca="1">IF($W233="DIRECT",M233,DCOUNT('literature entries'!$D:$AI,IF($J233=1,"ACTIVE     CED, FARM GATE (MJ/kg)","CED, processor gate (MJ/kg)"),INDIRECT($W233)))</f>
        <v>31</v>
      </c>
      <c r="Y233" s="211">
        <f ca="1">IF($W233="DIRECT","",DAVERAGE('literature entries'!$D:$AI,IF($J233=1,"ACTIVE     CED, FARM GATE (MJ/kg)","CED, processor gate (MJ/kg)"),INDIRECT($W233)))</f>
        <v>2.5841213096774194</v>
      </c>
      <c r="Z233" s="211">
        <f ca="1">IF($W233="DIRECT",$O233,DSTDEV('literature entries'!$D:$AI,IF($J233=1,"ACTIVE     CED, FARM GATE (MJ/kg)","CED, processor gate (MJ/kg)"),INDIRECT($W233)))</f>
        <v>1.1854190703188778</v>
      </c>
      <c r="AA233" s="211">
        <f t="shared" ref="AA233:AA264" ca="1" si="32">IF($W233="DIRECT",$O233,$Z233/$Y233*$N233)</f>
        <v>1.1854190703188778</v>
      </c>
      <c r="AB233" s="219" t="str">
        <f ca="1">IF(P233="PROXY",IF(Q233&gt;=5,K233,"need group"),IF(Q233&gt;=5,"DIRECT","need group"))</f>
        <v>grains</v>
      </c>
      <c r="AC233" s="212">
        <f ca="1">IF($AB233="DIRECT",Q233,DCOUNT('literature entries'!$D:$AI,IF($J233=1,"ACTIVE     GHGE, FARM GATE (kg CO2e/kg)","GHGE, processor gate (kg CO2e/kg)"),INDIRECT($AB233)))</f>
        <v>45</v>
      </c>
      <c r="AD233" s="212">
        <f ca="1">IF($AB233="DIRECT","",DAVERAGE('literature entries'!$D:$AI,IF($J233=1,"ACTIVE     GHGE, FARM GATE (kg CO2e/kg)","GHGE, processor gate (kg CO2e/kg)"),INDIRECT($AB233)))</f>
        <v>0.39349345733333324</v>
      </c>
      <c r="AE233" s="212">
        <f ca="1">IF($AB233="DIRECT",$S233,DSTDEV('literature entries'!$D:$AI,IF($J233=1,"ACTIVE     GHGE, FARM GATE (kg CO2e/kg)","GHGE, processor gate (kg CO2e/kg)"),INDIRECT($AB233)))</f>
        <v>0.20361467618492471</v>
      </c>
      <c r="AF233" s="212">
        <f t="shared" ref="AF233:AF264" ca="1" si="33">IF($AB233="DIRECT",$S233,$AE233/$AD233*$R233)</f>
        <v>0.20361467618492474</v>
      </c>
    </row>
    <row r="234" spans="1:32" s="19" customFormat="1" ht="17" thickBot="1" x14ac:dyDescent="0.25">
      <c r="A234" s="114">
        <v>2001163000</v>
      </c>
      <c r="B234" s="115" t="s">
        <v>1991</v>
      </c>
      <c r="C234" s="115" t="s">
        <v>1992</v>
      </c>
      <c r="D234" s="115" t="s">
        <v>1993</v>
      </c>
      <c r="E234" s="115">
        <v>176</v>
      </c>
      <c r="F234" s="111">
        <f t="shared" ca="1" si="28"/>
        <v>14.640679666666665</v>
      </c>
      <c r="G234" s="112">
        <f t="shared" ca="1" si="29"/>
        <v>2.3340000000000001</v>
      </c>
      <c r="H234" s="120">
        <v>1</v>
      </c>
      <c r="I234" s="117" t="s">
        <v>628</v>
      </c>
      <c r="J234" s="79">
        <v>2</v>
      </c>
      <c r="K234" s="78" t="s">
        <v>3291</v>
      </c>
      <c r="L234" s="135" t="str">
        <f>IF(ISERROR(GETPIVOTDATA(IF($J234=1,"Count of ACTIVE     CED, FARM GATE (MJ/kg)","Count of CED, processor gate (MJ/kg)"),'Pivot Table_CED'!$A$3,"SUB TYPE",$B234)),"PROXY",IF(GETPIVOTDATA(IF($J234=1,"Count of ACTIVE     CED, FARM GATE (MJ/kg)","Count of CED, processor gate (MJ/kg)"),'Pivot Table_CED'!$A$3,"SUB TYPE",$B234)=0,"PROXY","DB value"))</f>
        <v>PROXY</v>
      </c>
      <c r="M234" s="118">
        <f ca="1">IF($L234="PROXY",DCOUNT('literature entries'!$D:$AI,IF($J234=1,"ACTIVE     CED, FARM GATE (MJ/kg)","CED, processor gate (MJ/kg)"),INDIRECT($K234)),GETPIVOTDATA(IF($J234=1,"Count of ACTIVE     CED, FARM GATE (MJ/kg)","Count of CED, processor gate (MJ/kg)"),'Pivot Table_CED'!$A$3,"SUB TYPE",$B234))</f>
        <v>3</v>
      </c>
      <c r="N234" s="119">
        <f ca="1">IF($L234="PROXY",DAVERAGE('literature entries'!$D:$AI,IF($J234=1,"ACTIVE     CED, FARM GATE (MJ/kg)","CED, processor gate (MJ/kg)"),INDIRECT($K234)),GETPIVOTDATA(IF($J234=1,"Average of ACTIVE     CED, FARM GATE (MJ/kg)","Average of CED, processor gate (MJ/kg)"),'Pivot Table_CED'!$A$3,"SUB TYPE",$B234))</f>
        <v>14.640679666666665</v>
      </c>
      <c r="O234" s="119">
        <f ca="1">IF($L234="PROXY",DSTDEV('literature entries'!D:AI,IF($J234=1,"ACTIVE     CED, FARM GATE (MJ/kg)","CED, processor gate (MJ/kg)"),INDIRECT($K234)),GETPIVOTDATA(IF($J234=1,"StdDev of ACTIVE     CED, FARM GATE (MJ/kg)","StdDev of CED, processor gate (MJ/kg)"),'Pivot Table_CED'!$A$3,"SUB TYPE",$B234))</f>
        <v>9.5707118202326189</v>
      </c>
      <c r="P234" s="135" t="str">
        <f>IF(ISERROR(GETPIVOTDATA(IF($J234=1,"Count of ACTIVE     GHGE, FARM GATE (kg CO2e/kg)","Count of GHGE, processor gate (kg CO2e/kg)"),'Pivot Table_GHG'!$A$3,"SUB TYPE",$B234)),"PROXY",IF(GETPIVOTDATA(IF($J234=1,"Count of ACTIVE     GHGE, FARM GATE (kg CO2e/kg)","Count of GHGE, processor gate (kg CO2e/kg)"),'Pivot Table_GHG'!$A$3,"SUB TYPE",$B234)=0,"PROXY","DB value"))</f>
        <v>PROXY</v>
      </c>
      <c r="Q234" s="125">
        <f ca="1">IF($P234="PROXY",DCOUNT('literature entries'!$D:$AI,IF($J234=1,"ACTIVE     GHGE, FARM GATE (kg CO2e/kg)","GHGE, processor gate (kg CO2e/kg)"),INDIRECT($K234)),GETPIVOTDATA(IF($J234=1,"ACTIVE     GHGE, FARM GATE (kg CO2e/kg)","Count of GHGE, processor gate (kg CO2e/kg)"),'Pivot Table_GHG'!$A$3,"SUB TYPE",$B234))</f>
        <v>4</v>
      </c>
      <c r="R234" s="190">
        <f ca="1">IF($P234="PROXY",DAVERAGE('literature entries'!$D:$AI,IF($J234=1,"ACTIVE     GHGE, FARM GATE (kg CO2e/kg)","GHGE, processor gate (kg CO2e/kg)"),INDIRECT($K234)),GETPIVOTDATA(IF($J234=1,"Average of ACTIVE     GHGE, FARM GATE (kg CO2e/kg)","Average of GHGE, processor gate (kg CO2e/kg)"),'Pivot Table_GHG'!$A$3,"SUB TYPE",$B234))</f>
        <v>2.3340000000000001</v>
      </c>
      <c r="S234" s="190">
        <f ca="1">IF($P234="PROXY",DSTDEV('literature entries'!$D:$AI,IF($J234=1,"ACTIVE     GHGE, FARM GATE (kg CO2e/kg)","GHGE, processor gate (kg CO2e/kg)"),INDIRECT($K234)),GETPIVOTDATA(IF($J234=1,"StdDev of ACTIVE     GHGE, FARM GATE (kg CO2e/kg)","StdDev of GHGE, processor gate (kg CO2e/kg)"),'Pivot Table_GHG'!$A$3,"SUB TYPE",$B234))</f>
        <v>0.36239573213086351</v>
      </c>
      <c r="T234" s="88"/>
      <c r="U234" s="89"/>
      <c r="W234" s="213" t="s">
        <v>3354</v>
      </c>
      <c r="X234" s="211">
        <f ca="1">IF($W234="DIRECT",M234,DCOUNT('literature entries'!$D:$AI,IF($J234=1,"ACTIVE     CED, FARM GATE (MJ/kg)","CED, processor gate (MJ/kg)"),INDIRECT($W234)))</f>
        <v>16</v>
      </c>
      <c r="Y234" s="211">
        <f ca="1">IF($W234="DIRECT","",DAVERAGE('literature entries'!$D:$AI,IF($J234=1,"ACTIVE     CED, FARM GATE (MJ/kg)","CED, processor gate (MJ/kg)"),INDIRECT($W234)))</f>
        <v>11.873325197282607</v>
      </c>
      <c r="Z234" s="211">
        <f ca="1">IF($W234="DIRECT",$O234,DSTDEV('literature entries'!$D:$AI,IF($J234=1,"ACTIVE     CED, FARM GATE (MJ/kg)","CED, processor gate (MJ/kg)"),INDIRECT($W234)))</f>
        <v>5.663275464099641</v>
      </c>
      <c r="AA234" s="211">
        <f t="shared" ca="1" si="32"/>
        <v>6.9832334713574609</v>
      </c>
      <c r="AB234" s="219" t="s">
        <v>3354</v>
      </c>
      <c r="AC234" s="212">
        <f ca="1">IF($AB234="DIRECT",Q234,DCOUNT('literature entries'!$D:$AI,IF($J234=1,"ACTIVE     GHGE, FARM GATE (kg CO2e/kg)","GHGE, processor gate (kg CO2e/kg)"),INDIRECT($AB234)))</f>
        <v>19</v>
      </c>
      <c r="AD234" s="212">
        <f ca="1">IF($AB234="DIRECT","",DAVERAGE('literature entries'!$D:$AI,IF($J234=1,"ACTIVE     GHGE, FARM GATE (kg CO2e/kg)","GHGE, processor gate (kg CO2e/kg)"),INDIRECT($AB234)))</f>
        <v>3.6074757576297722</v>
      </c>
      <c r="AE234" s="212">
        <f ca="1">IF($AB234="DIRECT",$S234,DSTDEV('literature entries'!$D:$AI,IF($J234=1,"ACTIVE     GHGE, FARM GATE (kg CO2e/kg)","GHGE, processor gate (kg CO2e/kg)"),INDIRECT($AB234)))</f>
        <v>2.5306182127862726</v>
      </c>
      <c r="AF234" s="212">
        <f t="shared" ca="1" si="33"/>
        <v>1.6372841580850697</v>
      </c>
    </row>
    <row r="235" spans="1:32" s="19" customFormat="1" ht="17" thickBot="1" x14ac:dyDescent="0.25">
      <c r="A235" s="114">
        <v>2001319000</v>
      </c>
      <c r="B235" s="115" t="s">
        <v>2228</v>
      </c>
      <c r="C235" s="115" t="s">
        <v>1731</v>
      </c>
      <c r="D235" s="115" t="s">
        <v>2229</v>
      </c>
      <c r="E235" s="115">
        <v>47225</v>
      </c>
      <c r="F235" s="111">
        <f t="shared" ca="1" si="28"/>
        <v>13.327939000000001</v>
      </c>
      <c r="G235" s="112">
        <f t="shared" ca="1" si="29"/>
        <v>2.2749999999999999</v>
      </c>
      <c r="H235" s="116">
        <v>1</v>
      </c>
      <c r="I235" s="117" t="s">
        <v>2724</v>
      </c>
      <c r="J235" s="79">
        <v>2</v>
      </c>
      <c r="K235" s="78"/>
      <c r="L235" s="135" t="str">
        <f>IF(ISERROR(GETPIVOTDATA(IF($J235=1,"Count of ACTIVE     CED, FARM GATE (MJ/kg)","Count of CED, processor gate (MJ/kg)"),'Pivot Table_CED'!$A$3,"SUB TYPE",$B235)),"PROXY",IF(GETPIVOTDATA(IF($J235=1,"Count of ACTIVE     CED, FARM GATE (MJ/kg)","Count of CED, processor gate (MJ/kg)"),'Pivot Table_CED'!$A$3,"SUB TYPE",$B235)=0,"PROXY","DB value"))</f>
        <v>DB value</v>
      </c>
      <c r="M235" s="118">
        <f ca="1">IF($L235="PROXY",DCOUNT('literature entries'!$D:$AI,IF($J235=1,"ACTIVE     CED, FARM GATE (MJ/kg)","CED, processor gate (MJ/kg)"),INDIRECT($K235)),GETPIVOTDATA(IF($J235=1,"Count of ACTIVE     CED, FARM GATE (MJ/kg)","Count of CED, processor gate (MJ/kg)"),'Pivot Table_CED'!$A$3,"SUB TYPE",$B235))</f>
        <v>1</v>
      </c>
      <c r="N235" s="119">
        <f ca="1">IF($L235="PROXY",DAVERAGE('literature entries'!$D:$AI,IF($J235=1,"ACTIVE     CED, FARM GATE (MJ/kg)","CED, processor gate (MJ/kg)"),INDIRECT($K235)),GETPIVOTDATA(IF($J235=1,"Average of ACTIVE     CED, FARM GATE (MJ/kg)","Average of CED, processor gate (MJ/kg)"),'Pivot Table_CED'!$A$3,"SUB TYPE",$B235))</f>
        <v>13.327939000000001</v>
      </c>
      <c r="O235" s="119">
        <f ca="1">IF($L235="PROXY",DSTDEV('literature entries'!D:AI,IF($J235=1,"ACTIVE     CED, FARM GATE (MJ/kg)","CED, processor gate (MJ/kg)"),INDIRECT($K235)),GETPIVOTDATA(IF($J235=1,"StdDev of ACTIVE     CED, FARM GATE (MJ/kg)","StdDev of CED, processor gate (MJ/kg)"),'Pivot Table_CED'!$A$3,"SUB TYPE",$B235))</f>
        <v>0</v>
      </c>
      <c r="P235" s="135" t="str">
        <f>IF(ISERROR(GETPIVOTDATA(IF($J235=1,"Count of ACTIVE     GHGE, FARM GATE (kg CO2e/kg)","Count of GHGE, processor gate (kg CO2e/kg)"),'Pivot Table_GHG'!$A$3,"SUB TYPE",$B235)),"PROXY",IF(GETPIVOTDATA(IF($J235=1,"Count of ACTIVE     GHGE, FARM GATE (kg CO2e/kg)","Count of GHGE, processor gate (kg CO2e/kg)"),'Pivot Table_GHG'!$A$3,"SUB TYPE",$B235)=0,"PROXY","DB value"))</f>
        <v>DB value</v>
      </c>
      <c r="Q235" s="125">
        <f ca="1">IF($P235="PROXY",DCOUNT('literature entries'!$D:$AI,IF($J235=1,"ACTIVE     GHGE, FARM GATE (kg CO2e/kg)","GHGE, processor gate (kg CO2e/kg)"),INDIRECT($K235)),GETPIVOTDATA(IF($J235=1,"ACTIVE     GHGE, FARM GATE (kg CO2e/kg)","Count of GHGE, processor gate (kg CO2e/kg)"),'Pivot Table_GHG'!$A$3,"SUB TYPE",$B235))</f>
        <v>2</v>
      </c>
      <c r="R235" s="190">
        <f ca="1">IF($P235="PROXY",DAVERAGE('literature entries'!$D:$AI,IF($J235=1,"ACTIVE     GHGE, FARM GATE (kg CO2e/kg)","GHGE, processor gate (kg CO2e/kg)"),INDIRECT($K235)),GETPIVOTDATA(IF($J235=1,"Average of ACTIVE     GHGE, FARM GATE (kg CO2e/kg)","Average of GHGE, processor gate (kg CO2e/kg)"),'Pivot Table_GHG'!$A$3,"SUB TYPE",$B235))</f>
        <v>2.2749999999999999</v>
      </c>
      <c r="S235" s="190">
        <f ca="1">IF($P235="PROXY",DSTDEV('literature entries'!$D:$AI,IF($J235=1,"ACTIVE     GHGE, FARM GATE (kg CO2e/kg)","GHGE, processor gate (kg CO2e/kg)"),INDIRECT($K235)),GETPIVOTDATA(IF($J235=1,"StdDev of ACTIVE     GHGE, FARM GATE (kg CO2e/kg)","StdDev of GHGE, processor gate (kg CO2e/kg)"),'Pivot Table_GHG'!$A$3,"SUB TYPE",$B235))</f>
        <v>0.50204581464244924</v>
      </c>
      <c r="T235" s="88"/>
      <c r="U235" s="89"/>
      <c r="W235" s="213" t="s">
        <v>3354</v>
      </c>
      <c r="X235" s="211">
        <f ca="1">IF($W235="DIRECT",M235,DCOUNT('literature entries'!$D:$AI,IF($J235=1,"ACTIVE     CED, FARM GATE (MJ/kg)","CED, processor gate (MJ/kg)"),INDIRECT($W235)))</f>
        <v>16</v>
      </c>
      <c r="Y235" s="211">
        <f ca="1">IF($W235="DIRECT","",DAVERAGE('literature entries'!$D:$AI,IF($J235=1,"ACTIVE     CED, FARM GATE (MJ/kg)","CED, processor gate (MJ/kg)"),INDIRECT($W235)))</f>
        <v>11.873325197282607</v>
      </c>
      <c r="Z235" s="211">
        <f ca="1">IF($W235="DIRECT",$O235,DSTDEV('literature entries'!$D:$AI,IF($J235=1,"ACTIVE     CED, FARM GATE (MJ/kg)","CED, processor gate (MJ/kg)"),INDIRECT($W235)))</f>
        <v>5.663275464099641</v>
      </c>
      <c r="AA235" s="211">
        <f t="shared" ca="1" si="32"/>
        <v>6.3570894144288586</v>
      </c>
      <c r="AB235" s="219" t="s">
        <v>3354</v>
      </c>
      <c r="AC235" s="212">
        <f ca="1">IF($AB235="DIRECT",Q235,DCOUNT('literature entries'!$D:$AI,IF($J235=1,"ACTIVE     GHGE, FARM GATE (kg CO2e/kg)","GHGE, processor gate (kg CO2e/kg)"),INDIRECT($AB235)))</f>
        <v>19</v>
      </c>
      <c r="AD235" s="212">
        <f ca="1">IF($AB235="DIRECT","",DAVERAGE('literature entries'!$D:$AI,IF($J235=1,"ACTIVE     GHGE, FARM GATE (kg CO2e/kg)","GHGE, processor gate (kg CO2e/kg)"),INDIRECT($AB235)))</f>
        <v>3.6074757576297722</v>
      </c>
      <c r="AE235" s="212">
        <f ca="1">IF($AB235="DIRECT",$S235,DSTDEV('literature entries'!$D:$AI,IF($J235=1,"ACTIVE     GHGE, FARM GATE (kg CO2e/kg)","GHGE, processor gate (kg CO2e/kg)"),INDIRECT($AB235)))</f>
        <v>2.5306182127862726</v>
      </c>
      <c r="AF235" s="212">
        <f t="shared" ca="1" si="33"/>
        <v>1.595896083823279</v>
      </c>
    </row>
    <row r="236" spans="1:32" s="19" customFormat="1" ht="17" thickBot="1" x14ac:dyDescent="0.25">
      <c r="A236" s="114">
        <v>2001336000</v>
      </c>
      <c r="B236" s="115" t="s">
        <v>2253</v>
      </c>
      <c r="C236" s="115" t="s">
        <v>1965</v>
      </c>
      <c r="D236" s="115"/>
      <c r="E236" s="115">
        <v>2855</v>
      </c>
      <c r="F236" s="111">
        <f t="shared" ca="1" si="28"/>
        <v>2.5841213096774194</v>
      </c>
      <c r="G236" s="112">
        <f t="shared" ca="1" si="29"/>
        <v>1.05</v>
      </c>
      <c r="H236" s="116">
        <v>1</v>
      </c>
      <c r="I236" s="117" t="s">
        <v>594</v>
      </c>
      <c r="J236" s="79">
        <v>1</v>
      </c>
      <c r="K236" s="78" t="s">
        <v>2702</v>
      </c>
      <c r="L236" s="135" t="str">
        <f>IF(ISERROR(GETPIVOTDATA(IF($J236=1,"Count of ACTIVE     CED, FARM GATE (MJ/kg)","Count of CED, processor gate (MJ/kg)"),'Pivot Table_CED'!$A$3,"SUB TYPE",$B236)),"PROXY",IF(GETPIVOTDATA(IF($J236=1,"Count of ACTIVE     CED, FARM GATE (MJ/kg)","Count of CED, processor gate (MJ/kg)"),'Pivot Table_CED'!$A$3,"SUB TYPE",$B236)=0,"PROXY","DB value"))</f>
        <v>PROXY</v>
      </c>
      <c r="M236" s="118">
        <f ca="1">IF($L236="PROXY",DCOUNT('literature entries'!$D:$AI,IF($J236=1,"ACTIVE     CED, FARM GATE (MJ/kg)","CED, processor gate (MJ/kg)"),INDIRECT($K236)),GETPIVOTDATA(IF($J236=1,"Count of ACTIVE     CED, FARM GATE (MJ/kg)","Count of CED, processor gate (MJ/kg)"),'Pivot Table_CED'!$A$3,"SUB TYPE",$B236))</f>
        <v>31</v>
      </c>
      <c r="N236" s="119">
        <f ca="1">IF($L236="PROXY",DAVERAGE('literature entries'!$D:$AI,IF($J236=1,"ACTIVE     CED, FARM GATE (MJ/kg)","CED, processor gate (MJ/kg)"),INDIRECT($K236)),GETPIVOTDATA(IF($J236=1,"Average of ACTIVE     CED, FARM GATE (MJ/kg)","Average of CED, processor gate (MJ/kg)"),'Pivot Table_CED'!$A$3,"SUB TYPE",$B236))</f>
        <v>2.5841213096774194</v>
      </c>
      <c r="O236" s="119">
        <f ca="1">IF($L236="PROXY",DSTDEV('literature entries'!D:AI,IF($J236=1,"ACTIVE     CED, FARM GATE (MJ/kg)","CED, processor gate (MJ/kg)"),INDIRECT($K236)),GETPIVOTDATA(IF($J236=1,"StdDev of ACTIVE     CED, FARM GATE (MJ/kg)","StdDev of CED, processor gate (MJ/kg)"),'Pivot Table_CED'!$A$3,"SUB TYPE",$B236))</f>
        <v>1.1854190703188778</v>
      </c>
      <c r="P236" s="135" t="str">
        <f>IF(ISERROR(GETPIVOTDATA(IF($J236=1,"Count of ACTIVE     GHGE, FARM GATE (kg CO2e/kg)","Count of GHGE, processor gate (kg CO2e/kg)"),'Pivot Table_GHG'!$A$3,"SUB TYPE",$B236)),"PROXY",IF(GETPIVOTDATA(IF($J236=1,"Count of ACTIVE     GHGE, FARM GATE (kg CO2e/kg)","Count of GHGE, processor gate (kg CO2e/kg)"),'Pivot Table_GHG'!$A$3,"SUB TYPE",$B236)=0,"PROXY","DB value"))</f>
        <v>DB value</v>
      </c>
      <c r="Q236" s="125">
        <f ca="1">IF($P236="PROXY",DCOUNT('literature entries'!$D:$AI,IF($J236=1,"ACTIVE     GHGE, FARM GATE (kg CO2e/kg)","GHGE, processor gate (kg CO2e/kg)"),INDIRECT($K236)),GETPIVOTDATA(IF($J236=1,"ACTIVE     GHGE, FARM GATE (kg CO2e/kg)","Count of GHGE, processor gate (kg CO2e/kg)"),'Pivot Table_GHG'!$A$3,"SUB TYPE",$B236))</f>
        <v>1</v>
      </c>
      <c r="R236" s="190">
        <f ca="1">IF($P236="PROXY",DAVERAGE('literature entries'!$D:$AI,IF($J236=1,"ACTIVE     GHGE, FARM GATE (kg CO2e/kg)","GHGE, processor gate (kg CO2e/kg)"),INDIRECT($K236)),GETPIVOTDATA(IF($J236=1,"Average of ACTIVE     GHGE, FARM GATE (kg CO2e/kg)","Average of GHGE, processor gate (kg CO2e/kg)"),'Pivot Table_GHG'!$A$3,"SUB TYPE",$B236))</f>
        <v>1.05</v>
      </c>
      <c r="S236" s="190" t="e">
        <f ca="1">IF($P236="PROXY",DSTDEV('literature entries'!$D:$AI,IF($J236=1,"ACTIVE     GHGE, FARM GATE (kg CO2e/kg)","GHGE, processor gate (kg CO2e/kg)"),INDIRECT($K236)),GETPIVOTDATA(IF($J236=1,"StdDev of ACTIVE     GHGE, FARM GATE (kg CO2e/kg)","StdDev of GHGE, processor gate (kg CO2e/kg)"),'Pivot Table_GHG'!$A$3,"SUB TYPE",$B236))</f>
        <v>#DIV/0!</v>
      </c>
      <c r="T236" s="88"/>
      <c r="U236" s="89"/>
      <c r="W236" s="213" t="str">
        <f ca="1">IF(L236="PROXY",IF(M236&gt;=5,K236,"need group"),IF(M236&gt;=5,"DIRECT","need group"))</f>
        <v>grains</v>
      </c>
      <c r="X236" s="211">
        <f ca="1">IF($W236="DIRECT",M236,DCOUNT('literature entries'!$D:$AI,IF($J236=1,"ACTIVE     CED, FARM GATE (MJ/kg)","CED, processor gate (MJ/kg)"),INDIRECT($W236)))</f>
        <v>31</v>
      </c>
      <c r="Y236" s="211">
        <f ca="1">IF($W236="DIRECT","",DAVERAGE('literature entries'!$D:$AI,IF($J236=1,"ACTIVE     CED, FARM GATE (MJ/kg)","CED, processor gate (MJ/kg)"),INDIRECT($W236)))</f>
        <v>2.5841213096774194</v>
      </c>
      <c r="Z236" s="211">
        <f ca="1">IF($W236="DIRECT",$O236,DSTDEV('literature entries'!$D:$AI,IF($J236=1,"ACTIVE     CED, FARM GATE (MJ/kg)","CED, processor gate (MJ/kg)"),INDIRECT($W236)))</f>
        <v>1.1854190703188778</v>
      </c>
      <c r="AA236" s="211">
        <f t="shared" ca="1" si="32"/>
        <v>1.1854190703188778</v>
      </c>
      <c r="AB236" s="219" t="s">
        <v>2702</v>
      </c>
      <c r="AC236" s="212">
        <f ca="1">IF($AB236="DIRECT",Q236,DCOUNT('literature entries'!$D:$AI,IF($J236=1,"ACTIVE     GHGE, FARM GATE (kg CO2e/kg)","GHGE, processor gate (kg CO2e/kg)"),INDIRECT($AB236)))</f>
        <v>45</v>
      </c>
      <c r="AD236" s="212">
        <f ca="1">IF($AB236="DIRECT","",DAVERAGE('literature entries'!$D:$AI,IF($J236=1,"ACTIVE     GHGE, FARM GATE (kg CO2e/kg)","GHGE, processor gate (kg CO2e/kg)"),INDIRECT($AB236)))</f>
        <v>0.39349345733333324</v>
      </c>
      <c r="AE236" s="212">
        <f ca="1">IF($AB236="DIRECT",$S236,DSTDEV('literature entries'!$D:$AI,IF($J236=1,"ACTIVE     GHGE, FARM GATE (kg CO2e/kg)","GHGE, processor gate (kg CO2e/kg)"),INDIRECT($AB236)))</f>
        <v>0.20361467618492471</v>
      </c>
      <c r="AF236" s="212">
        <f t="shared" ca="1" si="33"/>
        <v>0.54332646708547994</v>
      </c>
    </row>
    <row r="237" spans="1:32" s="19" customFormat="1" ht="17" thickBot="1" x14ac:dyDescent="0.25">
      <c r="A237" s="114">
        <v>2001337000</v>
      </c>
      <c r="B237" s="115" t="s">
        <v>2252</v>
      </c>
      <c r="C237" s="115" t="s">
        <v>1731</v>
      </c>
      <c r="D237" s="115"/>
      <c r="E237" s="115">
        <v>21745</v>
      </c>
      <c r="F237" s="111">
        <f t="shared" ca="1" si="28"/>
        <v>14.640679666666665</v>
      </c>
      <c r="G237" s="112">
        <f t="shared" ca="1" si="29"/>
        <v>2.3340000000000001</v>
      </c>
      <c r="H237" s="116">
        <v>1</v>
      </c>
      <c r="I237" s="117" t="s">
        <v>2724</v>
      </c>
      <c r="J237" s="79">
        <v>2</v>
      </c>
      <c r="K237" s="78" t="s">
        <v>3291</v>
      </c>
      <c r="L237" s="135" t="str">
        <f>IF(ISERROR(GETPIVOTDATA(IF($J237=1,"Count of ACTIVE     CED, FARM GATE (MJ/kg)","Count of CED, processor gate (MJ/kg)"),'Pivot Table_CED'!$A$3,"SUB TYPE",$B237)),"PROXY",IF(GETPIVOTDATA(IF($J237=1,"Count of ACTIVE     CED, FARM GATE (MJ/kg)","Count of CED, processor gate (MJ/kg)"),'Pivot Table_CED'!$A$3,"SUB TYPE",$B237)=0,"PROXY","DB value"))</f>
        <v>PROXY</v>
      </c>
      <c r="M237" s="118">
        <f ca="1">IF($L237="PROXY",DCOUNT('literature entries'!$D:$AI,IF($J237=1,"ACTIVE     CED, FARM GATE (MJ/kg)","CED, processor gate (MJ/kg)"),INDIRECT($K237)),GETPIVOTDATA(IF($J237=1,"Count of ACTIVE     CED, FARM GATE (MJ/kg)","Count of CED, processor gate (MJ/kg)"),'Pivot Table_CED'!$A$3,"SUB TYPE",$B237))</f>
        <v>3</v>
      </c>
      <c r="N237" s="119">
        <f ca="1">IF($L237="PROXY",DAVERAGE('literature entries'!$D:$AI,IF($J237=1,"ACTIVE     CED, FARM GATE (MJ/kg)","CED, processor gate (MJ/kg)"),INDIRECT($K237)),GETPIVOTDATA(IF($J237=1,"Average of ACTIVE     CED, FARM GATE (MJ/kg)","Average of CED, processor gate (MJ/kg)"),'Pivot Table_CED'!$A$3,"SUB TYPE",$B237))</f>
        <v>14.640679666666665</v>
      </c>
      <c r="O237" s="119">
        <f ca="1">IF($L237="PROXY",DSTDEV('literature entries'!D:AI,IF($J237=1,"ACTIVE     CED, FARM GATE (MJ/kg)","CED, processor gate (MJ/kg)"),INDIRECT($K237)),GETPIVOTDATA(IF($J237=1,"StdDev of ACTIVE     CED, FARM GATE (MJ/kg)","StdDev of CED, processor gate (MJ/kg)"),'Pivot Table_CED'!$A$3,"SUB TYPE",$B237))</f>
        <v>9.5707118202326189</v>
      </c>
      <c r="P237" s="135" t="str">
        <f>IF(ISERROR(GETPIVOTDATA(IF($J237=1,"Count of ACTIVE     GHGE, FARM GATE (kg CO2e/kg)","Count of GHGE, processor gate (kg CO2e/kg)"),'Pivot Table_GHG'!$A$3,"SUB TYPE",$B237)),"PROXY",IF(GETPIVOTDATA(IF($J237=1,"Count of ACTIVE     GHGE, FARM GATE (kg CO2e/kg)","Count of GHGE, processor gate (kg CO2e/kg)"),'Pivot Table_GHG'!$A$3,"SUB TYPE",$B237)=0,"PROXY","DB value"))</f>
        <v>PROXY</v>
      </c>
      <c r="Q237" s="125">
        <f ca="1">IF($P237="PROXY",DCOUNT('literature entries'!$D:$AI,IF($J237=1,"ACTIVE     GHGE, FARM GATE (kg CO2e/kg)","GHGE, processor gate (kg CO2e/kg)"),INDIRECT($K237)),GETPIVOTDATA(IF($J237=1,"ACTIVE     GHGE, FARM GATE (kg CO2e/kg)","Count of GHGE, processor gate (kg CO2e/kg)"),'Pivot Table_GHG'!$A$3,"SUB TYPE",$B237))</f>
        <v>4</v>
      </c>
      <c r="R237" s="190">
        <f ca="1">IF($P237="PROXY",DAVERAGE('literature entries'!$D:$AI,IF($J237=1,"ACTIVE     GHGE, FARM GATE (kg CO2e/kg)","GHGE, processor gate (kg CO2e/kg)"),INDIRECT($K237)),GETPIVOTDATA(IF($J237=1,"Average of ACTIVE     GHGE, FARM GATE (kg CO2e/kg)","Average of GHGE, processor gate (kg CO2e/kg)"),'Pivot Table_GHG'!$A$3,"SUB TYPE",$B237))</f>
        <v>2.3340000000000001</v>
      </c>
      <c r="S237" s="190">
        <f ca="1">IF($P237="PROXY",DSTDEV('literature entries'!$D:$AI,IF($J237=1,"ACTIVE     GHGE, FARM GATE (kg CO2e/kg)","GHGE, processor gate (kg CO2e/kg)"),INDIRECT($K237)),GETPIVOTDATA(IF($J237=1,"StdDev of ACTIVE     GHGE, FARM GATE (kg CO2e/kg)","StdDev of GHGE, processor gate (kg CO2e/kg)"),'Pivot Table_GHG'!$A$3,"SUB TYPE",$B237))</f>
        <v>0.36239573213086351</v>
      </c>
      <c r="T237" s="88"/>
      <c r="U237" s="89"/>
      <c r="W237" s="213" t="s">
        <v>3354</v>
      </c>
      <c r="X237" s="211">
        <f ca="1">IF($W237="DIRECT",M237,DCOUNT('literature entries'!$D:$AI,IF($J237=1,"ACTIVE     CED, FARM GATE (MJ/kg)","CED, processor gate (MJ/kg)"),INDIRECT($W237)))</f>
        <v>16</v>
      </c>
      <c r="Y237" s="211">
        <f ca="1">IF($W237="DIRECT","",DAVERAGE('literature entries'!$D:$AI,IF($J237=1,"ACTIVE     CED, FARM GATE (MJ/kg)","CED, processor gate (MJ/kg)"),INDIRECT($W237)))</f>
        <v>11.873325197282607</v>
      </c>
      <c r="Z237" s="211">
        <f ca="1">IF($W237="DIRECT",$O237,DSTDEV('literature entries'!$D:$AI,IF($J237=1,"ACTIVE     CED, FARM GATE (MJ/kg)","CED, processor gate (MJ/kg)"),INDIRECT($W237)))</f>
        <v>5.663275464099641</v>
      </c>
      <c r="AA237" s="211">
        <f t="shared" ca="1" si="32"/>
        <v>6.9832334713574609</v>
      </c>
      <c r="AB237" s="219" t="s">
        <v>3354</v>
      </c>
      <c r="AC237" s="212">
        <f ca="1">IF($AB237="DIRECT",Q237,DCOUNT('literature entries'!$D:$AI,IF($J237=1,"ACTIVE     GHGE, FARM GATE (kg CO2e/kg)","GHGE, processor gate (kg CO2e/kg)"),INDIRECT($AB237)))</f>
        <v>19</v>
      </c>
      <c r="AD237" s="212">
        <f ca="1">IF($AB237="DIRECT","",DAVERAGE('literature entries'!$D:$AI,IF($J237=1,"ACTIVE     GHGE, FARM GATE (kg CO2e/kg)","GHGE, processor gate (kg CO2e/kg)"),INDIRECT($AB237)))</f>
        <v>3.6074757576297722</v>
      </c>
      <c r="AE237" s="212">
        <f ca="1">IF($AB237="DIRECT",$S237,DSTDEV('literature entries'!$D:$AI,IF($J237=1,"ACTIVE     GHGE, FARM GATE (kg CO2e/kg)","GHGE, processor gate (kg CO2e/kg)"),INDIRECT($AB237)))</f>
        <v>2.5306182127862726</v>
      </c>
      <c r="AF237" s="212">
        <f t="shared" ca="1" si="33"/>
        <v>1.6372841580850697</v>
      </c>
    </row>
    <row r="238" spans="1:32" s="19" customFormat="1" ht="17" thickBot="1" x14ac:dyDescent="0.25">
      <c r="A238" s="114">
        <v>2002330000</v>
      </c>
      <c r="B238" s="115" t="s">
        <v>2245</v>
      </c>
      <c r="C238" s="115" t="s">
        <v>1731</v>
      </c>
      <c r="D238" s="115"/>
      <c r="E238" s="115">
        <v>45465</v>
      </c>
      <c r="F238" s="111">
        <f t="shared" ca="1" si="28"/>
        <v>14.640679666666665</v>
      </c>
      <c r="G238" s="112">
        <f t="shared" ca="1" si="29"/>
        <v>2.3340000000000001</v>
      </c>
      <c r="H238" s="116">
        <v>1</v>
      </c>
      <c r="I238" s="117" t="s">
        <v>2724</v>
      </c>
      <c r="J238" s="79">
        <v>2</v>
      </c>
      <c r="K238" s="78" t="s">
        <v>3291</v>
      </c>
      <c r="L238" s="135" t="str">
        <f>IF(ISERROR(GETPIVOTDATA(IF($J238=1,"Count of ACTIVE     CED, FARM GATE (MJ/kg)","Count of CED, processor gate (MJ/kg)"),'Pivot Table_CED'!$A$3,"SUB TYPE",$B238)),"PROXY",IF(GETPIVOTDATA(IF($J238=1,"Count of ACTIVE     CED, FARM GATE (MJ/kg)","Count of CED, processor gate (MJ/kg)"),'Pivot Table_CED'!$A$3,"SUB TYPE",$B238)=0,"PROXY","DB value"))</f>
        <v>PROXY</v>
      </c>
      <c r="M238" s="118">
        <f ca="1">IF($L238="PROXY",DCOUNT('literature entries'!$D:$AI,IF($J238=1,"ACTIVE     CED, FARM GATE (MJ/kg)","CED, processor gate (MJ/kg)"),INDIRECT($K238)),GETPIVOTDATA(IF($J238=1,"Count of ACTIVE     CED, FARM GATE (MJ/kg)","Count of CED, processor gate (MJ/kg)"),'Pivot Table_CED'!$A$3,"SUB TYPE",$B238))</f>
        <v>3</v>
      </c>
      <c r="N238" s="119">
        <f ca="1">IF($L238="PROXY",DAVERAGE('literature entries'!$D:$AI,IF($J238=1,"ACTIVE     CED, FARM GATE (MJ/kg)","CED, processor gate (MJ/kg)"),INDIRECT($K238)),GETPIVOTDATA(IF($J238=1,"Average of ACTIVE     CED, FARM GATE (MJ/kg)","Average of CED, processor gate (MJ/kg)"),'Pivot Table_CED'!$A$3,"SUB TYPE",$B238))</f>
        <v>14.640679666666665</v>
      </c>
      <c r="O238" s="119">
        <f ca="1">IF($L238="PROXY",DSTDEV('literature entries'!D:AI,IF($J238=1,"ACTIVE     CED, FARM GATE (MJ/kg)","CED, processor gate (MJ/kg)"),INDIRECT($K238)),GETPIVOTDATA(IF($J238=1,"StdDev of ACTIVE     CED, FARM GATE (MJ/kg)","StdDev of CED, processor gate (MJ/kg)"),'Pivot Table_CED'!$A$3,"SUB TYPE",$B238))</f>
        <v>9.5707118202326189</v>
      </c>
      <c r="P238" s="135" t="str">
        <f>IF(ISERROR(GETPIVOTDATA(IF($J238=1,"Count of ACTIVE     GHGE, FARM GATE (kg CO2e/kg)","Count of GHGE, processor gate (kg CO2e/kg)"),'Pivot Table_GHG'!$A$3,"SUB TYPE",$B238)),"PROXY",IF(GETPIVOTDATA(IF($J238=1,"Count of ACTIVE     GHGE, FARM GATE (kg CO2e/kg)","Count of GHGE, processor gate (kg CO2e/kg)"),'Pivot Table_GHG'!$A$3,"SUB TYPE",$B238)=0,"PROXY","DB value"))</f>
        <v>PROXY</v>
      </c>
      <c r="Q238" s="125">
        <f ca="1">IF($P238="PROXY",DCOUNT('literature entries'!$D:$AI,IF($J238=1,"ACTIVE     GHGE, FARM GATE (kg CO2e/kg)","GHGE, processor gate (kg CO2e/kg)"),INDIRECT($K238)),GETPIVOTDATA(IF($J238=1,"ACTIVE     GHGE, FARM GATE (kg CO2e/kg)","Count of GHGE, processor gate (kg CO2e/kg)"),'Pivot Table_GHG'!$A$3,"SUB TYPE",$B238))</f>
        <v>4</v>
      </c>
      <c r="R238" s="190">
        <f ca="1">IF($P238="PROXY",DAVERAGE('literature entries'!$D:$AI,IF($J238=1,"ACTIVE     GHGE, FARM GATE (kg CO2e/kg)","GHGE, processor gate (kg CO2e/kg)"),INDIRECT($K238)),GETPIVOTDATA(IF($J238=1,"Average of ACTIVE     GHGE, FARM GATE (kg CO2e/kg)","Average of GHGE, processor gate (kg CO2e/kg)"),'Pivot Table_GHG'!$A$3,"SUB TYPE",$B238))</f>
        <v>2.3340000000000001</v>
      </c>
      <c r="S238" s="190">
        <f ca="1">IF($P238="PROXY",DSTDEV('literature entries'!$D:$AI,IF($J238=1,"ACTIVE     GHGE, FARM GATE (kg CO2e/kg)","GHGE, processor gate (kg CO2e/kg)"),INDIRECT($K238)),GETPIVOTDATA(IF($J238=1,"StdDev of ACTIVE     GHGE, FARM GATE (kg CO2e/kg)","StdDev of GHGE, processor gate (kg CO2e/kg)"),'Pivot Table_GHG'!$A$3,"SUB TYPE",$B238))</f>
        <v>0.36239573213086351</v>
      </c>
      <c r="T238" s="88"/>
      <c r="U238" s="89"/>
      <c r="W238" s="213" t="s">
        <v>3354</v>
      </c>
      <c r="X238" s="211">
        <f ca="1">IF($W238="DIRECT",M238,DCOUNT('literature entries'!$D:$AI,IF($J238=1,"ACTIVE     CED, FARM GATE (MJ/kg)","CED, processor gate (MJ/kg)"),INDIRECT($W238)))</f>
        <v>16</v>
      </c>
      <c r="Y238" s="211">
        <f ca="1">IF($W238="DIRECT","",DAVERAGE('literature entries'!$D:$AI,IF($J238=1,"ACTIVE     CED, FARM GATE (MJ/kg)","CED, processor gate (MJ/kg)"),INDIRECT($W238)))</f>
        <v>11.873325197282607</v>
      </c>
      <c r="Z238" s="211">
        <f ca="1">IF($W238="DIRECT",$O238,DSTDEV('literature entries'!$D:$AI,IF($J238=1,"ACTIVE     CED, FARM GATE (MJ/kg)","CED, processor gate (MJ/kg)"),INDIRECT($W238)))</f>
        <v>5.663275464099641</v>
      </c>
      <c r="AA238" s="211">
        <f t="shared" ca="1" si="32"/>
        <v>6.9832334713574609</v>
      </c>
      <c r="AB238" s="219" t="s">
        <v>3354</v>
      </c>
      <c r="AC238" s="212">
        <f ca="1">IF($AB238="DIRECT",Q238,DCOUNT('literature entries'!$D:$AI,IF($J238=1,"ACTIVE     GHGE, FARM GATE (kg CO2e/kg)","GHGE, processor gate (kg CO2e/kg)"),INDIRECT($AB238)))</f>
        <v>19</v>
      </c>
      <c r="AD238" s="212">
        <f ca="1">IF($AB238="DIRECT","",DAVERAGE('literature entries'!$D:$AI,IF($J238=1,"ACTIVE     GHGE, FARM GATE (kg CO2e/kg)","GHGE, processor gate (kg CO2e/kg)"),INDIRECT($AB238)))</f>
        <v>3.6074757576297722</v>
      </c>
      <c r="AE238" s="212">
        <f ca="1">IF($AB238="DIRECT",$S238,DSTDEV('literature entries'!$D:$AI,IF($J238=1,"ACTIVE     GHGE, FARM GATE (kg CO2e/kg)","GHGE, processor gate (kg CO2e/kg)"),INDIRECT($AB238)))</f>
        <v>2.5306182127862726</v>
      </c>
      <c r="AF238" s="212">
        <f t="shared" ca="1" si="33"/>
        <v>1.6372841580850697</v>
      </c>
    </row>
    <row r="239" spans="1:32" s="19" customFormat="1" ht="17" thickBot="1" x14ac:dyDescent="0.25">
      <c r="A239" s="114">
        <v>2002364000</v>
      </c>
      <c r="B239" s="115" t="s">
        <v>2290</v>
      </c>
      <c r="C239" s="115" t="s">
        <v>2291</v>
      </c>
      <c r="D239" s="115"/>
      <c r="E239" s="115">
        <v>997</v>
      </c>
      <c r="F239" s="111">
        <f t="shared" ca="1" si="28"/>
        <v>6.3822858909090918</v>
      </c>
      <c r="G239" s="112">
        <f t="shared" ca="1" si="29"/>
        <v>0.84844163909090919</v>
      </c>
      <c r="H239" s="116">
        <v>1</v>
      </c>
      <c r="I239" s="117" t="s">
        <v>594</v>
      </c>
      <c r="J239" s="79">
        <v>1</v>
      </c>
      <c r="K239" s="78"/>
      <c r="L239" s="135" t="str">
        <f>IF(ISERROR(GETPIVOTDATA(IF($J239=1,"Count of ACTIVE     CED, FARM GATE (MJ/kg)","Count of CED, processor gate (MJ/kg)"),'Pivot Table_CED'!$A$3,"SUB TYPE",$B239)),"PROXY",IF(GETPIVOTDATA(IF($J239=1,"Count of ACTIVE     CED, FARM GATE (MJ/kg)","Count of CED, processor gate (MJ/kg)"),'Pivot Table_CED'!$A$3,"SUB TYPE",$B239)=0,"PROXY","DB value"))</f>
        <v>DB value</v>
      </c>
      <c r="M239" s="118">
        <f ca="1">IF($L239="PROXY",DCOUNT('literature entries'!$D:$AI,IF($J239=1,"ACTIVE     CED, FARM GATE (MJ/kg)","CED, processor gate (MJ/kg)"),INDIRECT($K239)),GETPIVOTDATA(IF($J239=1,"Count of ACTIVE     CED, FARM GATE (MJ/kg)","Count of CED, processor gate (MJ/kg)"),'Pivot Table_CED'!$A$3,"SUB TYPE",$B239))</f>
        <v>11</v>
      </c>
      <c r="N239" s="119">
        <f ca="1">IF($L239="PROXY",DAVERAGE('literature entries'!$D:$AI,IF($J239=1,"ACTIVE     CED, FARM GATE (MJ/kg)","CED, processor gate (MJ/kg)"),INDIRECT($K239)),GETPIVOTDATA(IF($J239=1,"Average of ACTIVE     CED, FARM GATE (MJ/kg)","Average of CED, processor gate (MJ/kg)"),'Pivot Table_CED'!$A$3,"SUB TYPE",$B239))</f>
        <v>6.3822858909090918</v>
      </c>
      <c r="O239" s="119">
        <f ca="1">IF($L239="PROXY",DSTDEV('literature entries'!D:AI,IF($J239=1,"ACTIVE     CED, FARM GATE (MJ/kg)","CED, processor gate (MJ/kg)"),INDIRECT($K239)),GETPIVOTDATA(IF($J239=1,"StdDev of ACTIVE     CED, FARM GATE (MJ/kg)","StdDev of CED, processor gate (MJ/kg)"),'Pivot Table_CED'!$A$3,"SUB TYPE",$B239))</f>
        <v>1.3784473590983684</v>
      </c>
      <c r="P239" s="135" t="str">
        <f>IF(ISERROR(GETPIVOTDATA(IF($J239=1,"Count of ACTIVE     GHGE, FARM GATE (kg CO2e/kg)","Count of GHGE, processor gate (kg CO2e/kg)"),'Pivot Table_GHG'!$A$3,"SUB TYPE",$B239)),"PROXY",IF(GETPIVOTDATA(IF($J239=1,"Count of ACTIVE     GHGE, FARM GATE (kg CO2e/kg)","Count of GHGE, processor gate (kg CO2e/kg)"),'Pivot Table_GHG'!$A$3,"SUB TYPE",$B239)=0,"PROXY","DB value"))</f>
        <v>DB value</v>
      </c>
      <c r="Q239" s="125">
        <f ca="1">IF($P239="PROXY",DCOUNT('literature entries'!$D:$AI,IF($J239=1,"ACTIVE     GHGE, FARM GATE (kg CO2e/kg)","GHGE, processor gate (kg CO2e/kg)"),INDIRECT($K239)),GETPIVOTDATA(IF($J239=1,"ACTIVE     GHGE, FARM GATE (kg CO2e/kg)","Count of GHGE, processor gate (kg CO2e/kg)"),'Pivot Table_GHG'!$A$3,"SUB TYPE",$B239))</f>
        <v>11</v>
      </c>
      <c r="R239" s="190">
        <f ca="1">IF($P239="PROXY",DAVERAGE('literature entries'!$D:$AI,IF($J239=1,"ACTIVE     GHGE, FARM GATE (kg CO2e/kg)","GHGE, processor gate (kg CO2e/kg)"),INDIRECT($K239)),GETPIVOTDATA(IF($J239=1,"Average of ACTIVE     GHGE, FARM GATE (kg CO2e/kg)","Average of GHGE, processor gate (kg CO2e/kg)"),'Pivot Table_GHG'!$A$3,"SUB TYPE",$B239))</f>
        <v>0.84844163909090919</v>
      </c>
      <c r="S239" s="190">
        <f ca="1">IF($P239="PROXY",DSTDEV('literature entries'!$D:$AI,IF($J239=1,"ACTIVE     GHGE, FARM GATE (kg CO2e/kg)","GHGE, processor gate (kg CO2e/kg)"),INDIRECT($K239)),GETPIVOTDATA(IF($J239=1,"StdDev of ACTIVE     GHGE, FARM GATE (kg CO2e/kg)","StdDev of GHGE, processor gate (kg CO2e/kg)"),'Pivot Table_GHG'!$A$3,"SUB TYPE",$B239))</f>
        <v>0.21658594508979795</v>
      </c>
      <c r="T239" s="88"/>
      <c r="U239" s="89"/>
      <c r="W239" s="213" t="str">
        <f ca="1">IF(L239="PROXY",IF(M239&gt;=5,K239,"need group"),IF(M239&gt;=5,"DIRECT","need group"))</f>
        <v>DIRECT</v>
      </c>
      <c r="X239" s="211">
        <f ca="1">IF($W239="DIRECT",M239,DCOUNT('literature entries'!$D:$AI,IF($J239=1,"ACTIVE     CED, FARM GATE (MJ/kg)","CED, processor gate (MJ/kg)"),INDIRECT($W239)))</f>
        <v>11</v>
      </c>
      <c r="Y239" s="211" t="str">
        <f ca="1">IF($W239="DIRECT","",DAVERAGE('literature entries'!$D:$AI,IF($J239=1,"ACTIVE     CED, FARM GATE (MJ/kg)","CED, processor gate (MJ/kg)"),INDIRECT($W239)))</f>
        <v/>
      </c>
      <c r="Z239" s="211">
        <f ca="1">IF($W239="DIRECT",$O239,DSTDEV('literature entries'!$D:$AI,IF($J239=1,"ACTIVE     CED, FARM GATE (MJ/kg)","CED, processor gate (MJ/kg)"),INDIRECT($W239)))</f>
        <v>1.3784473590983684</v>
      </c>
      <c r="AA239" s="211">
        <f t="shared" ca="1" si="32"/>
        <v>1.3784473590983684</v>
      </c>
      <c r="AB239" s="219" t="str">
        <f ca="1">IF(P239="PROXY",IF(Q239&gt;=5,K239,"need group"),IF(Q239&gt;=5,"DIRECT","need group"))</f>
        <v>DIRECT</v>
      </c>
      <c r="AC239" s="212">
        <f ca="1">IF($AB239="DIRECT",Q239,DCOUNT('literature entries'!$D:$AI,IF($J239=1,"ACTIVE     GHGE, FARM GATE (kg CO2e/kg)","GHGE, processor gate (kg CO2e/kg)"),INDIRECT($AB239)))</f>
        <v>11</v>
      </c>
      <c r="AD239" s="212" t="str">
        <f ca="1">IF($AB239="DIRECT","",DAVERAGE('literature entries'!$D:$AI,IF($J239=1,"ACTIVE     GHGE, FARM GATE (kg CO2e/kg)","GHGE, processor gate (kg CO2e/kg)"),INDIRECT($AB239)))</f>
        <v/>
      </c>
      <c r="AE239" s="212">
        <f ca="1">IF($AB239="DIRECT",$S239,DSTDEV('literature entries'!$D:$AI,IF($J239=1,"ACTIVE     GHGE, FARM GATE (kg CO2e/kg)","GHGE, processor gate (kg CO2e/kg)"),INDIRECT($AB239)))</f>
        <v>0.21658594508979795</v>
      </c>
      <c r="AF239" s="212">
        <f t="shared" ca="1" si="33"/>
        <v>0.21658594508979795</v>
      </c>
    </row>
    <row r="240" spans="1:32" s="19" customFormat="1" ht="17" thickBot="1" x14ac:dyDescent="0.25">
      <c r="A240" s="114">
        <v>2002365000</v>
      </c>
      <c r="B240" s="115" t="s">
        <v>2289</v>
      </c>
      <c r="C240" s="115" t="s">
        <v>1731</v>
      </c>
      <c r="D240" s="115"/>
      <c r="E240" s="115">
        <v>45494</v>
      </c>
      <c r="F240" s="111">
        <f t="shared" ca="1" si="28"/>
        <v>5.7941000000000003</v>
      </c>
      <c r="G240" s="112">
        <f t="shared" ca="1" si="29"/>
        <v>2.6459999999999999</v>
      </c>
      <c r="H240" s="120">
        <v>1</v>
      </c>
      <c r="I240" s="117" t="s">
        <v>628</v>
      </c>
      <c r="J240" s="79">
        <v>2</v>
      </c>
      <c r="K240" s="78" t="s">
        <v>3291</v>
      </c>
      <c r="L240" s="135" t="str">
        <f>IF(ISERROR(GETPIVOTDATA(IF($J240=1,"Count of ACTIVE     CED, FARM GATE (MJ/kg)","Count of CED, processor gate (MJ/kg)"),'Pivot Table_CED'!$A$3,"SUB TYPE",$B240)),"PROXY",IF(GETPIVOTDATA(IF($J240=1,"Count of ACTIVE     CED, FARM GATE (MJ/kg)","Count of CED, processor gate (MJ/kg)"),'Pivot Table_CED'!$A$3,"SUB TYPE",$B240)=0,"PROXY","DB value"))</f>
        <v>DB value</v>
      </c>
      <c r="M240" s="118">
        <f ca="1">IF($L240="PROXY",DCOUNT('literature entries'!$D:$AI,IF($J240=1,"ACTIVE     CED, FARM GATE (MJ/kg)","CED, processor gate (MJ/kg)"),INDIRECT($K240)),GETPIVOTDATA(IF($J240=1,"Count of ACTIVE     CED, FARM GATE (MJ/kg)","Count of CED, processor gate (MJ/kg)"),'Pivot Table_CED'!$A$3,"SUB TYPE",$B240))</f>
        <v>1</v>
      </c>
      <c r="N240" s="119">
        <f ca="1">IF($L240="PROXY",DAVERAGE('literature entries'!$D:$AI,IF($J240=1,"ACTIVE     CED, FARM GATE (MJ/kg)","CED, processor gate (MJ/kg)"),INDIRECT($K240)),GETPIVOTDATA(IF($J240=1,"Average of ACTIVE     CED, FARM GATE (MJ/kg)","Average of CED, processor gate (MJ/kg)"),'Pivot Table_CED'!$A$3,"SUB TYPE",$B240))</f>
        <v>5.7941000000000003</v>
      </c>
      <c r="O240" s="119">
        <f ca="1">IF($L240="PROXY",DSTDEV('literature entries'!D:AI,IF($J240=1,"ACTIVE     CED, FARM GATE (MJ/kg)","CED, processor gate (MJ/kg)"),INDIRECT($K240)),GETPIVOTDATA(IF($J240=1,"StdDev of ACTIVE     CED, FARM GATE (MJ/kg)","StdDev of CED, processor gate (MJ/kg)"),'Pivot Table_CED'!$A$3,"SUB TYPE",$B240))</f>
        <v>0</v>
      </c>
      <c r="P240" s="135" t="str">
        <f>IF(ISERROR(GETPIVOTDATA(IF($J240=1,"Count of ACTIVE     GHGE, FARM GATE (kg CO2e/kg)","Count of GHGE, processor gate (kg CO2e/kg)"),'Pivot Table_GHG'!$A$3,"SUB TYPE",$B240)),"PROXY",IF(GETPIVOTDATA(IF($J240=1,"Count of ACTIVE     GHGE, FARM GATE (kg CO2e/kg)","Count of GHGE, processor gate (kg CO2e/kg)"),'Pivot Table_GHG'!$A$3,"SUB TYPE",$B240)=0,"PROXY","DB value"))</f>
        <v>DB value</v>
      </c>
      <c r="Q240" s="125">
        <f ca="1">IF($P240="PROXY",DCOUNT('literature entries'!$D:$AI,IF($J240=1,"ACTIVE     GHGE, FARM GATE (kg CO2e/kg)","GHGE, processor gate (kg CO2e/kg)"),INDIRECT($K240)),GETPIVOTDATA(IF($J240=1,"ACTIVE     GHGE, FARM GATE (kg CO2e/kg)","Count of GHGE, processor gate (kg CO2e/kg)"),'Pivot Table_GHG'!$A$3,"SUB TYPE",$B240))</f>
        <v>1</v>
      </c>
      <c r="R240" s="190">
        <f ca="1">IF($P240="PROXY",DAVERAGE('literature entries'!$D:$AI,IF($J240=1,"ACTIVE     GHGE, FARM GATE (kg CO2e/kg)","GHGE, processor gate (kg CO2e/kg)"),INDIRECT($K240)),GETPIVOTDATA(IF($J240=1,"Average of ACTIVE     GHGE, FARM GATE (kg CO2e/kg)","Average of GHGE, processor gate (kg CO2e/kg)"),'Pivot Table_GHG'!$A$3,"SUB TYPE",$B240))</f>
        <v>2.6459999999999999</v>
      </c>
      <c r="S240" s="190" t="e">
        <f ca="1">IF($P240="PROXY",DSTDEV('literature entries'!$D:$AI,IF($J240=1,"ACTIVE     GHGE, FARM GATE (kg CO2e/kg)","GHGE, processor gate (kg CO2e/kg)"),INDIRECT($K240)),GETPIVOTDATA(IF($J240=1,"StdDev of ACTIVE     GHGE, FARM GATE (kg CO2e/kg)","StdDev of GHGE, processor gate (kg CO2e/kg)"),'Pivot Table_GHG'!$A$3,"SUB TYPE",$B240))</f>
        <v>#DIV/0!</v>
      </c>
      <c r="T240" s="88"/>
      <c r="U240" s="89"/>
      <c r="W240" s="213" t="s">
        <v>3354</v>
      </c>
      <c r="X240" s="211">
        <f ca="1">IF($W240="DIRECT",M240,DCOUNT('literature entries'!$D:$AI,IF($J240=1,"ACTIVE     CED, FARM GATE (MJ/kg)","CED, processor gate (MJ/kg)"),INDIRECT($W240)))</f>
        <v>16</v>
      </c>
      <c r="Y240" s="211">
        <f ca="1">IF($W240="DIRECT","",DAVERAGE('literature entries'!$D:$AI,IF($J240=1,"ACTIVE     CED, FARM GATE (MJ/kg)","CED, processor gate (MJ/kg)"),INDIRECT($W240)))</f>
        <v>11.873325197282607</v>
      </c>
      <c r="Z240" s="211">
        <f ca="1">IF($W240="DIRECT",$O240,DSTDEV('literature entries'!$D:$AI,IF($J240=1,"ACTIVE     CED, FARM GATE (MJ/kg)","CED, processor gate (MJ/kg)"),INDIRECT($W240)))</f>
        <v>5.663275464099641</v>
      </c>
      <c r="AA240" s="211">
        <f t="shared" ca="1" si="32"/>
        <v>2.7636389824519942</v>
      </c>
      <c r="AB240" s="219" t="s">
        <v>3354</v>
      </c>
      <c r="AC240" s="212">
        <f ca="1">IF($AB240="DIRECT",Q240,DCOUNT('literature entries'!$D:$AI,IF($J240=1,"ACTIVE     GHGE, FARM GATE (kg CO2e/kg)","GHGE, processor gate (kg CO2e/kg)"),INDIRECT($AB240)))</f>
        <v>19</v>
      </c>
      <c r="AD240" s="212">
        <f ca="1">IF($AB240="DIRECT","",DAVERAGE('literature entries'!$D:$AI,IF($J240=1,"ACTIVE     GHGE, FARM GATE (kg CO2e/kg)","GHGE, processor gate (kg CO2e/kg)"),INDIRECT($AB240)))</f>
        <v>3.6074757576297722</v>
      </c>
      <c r="AE240" s="212">
        <f ca="1">IF($AB240="DIRECT",$S240,DSTDEV('literature entries'!$D:$AI,IF($J240=1,"ACTIVE     GHGE, FARM GATE (kg CO2e/kg)","GHGE, processor gate (kg CO2e/kg)"),INDIRECT($AB240)))</f>
        <v>2.5306182127862726</v>
      </c>
      <c r="AF240" s="212">
        <f t="shared" ca="1" si="33"/>
        <v>1.8561499067236906</v>
      </c>
    </row>
    <row r="241" spans="1:32" s="19" customFormat="1" ht="17" thickBot="1" x14ac:dyDescent="0.25">
      <c r="A241" s="114">
        <v>2003128000</v>
      </c>
      <c r="B241" s="115" t="s">
        <v>1947</v>
      </c>
      <c r="C241" s="115" t="s">
        <v>1731</v>
      </c>
      <c r="D241" s="115"/>
      <c r="E241" s="115">
        <v>50194</v>
      </c>
      <c r="F241" s="111">
        <f t="shared" ca="1" si="28"/>
        <v>24.8</v>
      </c>
      <c r="G241" s="112">
        <f t="shared" ca="1" si="29"/>
        <v>2.14</v>
      </c>
      <c r="H241" s="116">
        <v>1</v>
      </c>
      <c r="I241" s="117" t="s">
        <v>2724</v>
      </c>
      <c r="J241" s="79">
        <v>2</v>
      </c>
      <c r="K241" s="78" t="s">
        <v>3291</v>
      </c>
      <c r="L241" s="135" t="str">
        <f>IF(ISERROR(GETPIVOTDATA(IF($J241=1,"Count of ACTIVE     CED, FARM GATE (MJ/kg)","Count of CED, processor gate (MJ/kg)"),'Pivot Table_CED'!$A$3,"SUB TYPE",$B241)),"PROXY",IF(GETPIVOTDATA(IF($J241=1,"Count of ACTIVE     CED, FARM GATE (MJ/kg)","Count of CED, processor gate (MJ/kg)"),'Pivot Table_CED'!$A$3,"SUB TYPE",$B241)=0,"PROXY","DB value"))</f>
        <v>DB value</v>
      </c>
      <c r="M241" s="118">
        <f ca="1">IF($L241="PROXY",DCOUNT('literature entries'!$D:$AI,IF($J241=1,"ACTIVE     CED, FARM GATE (MJ/kg)","CED, processor gate (MJ/kg)"),INDIRECT($K241)),GETPIVOTDATA(IF($J241=1,"Count of ACTIVE     CED, FARM GATE (MJ/kg)","Count of CED, processor gate (MJ/kg)"),'Pivot Table_CED'!$A$3,"SUB TYPE",$B241))</f>
        <v>1</v>
      </c>
      <c r="N241" s="119">
        <f ca="1">IF($L241="PROXY",DAVERAGE('literature entries'!$D:$AI,IF($J241=1,"ACTIVE     CED, FARM GATE (MJ/kg)","CED, processor gate (MJ/kg)"),INDIRECT($K241)),GETPIVOTDATA(IF($J241=1,"Average of ACTIVE     CED, FARM GATE (MJ/kg)","Average of CED, processor gate (MJ/kg)"),'Pivot Table_CED'!$A$3,"SUB TYPE",$B241))</f>
        <v>24.8</v>
      </c>
      <c r="O241" s="119">
        <f ca="1">IF($L241="PROXY",DSTDEV('literature entries'!D:AI,IF($J241=1,"ACTIVE     CED, FARM GATE (MJ/kg)","CED, processor gate (MJ/kg)"),INDIRECT($K241)),GETPIVOTDATA(IF($J241=1,"StdDev of ACTIVE     CED, FARM GATE (MJ/kg)","StdDev of CED, processor gate (MJ/kg)"),'Pivot Table_CED'!$A$3,"SUB TYPE",$B241))</f>
        <v>0</v>
      </c>
      <c r="P241" s="135" t="str">
        <f>IF(ISERROR(GETPIVOTDATA(IF($J241=1,"Count of ACTIVE     GHGE, FARM GATE (kg CO2e/kg)","Count of GHGE, processor gate (kg CO2e/kg)"),'Pivot Table_GHG'!$A$3,"SUB TYPE",$B241)),"PROXY",IF(GETPIVOTDATA(IF($J241=1,"Count of ACTIVE     GHGE, FARM GATE (kg CO2e/kg)","Count of GHGE, processor gate (kg CO2e/kg)"),'Pivot Table_GHG'!$A$3,"SUB TYPE",$B241)=0,"PROXY","DB value"))</f>
        <v>DB value</v>
      </c>
      <c r="Q241" s="125">
        <f ca="1">IF($P241="PROXY",DCOUNT('literature entries'!$D:$AI,IF($J241=1,"ACTIVE     GHGE, FARM GATE (kg CO2e/kg)","GHGE, processor gate (kg CO2e/kg)"),INDIRECT($K241)),GETPIVOTDATA(IF($J241=1,"ACTIVE     GHGE, FARM GATE (kg CO2e/kg)","Count of GHGE, processor gate (kg CO2e/kg)"),'Pivot Table_GHG'!$A$3,"SUB TYPE",$B241))</f>
        <v>1</v>
      </c>
      <c r="R241" s="190">
        <f ca="1">IF($P241="PROXY",DAVERAGE('literature entries'!$D:$AI,IF($J241=1,"ACTIVE     GHGE, FARM GATE (kg CO2e/kg)","GHGE, processor gate (kg CO2e/kg)"),INDIRECT($K241)),GETPIVOTDATA(IF($J241=1,"Average of ACTIVE     GHGE, FARM GATE (kg CO2e/kg)","Average of GHGE, processor gate (kg CO2e/kg)"),'Pivot Table_GHG'!$A$3,"SUB TYPE",$B241))</f>
        <v>2.14</v>
      </c>
      <c r="S241" s="190" t="e">
        <f ca="1">IF($P241="PROXY",DSTDEV('literature entries'!$D:$AI,IF($J241=1,"ACTIVE     GHGE, FARM GATE (kg CO2e/kg)","GHGE, processor gate (kg CO2e/kg)"),INDIRECT($K241)),GETPIVOTDATA(IF($J241=1,"StdDev of ACTIVE     GHGE, FARM GATE (kg CO2e/kg)","StdDev of GHGE, processor gate (kg CO2e/kg)"),'Pivot Table_GHG'!$A$3,"SUB TYPE",$B241))</f>
        <v>#DIV/0!</v>
      </c>
      <c r="T241" s="88"/>
      <c r="U241" s="89"/>
      <c r="W241" s="213" t="s">
        <v>3354</v>
      </c>
      <c r="X241" s="211">
        <f ca="1">IF($W241="DIRECT",M241,DCOUNT('literature entries'!$D:$AI,IF($J241=1,"ACTIVE     CED, FARM GATE (MJ/kg)","CED, processor gate (MJ/kg)"),INDIRECT($W241)))</f>
        <v>16</v>
      </c>
      <c r="Y241" s="211">
        <f ca="1">IF($W241="DIRECT","",DAVERAGE('literature entries'!$D:$AI,IF($J241=1,"ACTIVE     CED, FARM GATE (MJ/kg)","CED, processor gate (MJ/kg)"),INDIRECT($W241)))</f>
        <v>11.873325197282607</v>
      </c>
      <c r="Z241" s="211">
        <f ca="1">IF($W241="DIRECT",$O241,DSTDEV('literature entries'!$D:$AI,IF($J241=1,"ACTIVE     CED, FARM GATE (MJ/kg)","CED, processor gate (MJ/kg)"),INDIRECT($W241)))</f>
        <v>5.663275464099641</v>
      </c>
      <c r="AA241" s="211">
        <f t="shared" ca="1" si="32"/>
        <v>11.828972017191532</v>
      </c>
      <c r="AB241" s="219" t="s">
        <v>3354</v>
      </c>
      <c r="AC241" s="212">
        <f ca="1">IF($AB241="DIRECT",Q241,DCOUNT('literature entries'!$D:$AI,IF($J241=1,"ACTIVE     GHGE, FARM GATE (kg CO2e/kg)","GHGE, processor gate (kg CO2e/kg)"),INDIRECT($AB241)))</f>
        <v>19</v>
      </c>
      <c r="AD241" s="212">
        <f ca="1">IF($AB241="DIRECT","",DAVERAGE('literature entries'!$D:$AI,IF($J241=1,"ACTIVE     GHGE, FARM GATE (kg CO2e/kg)","GHGE, processor gate (kg CO2e/kg)"),INDIRECT($AB241)))</f>
        <v>3.6074757576297722</v>
      </c>
      <c r="AE241" s="212">
        <f ca="1">IF($AB241="DIRECT",$S241,DSTDEV('literature entries'!$D:$AI,IF($J241=1,"ACTIVE     GHGE, FARM GATE (kg CO2e/kg)","GHGE, processor gate (kg CO2e/kg)"),INDIRECT($AB241)))</f>
        <v>2.5306182127862726</v>
      </c>
      <c r="AF241" s="212">
        <f t="shared" ca="1" si="33"/>
        <v>1.5011945579700297</v>
      </c>
    </row>
    <row r="242" spans="1:32" s="19" customFormat="1" thickBot="1" x14ac:dyDescent="0.25">
      <c r="A242" s="114">
        <v>2100228000</v>
      </c>
      <c r="B242" s="115" t="s">
        <v>736</v>
      </c>
      <c r="C242" s="115" t="s">
        <v>2087</v>
      </c>
      <c r="D242" s="115" t="s">
        <v>2088</v>
      </c>
      <c r="E242" s="115">
        <v>4128</v>
      </c>
      <c r="F242" s="111">
        <f t="shared" ca="1" si="28"/>
        <v>4.9865801999999997</v>
      </c>
      <c r="G242" s="112">
        <f t="shared" ca="1" si="29"/>
        <v>3.0926330217584099</v>
      </c>
      <c r="H242" s="116">
        <v>1.03</v>
      </c>
      <c r="I242" s="116" t="s">
        <v>2724</v>
      </c>
      <c r="J242" s="79">
        <v>1</v>
      </c>
      <c r="K242" s="78"/>
      <c r="L242" s="135" t="str">
        <f>IF(ISERROR(GETPIVOTDATA(IF($J242=1,"Count of ACTIVE     CED, FARM GATE (MJ/kg)","Count of CED, processor gate (MJ/kg)"),'Pivot Table_CED'!$A$3,"SUB TYPE",$B242)),"PROXY",IF(GETPIVOTDATA(IF($J242=1,"Count of ACTIVE     CED, FARM GATE (MJ/kg)","Count of CED, processor gate (MJ/kg)"),'Pivot Table_CED'!$A$3,"SUB TYPE",$B242)=0,"PROXY","DB value"))</f>
        <v>DB value</v>
      </c>
      <c r="M242" s="118">
        <f ca="1">IF($L242="PROXY",DCOUNT('literature entries'!$D:$AI,IF($J242=1,"ACTIVE     CED, FARM GATE (MJ/kg)","CED, processor gate (MJ/kg)"),INDIRECT($K242)),GETPIVOTDATA(IF($J242=1,"Count of ACTIVE     CED, FARM GATE (MJ/kg)","Count of CED, processor gate (MJ/kg)"),'Pivot Table_CED'!$A$3,"SUB TYPE",$B242))</f>
        <v>3</v>
      </c>
      <c r="N242" s="119">
        <f ca="1">IF($L242="PROXY",DAVERAGE('literature entries'!$D:$AI,IF($J242=1,"ACTIVE     CED, FARM GATE (MJ/kg)","CED, processor gate (MJ/kg)"),INDIRECT($K242)),GETPIVOTDATA(IF($J242=1,"Average of ACTIVE     CED, FARM GATE (MJ/kg)","Average of CED, processor gate (MJ/kg)"),'Pivot Table_CED'!$A$3,"SUB TYPE",$B242))</f>
        <v>4.8413399999999998</v>
      </c>
      <c r="O242" s="119">
        <f ca="1">IF($L242="PROXY",DSTDEV('literature entries'!D:AI,IF($J242=1,"ACTIVE     CED, FARM GATE (MJ/kg)","CED, processor gate (MJ/kg)"),INDIRECT($K242)),GETPIVOTDATA(IF($J242=1,"StdDev of ACTIVE     CED, FARM GATE (MJ/kg)","StdDev of CED, processor gate (MJ/kg)"),'Pivot Table_CED'!$A$3,"SUB TYPE",$B242))</f>
        <v>0.46859261091484966</v>
      </c>
      <c r="P242" s="135" t="str">
        <f>IF(ISERROR(GETPIVOTDATA(IF($J242=1,"Count of ACTIVE     GHGE, FARM GATE (kg CO2e/kg)","Count of GHGE, processor gate (kg CO2e/kg)"),'Pivot Table_GHG'!$A$3,"SUB TYPE",$B242)),"PROXY",IF(GETPIVOTDATA(IF($J242=1,"Count of ACTIVE     GHGE, FARM GATE (kg CO2e/kg)","Count of GHGE, processor gate (kg CO2e/kg)"),'Pivot Table_GHG'!$A$3,"SUB TYPE",$B242)=0,"PROXY","DB value"))</f>
        <v>DB value</v>
      </c>
      <c r="Q242" s="125">
        <f ca="1">IF($P242="PROXY",DCOUNT('literature entries'!$D:$AI,IF($J242=1,"ACTIVE     GHGE, FARM GATE (kg CO2e/kg)","GHGE, processor gate (kg CO2e/kg)"),INDIRECT($K242)),GETPIVOTDATA(IF($J242=1,"ACTIVE     GHGE, FARM GATE (kg CO2e/kg)","Count of GHGE, processor gate (kg CO2e/kg)"),'Pivot Table_GHG'!$A$3,"SUB TYPE",$B242))</f>
        <v>6</v>
      </c>
      <c r="R242" s="190">
        <f ca="1">IF($P242="PROXY",DAVERAGE('literature entries'!$D:$AI,IF($J242=1,"ACTIVE     GHGE, FARM GATE (kg CO2e/kg)","GHGE, processor gate (kg CO2e/kg)"),INDIRECT($K242)),GETPIVOTDATA(IF($J242=1,"Average of ACTIVE     GHGE, FARM GATE (kg CO2e/kg)","Average of GHGE, processor gate (kg CO2e/kg)"),'Pivot Table_GHG'!$A$3,"SUB TYPE",$B242))</f>
        <v>3.0025563318042816</v>
      </c>
      <c r="S242" s="190">
        <f ca="1">IF($P242="PROXY",DSTDEV('literature entries'!$D:$AI,IF($J242=1,"ACTIVE     GHGE, FARM GATE (kg CO2e/kg)","GHGE, processor gate (kg CO2e/kg)"),INDIRECT($K242)),GETPIVOTDATA(IF($J242=1,"StdDev of ACTIVE     GHGE, FARM GATE (kg CO2e/kg)","StdDev of GHGE, processor gate (kg CO2e/kg)"),'Pivot Table_GHG'!$A$3,"SUB TYPE",$B242))</f>
        <v>1.7628178625103332</v>
      </c>
      <c r="T242" s="88"/>
      <c r="U242" s="89"/>
      <c r="W242" s="213" t="s">
        <v>3361</v>
      </c>
      <c r="X242" s="211">
        <f ca="1">IF($W242="DIRECT",M242,DCOUNT('literature entries'!$D:$AI,IF($J242=1,"ACTIVE     CED, FARM GATE (MJ/kg)","CED, processor gate (MJ/kg)"),INDIRECT($W242)))</f>
        <v>60</v>
      </c>
      <c r="Y242" s="211">
        <f ca="1">IF($W242="DIRECT","",DAVERAGE('literature entries'!$D:$AI,IF($J242=1,"ACTIVE     CED, FARM GATE (MJ/kg)","CED, processor gate (MJ/kg)"),INDIRECT($W242)))</f>
        <v>3.4907536756076811</v>
      </c>
      <c r="Z242" s="211">
        <f ca="1">IF($W242="DIRECT",$O242,DSTDEV('literature entries'!$D:$AI,IF($J242=1,"ACTIVE     CED, FARM GATE (MJ/kg)","CED, processor gate (MJ/kg)"),INDIRECT($W242)))</f>
        <v>2.8914615487691551</v>
      </c>
      <c r="AA242" s="211">
        <f t="shared" ca="1" si="32"/>
        <v>4.0101793925866591</v>
      </c>
      <c r="AB242" s="219" t="str">
        <f ca="1">IF(P242="PROXY",IF(Q242&gt;=5,K242,"need group"),IF(Q242&gt;=5,"DIRECT","need group"))</f>
        <v>DIRECT</v>
      </c>
      <c r="AC242" s="212">
        <f ca="1">IF($AB242="DIRECT",Q242,DCOUNT('literature entries'!$D:$AI,IF($J242=1,"ACTIVE     GHGE, FARM GATE (kg CO2e/kg)","GHGE, processor gate (kg CO2e/kg)"),INDIRECT($AB242)))</f>
        <v>6</v>
      </c>
      <c r="AD242" s="212" t="str">
        <f ca="1">IF($AB242="DIRECT","",DAVERAGE('literature entries'!$D:$AI,IF($J242=1,"ACTIVE     GHGE, FARM GATE (kg CO2e/kg)","GHGE, processor gate (kg CO2e/kg)"),INDIRECT($AB242)))</f>
        <v/>
      </c>
      <c r="AE242" s="212">
        <f ca="1">IF($AB242="DIRECT",$S242,DSTDEV('literature entries'!$D:$AI,IF($J242=1,"ACTIVE     GHGE, FARM GATE (kg CO2e/kg)","GHGE, processor gate (kg CO2e/kg)"),INDIRECT($AB242)))</f>
        <v>1.7628178625103332</v>
      </c>
      <c r="AF242" s="212">
        <f t="shared" ca="1" si="33"/>
        <v>1.7628178625103332</v>
      </c>
    </row>
    <row r="243" spans="1:32" s="19" customFormat="1" thickBot="1" x14ac:dyDescent="0.25">
      <c r="A243" s="114">
        <v>2201019000</v>
      </c>
      <c r="B243" s="115" t="s">
        <v>827</v>
      </c>
      <c r="C243" s="115" t="s">
        <v>1761</v>
      </c>
      <c r="D243" s="115"/>
      <c r="E243" s="115">
        <v>392</v>
      </c>
      <c r="F243" s="111">
        <f t="shared" ca="1" si="28"/>
        <v>20.180860418249999</v>
      </c>
      <c r="G243" s="112">
        <f t="shared" ca="1" si="29"/>
        <v>2.1714399000000006</v>
      </c>
      <c r="H243" s="116">
        <v>1.89</v>
      </c>
      <c r="I243" s="116" t="s">
        <v>2724</v>
      </c>
      <c r="J243" s="79">
        <v>1</v>
      </c>
      <c r="K243" s="78"/>
      <c r="L243" s="135" t="str">
        <f>IF(ISERROR(GETPIVOTDATA(IF($J243=1,"Count of ACTIVE     CED, FARM GATE (MJ/kg)","Count of CED, processor gate (MJ/kg)"),'Pivot Table_CED'!$A$3,"SUB TYPE",$B243)),"PROXY",IF(GETPIVOTDATA(IF($J243=1,"Count of ACTIVE     CED, FARM GATE (MJ/kg)","Count of CED, processor gate (MJ/kg)"),'Pivot Table_CED'!$A$3,"SUB TYPE",$B243)=0,"PROXY","DB value"))</f>
        <v>DB value</v>
      </c>
      <c r="M243" s="118">
        <f ca="1">IF($L243="PROXY",DCOUNT('literature entries'!$D:$AI,IF($J243=1,"ACTIVE     CED, FARM GATE (MJ/kg)","CED, processor gate (MJ/kg)"),INDIRECT($K243)),GETPIVOTDATA(IF($J243=1,"Count of ACTIVE     CED, FARM GATE (MJ/kg)","Count of CED, processor gate (MJ/kg)"),'Pivot Table_CED'!$A$3,"SUB TYPE",$B243))</f>
        <v>4</v>
      </c>
      <c r="N243" s="119">
        <f ca="1">IF($L243="PROXY",DAVERAGE('literature entries'!$D:$AI,IF($J243=1,"ACTIVE     CED, FARM GATE (MJ/kg)","CED, processor gate (MJ/kg)"),INDIRECT($K243)),GETPIVOTDATA(IF($J243=1,"Average of ACTIVE     CED, FARM GATE (MJ/kg)","Average of CED, processor gate (MJ/kg)"),'Pivot Table_CED'!$A$3,"SUB TYPE",$B243))</f>
        <v>10.677703924999999</v>
      </c>
      <c r="O243" s="119">
        <f ca="1">IF($L243="PROXY",DSTDEV('literature entries'!D:AI,IF($J243=1,"ACTIVE     CED, FARM GATE (MJ/kg)","CED, processor gate (MJ/kg)"),INDIRECT($K243)),GETPIVOTDATA(IF($J243=1,"StdDev of ACTIVE     CED, FARM GATE (MJ/kg)","StdDev of CED, processor gate (MJ/kg)"),'Pivot Table_CED'!$A$3,"SUB TYPE",$B243))</f>
        <v>4.8554523094787436</v>
      </c>
      <c r="P243" s="135" t="str">
        <f>IF(ISERROR(GETPIVOTDATA(IF($J243=1,"Count of ACTIVE     GHGE, FARM GATE (kg CO2e/kg)","Count of GHGE, processor gate (kg CO2e/kg)"),'Pivot Table_GHG'!$A$3,"SUB TYPE",$B243)),"PROXY",IF(GETPIVOTDATA(IF($J243=1,"Count of ACTIVE     GHGE, FARM GATE (kg CO2e/kg)","Count of GHGE, processor gate (kg CO2e/kg)"),'Pivot Table_GHG'!$A$3,"SUB TYPE",$B243)=0,"PROXY","DB value"))</f>
        <v>DB value</v>
      </c>
      <c r="Q243" s="125">
        <f ca="1">IF($P243="PROXY",DCOUNT('literature entries'!$D:$AI,IF($J243=1,"ACTIVE     GHGE, FARM GATE (kg CO2e/kg)","GHGE, processor gate (kg CO2e/kg)"),INDIRECT($K243)),GETPIVOTDATA(IF($J243=1,"ACTIVE     GHGE, FARM GATE (kg CO2e/kg)","Count of GHGE, processor gate (kg CO2e/kg)"),'Pivot Table_GHG'!$A$3,"SUB TYPE",$B243))</f>
        <v>7</v>
      </c>
      <c r="R243" s="190">
        <f ca="1">IF($P243="PROXY",DAVERAGE('literature entries'!$D:$AI,IF($J243=1,"ACTIVE     GHGE, FARM GATE (kg CO2e/kg)","GHGE, processor gate (kg CO2e/kg)"),INDIRECT($K243)),GETPIVOTDATA(IF($J243=1,"Average of ACTIVE     GHGE, FARM GATE (kg CO2e/kg)","Average of GHGE, processor gate (kg CO2e/kg)"),'Pivot Table_GHG'!$A$3,"SUB TYPE",$B243))</f>
        <v>1.1489100000000003</v>
      </c>
      <c r="S243" s="190">
        <f ca="1">IF($P243="PROXY",DSTDEV('literature entries'!$D:$AI,IF($J243=1,"ACTIVE     GHGE, FARM GATE (kg CO2e/kg)","GHGE, processor gate (kg CO2e/kg)"),INDIRECT($K243)),GETPIVOTDATA(IF($J243=1,"StdDev of ACTIVE     GHGE, FARM GATE (kg CO2e/kg)","StdDev of GHGE, processor gate (kg CO2e/kg)"),'Pivot Table_GHG'!$A$3,"SUB TYPE",$B243))</f>
        <v>0.79065739811880531</v>
      </c>
      <c r="T243" s="88"/>
      <c r="U243" s="89"/>
      <c r="W243" s="213" t="s">
        <v>3361</v>
      </c>
      <c r="X243" s="211">
        <f ca="1">IF($W243="DIRECT",M243,DCOUNT('literature entries'!$D:$AI,IF($J243=1,"ACTIVE     CED, FARM GATE (MJ/kg)","CED, processor gate (MJ/kg)"),INDIRECT($W243)))</f>
        <v>60</v>
      </c>
      <c r="Y243" s="211">
        <f ca="1">IF($W243="DIRECT","",DAVERAGE('literature entries'!$D:$AI,IF($J243=1,"ACTIVE     CED, FARM GATE (MJ/kg)","CED, processor gate (MJ/kg)"),INDIRECT($W243)))</f>
        <v>3.4907536756076811</v>
      </c>
      <c r="Z243" s="211">
        <f ca="1">IF($W243="DIRECT",$O243,DSTDEV('literature entries'!$D:$AI,IF($J243=1,"ACTIVE     CED, FARM GATE (MJ/kg)","CED, processor gate (MJ/kg)"),INDIRECT($W243)))</f>
        <v>2.8914615487691551</v>
      </c>
      <c r="AA243" s="211">
        <f t="shared" ca="1" si="32"/>
        <v>8.8445571350445729</v>
      </c>
      <c r="AB243" s="219" t="str">
        <f ca="1">IF(P243="PROXY",IF(Q243&gt;=5,K243,"need group"),IF(Q243&gt;=5,"DIRECT","need group"))</f>
        <v>DIRECT</v>
      </c>
      <c r="AC243" s="212">
        <f ca="1">IF($AB243="DIRECT",Q243,DCOUNT('literature entries'!$D:$AI,IF($J243=1,"ACTIVE     GHGE, FARM GATE (kg CO2e/kg)","GHGE, processor gate (kg CO2e/kg)"),INDIRECT($AB243)))</f>
        <v>7</v>
      </c>
      <c r="AD243" s="212" t="str">
        <f ca="1">IF($AB243="DIRECT","",DAVERAGE('literature entries'!$D:$AI,IF($J243=1,"ACTIVE     GHGE, FARM GATE (kg CO2e/kg)","GHGE, processor gate (kg CO2e/kg)"),INDIRECT($AB243)))</f>
        <v/>
      </c>
      <c r="AE243" s="212">
        <f ca="1">IF($AB243="DIRECT",$S243,DSTDEV('literature entries'!$D:$AI,IF($J243=1,"ACTIVE     GHGE, FARM GATE (kg CO2e/kg)","GHGE, processor gate (kg CO2e/kg)"),INDIRECT($AB243)))</f>
        <v>0.79065739811880531</v>
      </c>
      <c r="AF243" s="212">
        <f t="shared" ca="1" si="33"/>
        <v>0.79065739811880531</v>
      </c>
    </row>
    <row r="244" spans="1:32" s="19" customFormat="1" ht="17" thickBot="1" x14ac:dyDescent="0.25">
      <c r="A244" s="114">
        <v>2201022000</v>
      </c>
      <c r="B244" s="115" t="s">
        <v>1766</v>
      </c>
      <c r="C244" s="115" t="s">
        <v>1767</v>
      </c>
      <c r="D244" s="115" t="s">
        <v>1768</v>
      </c>
      <c r="E244" s="115">
        <v>569</v>
      </c>
      <c r="F244" s="111">
        <f t="shared" ca="1" si="28"/>
        <v>10.677703924999999</v>
      </c>
      <c r="G244" s="112">
        <f t="shared" ca="1" si="29"/>
        <v>1.1489100000000003</v>
      </c>
      <c r="H244" s="117">
        <v>1</v>
      </c>
      <c r="I244" s="117" t="s">
        <v>594</v>
      </c>
      <c r="J244" s="79">
        <v>1</v>
      </c>
      <c r="K244" s="78" t="s">
        <v>828</v>
      </c>
      <c r="L244" s="135" t="str">
        <f>IF(ISERROR(GETPIVOTDATA(IF($J244=1,"Count of ACTIVE     CED, FARM GATE (MJ/kg)","Count of CED, processor gate (MJ/kg)"),'Pivot Table_CED'!$A$3,"SUB TYPE",$B244)),"PROXY",IF(GETPIVOTDATA(IF($J244=1,"Count of ACTIVE     CED, FARM GATE (MJ/kg)","Count of CED, processor gate (MJ/kg)"),'Pivot Table_CED'!$A$3,"SUB TYPE",$B244)=0,"PROXY","DB value"))</f>
        <v>PROXY</v>
      </c>
      <c r="M244" s="118">
        <f ca="1">IF($L244="PROXY",DCOUNT('literature entries'!$D:$AI,IF($J244=1,"ACTIVE     CED, FARM GATE (MJ/kg)","CED, processor gate (MJ/kg)"),INDIRECT($K244)),GETPIVOTDATA(IF($J244=1,"Count of ACTIVE     CED, FARM GATE (MJ/kg)","Count of CED, processor gate (MJ/kg)"),'Pivot Table_CED'!$A$3,"SUB TYPE",$B244))</f>
        <v>4</v>
      </c>
      <c r="N244" s="119">
        <f ca="1">IF($L244="PROXY",DAVERAGE('literature entries'!$D:$AI,IF($J244=1,"ACTIVE     CED, FARM GATE (MJ/kg)","CED, processor gate (MJ/kg)"),INDIRECT($K244)),GETPIVOTDATA(IF($J244=1,"Average of ACTIVE     CED, FARM GATE (MJ/kg)","Average of CED, processor gate (MJ/kg)"),'Pivot Table_CED'!$A$3,"SUB TYPE",$B244))</f>
        <v>10.677703924999999</v>
      </c>
      <c r="O244" s="119">
        <f ca="1">IF($L244="PROXY",DSTDEV('literature entries'!D:AI,IF($J244=1,"ACTIVE     CED, FARM GATE (MJ/kg)","CED, processor gate (MJ/kg)"),INDIRECT($K244)),GETPIVOTDATA(IF($J244=1,"StdDev of ACTIVE     CED, FARM GATE (MJ/kg)","StdDev of CED, processor gate (MJ/kg)"),'Pivot Table_CED'!$A$3,"SUB TYPE",$B244))</f>
        <v>4.8554523094787436</v>
      </c>
      <c r="P244" s="135" t="str">
        <f>IF(ISERROR(GETPIVOTDATA(IF($J244=1,"Count of ACTIVE     GHGE, FARM GATE (kg CO2e/kg)","Count of GHGE, processor gate (kg CO2e/kg)"),'Pivot Table_GHG'!$A$3,"SUB TYPE",$B244)),"PROXY",IF(GETPIVOTDATA(IF($J244=1,"Count of ACTIVE     GHGE, FARM GATE (kg CO2e/kg)","Count of GHGE, processor gate (kg CO2e/kg)"),'Pivot Table_GHG'!$A$3,"SUB TYPE",$B244)=0,"PROXY","DB value"))</f>
        <v>PROXY</v>
      </c>
      <c r="Q244" s="125">
        <f ca="1">IF($P244="PROXY",DCOUNT('literature entries'!$D:$AI,IF($J244=1,"ACTIVE     GHGE, FARM GATE (kg CO2e/kg)","GHGE, processor gate (kg CO2e/kg)"),INDIRECT($K244)),GETPIVOTDATA(IF($J244=1,"ACTIVE     GHGE, FARM GATE (kg CO2e/kg)","Count of GHGE, processor gate (kg CO2e/kg)"),'Pivot Table_GHG'!$A$3,"SUB TYPE",$B244))</f>
        <v>7</v>
      </c>
      <c r="R244" s="190">
        <f ca="1">IF($P244="PROXY",DAVERAGE('literature entries'!$D:$AI,IF($J244=1,"ACTIVE     GHGE, FARM GATE (kg CO2e/kg)","GHGE, processor gate (kg CO2e/kg)"),INDIRECT($K244)),GETPIVOTDATA(IF($J244=1,"Average of ACTIVE     GHGE, FARM GATE (kg CO2e/kg)","Average of GHGE, processor gate (kg CO2e/kg)"),'Pivot Table_GHG'!$A$3,"SUB TYPE",$B244))</f>
        <v>1.1489100000000003</v>
      </c>
      <c r="S244" s="190">
        <f ca="1">IF($P244="PROXY",DSTDEV('literature entries'!$D:$AI,IF($J244=1,"ACTIVE     GHGE, FARM GATE (kg CO2e/kg)","GHGE, processor gate (kg CO2e/kg)"),INDIRECT($K244)),GETPIVOTDATA(IF($J244=1,"StdDev of ACTIVE     GHGE, FARM GATE (kg CO2e/kg)","StdDev of GHGE, processor gate (kg CO2e/kg)"),'Pivot Table_GHG'!$A$3,"SUB TYPE",$B244))</f>
        <v>0.79065739811880531</v>
      </c>
      <c r="T244" s="88"/>
      <c r="U244" s="89"/>
      <c r="W244" s="213" t="s">
        <v>3361</v>
      </c>
      <c r="X244" s="211">
        <f ca="1">IF($W244="DIRECT",M244,DCOUNT('literature entries'!$D:$AI,IF($J244=1,"ACTIVE     CED, FARM GATE (MJ/kg)","CED, processor gate (MJ/kg)"),INDIRECT($W244)))</f>
        <v>60</v>
      </c>
      <c r="Y244" s="211">
        <f ca="1">IF($W244="DIRECT","",DAVERAGE('literature entries'!$D:$AI,IF($J244=1,"ACTIVE     CED, FARM GATE (MJ/kg)","CED, processor gate (MJ/kg)"),INDIRECT($W244)))</f>
        <v>3.4907536756076811</v>
      </c>
      <c r="Z244" s="211">
        <f ca="1">IF($W244="DIRECT",$O244,DSTDEV('literature entries'!$D:$AI,IF($J244=1,"ACTIVE     CED, FARM GATE (MJ/kg)","CED, processor gate (MJ/kg)"),INDIRECT($W244)))</f>
        <v>2.8914615487691551</v>
      </c>
      <c r="AA244" s="211">
        <f t="shared" ca="1" si="32"/>
        <v>8.8445571350445729</v>
      </c>
      <c r="AB244" s="219" t="str">
        <f ca="1">IF(P244="PROXY",IF(Q244&gt;=5,K244,"need group"),IF(Q244&gt;=5,"DIRECT","need group"))</f>
        <v>asparagus</v>
      </c>
      <c r="AC244" s="212">
        <f ca="1">IF($AB244="DIRECT",Q244,DCOUNT('literature entries'!$D:$AI,IF($J244=1,"ACTIVE     GHGE, FARM GATE (kg CO2e/kg)","GHGE, processor gate (kg CO2e/kg)"),INDIRECT($AB244)))</f>
        <v>7</v>
      </c>
      <c r="AD244" s="212">
        <f ca="1">IF($AB244="DIRECT","",DAVERAGE('literature entries'!$D:$AI,IF($J244=1,"ACTIVE     GHGE, FARM GATE (kg CO2e/kg)","GHGE, processor gate (kg CO2e/kg)"),INDIRECT($AB244)))</f>
        <v>1.1489100000000003</v>
      </c>
      <c r="AE244" s="212">
        <f ca="1">IF($AB244="DIRECT",$S244,DSTDEV('literature entries'!$D:$AI,IF($J244=1,"ACTIVE     GHGE, FARM GATE (kg CO2e/kg)","GHGE, processor gate (kg CO2e/kg)"),INDIRECT($AB244)))</f>
        <v>0.79065739811880531</v>
      </c>
      <c r="AF244" s="212">
        <f t="shared" ca="1" si="33"/>
        <v>0.79065739811880531</v>
      </c>
    </row>
    <row r="245" spans="1:32" s="19" customFormat="1" thickBot="1" x14ac:dyDescent="0.25">
      <c r="A245" s="114">
        <v>2201073000</v>
      </c>
      <c r="B245" s="115" t="s">
        <v>1857</v>
      </c>
      <c r="C245" s="115" t="s">
        <v>1770</v>
      </c>
      <c r="D245" s="115" t="s">
        <v>1858</v>
      </c>
      <c r="E245" s="115">
        <v>195</v>
      </c>
      <c r="F245" s="111">
        <f t="shared" ca="1" si="28"/>
        <v>0.87360000000000004</v>
      </c>
      <c r="G245" s="112">
        <f t="shared" ca="1" si="29"/>
        <v>0.41324139999999998</v>
      </c>
      <c r="H245" s="116">
        <v>1.04</v>
      </c>
      <c r="I245" s="116" t="s">
        <v>2724</v>
      </c>
      <c r="J245" s="79">
        <v>1</v>
      </c>
      <c r="K245" s="78" t="s">
        <v>846</v>
      </c>
      <c r="L245" s="135" t="str">
        <f>IF(ISERROR(GETPIVOTDATA(IF($J245=1,"Count of ACTIVE     CED, FARM GATE (MJ/kg)","Count of CED, processor gate (MJ/kg)"),'Pivot Table_CED'!$A$3,"SUB TYPE",$B245)),"PROXY",IF(GETPIVOTDATA(IF($J245=1,"Count of ACTIVE     CED, FARM GATE (MJ/kg)","Count of CED, processor gate (MJ/kg)"),'Pivot Table_CED'!$A$3,"SUB TYPE",$B245)=0,"PROXY","DB value"))</f>
        <v>PROXY</v>
      </c>
      <c r="M245" s="118">
        <f ca="1">IF($L245="PROXY",DCOUNT('literature entries'!$D:$AI,IF($J245=1,"ACTIVE     CED, FARM GATE (MJ/kg)","CED, processor gate (MJ/kg)"),INDIRECT($K245)),GETPIVOTDATA(IF($J245=1,"Count of ACTIVE     CED, FARM GATE (MJ/kg)","Count of CED, processor gate (MJ/kg)"),'Pivot Table_CED'!$A$3,"SUB TYPE",$B245))</f>
        <v>1</v>
      </c>
      <c r="N245" s="119">
        <f ca="1">IF($L245="PROXY",DAVERAGE('literature entries'!$D:$AI,IF($J245=1,"ACTIVE     CED, FARM GATE (MJ/kg)","CED, processor gate (MJ/kg)"),INDIRECT($K245)),GETPIVOTDATA(IF($J245=1,"Average of ACTIVE     CED, FARM GATE (MJ/kg)","Average of CED, processor gate (MJ/kg)"),'Pivot Table_CED'!$A$3,"SUB TYPE",$B245))</f>
        <v>0.84</v>
      </c>
      <c r="O245" s="119" t="e">
        <f ca="1">IF($L245="PROXY",DSTDEV('literature entries'!D:AI,IF($J245=1,"ACTIVE     CED, FARM GATE (MJ/kg)","CED, processor gate (MJ/kg)"),INDIRECT($K245)),GETPIVOTDATA(IF($J245=1,"StdDev of ACTIVE     CED, FARM GATE (MJ/kg)","StdDev of CED, processor gate (MJ/kg)"),'Pivot Table_CED'!$A$3,"SUB TYPE",$B245))</f>
        <v>#DIV/0!</v>
      </c>
      <c r="P245" s="135" t="str">
        <f>IF(ISERROR(GETPIVOTDATA(IF($J245=1,"Count of ACTIVE     GHGE, FARM GATE (kg CO2e/kg)","Count of GHGE, processor gate (kg CO2e/kg)"),'Pivot Table_GHG'!$A$3,"SUB TYPE",$B245)),"PROXY",IF(GETPIVOTDATA(IF($J245=1,"Count of ACTIVE     GHGE, FARM GATE (kg CO2e/kg)","Count of GHGE, processor gate (kg CO2e/kg)"),'Pivot Table_GHG'!$A$3,"SUB TYPE",$B245)=0,"PROXY","DB value"))</f>
        <v>PROXY</v>
      </c>
      <c r="Q245" s="125">
        <f ca="1">IF($P245="PROXY",DCOUNT('literature entries'!$D:$AI,IF($J245=1,"ACTIVE     GHGE, FARM GATE (kg CO2e/kg)","GHGE, processor gate (kg CO2e/kg)"),INDIRECT($K245)),GETPIVOTDATA(IF($J245=1,"ACTIVE     GHGE, FARM GATE (kg CO2e/kg)","Count of GHGE, processor gate (kg CO2e/kg)"),'Pivot Table_GHG'!$A$3,"SUB TYPE",$B245))</f>
        <v>4</v>
      </c>
      <c r="R245" s="190">
        <f ca="1">IF($P245="PROXY",DAVERAGE('literature entries'!$D:$AI,IF($J245=1,"ACTIVE     GHGE, FARM GATE (kg CO2e/kg)","GHGE, processor gate (kg CO2e/kg)"),INDIRECT($K245)),GETPIVOTDATA(IF($J245=1,"Average of ACTIVE     GHGE, FARM GATE (kg CO2e/kg)","Average of GHGE, processor gate (kg CO2e/kg)"),'Pivot Table_GHG'!$A$3,"SUB TYPE",$B245))</f>
        <v>0.39734749999999996</v>
      </c>
      <c r="S245" s="190">
        <f ca="1">IF($P245="PROXY",DSTDEV('literature entries'!$D:$AI,IF($J245=1,"ACTIVE     GHGE, FARM GATE (kg CO2e/kg)","GHGE, processor gate (kg CO2e/kg)"),INDIRECT($K245)),GETPIVOTDATA(IF($J245=1,"StdDev of ACTIVE     GHGE, FARM GATE (kg CO2e/kg)","StdDev of GHGE, processor gate (kg CO2e/kg)"),'Pivot Table_GHG'!$A$3,"SUB TYPE",$B245))</f>
        <v>0.56891757723915215</v>
      </c>
      <c r="T245" s="88"/>
      <c r="U245" s="89"/>
      <c r="W245" s="213" t="s">
        <v>3361</v>
      </c>
      <c r="X245" s="211">
        <f ca="1">IF($W245="DIRECT",M245,DCOUNT('literature entries'!$D:$AI,IF($J245=1,"ACTIVE     CED, FARM GATE (MJ/kg)","CED, processor gate (MJ/kg)"),INDIRECT($W245)))</f>
        <v>60</v>
      </c>
      <c r="Y245" s="211">
        <f ca="1">IF($W245="DIRECT","",DAVERAGE('literature entries'!$D:$AI,IF($J245=1,"ACTIVE     CED, FARM GATE (MJ/kg)","CED, processor gate (MJ/kg)"),INDIRECT($W245)))</f>
        <v>3.4907536756076811</v>
      </c>
      <c r="Z245" s="211">
        <f ca="1">IF($W245="DIRECT",$O245,DSTDEV('literature entries'!$D:$AI,IF($J245=1,"ACTIVE     CED, FARM GATE (MJ/kg)","CED, processor gate (MJ/kg)"),INDIRECT($W245)))</f>
        <v>2.8914615487691551</v>
      </c>
      <c r="AA245" s="211">
        <f t="shared" ca="1" si="32"/>
        <v>0.69578891170064361</v>
      </c>
      <c r="AB245" s="219" t="s">
        <v>3361</v>
      </c>
      <c r="AC245" s="212">
        <f ca="1">IF($AB245="DIRECT",Q245,DCOUNT('literature entries'!$D:$AI,IF($J245=1,"ACTIVE     GHGE, FARM GATE (kg CO2e/kg)","GHGE, processor gate (kg CO2e/kg)"),INDIRECT($AB245)))</f>
        <v>130</v>
      </c>
      <c r="AD245" s="212">
        <f ca="1">IF($AB245="DIRECT","",DAVERAGE('literature entries'!$D:$AI,IF($J245=1,"ACTIVE     GHGE, FARM GATE (kg CO2e/kg)","GHGE, processor gate (kg CO2e/kg)"),INDIRECT($AB245)))</f>
        <v>0.57143231537198591</v>
      </c>
      <c r="AE245" s="212">
        <f ca="1">IF($AB245="DIRECT",$S245,DSTDEV('literature entries'!$D:$AI,IF($J245=1,"ACTIVE     GHGE, FARM GATE (kg CO2e/kg)","GHGE, processor gate (kg CO2e/kg)"),INDIRECT($AB245)))</f>
        <v>0.97567296151555694</v>
      </c>
      <c r="AF245" s="212">
        <f t="shared" ca="1" si="33"/>
        <v>0.67843767607618322</v>
      </c>
    </row>
    <row r="246" spans="1:32" s="19" customFormat="1" thickBot="1" x14ac:dyDescent="0.25">
      <c r="A246" s="114">
        <v>2201152000</v>
      </c>
      <c r="B246" s="115" t="s">
        <v>1976</v>
      </c>
      <c r="C246" s="115" t="s">
        <v>1760</v>
      </c>
      <c r="D246" s="115" t="s">
        <v>1977</v>
      </c>
      <c r="E246" s="115">
        <v>2</v>
      </c>
      <c r="F246" s="111">
        <f t="shared" ca="1" si="28"/>
        <v>5.8812345759999998</v>
      </c>
      <c r="G246" s="112">
        <f t="shared" ca="1" si="29"/>
        <v>0.33104400000000006</v>
      </c>
      <c r="H246" s="116">
        <v>1.1200000000000001</v>
      </c>
      <c r="I246" s="116" t="s">
        <v>2724</v>
      </c>
      <c r="J246" s="90">
        <v>1</v>
      </c>
      <c r="K246" s="78" t="s">
        <v>2748</v>
      </c>
      <c r="L246" s="135" t="str">
        <f>IF(ISERROR(GETPIVOTDATA(IF($J246=1,"Count of ACTIVE     CED, FARM GATE (MJ/kg)","Count of CED, processor gate (MJ/kg)"),'Pivot Table_CED'!$A$3,"SUB TYPE",$B246)),"PROXY",IF(GETPIVOTDATA(IF($J246=1,"Count of ACTIVE     CED, FARM GATE (MJ/kg)","Count of CED, processor gate (MJ/kg)"),'Pivot Table_CED'!$A$3,"SUB TYPE",$B246)=0,"PROXY","DB value"))</f>
        <v>PROXY</v>
      </c>
      <c r="M246" s="118">
        <f ca="1">IF($L246="PROXY",DCOUNT('literature entries'!$D:$AI,IF($J246=1,"ACTIVE     CED, FARM GATE (MJ/kg)","CED, processor gate (MJ/kg)"),INDIRECT($K246)),GETPIVOTDATA(IF($J246=1,"Count of ACTIVE     CED, FARM GATE (MJ/kg)","Count of CED, processor gate (MJ/kg)"),'Pivot Table_CED'!$A$3,"SUB TYPE",$B246))</f>
        <v>1</v>
      </c>
      <c r="N246" s="119">
        <f ca="1">IF($L246="PROXY",DAVERAGE('literature entries'!$D:$AI,IF($J246=1,"ACTIVE     CED, FARM GATE (MJ/kg)","CED, processor gate (MJ/kg)"),INDIRECT($K246)),GETPIVOTDATA(IF($J246=1,"Average of ACTIVE     CED, FARM GATE (MJ/kg)","Average of CED, processor gate (MJ/kg)"),'Pivot Table_CED'!$A$3,"SUB TYPE",$B246))</f>
        <v>5.2511022999999994</v>
      </c>
      <c r="O246" s="119" t="e">
        <f ca="1">IF($L246="PROXY",DSTDEV('literature entries'!D:AI,IF($J246=1,"ACTIVE     CED, FARM GATE (MJ/kg)","CED, processor gate (MJ/kg)"),INDIRECT($K246)),GETPIVOTDATA(IF($J246=1,"StdDev of ACTIVE     CED, FARM GATE (MJ/kg)","StdDev of CED, processor gate (MJ/kg)"),'Pivot Table_CED'!$A$3,"SUB TYPE",$B246))</f>
        <v>#DIV/0!</v>
      </c>
      <c r="P246" s="135" t="str">
        <f>IF(ISERROR(GETPIVOTDATA(IF($J246=1,"Count of ACTIVE     GHGE, FARM GATE (kg CO2e/kg)","Count of GHGE, processor gate (kg CO2e/kg)"),'Pivot Table_GHG'!$A$3,"SUB TYPE",$B246)),"PROXY",IF(GETPIVOTDATA(IF($J246=1,"Count of ACTIVE     GHGE, FARM GATE (kg CO2e/kg)","Count of GHGE, processor gate (kg CO2e/kg)"),'Pivot Table_GHG'!$A$3,"SUB TYPE",$B246)=0,"PROXY","DB value"))</f>
        <v>PROXY</v>
      </c>
      <c r="Q246" s="125">
        <f ca="1">IF($P246="PROXY",DCOUNT('literature entries'!$D:$AI,IF($J246=1,"ACTIVE     GHGE, FARM GATE (kg CO2e/kg)","GHGE, processor gate (kg CO2e/kg)"),INDIRECT($K246)),GETPIVOTDATA(IF($J246=1,"ACTIVE     GHGE, FARM GATE (kg CO2e/kg)","Count of GHGE, processor gate (kg CO2e/kg)"),'Pivot Table_GHG'!$A$3,"SUB TYPE",$B246))</f>
        <v>2</v>
      </c>
      <c r="R246" s="190">
        <f ca="1">IF($P246="PROXY",DAVERAGE('literature entries'!$D:$AI,IF($J246=1,"ACTIVE     GHGE, FARM GATE (kg CO2e/kg)","GHGE, processor gate (kg CO2e/kg)"),INDIRECT($K246)),GETPIVOTDATA(IF($J246=1,"Average of ACTIVE     GHGE, FARM GATE (kg CO2e/kg)","Average of GHGE, processor gate (kg CO2e/kg)"),'Pivot Table_GHG'!$A$3,"SUB TYPE",$B246))</f>
        <v>0.29557500000000003</v>
      </c>
      <c r="S246" s="190">
        <f ca="1">IF($P246="PROXY",DSTDEV('literature entries'!$D:$AI,IF($J246=1,"ACTIVE     GHGE, FARM GATE (kg CO2e/kg)","GHGE, processor gate (kg CO2e/kg)"),INDIRECT($K246)),GETPIVOTDATA(IF($J246=1,"StdDev of ACTIVE     GHGE, FARM GATE (kg CO2e/kg)","StdDev of GHGE, processor gate (kg CO2e/kg)"),'Pivot Table_GHG'!$A$3,"SUB TYPE",$B246))</f>
        <v>0.16344773247127031</v>
      </c>
      <c r="T246" s="88"/>
      <c r="U246" s="89"/>
      <c r="W246" s="213" t="s">
        <v>3361</v>
      </c>
      <c r="X246" s="211">
        <f ca="1">IF($W246="DIRECT",M246,DCOUNT('literature entries'!$D:$AI,IF($J246=1,"ACTIVE     CED, FARM GATE (MJ/kg)","CED, processor gate (MJ/kg)"),INDIRECT($W246)))</f>
        <v>60</v>
      </c>
      <c r="Y246" s="211">
        <f ca="1">IF($W246="DIRECT","",DAVERAGE('literature entries'!$D:$AI,IF($J246=1,"ACTIVE     CED, FARM GATE (MJ/kg)","CED, processor gate (MJ/kg)"),INDIRECT($W246)))</f>
        <v>3.4907536756076811</v>
      </c>
      <c r="Z246" s="211">
        <f ca="1">IF($W246="DIRECT",$O246,DSTDEV('literature entries'!$D:$AI,IF($J246=1,"ACTIVE     CED, FARM GATE (MJ/kg)","CED, processor gate (MJ/kg)"),INDIRECT($W246)))</f>
        <v>2.8914615487691551</v>
      </c>
      <c r="AA246" s="211">
        <f t="shared" ca="1" si="32"/>
        <v>4.3495937554116031</v>
      </c>
      <c r="AB246" s="219" t="s">
        <v>3361</v>
      </c>
      <c r="AC246" s="212">
        <f ca="1">IF($AB246="DIRECT",Q246,DCOUNT('literature entries'!$D:$AI,IF($J246=1,"ACTIVE     GHGE, FARM GATE (kg CO2e/kg)","GHGE, processor gate (kg CO2e/kg)"),INDIRECT($AB246)))</f>
        <v>130</v>
      </c>
      <c r="AD246" s="212">
        <f ca="1">IF($AB246="DIRECT","",DAVERAGE('literature entries'!$D:$AI,IF($J246=1,"ACTIVE     GHGE, FARM GATE (kg CO2e/kg)","GHGE, processor gate (kg CO2e/kg)"),INDIRECT($AB246)))</f>
        <v>0.57143231537198591</v>
      </c>
      <c r="AE246" s="212">
        <f ca="1">IF($AB246="DIRECT",$S246,DSTDEV('literature entries'!$D:$AI,IF($J246=1,"ACTIVE     GHGE, FARM GATE (kg CO2e/kg)","GHGE, processor gate (kg CO2e/kg)"),INDIRECT($AB246)))</f>
        <v>0.97567296151555694</v>
      </c>
      <c r="AF246" s="212">
        <f t="shared" ca="1" si="33"/>
        <v>0.50466963075448545</v>
      </c>
    </row>
    <row r="247" spans="1:32" s="19" customFormat="1" thickBot="1" x14ac:dyDescent="0.25">
      <c r="A247" s="114">
        <v>2201196000</v>
      </c>
      <c r="B247" s="115" t="s">
        <v>2044</v>
      </c>
      <c r="C247" s="115" t="s">
        <v>1782</v>
      </c>
      <c r="D247" s="115"/>
      <c r="E247" s="115">
        <v>3</v>
      </c>
      <c r="F247" s="111">
        <f t="shared" ca="1" si="28"/>
        <v>8.1807879207329552</v>
      </c>
      <c r="G247" s="112">
        <f t="shared" ca="1" si="29"/>
        <v>0.95763537445661162</v>
      </c>
      <c r="H247" s="116">
        <v>2.17</v>
      </c>
      <c r="I247" s="116" t="s">
        <v>2724</v>
      </c>
      <c r="J247" s="79">
        <v>1</v>
      </c>
      <c r="K247" s="78" t="s">
        <v>2464</v>
      </c>
      <c r="L247" s="135" t="str">
        <f>IF(ISERROR(GETPIVOTDATA(IF($J247=1,"Count of ACTIVE     CED, FARM GATE (MJ/kg)","Count of CED, processor gate (MJ/kg)"),'Pivot Table_CED'!$A$3,"SUB TYPE",$B247)),"PROXY",IF(GETPIVOTDATA(IF($J247=1,"Count of ACTIVE     CED, FARM GATE (MJ/kg)","Count of CED, processor gate (MJ/kg)"),'Pivot Table_CED'!$A$3,"SUB TYPE",$B247)=0,"PROXY","DB value"))</f>
        <v>PROXY</v>
      </c>
      <c r="M247" s="118">
        <f ca="1">IF($L247="PROXY",DCOUNT('literature entries'!$D:$AI,IF($J247=1,"ACTIVE     CED, FARM GATE (MJ/kg)","CED, processor gate (MJ/kg)"),INDIRECT($K247)),GETPIVOTDATA(IF($J247=1,"Count of ACTIVE     CED, FARM GATE (MJ/kg)","Count of CED, processor gate (MJ/kg)"),'Pivot Table_CED'!$A$3,"SUB TYPE",$B247))</f>
        <v>16</v>
      </c>
      <c r="N247" s="119">
        <f ca="1">IF($L247="PROXY",DAVERAGE('literature entries'!$D:$AI,IF($J247=1,"ACTIVE     CED, FARM GATE (MJ/kg)","CED, processor gate (MJ/kg)"),INDIRECT($K247)),GETPIVOTDATA(IF($J247=1,"Average of ACTIVE     CED, FARM GATE (MJ/kg)","Average of CED, processor gate (MJ/kg)"),'Pivot Table_CED'!$A$3,"SUB TYPE",$B247))</f>
        <v>3.7699483505681823</v>
      </c>
      <c r="O247" s="119">
        <f ca="1">IF($L247="PROXY",DSTDEV('literature entries'!D:AI,IF($J247=1,"ACTIVE     CED, FARM GATE (MJ/kg)","CED, processor gate (MJ/kg)"),INDIRECT($K247)),GETPIVOTDATA(IF($J247=1,"StdDev of ACTIVE     CED, FARM GATE (MJ/kg)","StdDev of CED, processor gate (MJ/kg)"),'Pivot Table_CED'!$A$3,"SUB TYPE",$B247))</f>
        <v>2.015180177657335</v>
      </c>
      <c r="P247" s="135" t="str">
        <f>IF(ISERROR(GETPIVOTDATA(IF($J247=1,"Count of ACTIVE     GHGE, FARM GATE (kg CO2e/kg)","Count of GHGE, processor gate (kg CO2e/kg)"),'Pivot Table_GHG'!$A$3,"SUB TYPE",$B247)),"PROXY",IF(GETPIVOTDATA(IF($J247=1,"Count of ACTIVE     GHGE, FARM GATE (kg CO2e/kg)","Count of GHGE, processor gate (kg CO2e/kg)"),'Pivot Table_GHG'!$A$3,"SUB TYPE",$B247)=0,"PROXY","DB value"))</f>
        <v>PROXY</v>
      </c>
      <c r="Q247" s="125">
        <f ca="1">IF($P247="PROXY",DCOUNT('literature entries'!$D:$AI,IF($J247=1,"ACTIVE     GHGE, FARM GATE (kg CO2e/kg)","GHGE, processor gate (kg CO2e/kg)"),INDIRECT($K247)),GETPIVOTDATA(IF($J247=1,"ACTIVE     GHGE, FARM GATE (kg CO2e/kg)","Count of GHGE, processor gate (kg CO2e/kg)"),'Pivot Table_GHG'!$A$3,"SUB TYPE",$B247))</f>
        <v>22</v>
      </c>
      <c r="R247" s="190">
        <f ca="1">IF($P247="PROXY",DAVERAGE('literature entries'!$D:$AI,IF($J247=1,"ACTIVE     GHGE, FARM GATE (kg CO2e/kg)","GHGE, processor gate (kg CO2e/kg)"),INDIRECT($K247)),GETPIVOTDATA(IF($J247=1,"Average of ACTIVE     GHGE, FARM GATE (kg CO2e/kg)","Average of GHGE, processor gate (kg CO2e/kg)"),'Pivot Table_GHG'!$A$3,"SUB TYPE",$B247))</f>
        <v>0.44130662417355376</v>
      </c>
      <c r="S247" s="190">
        <f ca="1">IF($P247="PROXY",DSTDEV('literature entries'!$D:$AI,IF($J247=1,"ACTIVE     GHGE, FARM GATE (kg CO2e/kg)","GHGE, processor gate (kg CO2e/kg)"),INDIRECT($K247)),GETPIVOTDATA(IF($J247=1,"StdDev of ACTIVE     GHGE, FARM GATE (kg CO2e/kg)","StdDev of GHGE, processor gate (kg CO2e/kg)"),'Pivot Table_GHG'!$A$3,"SUB TYPE",$B247))</f>
        <v>0.32291425498521459</v>
      </c>
      <c r="T247" s="88"/>
      <c r="U247" s="89"/>
      <c r="W247" s="213" t="str">
        <f ca="1">IF(L247="PROXY",IF(M247&gt;=5,K247,"need group"),IF(M247&gt;=5,"DIRECT","need group"))</f>
        <v>brassica</v>
      </c>
      <c r="X247" s="211">
        <f ca="1">IF($W247="DIRECT",M247,DCOUNT('literature entries'!$D:$AI,IF($J247=1,"ACTIVE     CED, FARM GATE (MJ/kg)","CED, processor gate (MJ/kg)"),INDIRECT($W247)))</f>
        <v>16</v>
      </c>
      <c r="Y247" s="211">
        <f ca="1">IF($W247="DIRECT","",DAVERAGE('literature entries'!$D:$AI,IF($J247=1,"ACTIVE     CED, FARM GATE (MJ/kg)","CED, processor gate (MJ/kg)"),INDIRECT($W247)))</f>
        <v>3.7699483505681823</v>
      </c>
      <c r="Z247" s="211">
        <f ca="1">IF($W247="DIRECT",$O247,DSTDEV('literature entries'!$D:$AI,IF($J247=1,"ACTIVE     CED, FARM GATE (MJ/kg)","CED, processor gate (MJ/kg)"),INDIRECT($W247)))</f>
        <v>2.015180177657335</v>
      </c>
      <c r="AA247" s="211">
        <f t="shared" ca="1" si="32"/>
        <v>2.015180177657335</v>
      </c>
      <c r="AB247" s="219" t="str">
        <f ca="1">IF(P247="PROXY",IF(Q247&gt;=5,K247,"need group"),IF(Q247&gt;=5,"DIRECT","need group"))</f>
        <v>brassica</v>
      </c>
      <c r="AC247" s="212">
        <f ca="1">IF($AB247="DIRECT",Q247,DCOUNT('literature entries'!$D:$AI,IF($J247=1,"ACTIVE     GHGE, FARM GATE (kg CO2e/kg)","GHGE, processor gate (kg CO2e/kg)"),INDIRECT($AB247)))</f>
        <v>22</v>
      </c>
      <c r="AD247" s="212">
        <f ca="1">IF($AB247="DIRECT","",DAVERAGE('literature entries'!$D:$AI,IF($J247=1,"ACTIVE     GHGE, FARM GATE (kg CO2e/kg)","GHGE, processor gate (kg CO2e/kg)"),INDIRECT($AB247)))</f>
        <v>0.44130662417355376</v>
      </c>
      <c r="AE247" s="212">
        <f ca="1">IF($AB247="DIRECT",$S247,DSTDEV('literature entries'!$D:$AI,IF($J247=1,"ACTIVE     GHGE, FARM GATE (kg CO2e/kg)","GHGE, processor gate (kg CO2e/kg)"),INDIRECT($AB247)))</f>
        <v>0.32291425498521459</v>
      </c>
      <c r="AF247" s="212">
        <f t="shared" ca="1" si="33"/>
        <v>0.32291425498521459</v>
      </c>
    </row>
    <row r="248" spans="1:32" s="19" customFormat="1" ht="17" thickBot="1" x14ac:dyDescent="0.25">
      <c r="A248" s="114">
        <v>2201243000</v>
      </c>
      <c r="B248" s="115" t="s">
        <v>2112</v>
      </c>
      <c r="C248" s="115" t="s">
        <v>2113</v>
      </c>
      <c r="D248" s="115"/>
      <c r="E248" s="115">
        <v>3</v>
      </c>
      <c r="F248" s="111">
        <f t="shared" ca="1" si="28"/>
        <v>3.3954128262185184</v>
      </c>
      <c r="G248" s="112">
        <f t="shared" ca="1" si="29"/>
        <v>0.53448943577564734</v>
      </c>
      <c r="H248" s="116">
        <v>1</v>
      </c>
      <c r="I248" s="117" t="s">
        <v>2724</v>
      </c>
      <c r="J248" s="79">
        <v>1</v>
      </c>
      <c r="K248" s="78" t="s">
        <v>3269</v>
      </c>
      <c r="L248" s="135" t="str">
        <f>IF(ISERROR(GETPIVOTDATA(IF($J248=1,"Count of ACTIVE     CED, FARM GATE (MJ/kg)","Count of CED, processor gate (MJ/kg)"),'Pivot Table_CED'!$A$3,"SUB TYPE",$B248)),"PROXY",IF(GETPIVOTDATA(IF($J248=1,"Count of ACTIVE     CED, FARM GATE (MJ/kg)","Count of CED, processor gate (MJ/kg)"),'Pivot Table_CED'!$A$3,"SUB TYPE",$B248)=0,"PROXY","DB value"))</f>
        <v>PROXY</v>
      </c>
      <c r="M248" s="118">
        <f ca="1">IF($L248="PROXY",DCOUNT('literature entries'!$D:$AI,IF($J248=1,"ACTIVE     CED, FARM GATE (MJ/kg)","CED, processor gate (MJ/kg)"),INDIRECT($K248)),GETPIVOTDATA(IF($J248=1,"Count of ACTIVE     CED, FARM GATE (MJ/kg)","Count of CED, processor gate (MJ/kg)"),'Pivot Table_CED'!$A$3,"SUB TYPE",$B248))</f>
        <v>9</v>
      </c>
      <c r="N248" s="119">
        <f ca="1">IF($L248="PROXY",DAVERAGE('literature entries'!$D:$AI,IF($J248=1,"ACTIVE     CED, FARM GATE (MJ/kg)","CED, processor gate (MJ/kg)"),INDIRECT($K248)),GETPIVOTDATA(IF($J248=1,"Average of ACTIVE     CED, FARM GATE (MJ/kg)","Average of CED, processor gate (MJ/kg)"),'Pivot Table_CED'!$A$3,"SUB TYPE",$B248))</f>
        <v>3.3954128262185184</v>
      </c>
      <c r="O248" s="119">
        <f ca="1">IF($L248="PROXY",DSTDEV('literature entries'!D:AI,IF($J248=1,"ACTIVE     CED, FARM GATE (MJ/kg)","CED, processor gate (MJ/kg)"),INDIRECT($K248)),GETPIVOTDATA(IF($J248=1,"StdDev of ACTIVE     CED, FARM GATE (MJ/kg)","StdDev of CED, processor gate (MJ/kg)"),'Pivot Table_CED'!$A$3,"SUB TYPE",$B248))</f>
        <v>2.1698076963305595</v>
      </c>
      <c r="P248" s="135" t="str">
        <f>IF(ISERROR(GETPIVOTDATA(IF($J248=1,"Count of ACTIVE     GHGE, FARM GATE (kg CO2e/kg)","Count of GHGE, processor gate (kg CO2e/kg)"),'Pivot Table_GHG'!$A$3,"SUB TYPE",$B248)),"PROXY",IF(GETPIVOTDATA(IF($J248=1,"Count of ACTIVE     GHGE, FARM GATE (kg CO2e/kg)","Count of GHGE, processor gate (kg CO2e/kg)"),'Pivot Table_GHG'!$A$3,"SUB TYPE",$B248)=0,"PROXY","DB value"))</f>
        <v>PROXY</v>
      </c>
      <c r="Q248" s="125">
        <f ca="1">IF($P248="PROXY",DCOUNT('literature entries'!$D:$AI,IF($J248=1,"ACTIVE     GHGE, FARM GATE (kg CO2e/kg)","GHGE, processor gate (kg CO2e/kg)"),INDIRECT($K248)),GETPIVOTDATA(IF($J248=1,"ACTIVE     GHGE, FARM GATE (kg CO2e/kg)","Count of GHGE, processor gate (kg CO2e/kg)"),'Pivot Table_GHG'!$A$3,"SUB TYPE",$B248))</f>
        <v>30</v>
      </c>
      <c r="R248" s="190">
        <f ca="1">IF($P248="PROXY",DAVERAGE('literature entries'!$D:$AI,IF($J248=1,"ACTIVE     GHGE, FARM GATE (kg CO2e/kg)","GHGE, processor gate (kg CO2e/kg)"),INDIRECT($K248)),GETPIVOTDATA(IF($J248=1,"Average of ACTIVE     GHGE, FARM GATE (kg CO2e/kg)","Average of GHGE, processor gate (kg CO2e/kg)"),'Pivot Table_GHG'!$A$3,"SUB TYPE",$B248))</f>
        <v>0.53448943577564734</v>
      </c>
      <c r="S248" s="190">
        <f ca="1">IF($P248="PROXY",DSTDEV('literature entries'!$D:$AI,IF($J248=1,"ACTIVE     GHGE, FARM GATE (kg CO2e/kg)","GHGE, processor gate (kg CO2e/kg)"),INDIRECT($K248)),GETPIVOTDATA(IF($J248=1,"StdDev of ACTIVE     GHGE, FARM GATE (kg CO2e/kg)","StdDev of GHGE, processor gate (kg CO2e/kg)"),'Pivot Table_GHG'!$A$3,"SUB TYPE",$B248))</f>
        <v>0.86200931416440196</v>
      </c>
      <c r="T248" s="88"/>
      <c r="U248" s="89"/>
      <c r="W248" s="213" t="str">
        <f ca="1">IF(L248="PROXY",IF(M248&gt;=5,K248,"need group"),IF(M248&gt;=5,"DIRECT","need group"))</f>
        <v>tropical_fruit</v>
      </c>
      <c r="X248" s="211">
        <f ca="1">IF($W248="DIRECT",M248,DCOUNT('literature entries'!$D:$AI,IF($J248=1,"ACTIVE     CED, FARM GATE (MJ/kg)","CED, processor gate (MJ/kg)"),INDIRECT($W248)))</f>
        <v>9</v>
      </c>
      <c r="Y248" s="211">
        <f ca="1">IF($W248="DIRECT","",DAVERAGE('literature entries'!$D:$AI,IF($J248=1,"ACTIVE     CED, FARM GATE (MJ/kg)","CED, processor gate (MJ/kg)"),INDIRECT($W248)))</f>
        <v>3.3954128262185184</v>
      </c>
      <c r="Z248" s="211">
        <f ca="1">IF($W248="DIRECT",$O248,DSTDEV('literature entries'!$D:$AI,IF($J248=1,"ACTIVE     CED, FARM GATE (MJ/kg)","CED, processor gate (MJ/kg)"),INDIRECT($W248)))</f>
        <v>2.1698076963305595</v>
      </c>
      <c r="AA248" s="211">
        <f t="shared" ca="1" si="32"/>
        <v>2.1698076963305595</v>
      </c>
      <c r="AB248" s="219" t="str">
        <f ca="1">IF(P248="PROXY",IF(Q248&gt;=5,K248,"need group"),IF(Q248&gt;=5,"DIRECT","need group"))</f>
        <v>tropical_fruit</v>
      </c>
      <c r="AC248" s="212">
        <f ca="1">IF($AB248="DIRECT",Q248,DCOUNT('literature entries'!$D:$AI,IF($J248=1,"ACTIVE     GHGE, FARM GATE (kg CO2e/kg)","GHGE, processor gate (kg CO2e/kg)"),INDIRECT($AB248)))</f>
        <v>30</v>
      </c>
      <c r="AD248" s="212">
        <f ca="1">IF($AB248="DIRECT","",DAVERAGE('literature entries'!$D:$AI,IF($J248=1,"ACTIVE     GHGE, FARM GATE (kg CO2e/kg)","GHGE, processor gate (kg CO2e/kg)"),INDIRECT($AB248)))</f>
        <v>0.53448943577564734</v>
      </c>
      <c r="AE248" s="212">
        <f ca="1">IF($AB248="DIRECT",$S248,DSTDEV('literature entries'!$D:$AI,IF($J248=1,"ACTIVE     GHGE, FARM GATE (kg CO2e/kg)","GHGE, processor gate (kg CO2e/kg)"),INDIRECT($AB248)))</f>
        <v>0.86200931416440196</v>
      </c>
      <c r="AF248" s="212">
        <f t="shared" ca="1" si="33"/>
        <v>0.86200931416440196</v>
      </c>
    </row>
    <row r="249" spans="1:32" s="19" customFormat="1" thickBot="1" x14ac:dyDescent="0.25">
      <c r="A249" s="114">
        <v>2202085000</v>
      </c>
      <c r="B249" s="115" t="s">
        <v>1872</v>
      </c>
      <c r="C249" s="115" t="s">
        <v>1873</v>
      </c>
      <c r="D249" s="115"/>
      <c r="E249" s="115">
        <v>24602</v>
      </c>
      <c r="F249" s="111">
        <f t="shared" ca="1" si="28"/>
        <v>5.8812345759999998</v>
      </c>
      <c r="G249" s="112">
        <f t="shared" ca="1" si="29"/>
        <v>0.33104400000000006</v>
      </c>
      <c r="H249" s="116">
        <v>1.1200000000000001</v>
      </c>
      <c r="I249" s="116" t="s">
        <v>2724</v>
      </c>
      <c r="J249" s="79">
        <v>1</v>
      </c>
      <c r="K249" s="78"/>
      <c r="L249" s="135" t="str">
        <f>IF(ISERROR(GETPIVOTDATA(IF($J249=1,"Count of ACTIVE     CED, FARM GATE (MJ/kg)","Count of CED, processor gate (MJ/kg)"),'Pivot Table_CED'!$A$3,"SUB TYPE",$B249)),"PROXY",IF(GETPIVOTDATA(IF($J249=1,"Count of ACTIVE     CED, FARM GATE (MJ/kg)","Count of CED, processor gate (MJ/kg)"),'Pivot Table_CED'!$A$3,"SUB TYPE",$B249)=0,"PROXY","DB value"))</f>
        <v>DB value</v>
      </c>
      <c r="M249" s="118">
        <f ca="1">IF($L249="PROXY",DCOUNT('literature entries'!$D:$AI,IF($J249=1,"ACTIVE     CED, FARM GATE (MJ/kg)","CED, processor gate (MJ/kg)"),INDIRECT($K249)),GETPIVOTDATA(IF($J249=1,"Count of ACTIVE     CED, FARM GATE (MJ/kg)","Count of CED, processor gate (MJ/kg)"),'Pivot Table_CED'!$A$3,"SUB TYPE",$B249))</f>
        <v>1</v>
      </c>
      <c r="N249" s="119">
        <f ca="1">IF($L249="PROXY",DAVERAGE('literature entries'!$D:$AI,IF($J249=1,"ACTIVE     CED, FARM GATE (MJ/kg)","CED, processor gate (MJ/kg)"),INDIRECT($K249)),GETPIVOTDATA(IF($J249=1,"Average of ACTIVE     CED, FARM GATE (MJ/kg)","Average of CED, processor gate (MJ/kg)"),'Pivot Table_CED'!$A$3,"SUB TYPE",$B249))</f>
        <v>5.2511022999999994</v>
      </c>
      <c r="O249" s="119">
        <f ca="1">IF($L249="PROXY",DSTDEV('literature entries'!D:AI,IF($J249=1,"ACTIVE     CED, FARM GATE (MJ/kg)","CED, processor gate (MJ/kg)"),INDIRECT($K249)),GETPIVOTDATA(IF($J249=1,"StdDev of ACTIVE     CED, FARM GATE (MJ/kg)","StdDev of CED, processor gate (MJ/kg)"),'Pivot Table_CED'!$A$3,"SUB TYPE",$B249))</f>
        <v>0</v>
      </c>
      <c r="P249" s="135" t="str">
        <f>IF(ISERROR(GETPIVOTDATA(IF($J249=1,"Count of ACTIVE     GHGE, FARM GATE (kg CO2e/kg)","Count of GHGE, processor gate (kg CO2e/kg)"),'Pivot Table_GHG'!$A$3,"SUB TYPE",$B249)),"PROXY",IF(GETPIVOTDATA(IF($J249=1,"Count of ACTIVE     GHGE, FARM GATE (kg CO2e/kg)","Count of GHGE, processor gate (kg CO2e/kg)"),'Pivot Table_GHG'!$A$3,"SUB TYPE",$B249)=0,"PROXY","DB value"))</f>
        <v>DB value</v>
      </c>
      <c r="Q249" s="125">
        <f ca="1">IF($P249="PROXY",DCOUNT('literature entries'!$D:$AI,IF($J249=1,"ACTIVE     GHGE, FARM GATE (kg CO2e/kg)","GHGE, processor gate (kg CO2e/kg)"),INDIRECT($K249)),GETPIVOTDATA(IF($J249=1,"ACTIVE     GHGE, FARM GATE (kg CO2e/kg)","Count of GHGE, processor gate (kg CO2e/kg)"),'Pivot Table_GHG'!$A$3,"SUB TYPE",$B249))</f>
        <v>2</v>
      </c>
      <c r="R249" s="190">
        <f ca="1">IF($P249="PROXY",DAVERAGE('literature entries'!$D:$AI,IF($J249=1,"ACTIVE     GHGE, FARM GATE (kg CO2e/kg)","GHGE, processor gate (kg CO2e/kg)"),INDIRECT($K249)),GETPIVOTDATA(IF($J249=1,"Average of ACTIVE     GHGE, FARM GATE (kg CO2e/kg)","Average of GHGE, processor gate (kg CO2e/kg)"),'Pivot Table_GHG'!$A$3,"SUB TYPE",$B249))</f>
        <v>0.29557500000000003</v>
      </c>
      <c r="S249" s="190">
        <f ca="1">IF($P249="PROXY",DSTDEV('literature entries'!$D:$AI,IF($J249=1,"ACTIVE     GHGE, FARM GATE (kg CO2e/kg)","GHGE, processor gate (kg CO2e/kg)"),INDIRECT($K249)),GETPIVOTDATA(IF($J249=1,"StdDev of ACTIVE     GHGE, FARM GATE (kg CO2e/kg)","StdDev of GHGE, processor gate (kg CO2e/kg)"),'Pivot Table_GHG'!$A$3,"SUB TYPE",$B249))</f>
        <v>0.16344773247127031</v>
      </c>
      <c r="T249" s="88"/>
      <c r="U249" s="89"/>
      <c r="W249" s="213" t="s">
        <v>3361</v>
      </c>
      <c r="X249" s="211">
        <f ca="1">IF($W249="DIRECT",M249,DCOUNT('literature entries'!$D:$AI,IF($J249=1,"ACTIVE     CED, FARM GATE (MJ/kg)","CED, processor gate (MJ/kg)"),INDIRECT($W249)))</f>
        <v>60</v>
      </c>
      <c r="Y249" s="211">
        <f ca="1">IF($W249="DIRECT","",DAVERAGE('literature entries'!$D:$AI,IF($J249=1,"ACTIVE     CED, FARM GATE (MJ/kg)","CED, processor gate (MJ/kg)"),INDIRECT($W249)))</f>
        <v>3.4907536756076811</v>
      </c>
      <c r="Z249" s="211">
        <f ca="1">IF($W249="DIRECT",$O249,DSTDEV('literature entries'!$D:$AI,IF($J249=1,"ACTIVE     CED, FARM GATE (MJ/kg)","CED, processor gate (MJ/kg)"),INDIRECT($W249)))</f>
        <v>2.8914615487691551</v>
      </c>
      <c r="AA249" s="211">
        <f t="shared" ca="1" si="32"/>
        <v>4.3495937554116031</v>
      </c>
      <c r="AB249" s="219" t="s">
        <v>3361</v>
      </c>
      <c r="AC249" s="212">
        <f ca="1">IF($AB249="DIRECT",Q249,DCOUNT('literature entries'!$D:$AI,IF($J249=1,"ACTIVE     GHGE, FARM GATE (kg CO2e/kg)","GHGE, processor gate (kg CO2e/kg)"),INDIRECT($AB249)))</f>
        <v>130</v>
      </c>
      <c r="AD249" s="212">
        <f ca="1">IF($AB249="DIRECT","",DAVERAGE('literature entries'!$D:$AI,IF($J249=1,"ACTIVE     GHGE, FARM GATE (kg CO2e/kg)","GHGE, processor gate (kg CO2e/kg)"),INDIRECT($AB249)))</f>
        <v>0.57143231537198591</v>
      </c>
      <c r="AE249" s="212">
        <f ca="1">IF($AB249="DIRECT",$S249,DSTDEV('literature entries'!$D:$AI,IF($J249=1,"ACTIVE     GHGE, FARM GATE (kg CO2e/kg)","GHGE, processor gate (kg CO2e/kg)"),INDIRECT($AB249)))</f>
        <v>0.97567296151555694</v>
      </c>
      <c r="AF249" s="212">
        <f t="shared" ca="1" si="33"/>
        <v>0.50466963075448545</v>
      </c>
    </row>
    <row r="250" spans="1:32" s="19" customFormat="1" ht="17" thickBot="1" x14ac:dyDescent="0.25">
      <c r="A250" s="114">
        <v>2202086000</v>
      </c>
      <c r="B250" s="115" t="s">
        <v>1874</v>
      </c>
      <c r="C250" s="115" t="s">
        <v>1875</v>
      </c>
      <c r="D250" s="115"/>
      <c r="E250" s="115">
        <v>416</v>
      </c>
      <c r="F250" s="111">
        <f t="shared" ca="1" si="28"/>
        <v>31.537511499999997</v>
      </c>
      <c r="G250" s="112">
        <f t="shared" ca="1" si="29"/>
        <v>2.4569541260799999</v>
      </c>
      <c r="H250" s="116">
        <v>5</v>
      </c>
      <c r="I250" s="117" t="s">
        <v>2724</v>
      </c>
      <c r="J250" s="79">
        <v>1</v>
      </c>
      <c r="K250" s="78" t="s">
        <v>2748</v>
      </c>
      <c r="L250" s="135" t="str">
        <f>IF(ISERROR(GETPIVOTDATA(IF($J250=1,"Count of ACTIVE     CED, FARM GATE (MJ/kg)","Count of CED, processor gate (MJ/kg)"),'Pivot Table_CED'!$A$3,"SUB TYPE",$B250)),"PROXY",IF(GETPIVOTDATA(IF($J250=1,"Count of ACTIVE     CED, FARM GATE (MJ/kg)","Count of CED, processor gate (MJ/kg)"),'Pivot Table_CED'!$A$3,"SUB TYPE",$B250)=0,"PROXY","DB value"))</f>
        <v>PROXY</v>
      </c>
      <c r="M250" s="118">
        <f ca="1">IF($L250="PROXY",DCOUNT('literature entries'!$D:$AI,IF($J250=1,"ACTIVE     CED, FARM GATE (MJ/kg)","CED, processor gate (MJ/kg)"),INDIRECT($K250)),GETPIVOTDATA(IF($J250=1,"Count of ACTIVE     CED, FARM GATE (MJ/kg)","Count of CED, processor gate (MJ/kg)"),'Pivot Table_CED'!$A$3,"SUB TYPE",$B250))</f>
        <v>1</v>
      </c>
      <c r="N250" s="119">
        <f ca="1">IF($L250="PROXY",DAVERAGE('literature entries'!$D:$AI,IF($J250=1,"ACTIVE     CED, FARM GATE (MJ/kg)","CED, processor gate (MJ/kg)"),INDIRECT($K250)),GETPIVOTDATA(IF($J250=1,"Average of ACTIVE     CED, FARM GATE (MJ/kg)","Average of CED, processor gate (MJ/kg)"),'Pivot Table_CED'!$A$3,"SUB TYPE",$B250))</f>
        <v>5.2511022999999994</v>
      </c>
      <c r="O250" s="119" t="e">
        <f ca="1">IF($L250="PROXY",DSTDEV('literature entries'!D:AI,IF($J250=1,"ACTIVE     CED, FARM GATE (MJ/kg)","CED, processor gate (MJ/kg)"),INDIRECT($K250)),GETPIVOTDATA(IF($J250=1,"StdDev of ACTIVE     CED, FARM GATE (MJ/kg)","StdDev of CED, processor gate (MJ/kg)"),'Pivot Table_CED'!$A$3,"SUB TYPE",$B250))</f>
        <v>#DIV/0!</v>
      </c>
      <c r="P250" s="135" t="str">
        <f>IF(ISERROR(GETPIVOTDATA(IF($J250=1,"Count of ACTIVE     GHGE, FARM GATE (kg CO2e/kg)","Count of GHGE, processor gate (kg CO2e/kg)"),'Pivot Table_GHG'!$A$3,"SUB TYPE",$B250)),"PROXY",IF(GETPIVOTDATA(IF($J250=1,"Count of ACTIVE     GHGE, FARM GATE (kg CO2e/kg)","Count of GHGE, processor gate (kg CO2e/kg)"),'Pivot Table_GHG'!$A$3,"SUB TYPE",$B250)=0,"PROXY","DB value"))</f>
        <v>PROXY</v>
      </c>
      <c r="Q250" s="125">
        <f ca="1">IF($P250="PROXY",DCOUNT('literature entries'!$D:$AI,IF($J250=1,"ACTIVE     GHGE, FARM GATE (kg CO2e/kg)","GHGE, processor gate (kg CO2e/kg)"),INDIRECT($K250)),GETPIVOTDATA(IF($J250=1,"ACTIVE     GHGE, FARM GATE (kg CO2e/kg)","Count of GHGE, processor gate (kg CO2e/kg)"),'Pivot Table_GHG'!$A$3,"SUB TYPE",$B250))</f>
        <v>2</v>
      </c>
      <c r="R250" s="190">
        <f ca="1">IF($P250="PROXY",DAVERAGE('literature entries'!$D:$AI,IF($J250=1,"ACTIVE     GHGE, FARM GATE (kg CO2e/kg)","GHGE, processor gate (kg CO2e/kg)"),INDIRECT($K250)),GETPIVOTDATA(IF($J250=1,"Average of ACTIVE     GHGE, FARM GATE (kg CO2e/kg)","Average of GHGE, processor gate (kg CO2e/kg)"),'Pivot Table_GHG'!$A$3,"SUB TYPE",$B250))</f>
        <v>0.29557500000000003</v>
      </c>
      <c r="S250" s="190">
        <f ca="1">IF($P250="PROXY",DSTDEV('literature entries'!$D:$AI,IF($J250=1,"ACTIVE     GHGE, FARM GATE (kg CO2e/kg)","GHGE, processor gate (kg CO2e/kg)"),INDIRECT($K250)),GETPIVOTDATA(IF($J250=1,"StdDev of ACTIVE     GHGE, FARM GATE (kg CO2e/kg)","StdDev of GHGE, processor gate (kg CO2e/kg)"),'Pivot Table_GHG'!$A$3,"SUB TYPE",$B250))</f>
        <v>0.16344773247127031</v>
      </c>
      <c r="T250" s="86">
        <v>5.282</v>
      </c>
      <c r="U250" s="87">
        <v>0.97907912607999992</v>
      </c>
      <c r="W250" s="213" t="s">
        <v>3361</v>
      </c>
      <c r="X250" s="211">
        <f ca="1">IF($W250="DIRECT",M250,DCOUNT('literature entries'!$D:$AI,IF($J250=1,"ACTIVE     CED, FARM GATE (MJ/kg)","CED, processor gate (MJ/kg)"),INDIRECT($W250)))</f>
        <v>60</v>
      </c>
      <c r="Y250" s="211">
        <f ca="1">IF($W250="DIRECT","",DAVERAGE('literature entries'!$D:$AI,IF($J250=1,"ACTIVE     CED, FARM GATE (MJ/kg)","CED, processor gate (MJ/kg)"),INDIRECT($W250)))</f>
        <v>3.4907536756076811</v>
      </c>
      <c r="Z250" s="211">
        <f ca="1">IF($W250="DIRECT",$O250,DSTDEV('literature entries'!$D:$AI,IF($J250=1,"ACTIVE     CED, FARM GATE (MJ/kg)","CED, processor gate (MJ/kg)"),INDIRECT($W250)))</f>
        <v>2.8914615487691551</v>
      </c>
      <c r="AA250" s="211">
        <f t="shared" ca="1" si="32"/>
        <v>4.3495937554116031</v>
      </c>
      <c r="AB250" s="219" t="s">
        <v>3361</v>
      </c>
      <c r="AC250" s="212">
        <f ca="1">IF($AB250="DIRECT",Q250,DCOUNT('literature entries'!$D:$AI,IF($J250=1,"ACTIVE     GHGE, FARM GATE (kg CO2e/kg)","GHGE, processor gate (kg CO2e/kg)"),INDIRECT($AB250)))</f>
        <v>130</v>
      </c>
      <c r="AD250" s="212">
        <f ca="1">IF($AB250="DIRECT","",DAVERAGE('literature entries'!$D:$AI,IF($J250=1,"ACTIVE     GHGE, FARM GATE (kg CO2e/kg)","GHGE, processor gate (kg CO2e/kg)"),INDIRECT($AB250)))</f>
        <v>0.57143231537198591</v>
      </c>
      <c r="AE250" s="212">
        <f ca="1">IF($AB250="DIRECT",$S250,DSTDEV('literature entries'!$D:$AI,IF($J250=1,"ACTIVE     GHGE, FARM GATE (kg CO2e/kg)","GHGE, processor gate (kg CO2e/kg)"),INDIRECT($AB250)))</f>
        <v>0.97567296151555694</v>
      </c>
      <c r="AF250" s="212">
        <f t="shared" ca="1" si="33"/>
        <v>0.50466963075448545</v>
      </c>
    </row>
    <row r="251" spans="1:32" s="19" customFormat="1" ht="17" thickBot="1" x14ac:dyDescent="0.25">
      <c r="A251" s="114">
        <v>2202322000</v>
      </c>
      <c r="B251" s="115" t="s">
        <v>2233</v>
      </c>
      <c r="C251" s="115" t="s">
        <v>2234</v>
      </c>
      <c r="D251" s="115"/>
      <c r="E251" s="115">
        <v>39</v>
      </c>
      <c r="F251" s="111">
        <f t="shared" ca="1" si="28"/>
        <v>14.20134622025</v>
      </c>
      <c r="G251" s="112">
        <f t="shared" ca="1" si="29"/>
        <v>1.5280503000000005</v>
      </c>
      <c r="H251" s="116">
        <v>1.33</v>
      </c>
      <c r="I251" s="117" t="s">
        <v>2724</v>
      </c>
      <c r="J251" s="79">
        <v>1</v>
      </c>
      <c r="K251" s="78" t="s">
        <v>828</v>
      </c>
      <c r="L251" s="135" t="str">
        <f>IF(ISERROR(GETPIVOTDATA(IF($J251=1,"Count of ACTIVE     CED, FARM GATE (MJ/kg)","Count of CED, processor gate (MJ/kg)"),'Pivot Table_CED'!$A$3,"SUB TYPE",$B251)),"PROXY",IF(GETPIVOTDATA(IF($J251=1,"Count of ACTIVE     CED, FARM GATE (MJ/kg)","Count of CED, processor gate (MJ/kg)"),'Pivot Table_CED'!$A$3,"SUB TYPE",$B251)=0,"PROXY","DB value"))</f>
        <v>PROXY</v>
      </c>
      <c r="M251" s="118">
        <f ca="1">IF($L251="PROXY",DCOUNT('literature entries'!$D:$AI,IF($J251=1,"ACTIVE     CED, FARM GATE (MJ/kg)","CED, processor gate (MJ/kg)"),INDIRECT($K251)),GETPIVOTDATA(IF($J251=1,"Count of ACTIVE     CED, FARM GATE (MJ/kg)","Count of CED, processor gate (MJ/kg)"),'Pivot Table_CED'!$A$3,"SUB TYPE",$B251))</f>
        <v>4</v>
      </c>
      <c r="N251" s="119">
        <f ca="1">IF($L251="PROXY",DAVERAGE('literature entries'!$D:$AI,IF($J251=1,"ACTIVE     CED, FARM GATE (MJ/kg)","CED, processor gate (MJ/kg)"),INDIRECT($K251)),GETPIVOTDATA(IF($J251=1,"Average of ACTIVE     CED, FARM GATE (MJ/kg)","Average of CED, processor gate (MJ/kg)"),'Pivot Table_CED'!$A$3,"SUB TYPE",$B251))</f>
        <v>10.677703924999999</v>
      </c>
      <c r="O251" s="119">
        <f ca="1">IF($L251="PROXY",DSTDEV('literature entries'!D:AI,IF($J251=1,"ACTIVE     CED, FARM GATE (MJ/kg)","CED, processor gate (MJ/kg)"),INDIRECT($K251)),GETPIVOTDATA(IF($J251=1,"StdDev of ACTIVE     CED, FARM GATE (MJ/kg)","StdDev of CED, processor gate (MJ/kg)"),'Pivot Table_CED'!$A$3,"SUB TYPE",$B251))</f>
        <v>4.8554523094787436</v>
      </c>
      <c r="P251" s="135" t="str">
        <f>IF(ISERROR(GETPIVOTDATA(IF($J251=1,"Count of ACTIVE     GHGE, FARM GATE (kg CO2e/kg)","Count of GHGE, processor gate (kg CO2e/kg)"),'Pivot Table_GHG'!$A$3,"SUB TYPE",$B251)),"PROXY",IF(GETPIVOTDATA(IF($J251=1,"Count of ACTIVE     GHGE, FARM GATE (kg CO2e/kg)","Count of GHGE, processor gate (kg CO2e/kg)"),'Pivot Table_GHG'!$A$3,"SUB TYPE",$B251)=0,"PROXY","DB value"))</f>
        <v>PROXY</v>
      </c>
      <c r="Q251" s="125">
        <f ca="1">IF($P251="PROXY",DCOUNT('literature entries'!$D:$AI,IF($J251=1,"ACTIVE     GHGE, FARM GATE (kg CO2e/kg)","GHGE, processor gate (kg CO2e/kg)"),INDIRECT($K251)),GETPIVOTDATA(IF($J251=1,"ACTIVE     GHGE, FARM GATE (kg CO2e/kg)","Count of GHGE, processor gate (kg CO2e/kg)"),'Pivot Table_GHG'!$A$3,"SUB TYPE",$B251))</f>
        <v>7</v>
      </c>
      <c r="R251" s="190">
        <f ca="1">IF($P251="PROXY",DAVERAGE('literature entries'!$D:$AI,IF($J251=1,"ACTIVE     GHGE, FARM GATE (kg CO2e/kg)","GHGE, processor gate (kg CO2e/kg)"),INDIRECT($K251)),GETPIVOTDATA(IF($J251=1,"Average of ACTIVE     GHGE, FARM GATE (kg CO2e/kg)","Average of GHGE, processor gate (kg CO2e/kg)"),'Pivot Table_GHG'!$A$3,"SUB TYPE",$B251))</f>
        <v>1.1489100000000003</v>
      </c>
      <c r="S251" s="190">
        <f ca="1">IF($P251="PROXY",DSTDEV('literature entries'!$D:$AI,IF($J251=1,"ACTIVE     GHGE, FARM GATE (kg CO2e/kg)","GHGE, processor gate (kg CO2e/kg)"),INDIRECT($K251)),GETPIVOTDATA(IF($J251=1,"StdDev of ACTIVE     GHGE, FARM GATE (kg CO2e/kg)","StdDev of GHGE, processor gate (kg CO2e/kg)"),'Pivot Table_GHG'!$A$3,"SUB TYPE",$B251))</f>
        <v>0.79065739811880531</v>
      </c>
      <c r="T251" s="88"/>
      <c r="U251" s="89"/>
      <c r="W251" s="213" t="s">
        <v>3361</v>
      </c>
      <c r="X251" s="211">
        <f ca="1">IF($W251="DIRECT",M251,DCOUNT('literature entries'!$D:$AI,IF($J251=1,"ACTIVE     CED, FARM GATE (MJ/kg)","CED, processor gate (MJ/kg)"),INDIRECT($W251)))</f>
        <v>60</v>
      </c>
      <c r="Y251" s="211">
        <f ca="1">IF($W251="DIRECT","",DAVERAGE('literature entries'!$D:$AI,IF($J251=1,"ACTIVE     CED, FARM GATE (MJ/kg)","CED, processor gate (MJ/kg)"),INDIRECT($W251)))</f>
        <v>3.4907536756076811</v>
      </c>
      <c r="Z251" s="211">
        <f ca="1">IF($W251="DIRECT",$O251,DSTDEV('literature entries'!$D:$AI,IF($J251=1,"ACTIVE     CED, FARM GATE (MJ/kg)","CED, processor gate (MJ/kg)"),INDIRECT($W251)))</f>
        <v>2.8914615487691551</v>
      </c>
      <c r="AA251" s="211">
        <f t="shared" ca="1" si="32"/>
        <v>8.8445571350445729</v>
      </c>
      <c r="AB251" s="219" t="str">
        <f ca="1">IF(P251="PROXY",IF(Q251&gt;=5,K251,"need group"),IF(Q251&gt;=5,"DIRECT","need group"))</f>
        <v>asparagus</v>
      </c>
      <c r="AC251" s="212">
        <f ca="1">IF($AB251="DIRECT",Q251,DCOUNT('literature entries'!$D:$AI,IF($J251=1,"ACTIVE     GHGE, FARM GATE (kg CO2e/kg)","GHGE, processor gate (kg CO2e/kg)"),INDIRECT($AB251)))</f>
        <v>7</v>
      </c>
      <c r="AD251" s="212">
        <f ca="1">IF($AB251="DIRECT","",DAVERAGE('literature entries'!$D:$AI,IF($J251=1,"ACTIVE     GHGE, FARM GATE (kg CO2e/kg)","GHGE, processor gate (kg CO2e/kg)"),INDIRECT($AB251)))</f>
        <v>1.1489100000000003</v>
      </c>
      <c r="AE251" s="212">
        <f ca="1">IF($AB251="DIRECT",$S251,DSTDEV('literature entries'!$D:$AI,IF($J251=1,"ACTIVE     GHGE, FARM GATE (kg CO2e/kg)","GHGE, processor gate (kg CO2e/kg)"),INDIRECT($AB251)))</f>
        <v>0.79065739811880531</v>
      </c>
      <c r="AF251" s="212">
        <f t="shared" ca="1" si="33"/>
        <v>0.79065739811880531</v>
      </c>
    </row>
    <row r="252" spans="1:32" s="19" customFormat="1" ht="17" thickBot="1" x14ac:dyDescent="0.25">
      <c r="A252" s="114">
        <v>2301235000</v>
      </c>
      <c r="B252" s="115" t="s">
        <v>2098</v>
      </c>
      <c r="C252" s="115" t="s">
        <v>2099</v>
      </c>
      <c r="D252" s="115"/>
      <c r="E252" s="115">
        <v>2722</v>
      </c>
      <c r="F252" s="111">
        <f t="shared" ca="1" si="28"/>
        <v>6.6366594999999995</v>
      </c>
      <c r="G252" s="112">
        <f t="shared" ca="1" si="29"/>
        <v>0.48193058571428576</v>
      </c>
      <c r="H252" s="116">
        <v>1.163</v>
      </c>
      <c r="I252" s="117" t="s">
        <v>2737</v>
      </c>
      <c r="J252" s="79">
        <v>1</v>
      </c>
      <c r="K252" s="78"/>
      <c r="L252" s="135" t="str">
        <f>IF(ISERROR(GETPIVOTDATA(IF($J252=1,"Count of ACTIVE     CED, FARM GATE (MJ/kg)","Count of CED, processor gate (MJ/kg)"),'Pivot Table_CED'!$A$3,"SUB TYPE",$B252)),"PROXY",IF(GETPIVOTDATA(IF($J252=1,"Count of ACTIVE     CED, FARM GATE (MJ/kg)","Count of CED, processor gate (MJ/kg)"),'Pivot Table_CED'!$A$3,"SUB TYPE",$B252)=0,"PROXY","DB value"))</f>
        <v>DB value</v>
      </c>
      <c r="M252" s="118">
        <f ca="1">IF($L252="PROXY",DCOUNT('literature entries'!$D:$AI,IF($J252=1,"ACTIVE     CED, FARM GATE (MJ/kg)","CED, processor gate (MJ/kg)"),INDIRECT($K252)),GETPIVOTDATA(IF($J252=1,"Count of ACTIVE     CED, FARM GATE (MJ/kg)","Count of CED, processor gate (MJ/kg)"),'Pivot Table_CED'!$A$3,"SUB TYPE",$B252))</f>
        <v>4</v>
      </c>
      <c r="N252" s="119">
        <f ca="1">IF($L252="PROXY",DAVERAGE('literature entries'!$D:$AI,IF($J252=1,"ACTIVE     CED, FARM GATE (MJ/kg)","CED, processor gate (MJ/kg)"),INDIRECT($K252)),GETPIVOTDATA(IF($J252=1,"Average of ACTIVE     CED, FARM GATE (MJ/kg)","Average of CED, processor gate (MJ/kg)"),'Pivot Table_CED'!$A$3,"SUB TYPE",$B252))</f>
        <v>5.7064999999999992</v>
      </c>
      <c r="O252" s="119">
        <f ca="1">IF($L252="PROXY",DSTDEV('literature entries'!D:AI,IF($J252=1,"ACTIVE     CED, FARM GATE (MJ/kg)","CED, processor gate (MJ/kg)"),INDIRECT($K252)),GETPIVOTDATA(IF($J252=1,"StdDev of ACTIVE     CED, FARM GATE (MJ/kg)","StdDev of CED, processor gate (MJ/kg)"),'Pivot Table_CED'!$A$3,"SUB TYPE",$B252))</f>
        <v>2.505057484370369</v>
      </c>
      <c r="P252" s="135" t="str">
        <f>IF(ISERROR(GETPIVOTDATA(IF($J252=1,"Count of ACTIVE     GHGE, FARM GATE (kg CO2e/kg)","Count of GHGE, processor gate (kg CO2e/kg)"),'Pivot Table_GHG'!$A$3,"SUB TYPE",$B252)),"PROXY",IF(GETPIVOTDATA(IF($J252=1,"Count of ACTIVE     GHGE, FARM GATE (kg CO2e/kg)","Count of GHGE, processor gate (kg CO2e/kg)"),'Pivot Table_GHG'!$A$3,"SUB TYPE",$B252)=0,"PROXY","DB value"))</f>
        <v>DB value</v>
      </c>
      <c r="Q252" s="125">
        <f ca="1">IF($P252="PROXY",DCOUNT('literature entries'!$D:$AI,IF($J252=1,"ACTIVE     GHGE, FARM GATE (kg CO2e/kg)","GHGE, processor gate (kg CO2e/kg)"),INDIRECT($K252)),GETPIVOTDATA(IF($J252=1,"ACTIVE     GHGE, FARM GATE (kg CO2e/kg)","Count of GHGE, processor gate (kg CO2e/kg)"),'Pivot Table_GHG'!$A$3,"SUB TYPE",$B252))</f>
        <v>7</v>
      </c>
      <c r="R252" s="190">
        <f ca="1">IF($P252="PROXY",DAVERAGE('literature entries'!$D:$AI,IF($J252=1,"ACTIVE     GHGE, FARM GATE (kg CO2e/kg)","GHGE, processor gate (kg CO2e/kg)"),INDIRECT($K252)),GETPIVOTDATA(IF($J252=1,"Average of ACTIVE     GHGE, FARM GATE (kg CO2e/kg)","Average of GHGE, processor gate (kg CO2e/kg)"),'Pivot Table_GHG'!$A$3,"SUB TYPE",$B252))</f>
        <v>0.4143857142857143</v>
      </c>
      <c r="S252" s="190">
        <f ca="1">IF($P252="PROXY",DSTDEV('literature entries'!$D:$AI,IF($J252=1,"ACTIVE     GHGE, FARM GATE (kg CO2e/kg)","GHGE, processor gate (kg CO2e/kg)"),INDIRECT($K252)),GETPIVOTDATA(IF($J252=1,"StdDev of ACTIVE     GHGE, FARM GATE (kg CO2e/kg)","StdDev of GHGE, processor gate (kg CO2e/kg)"),'Pivot Table_GHG'!$A$3,"SUB TYPE",$B252))</f>
        <v>0.24572273961093788</v>
      </c>
      <c r="T252" s="88"/>
      <c r="U252" s="89"/>
      <c r="W252" s="213" t="s">
        <v>3269</v>
      </c>
      <c r="X252" s="211">
        <f ca="1">IF($W252="DIRECT",M252,DCOUNT('literature entries'!$D:$AI,IF($J252=1,"ACTIVE     CED, FARM GATE (MJ/kg)","CED, processor gate (MJ/kg)"),INDIRECT($W252)))</f>
        <v>9</v>
      </c>
      <c r="Y252" s="211">
        <f ca="1">IF($W252="DIRECT","",DAVERAGE('literature entries'!$D:$AI,IF($J252=1,"ACTIVE     CED, FARM GATE (MJ/kg)","CED, processor gate (MJ/kg)"),INDIRECT($W252)))</f>
        <v>3.3954128262185184</v>
      </c>
      <c r="Z252" s="211">
        <f ca="1">IF($W252="DIRECT",$O252,DSTDEV('literature entries'!$D:$AI,IF($J252=1,"ACTIVE     CED, FARM GATE (MJ/kg)","CED, processor gate (MJ/kg)"),INDIRECT($W252)))</f>
        <v>2.1698076963305595</v>
      </c>
      <c r="AA252" s="211">
        <f t="shared" ca="1" si="32"/>
        <v>3.646686942895311</v>
      </c>
      <c r="AB252" s="219" t="str">
        <f ca="1">IF(P252="PROXY",IF(Q252&gt;=5,K252,"need group"),IF(Q252&gt;=5,"DIRECT","need group"))</f>
        <v>DIRECT</v>
      </c>
      <c r="AC252" s="212">
        <f ca="1">IF($AB252="DIRECT",Q252,DCOUNT('literature entries'!$D:$AI,IF($J252=1,"ACTIVE     GHGE, FARM GATE (kg CO2e/kg)","GHGE, processor gate (kg CO2e/kg)"),INDIRECT($AB252)))</f>
        <v>7</v>
      </c>
      <c r="AD252" s="212" t="str">
        <f ca="1">IF($AB252="DIRECT","",DAVERAGE('literature entries'!$D:$AI,IF($J252=1,"ACTIVE     GHGE, FARM GATE (kg CO2e/kg)","GHGE, processor gate (kg CO2e/kg)"),INDIRECT($AB252)))</f>
        <v/>
      </c>
      <c r="AE252" s="212">
        <f ca="1">IF($AB252="DIRECT",$S252,DSTDEV('literature entries'!$D:$AI,IF($J252=1,"ACTIVE     GHGE, FARM GATE (kg CO2e/kg)","GHGE, processor gate (kg CO2e/kg)"),INDIRECT($AB252)))</f>
        <v>0.24572273961093788</v>
      </c>
      <c r="AF252" s="212">
        <f t="shared" ca="1" si="33"/>
        <v>0.24572273961093788</v>
      </c>
    </row>
    <row r="253" spans="1:32" s="19" customFormat="1" ht="17" thickBot="1" x14ac:dyDescent="0.25">
      <c r="A253" s="114">
        <v>2301236000</v>
      </c>
      <c r="B253" s="115" t="s">
        <v>2100</v>
      </c>
      <c r="C253" s="115" t="s">
        <v>1731</v>
      </c>
      <c r="D253" s="115"/>
      <c r="E253" s="115">
        <v>22315</v>
      </c>
      <c r="F253" s="111">
        <f t="shared" ca="1" si="28"/>
        <v>15.70807847826087</v>
      </c>
      <c r="G253" s="112">
        <f t="shared" ca="1" si="29"/>
        <v>3.206006864988558</v>
      </c>
      <c r="H253" s="116">
        <v>1</v>
      </c>
      <c r="I253" s="117" t="s">
        <v>2724</v>
      </c>
      <c r="J253" s="79">
        <v>2</v>
      </c>
      <c r="K253" s="78"/>
      <c r="L253" s="135" t="str">
        <f>IF(ISERROR(GETPIVOTDATA(IF($J253=1,"Count of ACTIVE     CED, FARM GATE (MJ/kg)","Count of CED, processor gate (MJ/kg)"),'Pivot Table_CED'!$A$3,"SUB TYPE",$B253)),"PROXY",IF(GETPIVOTDATA(IF($J253=1,"Count of ACTIVE     CED, FARM GATE (MJ/kg)","Count of CED, processor gate (MJ/kg)"),'Pivot Table_CED'!$A$3,"SUB TYPE",$B253)=0,"PROXY","DB value"))</f>
        <v>DB value</v>
      </c>
      <c r="M253" s="118">
        <f ca="1">IF($L253="PROXY",DCOUNT('literature entries'!$D:$AI,IF($J253=1,"ACTIVE     CED, FARM GATE (MJ/kg)","CED, processor gate (MJ/kg)"),INDIRECT($K253)),GETPIVOTDATA(IF($J253=1,"Count of ACTIVE     CED, FARM GATE (MJ/kg)","Count of CED, processor gate (MJ/kg)"),'Pivot Table_CED'!$A$3,"SUB TYPE",$B253))</f>
        <v>2</v>
      </c>
      <c r="N253" s="119">
        <f ca="1">IF($L253="PROXY",DAVERAGE('literature entries'!$D:$AI,IF($J253=1,"ACTIVE     CED, FARM GATE (MJ/kg)","CED, processor gate (MJ/kg)"),INDIRECT($K253)),GETPIVOTDATA(IF($J253=1,"Average of ACTIVE     CED, FARM GATE (MJ/kg)","Average of CED, processor gate (MJ/kg)"),'Pivot Table_CED'!$A$3,"SUB TYPE",$B253))</f>
        <v>15.70807847826087</v>
      </c>
      <c r="O253" s="119">
        <f ca="1">IF($L253="PROXY",DSTDEV('literature entries'!D:AI,IF($J253=1,"ACTIVE     CED, FARM GATE (MJ/kg)","CED, processor gate (MJ/kg)"),INDIRECT($K253)),GETPIVOTDATA(IF($J253=1,"StdDev of ACTIVE     CED, FARM GATE (MJ/kg)","StdDev of CED, processor gate (MJ/kg)"),'Pivot Table_CED'!$A$3,"SUB TYPE",$B253))</f>
        <v>9.7693992789448529</v>
      </c>
      <c r="P253" s="135" t="str">
        <f>IF(ISERROR(GETPIVOTDATA(IF($J253=1,"Count of ACTIVE     GHGE, FARM GATE (kg CO2e/kg)","Count of GHGE, processor gate (kg CO2e/kg)"),'Pivot Table_GHG'!$A$3,"SUB TYPE",$B253)),"PROXY",IF(GETPIVOTDATA(IF($J253=1,"Count of ACTIVE     GHGE, FARM GATE (kg CO2e/kg)","Count of GHGE, processor gate (kg CO2e/kg)"),'Pivot Table_GHG'!$A$3,"SUB TYPE",$B253)=0,"PROXY","DB value"))</f>
        <v>DB value</v>
      </c>
      <c r="Q253" s="125">
        <f ca="1">IF($P253="PROXY",DCOUNT('literature entries'!$D:$AI,IF($J253=1,"ACTIVE     GHGE, FARM GATE (kg CO2e/kg)","GHGE, processor gate (kg CO2e/kg)"),INDIRECT($K253)),GETPIVOTDATA(IF($J253=1,"ACTIVE     GHGE, FARM GATE (kg CO2e/kg)","Count of GHGE, processor gate (kg CO2e/kg)"),'Pivot Table_GHG'!$A$3,"SUB TYPE",$B253))</f>
        <v>3</v>
      </c>
      <c r="R253" s="190">
        <f ca="1">IF($P253="PROXY",DAVERAGE('literature entries'!$D:$AI,IF($J253=1,"ACTIVE     GHGE, FARM GATE (kg CO2e/kg)","GHGE, processor gate (kg CO2e/kg)"),INDIRECT($K253)),GETPIVOTDATA(IF($J253=1,"Average of ACTIVE     GHGE, FARM GATE (kg CO2e/kg)","Average of GHGE, processor gate (kg CO2e/kg)"),'Pivot Table_GHG'!$A$3,"SUB TYPE",$B253))</f>
        <v>3.206006864988558</v>
      </c>
      <c r="S253" s="190">
        <f ca="1">IF($P253="PROXY",DSTDEV('literature entries'!$D:$AI,IF($J253=1,"ACTIVE     GHGE, FARM GATE (kg CO2e/kg)","GHGE, processor gate (kg CO2e/kg)"),INDIRECT($K253)),GETPIVOTDATA(IF($J253=1,"StdDev of ACTIVE     GHGE, FARM GATE (kg CO2e/kg)","StdDev of GHGE, processor gate (kg CO2e/kg)"),'Pivot Table_GHG'!$A$3,"SUB TYPE",$B253))</f>
        <v>0.83587751740264049</v>
      </c>
      <c r="T253" s="88"/>
      <c r="U253" s="89"/>
      <c r="W253" s="213" t="s">
        <v>3354</v>
      </c>
      <c r="X253" s="211">
        <f ca="1">IF($W253="DIRECT",M253,DCOUNT('literature entries'!$D:$AI,IF($J253=1,"ACTIVE     CED, FARM GATE (MJ/kg)","CED, processor gate (MJ/kg)"),INDIRECT($W253)))</f>
        <v>16</v>
      </c>
      <c r="Y253" s="211">
        <f ca="1">IF($W253="DIRECT","",DAVERAGE('literature entries'!$D:$AI,IF($J253=1,"ACTIVE     CED, FARM GATE (MJ/kg)","CED, processor gate (MJ/kg)"),INDIRECT($W253)))</f>
        <v>11.873325197282607</v>
      </c>
      <c r="Z253" s="211">
        <f ca="1">IF($W253="DIRECT",$O253,DSTDEV('literature entries'!$D:$AI,IF($J253=1,"ACTIVE     CED, FARM GATE (MJ/kg)","CED, processor gate (MJ/kg)"),INDIRECT($W253)))</f>
        <v>5.663275464099641</v>
      </c>
      <c r="AA253" s="211">
        <f t="shared" ca="1" si="32"/>
        <v>7.4923556759353378</v>
      </c>
      <c r="AB253" s="219" t="s">
        <v>3354</v>
      </c>
      <c r="AC253" s="212">
        <f ca="1">IF($AB253="DIRECT",Q253,DCOUNT('literature entries'!$D:$AI,IF($J253=1,"ACTIVE     GHGE, FARM GATE (kg CO2e/kg)","GHGE, processor gate (kg CO2e/kg)"),INDIRECT($AB253)))</f>
        <v>19</v>
      </c>
      <c r="AD253" s="212">
        <f ca="1">IF($AB253="DIRECT","",DAVERAGE('literature entries'!$D:$AI,IF($J253=1,"ACTIVE     GHGE, FARM GATE (kg CO2e/kg)","GHGE, processor gate (kg CO2e/kg)"),INDIRECT($AB253)))</f>
        <v>3.6074757576297722</v>
      </c>
      <c r="AE253" s="212">
        <f ca="1">IF($AB253="DIRECT",$S253,DSTDEV('literature entries'!$D:$AI,IF($J253=1,"ACTIVE     GHGE, FARM GATE (kg CO2e/kg)","GHGE, processor gate (kg CO2e/kg)"),INDIRECT($AB253)))</f>
        <v>2.5306182127862726</v>
      </c>
      <c r="AF253" s="212">
        <f t="shared" ca="1" si="33"/>
        <v>2.2489906815585883</v>
      </c>
    </row>
    <row r="254" spans="1:32" s="19" customFormat="1" ht="17" thickBot="1" x14ac:dyDescent="0.25">
      <c r="A254" s="114">
        <v>2302077000</v>
      </c>
      <c r="B254" s="115" t="s">
        <v>1862</v>
      </c>
      <c r="C254" s="115" t="s">
        <v>1863</v>
      </c>
      <c r="D254" s="115"/>
      <c r="E254" s="115">
        <v>12</v>
      </c>
      <c r="F254" s="111">
        <f t="shared" ca="1" si="28"/>
        <v>3.3954128262185184</v>
      </c>
      <c r="G254" s="112">
        <f t="shared" ca="1" si="29"/>
        <v>0.53448943577564734</v>
      </c>
      <c r="H254" s="116">
        <v>1</v>
      </c>
      <c r="I254" s="117" t="s">
        <v>2724</v>
      </c>
      <c r="J254" s="79">
        <v>1</v>
      </c>
      <c r="K254" s="78" t="s">
        <v>3269</v>
      </c>
      <c r="L254" s="135" t="str">
        <f>IF(ISERROR(GETPIVOTDATA(IF($J254=1,"Count of ACTIVE     CED, FARM GATE (MJ/kg)","Count of CED, processor gate (MJ/kg)"),'Pivot Table_CED'!$A$3,"SUB TYPE",$B254)),"PROXY",IF(GETPIVOTDATA(IF($J254=1,"Count of ACTIVE     CED, FARM GATE (MJ/kg)","Count of CED, processor gate (MJ/kg)"),'Pivot Table_CED'!$A$3,"SUB TYPE",$B254)=0,"PROXY","DB value"))</f>
        <v>PROXY</v>
      </c>
      <c r="M254" s="118">
        <f ca="1">IF($L254="PROXY",DCOUNT('literature entries'!$D:$AI,IF($J254=1,"ACTIVE     CED, FARM GATE (MJ/kg)","CED, processor gate (MJ/kg)"),INDIRECT($K254)),GETPIVOTDATA(IF($J254=1,"Count of ACTIVE     CED, FARM GATE (MJ/kg)","Count of CED, processor gate (MJ/kg)"),'Pivot Table_CED'!$A$3,"SUB TYPE",$B254))</f>
        <v>9</v>
      </c>
      <c r="N254" s="119">
        <f ca="1">IF($L254="PROXY",DAVERAGE('literature entries'!$D:$AI,IF($J254=1,"ACTIVE     CED, FARM GATE (MJ/kg)","CED, processor gate (MJ/kg)"),INDIRECT($K254)),GETPIVOTDATA(IF($J254=1,"Average of ACTIVE     CED, FARM GATE (MJ/kg)","Average of CED, processor gate (MJ/kg)"),'Pivot Table_CED'!$A$3,"SUB TYPE",$B254))</f>
        <v>3.3954128262185184</v>
      </c>
      <c r="O254" s="119">
        <f ca="1">IF($L254="PROXY",DSTDEV('literature entries'!D:AI,IF($J254=1,"ACTIVE     CED, FARM GATE (MJ/kg)","CED, processor gate (MJ/kg)"),INDIRECT($K254)),GETPIVOTDATA(IF($J254=1,"StdDev of ACTIVE     CED, FARM GATE (MJ/kg)","StdDev of CED, processor gate (MJ/kg)"),'Pivot Table_CED'!$A$3,"SUB TYPE",$B254))</f>
        <v>2.1698076963305595</v>
      </c>
      <c r="P254" s="135" t="str">
        <f>IF(ISERROR(GETPIVOTDATA(IF($J254=1,"Count of ACTIVE     GHGE, FARM GATE (kg CO2e/kg)","Count of GHGE, processor gate (kg CO2e/kg)"),'Pivot Table_GHG'!$A$3,"SUB TYPE",$B254)),"PROXY",IF(GETPIVOTDATA(IF($J254=1,"Count of ACTIVE     GHGE, FARM GATE (kg CO2e/kg)","Count of GHGE, processor gate (kg CO2e/kg)"),'Pivot Table_GHG'!$A$3,"SUB TYPE",$B254)=0,"PROXY","DB value"))</f>
        <v>PROXY</v>
      </c>
      <c r="Q254" s="125">
        <f ca="1">IF($P254="PROXY",DCOUNT('literature entries'!$D:$AI,IF($J254=1,"ACTIVE     GHGE, FARM GATE (kg CO2e/kg)","GHGE, processor gate (kg CO2e/kg)"),INDIRECT($K254)),GETPIVOTDATA(IF($J254=1,"ACTIVE     GHGE, FARM GATE (kg CO2e/kg)","Count of GHGE, processor gate (kg CO2e/kg)"),'Pivot Table_GHG'!$A$3,"SUB TYPE",$B254))</f>
        <v>30</v>
      </c>
      <c r="R254" s="190">
        <f ca="1">IF($P254="PROXY",DAVERAGE('literature entries'!$D:$AI,IF($J254=1,"ACTIVE     GHGE, FARM GATE (kg CO2e/kg)","GHGE, processor gate (kg CO2e/kg)"),INDIRECT($K254)),GETPIVOTDATA(IF($J254=1,"Average of ACTIVE     GHGE, FARM GATE (kg CO2e/kg)","Average of GHGE, processor gate (kg CO2e/kg)"),'Pivot Table_GHG'!$A$3,"SUB TYPE",$B254))</f>
        <v>0.53448943577564734</v>
      </c>
      <c r="S254" s="190">
        <f ca="1">IF($P254="PROXY",DSTDEV('literature entries'!$D:$AI,IF($J254=1,"ACTIVE     GHGE, FARM GATE (kg CO2e/kg)","GHGE, processor gate (kg CO2e/kg)"),INDIRECT($K254)),GETPIVOTDATA(IF($J254=1,"StdDev of ACTIVE     GHGE, FARM GATE (kg CO2e/kg)","StdDev of GHGE, processor gate (kg CO2e/kg)"),'Pivot Table_GHG'!$A$3,"SUB TYPE",$B254))</f>
        <v>0.86200931416440196</v>
      </c>
      <c r="T254" s="88"/>
      <c r="U254" s="89"/>
      <c r="W254" s="213" t="str">
        <f ca="1">IF(L254="PROXY",IF(M254&gt;=5,K254,"need group"),IF(M254&gt;=5,"DIRECT","need group"))</f>
        <v>tropical_fruit</v>
      </c>
      <c r="X254" s="211">
        <f ca="1">IF($W254="DIRECT",M254,DCOUNT('literature entries'!$D:$AI,IF($J254=1,"ACTIVE     CED, FARM GATE (MJ/kg)","CED, processor gate (MJ/kg)"),INDIRECT($W254)))</f>
        <v>9</v>
      </c>
      <c r="Y254" s="211">
        <f ca="1">IF($W254="DIRECT","",DAVERAGE('literature entries'!$D:$AI,IF($J254=1,"ACTIVE     CED, FARM GATE (MJ/kg)","CED, processor gate (MJ/kg)"),INDIRECT($W254)))</f>
        <v>3.3954128262185184</v>
      </c>
      <c r="Z254" s="211">
        <f ca="1">IF($W254="DIRECT",$O254,DSTDEV('literature entries'!$D:$AI,IF($J254=1,"ACTIVE     CED, FARM GATE (MJ/kg)","CED, processor gate (MJ/kg)"),INDIRECT($W254)))</f>
        <v>2.1698076963305595</v>
      </c>
      <c r="AA254" s="211">
        <f t="shared" ca="1" si="32"/>
        <v>2.1698076963305595</v>
      </c>
      <c r="AB254" s="219" t="str">
        <f ca="1">IF(P254="PROXY",IF(Q254&gt;=5,K254,"need group"),IF(Q254&gt;=5,"DIRECT","need group"))</f>
        <v>tropical_fruit</v>
      </c>
      <c r="AC254" s="212">
        <f ca="1">IF($AB254="DIRECT",Q254,DCOUNT('literature entries'!$D:$AI,IF($J254=1,"ACTIVE     GHGE, FARM GATE (kg CO2e/kg)","GHGE, processor gate (kg CO2e/kg)"),INDIRECT($AB254)))</f>
        <v>30</v>
      </c>
      <c r="AD254" s="212">
        <f ca="1">IF($AB254="DIRECT","",DAVERAGE('literature entries'!$D:$AI,IF($J254=1,"ACTIVE     GHGE, FARM GATE (kg CO2e/kg)","GHGE, processor gate (kg CO2e/kg)"),INDIRECT($AB254)))</f>
        <v>0.53448943577564734</v>
      </c>
      <c r="AE254" s="212">
        <f ca="1">IF($AB254="DIRECT",$S254,DSTDEV('literature entries'!$D:$AI,IF($J254=1,"ACTIVE     GHGE, FARM GATE (kg CO2e/kg)","GHGE, processor gate (kg CO2e/kg)"),INDIRECT($AB254)))</f>
        <v>0.86200931416440196</v>
      </c>
      <c r="AF254" s="212">
        <f t="shared" ca="1" si="33"/>
        <v>0.86200931416440196</v>
      </c>
    </row>
    <row r="255" spans="1:32" s="19" customFormat="1" thickBot="1" x14ac:dyDescent="0.25">
      <c r="A255" s="114">
        <v>2302153000</v>
      </c>
      <c r="B255" s="115" t="s">
        <v>1978</v>
      </c>
      <c r="C255" s="115" t="s">
        <v>1877</v>
      </c>
      <c r="D255" s="115"/>
      <c r="E255" s="115">
        <v>13</v>
      </c>
      <c r="F255" s="111">
        <f t="shared" ca="1" si="28"/>
        <v>3.4293669544807037</v>
      </c>
      <c r="G255" s="112">
        <f t="shared" ca="1" si="29"/>
        <v>0.53983433013340376</v>
      </c>
      <c r="H255" s="116">
        <v>1.01</v>
      </c>
      <c r="I255" s="116" t="s">
        <v>2724</v>
      </c>
      <c r="J255" s="79">
        <v>1</v>
      </c>
      <c r="K255" s="78" t="s">
        <v>3269</v>
      </c>
      <c r="L255" s="135" t="str">
        <f>IF(ISERROR(GETPIVOTDATA(IF($J255=1,"Count of ACTIVE     CED, FARM GATE (MJ/kg)","Count of CED, processor gate (MJ/kg)"),'Pivot Table_CED'!$A$3,"SUB TYPE",$B255)),"PROXY",IF(GETPIVOTDATA(IF($J255=1,"Count of ACTIVE     CED, FARM GATE (MJ/kg)","Count of CED, processor gate (MJ/kg)"),'Pivot Table_CED'!$A$3,"SUB TYPE",$B255)=0,"PROXY","DB value"))</f>
        <v>PROXY</v>
      </c>
      <c r="M255" s="118">
        <f ca="1">IF($L255="PROXY",DCOUNT('literature entries'!$D:$AI,IF($J255=1,"ACTIVE     CED, FARM GATE (MJ/kg)","CED, processor gate (MJ/kg)"),INDIRECT($K255)),GETPIVOTDATA(IF($J255=1,"Count of ACTIVE     CED, FARM GATE (MJ/kg)","Count of CED, processor gate (MJ/kg)"),'Pivot Table_CED'!$A$3,"SUB TYPE",$B255))</f>
        <v>9</v>
      </c>
      <c r="N255" s="119">
        <f ca="1">IF($L255="PROXY",DAVERAGE('literature entries'!$D:$AI,IF($J255=1,"ACTIVE     CED, FARM GATE (MJ/kg)","CED, processor gate (MJ/kg)"),INDIRECT($K255)),GETPIVOTDATA(IF($J255=1,"Average of ACTIVE     CED, FARM GATE (MJ/kg)","Average of CED, processor gate (MJ/kg)"),'Pivot Table_CED'!$A$3,"SUB TYPE",$B255))</f>
        <v>3.3954128262185184</v>
      </c>
      <c r="O255" s="119">
        <f ca="1">IF($L255="PROXY",DSTDEV('literature entries'!D:AI,IF($J255=1,"ACTIVE     CED, FARM GATE (MJ/kg)","CED, processor gate (MJ/kg)"),INDIRECT($K255)),GETPIVOTDATA(IF($J255=1,"StdDev of ACTIVE     CED, FARM GATE (MJ/kg)","StdDev of CED, processor gate (MJ/kg)"),'Pivot Table_CED'!$A$3,"SUB TYPE",$B255))</f>
        <v>2.1698076963305595</v>
      </c>
      <c r="P255" s="135" t="str">
        <f>IF(ISERROR(GETPIVOTDATA(IF($J255=1,"Count of ACTIVE     GHGE, FARM GATE (kg CO2e/kg)","Count of GHGE, processor gate (kg CO2e/kg)"),'Pivot Table_GHG'!$A$3,"SUB TYPE",$B255)),"PROXY",IF(GETPIVOTDATA(IF($J255=1,"Count of ACTIVE     GHGE, FARM GATE (kg CO2e/kg)","Count of GHGE, processor gate (kg CO2e/kg)"),'Pivot Table_GHG'!$A$3,"SUB TYPE",$B255)=0,"PROXY","DB value"))</f>
        <v>PROXY</v>
      </c>
      <c r="Q255" s="125">
        <f ca="1">IF($P255="PROXY",DCOUNT('literature entries'!$D:$AI,IF($J255=1,"ACTIVE     GHGE, FARM GATE (kg CO2e/kg)","GHGE, processor gate (kg CO2e/kg)"),INDIRECT($K255)),GETPIVOTDATA(IF($J255=1,"ACTIVE     GHGE, FARM GATE (kg CO2e/kg)","Count of GHGE, processor gate (kg CO2e/kg)"),'Pivot Table_GHG'!$A$3,"SUB TYPE",$B255))</f>
        <v>30</v>
      </c>
      <c r="R255" s="190">
        <f ca="1">IF($P255="PROXY",DAVERAGE('literature entries'!$D:$AI,IF($J255=1,"ACTIVE     GHGE, FARM GATE (kg CO2e/kg)","GHGE, processor gate (kg CO2e/kg)"),INDIRECT($K255)),GETPIVOTDATA(IF($J255=1,"Average of ACTIVE     GHGE, FARM GATE (kg CO2e/kg)","Average of GHGE, processor gate (kg CO2e/kg)"),'Pivot Table_GHG'!$A$3,"SUB TYPE",$B255))</f>
        <v>0.53448943577564734</v>
      </c>
      <c r="S255" s="190">
        <f ca="1">IF($P255="PROXY",DSTDEV('literature entries'!$D:$AI,IF($J255=1,"ACTIVE     GHGE, FARM GATE (kg CO2e/kg)","GHGE, processor gate (kg CO2e/kg)"),INDIRECT($K255)),GETPIVOTDATA(IF($J255=1,"StdDev of ACTIVE     GHGE, FARM GATE (kg CO2e/kg)","StdDev of GHGE, processor gate (kg CO2e/kg)"),'Pivot Table_GHG'!$A$3,"SUB TYPE",$B255))</f>
        <v>0.86200931416440196</v>
      </c>
      <c r="T255" s="88"/>
      <c r="U255" s="89"/>
      <c r="W255" s="213" t="str">
        <f ca="1">IF(L255="PROXY",IF(M255&gt;=5,K255,"need group"),IF(M255&gt;=5,"DIRECT","need group"))</f>
        <v>tropical_fruit</v>
      </c>
      <c r="X255" s="211">
        <f ca="1">IF($W255="DIRECT",M255,DCOUNT('literature entries'!$D:$AI,IF($J255=1,"ACTIVE     CED, FARM GATE (MJ/kg)","CED, processor gate (MJ/kg)"),INDIRECT($W255)))</f>
        <v>9</v>
      </c>
      <c r="Y255" s="211">
        <f ca="1">IF($W255="DIRECT","",DAVERAGE('literature entries'!$D:$AI,IF($J255=1,"ACTIVE     CED, FARM GATE (MJ/kg)","CED, processor gate (MJ/kg)"),INDIRECT($W255)))</f>
        <v>3.3954128262185184</v>
      </c>
      <c r="Z255" s="211">
        <f ca="1">IF($W255="DIRECT",$O255,DSTDEV('literature entries'!$D:$AI,IF($J255=1,"ACTIVE     CED, FARM GATE (MJ/kg)","CED, processor gate (MJ/kg)"),INDIRECT($W255)))</f>
        <v>2.1698076963305595</v>
      </c>
      <c r="AA255" s="211">
        <f t="shared" ca="1" si="32"/>
        <v>2.1698076963305595</v>
      </c>
      <c r="AB255" s="219" t="str">
        <f ca="1">IF(P255="PROXY",IF(Q255&gt;=5,K255,"need group"),IF(Q255&gt;=5,"DIRECT","need group"))</f>
        <v>tropical_fruit</v>
      </c>
      <c r="AC255" s="212">
        <f ca="1">IF($AB255="DIRECT",Q255,DCOUNT('literature entries'!$D:$AI,IF($J255=1,"ACTIVE     GHGE, FARM GATE (kg CO2e/kg)","GHGE, processor gate (kg CO2e/kg)"),INDIRECT($AB255)))</f>
        <v>30</v>
      </c>
      <c r="AD255" s="212">
        <f ca="1">IF($AB255="DIRECT","",DAVERAGE('literature entries'!$D:$AI,IF($J255=1,"ACTIVE     GHGE, FARM GATE (kg CO2e/kg)","GHGE, processor gate (kg CO2e/kg)"),INDIRECT($AB255)))</f>
        <v>0.53448943577564734</v>
      </c>
      <c r="AE255" s="212">
        <f ca="1">IF($AB255="DIRECT",$S255,DSTDEV('literature entries'!$D:$AI,IF($J255=1,"ACTIVE     GHGE, FARM GATE (kg CO2e/kg)","GHGE, processor gate (kg CO2e/kg)"),INDIRECT($AB255)))</f>
        <v>0.86200931416440196</v>
      </c>
      <c r="AF255" s="212">
        <f t="shared" ca="1" si="33"/>
        <v>0.86200931416440196</v>
      </c>
    </row>
    <row r="256" spans="1:32" s="19" customFormat="1" thickBot="1" x14ac:dyDescent="0.25">
      <c r="A256" s="114">
        <v>2302154000</v>
      </c>
      <c r="B256" s="115" t="s">
        <v>1979</v>
      </c>
      <c r="C256" s="115" t="s">
        <v>1980</v>
      </c>
      <c r="D256" s="115"/>
      <c r="E256" s="115">
        <v>280</v>
      </c>
      <c r="F256" s="111">
        <f t="shared" ca="1" si="28"/>
        <v>11.476495352618592</v>
      </c>
      <c r="G256" s="112">
        <f t="shared" ca="1" si="29"/>
        <v>1.8065742929216879</v>
      </c>
      <c r="H256" s="116">
        <v>3.38</v>
      </c>
      <c r="I256" s="116" t="s">
        <v>2724</v>
      </c>
      <c r="J256" s="79">
        <v>1</v>
      </c>
      <c r="K256" s="78" t="s">
        <v>3269</v>
      </c>
      <c r="L256" s="135" t="str">
        <f>IF(ISERROR(GETPIVOTDATA(IF($J256=1,"Count of ACTIVE     CED, FARM GATE (MJ/kg)","Count of CED, processor gate (MJ/kg)"),'Pivot Table_CED'!$A$3,"SUB TYPE",$B256)),"PROXY",IF(GETPIVOTDATA(IF($J256=1,"Count of ACTIVE     CED, FARM GATE (MJ/kg)","Count of CED, processor gate (MJ/kg)"),'Pivot Table_CED'!$A$3,"SUB TYPE",$B256)=0,"PROXY","DB value"))</f>
        <v>PROXY</v>
      </c>
      <c r="M256" s="118">
        <f ca="1">IF($L256="PROXY",DCOUNT('literature entries'!$D:$AI,IF($J256=1,"ACTIVE     CED, FARM GATE (MJ/kg)","CED, processor gate (MJ/kg)"),INDIRECT($K256)),GETPIVOTDATA(IF($J256=1,"Count of ACTIVE     CED, FARM GATE (MJ/kg)","Count of CED, processor gate (MJ/kg)"),'Pivot Table_CED'!$A$3,"SUB TYPE",$B256))</f>
        <v>9</v>
      </c>
      <c r="N256" s="119">
        <f ca="1">IF($L256="PROXY",DAVERAGE('literature entries'!$D:$AI,IF($J256=1,"ACTIVE     CED, FARM GATE (MJ/kg)","CED, processor gate (MJ/kg)"),INDIRECT($K256)),GETPIVOTDATA(IF($J256=1,"Average of ACTIVE     CED, FARM GATE (MJ/kg)","Average of CED, processor gate (MJ/kg)"),'Pivot Table_CED'!$A$3,"SUB TYPE",$B256))</f>
        <v>3.3954128262185184</v>
      </c>
      <c r="O256" s="119">
        <f ca="1">IF($L256="PROXY",DSTDEV('literature entries'!D:AI,IF($J256=1,"ACTIVE     CED, FARM GATE (MJ/kg)","CED, processor gate (MJ/kg)"),INDIRECT($K256)),GETPIVOTDATA(IF($J256=1,"StdDev of ACTIVE     CED, FARM GATE (MJ/kg)","StdDev of CED, processor gate (MJ/kg)"),'Pivot Table_CED'!$A$3,"SUB TYPE",$B256))</f>
        <v>2.1698076963305595</v>
      </c>
      <c r="P256" s="135" t="str">
        <f>IF(ISERROR(GETPIVOTDATA(IF($J256=1,"Count of ACTIVE     GHGE, FARM GATE (kg CO2e/kg)","Count of GHGE, processor gate (kg CO2e/kg)"),'Pivot Table_GHG'!$A$3,"SUB TYPE",$B256)),"PROXY",IF(GETPIVOTDATA(IF($J256=1,"Count of ACTIVE     GHGE, FARM GATE (kg CO2e/kg)","Count of GHGE, processor gate (kg CO2e/kg)"),'Pivot Table_GHG'!$A$3,"SUB TYPE",$B256)=0,"PROXY","DB value"))</f>
        <v>PROXY</v>
      </c>
      <c r="Q256" s="125">
        <f ca="1">IF($P256="PROXY",DCOUNT('literature entries'!$D:$AI,IF($J256=1,"ACTIVE     GHGE, FARM GATE (kg CO2e/kg)","GHGE, processor gate (kg CO2e/kg)"),INDIRECT($K256)),GETPIVOTDATA(IF($J256=1,"ACTIVE     GHGE, FARM GATE (kg CO2e/kg)","Count of GHGE, processor gate (kg CO2e/kg)"),'Pivot Table_GHG'!$A$3,"SUB TYPE",$B256))</f>
        <v>30</v>
      </c>
      <c r="R256" s="190">
        <f ca="1">IF($P256="PROXY",DAVERAGE('literature entries'!$D:$AI,IF($J256=1,"ACTIVE     GHGE, FARM GATE (kg CO2e/kg)","GHGE, processor gate (kg CO2e/kg)"),INDIRECT($K256)),GETPIVOTDATA(IF($J256=1,"Average of ACTIVE     GHGE, FARM GATE (kg CO2e/kg)","Average of GHGE, processor gate (kg CO2e/kg)"),'Pivot Table_GHG'!$A$3,"SUB TYPE",$B256))</f>
        <v>0.53448943577564734</v>
      </c>
      <c r="S256" s="190">
        <f ca="1">IF($P256="PROXY",DSTDEV('literature entries'!$D:$AI,IF($J256=1,"ACTIVE     GHGE, FARM GATE (kg CO2e/kg)","GHGE, processor gate (kg CO2e/kg)"),INDIRECT($K256)),GETPIVOTDATA(IF($J256=1,"StdDev of ACTIVE     GHGE, FARM GATE (kg CO2e/kg)","StdDev of GHGE, processor gate (kg CO2e/kg)"),'Pivot Table_GHG'!$A$3,"SUB TYPE",$B256))</f>
        <v>0.86200931416440196</v>
      </c>
      <c r="T256" s="88"/>
      <c r="U256" s="89"/>
      <c r="W256" s="213" t="str">
        <f ca="1">IF(L256="PROXY",IF(M256&gt;=5,K256,"need group"),IF(M256&gt;=5,"DIRECT","need group"))</f>
        <v>tropical_fruit</v>
      </c>
      <c r="X256" s="211">
        <f ca="1">IF($W256="DIRECT",M256,DCOUNT('literature entries'!$D:$AI,IF($J256=1,"ACTIVE     CED, FARM GATE (MJ/kg)","CED, processor gate (MJ/kg)"),INDIRECT($W256)))</f>
        <v>9</v>
      </c>
      <c r="Y256" s="211">
        <f ca="1">IF($W256="DIRECT","",DAVERAGE('literature entries'!$D:$AI,IF($J256=1,"ACTIVE     CED, FARM GATE (MJ/kg)","CED, processor gate (MJ/kg)"),INDIRECT($W256)))</f>
        <v>3.3954128262185184</v>
      </c>
      <c r="Z256" s="211">
        <f ca="1">IF($W256="DIRECT",$O256,DSTDEV('literature entries'!$D:$AI,IF($J256=1,"ACTIVE     CED, FARM GATE (MJ/kg)","CED, processor gate (MJ/kg)"),INDIRECT($W256)))</f>
        <v>2.1698076963305595</v>
      </c>
      <c r="AA256" s="211">
        <f t="shared" ca="1" si="32"/>
        <v>2.1698076963305595</v>
      </c>
      <c r="AB256" s="219" t="str">
        <f ca="1">IF(P256="PROXY",IF(Q256&gt;=5,K256,"need group"),IF(Q256&gt;=5,"DIRECT","need group"))</f>
        <v>tropical_fruit</v>
      </c>
      <c r="AC256" s="212">
        <f ca="1">IF($AB256="DIRECT",Q256,DCOUNT('literature entries'!$D:$AI,IF($J256=1,"ACTIVE     GHGE, FARM GATE (kg CO2e/kg)","GHGE, processor gate (kg CO2e/kg)"),INDIRECT($AB256)))</f>
        <v>30</v>
      </c>
      <c r="AD256" s="212">
        <f ca="1">IF($AB256="DIRECT","",DAVERAGE('literature entries'!$D:$AI,IF($J256=1,"ACTIVE     GHGE, FARM GATE (kg CO2e/kg)","GHGE, processor gate (kg CO2e/kg)"),INDIRECT($AB256)))</f>
        <v>0.53448943577564734</v>
      </c>
      <c r="AE256" s="212">
        <f ca="1">IF($AB256="DIRECT",$S256,DSTDEV('literature entries'!$D:$AI,IF($J256=1,"ACTIVE     GHGE, FARM GATE (kg CO2e/kg)","GHGE, processor gate (kg CO2e/kg)"),INDIRECT($AB256)))</f>
        <v>0.86200931416440196</v>
      </c>
      <c r="AF256" s="212">
        <f t="shared" ca="1" si="33"/>
        <v>0.86200931416440196</v>
      </c>
    </row>
    <row r="257" spans="1:32" s="19" customFormat="1" thickBot="1" x14ac:dyDescent="0.25">
      <c r="A257" s="114">
        <v>2302183000</v>
      </c>
      <c r="B257" s="115" t="s">
        <v>2028</v>
      </c>
      <c r="C257" s="115" t="s">
        <v>1770</v>
      </c>
      <c r="D257" s="115"/>
      <c r="E257" s="115">
        <v>223</v>
      </c>
      <c r="F257" s="111">
        <f t="shared" ca="1" si="28"/>
        <v>4.3461284175597035</v>
      </c>
      <c r="G257" s="112">
        <f t="shared" ca="1" si="29"/>
        <v>2.2784</v>
      </c>
      <c r="H257" s="116">
        <v>1.28</v>
      </c>
      <c r="I257" s="116" t="s">
        <v>2724</v>
      </c>
      <c r="J257" s="79">
        <v>1</v>
      </c>
      <c r="K257" s="78" t="s">
        <v>3269</v>
      </c>
      <c r="L257" s="135" t="str">
        <f>IF(ISERROR(GETPIVOTDATA(IF($J257=1,"Count of ACTIVE     CED, FARM GATE (MJ/kg)","Count of CED, processor gate (MJ/kg)"),'Pivot Table_CED'!$A$3,"SUB TYPE",$B257)),"PROXY",IF(GETPIVOTDATA(IF($J257=1,"Count of ACTIVE     CED, FARM GATE (MJ/kg)","Count of CED, processor gate (MJ/kg)"),'Pivot Table_CED'!$A$3,"SUB TYPE",$B257)=0,"PROXY","DB value"))</f>
        <v>PROXY</v>
      </c>
      <c r="M257" s="118">
        <f ca="1">IF($L257="PROXY",DCOUNT('literature entries'!$D:$AI,IF($J257=1,"ACTIVE     CED, FARM GATE (MJ/kg)","CED, processor gate (MJ/kg)"),INDIRECT($K257)),GETPIVOTDATA(IF($J257=1,"Count of ACTIVE     CED, FARM GATE (MJ/kg)","Count of CED, processor gate (MJ/kg)"),'Pivot Table_CED'!$A$3,"SUB TYPE",$B257))</f>
        <v>9</v>
      </c>
      <c r="N257" s="119">
        <f ca="1">IF($L257="PROXY",DAVERAGE('literature entries'!$D:$AI,IF($J257=1,"ACTIVE     CED, FARM GATE (MJ/kg)","CED, processor gate (MJ/kg)"),INDIRECT($K257)),GETPIVOTDATA(IF($J257=1,"Average of ACTIVE     CED, FARM GATE (MJ/kg)","Average of CED, processor gate (MJ/kg)"),'Pivot Table_CED'!$A$3,"SUB TYPE",$B257))</f>
        <v>3.3954128262185184</v>
      </c>
      <c r="O257" s="119">
        <f ca="1">IF($L257="PROXY",DSTDEV('literature entries'!D:AI,IF($J257=1,"ACTIVE     CED, FARM GATE (MJ/kg)","CED, processor gate (MJ/kg)"),INDIRECT($K257)),GETPIVOTDATA(IF($J257=1,"StdDev of ACTIVE     CED, FARM GATE (MJ/kg)","StdDev of CED, processor gate (MJ/kg)"),'Pivot Table_CED'!$A$3,"SUB TYPE",$B257))</f>
        <v>2.1698076963305595</v>
      </c>
      <c r="P257" s="135" t="str">
        <f>IF(ISERROR(GETPIVOTDATA(IF($J257=1,"Count of ACTIVE     GHGE, FARM GATE (kg CO2e/kg)","Count of GHGE, processor gate (kg CO2e/kg)"),'Pivot Table_GHG'!$A$3,"SUB TYPE",$B257)),"PROXY",IF(GETPIVOTDATA(IF($J257=1,"Count of ACTIVE     GHGE, FARM GATE (kg CO2e/kg)","Count of GHGE, processor gate (kg CO2e/kg)"),'Pivot Table_GHG'!$A$3,"SUB TYPE",$B257)=0,"PROXY","DB value"))</f>
        <v>DB value</v>
      </c>
      <c r="Q257" s="125">
        <f ca="1">IF($P257="PROXY",DCOUNT('literature entries'!$D:$AI,IF($J257=1,"ACTIVE     GHGE, FARM GATE (kg CO2e/kg)","GHGE, processor gate (kg CO2e/kg)"),INDIRECT($K257)),GETPIVOTDATA(IF($J257=1,"ACTIVE     GHGE, FARM GATE (kg CO2e/kg)","Count of GHGE, processor gate (kg CO2e/kg)"),'Pivot Table_GHG'!$A$3,"SUB TYPE",$B257))</f>
        <v>1</v>
      </c>
      <c r="R257" s="190">
        <f ca="1">IF($P257="PROXY",DAVERAGE('literature entries'!$D:$AI,IF($J257=1,"ACTIVE     GHGE, FARM GATE (kg CO2e/kg)","GHGE, processor gate (kg CO2e/kg)"),INDIRECT($K257)),GETPIVOTDATA(IF($J257=1,"Average of ACTIVE     GHGE, FARM GATE (kg CO2e/kg)","Average of GHGE, processor gate (kg CO2e/kg)"),'Pivot Table_GHG'!$A$3,"SUB TYPE",$B257))</f>
        <v>1.78</v>
      </c>
      <c r="S257" s="190" t="e">
        <f ca="1">IF($P257="PROXY",DSTDEV('literature entries'!$D:$AI,IF($J257=1,"ACTIVE     GHGE, FARM GATE (kg CO2e/kg)","GHGE, processor gate (kg CO2e/kg)"),INDIRECT($K257)),GETPIVOTDATA(IF($J257=1,"StdDev of ACTIVE     GHGE, FARM GATE (kg CO2e/kg)","StdDev of GHGE, processor gate (kg CO2e/kg)"),'Pivot Table_GHG'!$A$3,"SUB TYPE",$B257))</f>
        <v>#DIV/0!</v>
      </c>
      <c r="T257" s="88"/>
      <c r="U257" s="89"/>
      <c r="W257" s="213" t="str">
        <f ca="1">IF(L257="PROXY",IF(M257&gt;=5,K257,"need group"),IF(M257&gt;=5,"DIRECT","need group"))</f>
        <v>tropical_fruit</v>
      </c>
      <c r="X257" s="211">
        <f ca="1">IF($W257="DIRECT",M257,DCOUNT('literature entries'!$D:$AI,IF($J257=1,"ACTIVE     CED, FARM GATE (MJ/kg)","CED, processor gate (MJ/kg)"),INDIRECT($W257)))</f>
        <v>9</v>
      </c>
      <c r="Y257" s="211">
        <f ca="1">IF($W257="DIRECT","",DAVERAGE('literature entries'!$D:$AI,IF($J257=1,"ACTIVE     CED, FARM GATE (MJ/kg)","CED, processor gate (MJ/kg)"),INDIRECT($W257)))</f>
        <v>3.3954128262185184</v>
      </c>
      <c r="Z257" s="211">
        <f ca="1">IF($W257="DIRECT",$O257,DSTDEV('literature entries'!$D:$AI,IF($J257=1,"ACTIVE     CED, FARM GATE (MJ/kg)","CED, processor gate (MJ/kg)"),INDIRECT($W257)))</f>
        <v>2.1698076963305595</v>
      </c>
      <c r="AA257" s="211">
        <f t="shared" ca="1" si="32"/>
        <v>2.1698076963305595</v>
      </c>
      <c r="AB257" s="219" t="s">
        <v>3269</v>
      </c>
      <c r="AC257" s="212">
        <f ca="1">IF($AB257="DIRECT",Q257,DCOUNT('literature entries'!$D:$AI,IF($J257=1,"ACTIVE     GHGE, FARM GATE (kg CO2e/kg)","GHGE, processor gate (kg CO2e/kg)"),INDIRECT($AB257)))</f>
        <v>30</v>
      </c>
      <c r="AD257" s="212">
        <f ca="1">IF($AB257="DIRECT","",DAVERAGE('literature entries'!$D:$AI,IF($J257=1,"ACTIVE     GHGE, FARM GATE (kg CO2e/kg)","GHGE, processor gate (kg CO2e/kg)"),INDIRECT($AB257)))</f>
        <v>0.53448943577564734</v>
      </c>
      <c r="AE257" s="212">
        <f ca="1">IF($AB257="DIRECT",$S257,DSTDEV('literature entries'!$D:$AI,IF($J257=1,"ACTIVE     GHGE, FARM GATE (kg CO2e/kg)","GHGE, processor gate (kg CO2e/kg)"),INDIRECT($AB257)))</f>
        <v>0.86200931416440196</v>
      </c>
      <c r="AF257" s="212">
        <f t="shared" ca="1" si="33"/>
        <v>2.8707332203600227</v>
      </c>
    </row>
    <row r="258" spans="1:32" s="19" customFormat="1" ht="17" thickBot="1" x14ac:dyDescent="0.25">
      <c r="A258" s="114">
        <v>2302368000</v>
      </c>
      <c r="B258" s="115" t="s">
        <v>2296</v>
      </c>
      <c r="C258" s="115" t="s">
        <v>2297</v>
      </c>
      <c r="D258" s="115"/>
      <c r="E258" s="115">
        <v>3116</v>
      </c>
      <c r="F258" s="111">
        <f t="shared" ca="1" si="28"/>
        <v>9.9825137090824434</v>
      </c>
      <c r="G258" s="112">
        <f t="shared" ca="1" si="29"/>
        <v>1.5713989411804032</v>
      </c>
      <c r="H258" s="116">
        <v>2.94</v>
      </c>
      <c r="I258" s="117" t="s">
        <v>2724</v>
      </c>
      <c r="J258" s="79">
        <v>1</v>
      </c>
      <c r="K258" s="78" t="s">
        <v>3269</v>
      </c>
      <c r="L258" s="135" t="str">
        <f>IF(ISERROR(GETPIVOTDATA(IF($J258=1,"Count of ACTIVE     CED, FARM GATE (MJ/kg)","Count of CED, processor gate (MJ/kg)"),'Pivot Table_CED'!$A$3,"SUB TYPE",$B258)),"PROXY",IF(GETPIVOTDATA(IF($J258=1,"Count of ACTIVE     CED, FARM GATE (MJ/kg)","Count of CED, processor gate (MJ/kg)"),'Pivot Table_CED'!$A$3,"SUB TYPE",$B258)=0,"PROXY","DB value"))</f>
        <v>PROXY</v>
      </c>
      <c r="M258" s="118">
        <f ca="1">IF($L258="PROXY",DCOUNT('literature entries'!$D:$AI,IF($J258=1,"ACTIVE     CED, FARM GATE (MJ/kg)","CED, processor gate (MJ/kg)"),INDIRECT($K258)),GETPIVOTDATA(IF($J258=1,"Count of ACTIVE     CED, FARM GATE (MJ/kg)","Count of CED, processor gate (MJ/kg)"),'Pivot Table_CED'!$A$3,"SUB TYPE",$B258))</f>
        <v>9</v>
      </c>
      <c r="N258" s="119">
        <f ca="1">IF($L258="PROXY",DAVERAGE('literature entries'!$D:$AI,IF($J258=1,"ACTIVE     CED, FARM GATE (MJ/kg)","CED, processor gate (MJ/kg)"),INDIRECT($K258)),GETPIVOTDATA(IF($J258=1,"Average of ACTIVE     CED, FARM GATE (MJ/kg)","Average of CED, processor gate (MJ/kg)"),'Pivot Table_CED'!$A$3,"SUB TYPE",$B258))</f>
        <v>3.3954128262185184</v>
      </c>
      <c r="O258" s="119">
        <f ca="1">IF($L258="PROXY",DSTDEV('literature entries'!D:AI,IF($J258=1,"ACTIVE     CED, FARM GATE (MJ/kg)","CED, processor gate (MJ/kg)"),INDIRECT($K258)),GETPIVOTDATA(IF($J258=1,"StdDev of ACTIVE     CED, FARM GATE (MJ/kg)","StdDev of CED, processor gate (MJ/kg)"),'Pivot Table_CED'!$A$3,"SUB TYPE",$B258))</f>
        <v>2.1698076963305595</v>
      </c>
      <c r="P258" s="135" t="str">
        <f>IF(ISERROR(GETPIVOTDATA(IF($J258=1,"Count of ACTIVE     GHGE, FARM GATE (kg CO2e/kg)","Count of GHGE, processor gate (kg CO2e/kg)"),'Pivot Table_GHG'!$A$3,"SUB TYPE",$B258)),"PROXY",IF(GETPIVOTDATA(IF($J258=1,"Count of ACTIVE     GHGE, FARM GATE (kg CO2e/kg)","Count of GHGE, processor gate (kg CO2e/kg)"),'Pivot Table_GHG'!$A$3,"SUB TYPE",$B258)=0,"PROXY","DB value"))</f>
        <v>PROXY</v>
      </c>
      <c r="Q258" s="125">
        <f ca="1">IF($P258="PROXY",DCOUNT('literature entries'!$D:$AI,IF($J258=1,"ACTIVE     GHGE, FARM GATE (kg CO2e/kg)","GHGE, processor gate (kg CO2e/kg)"),INDIRECT($K258)),GETPIVOTDATA(IF($J258=1,"ACTIVE     GHGE, FARM GATE (kg CO2e/kg)","Count of GHGE, processor gate (kg CO2e/kg)"),'Pivot Table_GHG'!$A$3,"SUB TYPE",$B258))</f>
        <v>30</v>
      </c>
      <c r="R258" s="190">
        <f ca="1">IF($P258="PROXY",DAVERAGE('literature entries'!$D:$AI,IF($J258=1,"ACTIVE     GHGE, FARM GATE (kg CO2e/kg)","GHGE, processor gate (kg CO2e/kg)"),INDIRECT($K258)),GETPIVOTDATA(IF($J258=1,"Average of ACTIVE     GHGE, FARM GATE (kg CO2e/kg)","Average of GHGE, processor gate (kg CO2e/kg)"),'Pivot Table_GHG'!$A$3,"SUB TYPE",$B258))</f>
        <v>0.53448943577564734</v>
      </c>
      <c r="S258" s="190">
        <f ca="1">IF($P258="PROXY",DSTDEV('literature entries'!$D:$AI,IF($J258=1,"ACTIVE     GHGE, FARM GATE (kg CO2e/kg)","GHGE, processor gate (kg CO2e/kg)"),INDIRECT($K258)),GETPIVOTDATA(IF($J258=1,"StdDev of ACTIVE     GHGE, FARM GATE (kg CO2e/kg)","StdDev of GHGE, processor gate (kg CO2e/kg)"),'Pivot Table_GHG'!$A$3,"SUB TYPE",$B258))</f>
        <v>0.86200931416440196</v>
      </c>
      <c r="T258" s="88"/>
      <c r="U258" s="89"/>
      <c r="W258" s="213" t="str">
        <f ca="1">IF(L258="PROXY",IF(M258&gt;=5,K258,"need group"),IF(M258&gt;=5,"DIRECT","need group"))</f>
        <v>tropical_fruit</v>
      </c>
      <c r="X258" s="211">
        <f ca="1">IF($W258="DIRECT",M258,DCOUNT('literature entries'!$D:$AI,IF($J258=1,"ACTIVE     CED, FARM GATE (MJ/kg)","CED, processor gate (MJ/kg)"),INDIRECT($W258)))</f>
        <v>9</v>
      </c>
      <c r="Y258" s="211">
        <f ca="1">IF($W258="DIRECT","",DAVERAGE('literature entries'!$D:$AI,IF($J258=1,"ACTIVE     CED, FARM GATE (MJ/kg)","CED, processor gate (MJ/kg)"),INDIRECT($W258)))</f>
        <v>3.3954128262185184</v>
      </c>
      <c r="Z258" s="211">
        <f ca="1">IF($W258="DIRECT",$O258,DSTDEV('literature entries'!$D:$AI,IF($J258=1,"ACTIVE     CED, FARM GATE (MJ/kg)","CED, processor gate (MJ/kg)"),INDIRECT($W258)))</f>
        <v>2.1698076963305595</v>
      </c>
      <c r="AA258" s="211">
        <f t="shared" ca="1" si="32"/>
        <v>2.1698076963305595</v>
      </c>
      <c r="AB258" s="219" t="str">
        <f ca="1">IF(P258="PROXY",IF(Q258&gt;=5,K258,"need group"),IF(Q258&gt;=5,"DIRECT","need group"))</f>
        <v>tropical_fruit</v>
      </c>
      <c r="AC258" s="212">
        <f ca="1">IF($AB258="DIRECT",Q258,DCOUNT('literature entries'!$D:$AI,IF($J258=1,"ACTIVE     GHGE, FARM GATE (kg CO2e/kg)","GHGE, processor gate (kg CO2e/kg)"),INDIRECT($AB258)))</f>
        <v>30</v>
      </c>
      <c r="AD258" s="212">
        <f ca="1">IF($AB258="DIRECT","",DAVERAGE('literature entries'!$D:$AI,IF($J258=1,"ACTIVE     GHGE, FARM GATE (kg CO2e/kg)","GHGE, processor gate (kg CO2e/kg)"),INDIRECT($AB258)))</f>
        <v>0.53448943577564734</v>
      </c>
      <c r="AE258" s="212">
        <f ca="1">IF($AB258="DIRECT",$S258,DSTDEV('literature entries'!$D:$AI,IF($J258=1,"ACTIVE     GHGE, FARM GATE (kg CO2e/kg)","GHGE, processor gate (kg CO2e/kg)"),INDIRECT($AB258)))</f>
        <v>0.86200931416440196</v>
      </c>
      <c r="AF258" s="212">
        <f t="shared" ca="1" si="33"/>
        <v>0.86200931416440196</v>
      </c>
    </row>
    <row r="259" spans="1:32" s="19" customFormat="1" thickBot="1" x14ac:dyDescent="0.25">
      <c r="A259" s="114">
        <v>2303141000</v>
      </c>
      <c r="B259" s="115" t="s">
        <v>1962</v>
      </c>
      <c r="C259" s="115" t="s">
        <v>1963</v>
      </c>
      <c r="D259" s="115"/>
      <c r="E259" s="115">
        <v>266</v>
      </c>
      <c r="F259" s="111">
        <f t="shared" ca="1" si="28"/>
        <v>21.074524934999999</v>
      </c>
      <c r="G259" s="112">
        <f t="shared" ca="1" si="29"/>
        <v>2.0243347500000004</v>
      </c>
      <c r="H259" s="116">
        <v>1.1100000000000001</v>
      </c>
      <c r="I259" s="116" t="s">
        <v>2724</v>
      </c>
      <c r="J259" s="79">
        <v>1</v>
      </c>
      <c r="K259" s="78"/>
      <c r="L259" s="135" t="str">
        <f>IF(ISERROR(GETPIVOTDATA(IF($J259=1,"Count of ACTIVE     CED, FARM GATE (MJ/kg)","Count of CED, processor gate (MJ/kg)"),'Pivot Table_CED'!$A$3,"SUB TYPE",$B259)),"PROXY",IF(GETPIVOTDATA(IF($J259=1,"Count of ACTIVE     CED, FARM GATE (MJ/kg)","Count of CED, processor gate (MJ/kg)"),'Pivot Table_CED'!$A$3,"SUB TYPE",$B259)=0,"PROXY","DB value"))</f>
        <v>DB value</v>
      </c>
      <c r="M259" s="118">
        <f ca="1">IF($L259="PROXY",DCOUNT('literature entries'!$D:$AI,IF($J259=1,"ACTIVE     CED, FARM GATE (MJ/kg)","CED, processor gate (MJ/kg)"),INDIRECT($K259)),GETPIVOTDATA(IF($J259=1,"Count of ACTIVE     CED, FARM GATE (MJ/kg)","Count of CED, processor gate (MJ/kg)"),'Pivot Table_CED'!$A$3,"SUB TYPE",$B259))</f>
        <v>2</v>
      </c>
      <c r="N259" s="119">
        <f ca="1">IF($L259="PROXY",DAVERAGE('literature entries'!$D:$AI,IF($J259=1,"ACTIVE     CED, FARM GATE (MJ/kg)","CED, processor gate (MJ/kg)"),INDIRECT($K259)),GETPIVOTDATA(IF($J259=1,"Average of ACTIVE     CED, FARM GATE (MJ/kg)","Average of CED, processor gate (MJ/kg)"),'Pivot Table_CED'!$A$3,"SUB TYPE",$B259))</f>
        <v>18.986058499999999</v>
      </c>
      <c r="O259" s="119">
        <f ca="1">IF($L259="PROXY",DSTDEV('literature entries'!D:AI,IF($J259=1,"ACTIVE     CED, FARM GATE (MJ/kg)","CED, processor gate (MJ/kg)"),INDIRECT($K259)),GETPIVOTDATA(IF($J259=1,"StdDev of ACTIVE     CED, FARM GATE (MJ/kg)","StdDev of CED, processor gate (MJ/kg)"),'Pivot Table_CED'!$A$3,"SUB TYPE",$B259))</f>
        <v>1.1712396515422097</v>
      </c>
      <c r="P259" s="135" t="str">
        <f>IF(ISERROR(GETPIVOTDATA(IF($J259=1,"Count of ACTIVE     GHGE, FARM GATE (kg CO2e/kg)","Count of GHGE, processor gate (kg CO2e/kg)"),'Pivot Table_GHG'!$A$3,"SUB TYPE",$B259)),"PROXY",IF(GETPIVOTDATA(IF($J259=1,"Count of ACTIVE     GHGE, FARM GATE (kg CO2e/kg)","Count of GHGE, processor gate (kg CO2e/kg)"),'Pivot Table_GHG'!$A$3,"SUB TYPE",$B259)=0,"PROXY","DB value"))</f>
        <v>DB value</v>
      </c>
      <c r="Q259" s="125">
        <f ca="1">IF($P259="PROXY",DCOUNT('literature entries'!$D:$AI,IF($J259=1,"ACTIVE     GHGE, FARM GATE (kg CO2e/kg)","GHGE, processor gate (kg CO2e/kg)"),INDIRECT($K259)),GETPIVOTDATA(IF($J259=1,"ACTIVE     GHGE, FARM GATE (kg CO2e/kg)","Count of GHGE, processor gate (kg CO2e/kg)"),'Pivot Table_GHG'!$A$3,"SUB TYPE",$B259))</f>
        <v>4</v>
      </c>
      <c r="R259" s="190">
        <f ca="1">IF($P259="PROXY",DAVERAGE('literature entries'!$D:$AI,IF($J259=1,"ACTIVE     GHGE, FARM GATE (kg CO2e/kg)","GHGE, processor gate (kg CO2e/kg)"),INDIRECT($K259)),GETPIVOTDATA(IF($J259=1,"Average of ACTIVE     GHGE, FARM GATE (kg CO2e/kg)","Average of GHGE, processor gate (kg CO2e/kg)"),'Pivot Table_GHG'!$A$3,"SUB TYPE",$B259))</f>
        <v>1.823725</v>
      </c>
      <c r="S259" s="190">
        <f ca="1">IF($P259="PROXY",DSTDEV('literature entries'!$D:$AI,IF($J259=1,"ACTIVE     GHGE, FARM GATE (kg CO2e/kg)","GHGE, processor gate (kg CO2e/kg)"),INDIRECT($K259)),GETPIVOTDATA(IF($J259=1,"StdDev of ACTIVE     GHGE, FARM GATE (kg CO2e/kg)","StdDev of GHGE, processor gate (kg CO2e/kg)"),'Pivot Table_GHG'!$A$3,"SUB TYPE",$B259))</f>
        <v>1.494417160356059</v>
      </c>
      <c r="T259" s="88"/>
      <c r="U259" s="89"/>
      <c r="W259" s="213" t="s">
        <v>3269</v>
      </c>
      <c r="X259" s="211">
        <f ca="1">IF($W259="DIRECT",M259,DCOUNT('literature entries'!$D:$AI,IF($J259=1,"ACTIVE     CED, FARM GATE (MJ/kg)","CED, processor gate (MJ/kg)"),INDIRECT($W259)))</f>
        <v>9</v>
      </c>
      <c r="Y259" s="211">
        <f ca="1">IF($W259="DIRECT","",DAVERAGE('literature entries'!$D:$AI,IF($J259=1,"ACTIVE     CED, FARM GATE (MJ/kg)","CED, processor gate (MJ/kg)"),INDIRECT($W259)))</f>
        <v>3.3954128262185184</v>
      </c>
      <c r="Z259" s="211">
        <f ca="1">IF($W259="DIRECT",$O259,DSTDEV('literature entries'!$D:$AI,IF($J259=1,"ACTIVE     CED, FARM GATE (MJ/kg)","CED, processor gate (MJ/kg)"),INDIRECT($W259)))</f>
        <v>2.1698076963305595</v>
      </c>
      <c r="AA259" s="211">
        <f t="shared" ca="1" si="32"/>
        <v>12.132868067816794</v>
      </c>
      <c r="AB259" s="219" t="s">
        <v>3269</v>
      </c>
      <c r="AC259" s="212">
        <f ca="1">IF($AB259="DIRECT",Q259,DCOUNT('literature entries'!$D:$AI,IF($J259=1,"ACTIVE     GHGE, FARM GATE (kg CO2e/kg)","GHGE, processor gate (kg CO2e/kg)"),INDIRECT($AB259)))</f>
        <v>30</v>
      </c>
      <c r="AD259" s="212">
        <f ca="1">IF($AB259="DIRECT","",DAVERAGE('literature entries'!$D:$AI,IF($J259=1,"ACTIVE     GHGE, FARM GATE (kg CO2e/kg)","GHGE, processor gate (kg CO2e/kg)"),INDIRECT($AB259)))</f>
        <v>0.53448943577564734</v>
      </c>
      <c r="AE259" s="212">
        <f ca="1">IF($AB259="DIRECT",$S259,DSTDEV('literature entries'!$D:$AI,IF($J259=1,"ACTIVE     GHGE, FARM GATE (kg CO2e/kg)","GHGE, processor gate (kg CO2e/kg)"),INDIRECT($AB259)))</f>
        <v>0.86200931416440196</v>
      </c>
      <c r="AF259" s="212">
        <f t="shared" ca="1" si="33"/>
        <v>2.9412516529781363</v>
      </c>
    </row>
    <row r="260" spans="1:32" s="19" customFormat="1" thickBot="1" x14ac:dyDescent="0.25">
      <c r="A260" s="114">
        <v>2401211000</v>
      </c>
      <c r="B260" s="115" t="s">
        <v>2063</v>
      </c>
      <c r="C260" s="115" t="s">
        <v>1842</v>
      </c>
      <c r="D260" s="115"/>
      <c r="E260" s="115">
        <v>6</v>
      </c>
      <c r="F260" s="111">
        <f t="shared" ref="F260:F323" ca="1" si="34">N260*H260+T260</f>
        <v>5.6703394197849253</v>
      </c>
      <c r="G260" s="112">
        <f t="shared" ref="G260:G323" ca="1" si="35">R260*H260+U260</f>
        <v>0.892597357745331</v>
      </c>
      <c r="H260" s="116">
        <v>1.67</v>
      </c>
      <c r="I260" s="116" t="s">
        <v>2724</v>
      </c>
      <c r="J260" s="79">
        <v>1</v>
      </c>
      <c r="K260" s="78" t="s">
        <v>3269</v>
      </c>
      <c r="L260" s="135" t="str">
        <f>IF(ISERROR(GETPIVOTDATA(IF($J260=1,"Count of ACTIVE     CED, FARM GATE (MJ/kg)","Count of CED, processor gate (MJ/kg)"),'Pivot Table_CED'!$A$3,"SUB TYPE",$B260)),"PROXY",IF(GETPIVOTDATA(IF($J260=1,"Count of ACTIVE     CED, FARM GATE (MJ/kg)","Count of CED, processor gate (MJ/kg)"),'Pivot Table_CED'!$A$3,"SUB TYPE",$B260)=0,"PROXY","DB value"))</f>
        <v>PROXY</v>
      </c>
      <c r="M260" s="118">
        <f ca="1">IF($L260="PROXY",DCOUNT('literature entries'!$D:$AI,IF($J260=1,"ACTIVE     CED, FARM GATE (MJ/kg)","CED, processor gate (MJ/kg)"),INDIRECT($K260)),GETPIVOTDATA(IF($J260=1,"Count of ACTIVE     CED, FARM GATE (MJ/kg)","Count of CED, processor gate (MJ/kg)"),'Pivot Table_CED'!$A$3,"SUB TYPE",$B260))</f>
        <v>9</v>
      </c>
      <c r="N260" s="119">
        <f ca="1">IF($L260="PROXY",DAVERAGE('literature entries'!$D:$AI,IF($J260=1,"ACTIVE     CED, FARM GATE (MJ/kg)","CED, processor gate (MJ/kg)"),INDIRECT($K260)),GETPIVOTDATA(IF($J260=1,"Average of ACTIVE     CED, FARM GATE (MJ/kg)","Average of CED, processor gate (MJ/kg)"),'Pivot Table_CED'!$A$3,"SUB TYPE",$B260))</f>
        <v>3.3954128262185184</v>
      </c>
      <c r="O260" s="119">
        <f ca="1">IF($L260="PROXY",DSTDEV('literature entries'!D:AI,IF($J260=1,"ACTIVE     CED, FARM GATE (MJ/kg)","CED, processor gate (MJ/kg)"),INDIRECT($K260)),GETPIVOTDATA(IF($J260=1,"StdDev of ACTIVE     CED, FARM GATE (MJ/kg)","StdDev of CED, processor gate (MJ/kg)"),'Pivot Table_CED'!$A$3,"SUB TYPE",$B260))</f>
        <v>2.1698076963305595</v>
      </c>
      <c r="P260" s="135" t="str">
        <f>IF(ISERROR(GETPIVOTDATA(IF($J260=1,"Count of ACTIVE     GHGE, FARM GATE (kg CO2e/kg)","Count of GHGE, processor gate (kg CO2e/kg)"),'Pivot Table_GHG'!$A$3,"SUB TYPE",$B260)),"PROXY",IF(GETPIVOTDATA(IF($J260=1,"Count of ACTIVE     GHGE, FARM GATE (kg CO2e/kg)","Count of GHGE, processor gate (kg CO2e/kg)"),'Pivot Table_GHG'!$A$3,"SUB TYPE",$B260)=0,"PROXY","DB value"))</f>
        <v>PROXY</v>
      </c>
      <c r="Q260" s="125">
        <f ca="1">IF($P260="PROXY",DCOUNT('literature entries'!$D:$AI,IF($J260=1,"ACTIVE     GHGE, FARM GATE (kg CO2e/kg)","GHGE, processor gate (kg CO2e/kg)"),INDIRECT($K260)),GETPIVOTDATA(IF($J260=1,"ACTIVE     GHGE, FARM GATE (kg CO2e/kg)","Count of GHGE, processor gate (kg CO2e/kg)"),'Pivot Table_GHG'!$A$3,"SUB TYPE",$B260))</f>
        <v>30</v>
      </c>
      <c r="R260" s="190">
        <f ca="1">IF($P260="PROXY",DAVERAGE('literature entries'!$D:$AI,IF($J260=1,"ACTIVE     GHGE, FARM GATE (kg CO2e/kg)","GHGE, processor gate (kg CO2e/kg)"),INDIRECT($K260)),GETPIVOTDATA(IF($J260=1,"Average of ACTIVE     GHGE, FARM GATE (kg CO2e/kg)","Average of GHGE, processor gate (kg CO2e/kg)"),'Pivot Table_GHG'!$A$3,"SUB TYPE",$B260))</f>
        <v>0.53448943577564734</v>
      </c>
      <c r="S260" s="190">
        <f ca="1">IF($P260="PROXY",DSTDEV('literature entries'!$D:$AI,IF($J260=1,"ACTIVE     GHGE, FARM GATE (kg CO2e/kg)","GHGE, processor gate (kg CO2e/kg)"),INDIRECT($K260)),GETPIVOTDATA(IF($J260=1,"StdDev of ACTIVE     GHGE, FARM GATE (kg CO2e/kg)","StdDev of GHGE, processor gate (kg CO2e/kg)"),'Pivot Table_GHG'!$A$3,"SUB TYPE",$B260))</f>
        <v>0.86200931416440196</v>
      </c>
      <c r="T260" s="88"/>
      <c r="U260" s="89"/>
      <c r="W260" s="213" t="str">
        <f ca="1">IF(L260="PROXY",IF(M260&gt;=5,K260,"need group"),IF(M260&gt;=5,"DIRECT","need group"))</f>
        <v>tropical_fruit</v>
      </c>
      <c r="X260" s="211">
        <f ca="1">IF($W260="DIRECT",M260,DCOUNT('literature entries'!$D:$AI,IF($J260=1,"ACTIVE     CED, FARM GATE (MJ/kg)","CED, processor gate (MJ/kg)"),INDIRECT($W260)))</f>
        <v>9</v>
      </c>
      <c r="Y260" s="211">
        <f ca="1">IF($W260="DIRECT","",DAVERAGE('literature entries'!$D:$AI,IF($J260=1,"ACTIVE     CED, FARM GATE (MJ/kg)","CED, processor gate (MJ/kg)"),INDIRECT($W260)))</f>
        <v>3.3954128262185184</v>
      </c>
      <c r="Z260" s="211">
        <f ca="1">IF($W260="DIRECT",$O260,DSTDEV('literature entries'!$D:$AI,IF($J260=1,"ACTIVE     CED, FARM GATE (MJ/kg)","CED, processor gate (MJ/kg)"),INDIRECT($W260)))</f>
        <v>2.1698076963305595</v>
      </c>
      <c r="AA260" s="211">
        <f t="shared" ca="1" si="32"/>
        <v>2.1698076963305595</v>
      </c>
      <c r="AB260" s="219" t="str">
        <f ca="1">IF(P260="PROXY",IF(Q260&gt;=5,K260,"need group"),IF(Q260&gt;=5,"DIRECT","need group"))</f>
        <v>tropical_fruit</v>
      </c>
      <c r="AC260" s="212">
        <f ca="1">IF($AB260="DIRECT",Q260,DCOUNT('literature entries'!$D:$AI,IF($J260=1,"ACTIVE     GHGE, FARM GATE (kg CO2e/kg)","GHGE, processor gate (kg CO2e/kg)"),INDIRECT($AB260)))</f>
        <v>30</v>
      </c>
      <c r="AD260" s="212">
        <f ca="1">IF($AB260="DIRECT","",DAVERAGE('literature entries'!$D:$AI,IF($J260=1,"ACTIVE     GHGE, FARM GATE (kg CO2e/kg)","GHGE, processor gate (kg CO2e/kg)"),INDIRECT($AB260)))</f>
        <v>0.53448943577564734</v>
      </c>
      <c r="AE260" s="212">
        <f ca="1">IF($AB260="DIRECT",$S260,DSTDEV('literature entries'!$D:$AI,IF($J260=1,"ACTIVE     GHGE, FARM GATE (kg CO2e/kg)","GHGE, processor gate (kg CO2e/kg)"),INDIRECT($AB260)))</f>
        <v>0.86200931416440196</v>
      </c>
      <c r="AF260" s="212">
        <f t="shared" ca="1" si="33"/>
        <v>0.86200931416440196</v>
      </c>
    </row>
    <row r="261" spans="1:32" s="19" customFormat="1" thickBot="1" x14ac:dyDescent="0.25">
      <c r="A261" s="114">
        <v>2402020000</v>
      </c>
      <c r="B261" s="115" t="s">
        <v>859</v>
      </c>
      <c r="C261" s="115" t="s">
        <v>1762</v>
      </c>
      <c r="D261" s="115"/>
      <c r="E261" s="115">
        <v>1566</v>
      </c>
      <c r="F261" s="111">
        <f t="shared" ca="1" si="34"/>
        <v>9.18675</v>
      </c>
      <c r="G261" s="112">
        <f t="shared" ca="1" si="35"/>
        <v>0.54674999999999996</v>
      </c>
      <c r="H261" s="116">
        <v>1.35</v>
      </c>
      <c r="I261" s="116" t="s">
        <v>2724</v>
      </c>
      <c r="J261" s="79">
        <v>1</v>
      </c>
      <c r="K261" s="78"/>
      <c r="L261" s="135" t="str">
        <f>IF(ISERROR(GETPIVOTDATA(IF($J261=1,"Count of ACTIVE     CED, FARM GATE (MJ/kg)","Count of CED, processor gate (MJ/kg)"),'Pivot Table_CED'!$A$3,"SUB TYPE",$B261)),"PROXY",IF(GETPIVOTDATA(IF($J261=1,"Count of ACTIVE     CED, FARM GATE (MJ/kg)","Count of CED, processor gate (MJ/kg)"),'Pivot Table_CED'!$A$3,"SUB TYPE",$B261)=0,"PROXY","DB value"))</f>
        <v>DB value</v>
      </c>
      <c r="M261" s="118">
        <f ca="1">IF($L261="PROXY",DCOUNT('literature entries'!$D:$AI,IF($J261=1,"ACTIVE     CED, FARM GATE (MJ/kg)","CED, processor gate (MJ/kg)"),INDIRECT($K261)),GETPIVOTDATA(IF($J261=1,"Count of ACTIVE     CED, FARM GATE (MJ/kg)","Count of CED, processor gate (MJ/kg)"),'Pivot Table_CED'!$A$3,"SUB TYPE",$B261))</f>
        <v>2</v>
      </c>
      <c r="N261" s="119">
        <f ca="1">IF($L261="PROXY",DAVERAGE('literature entries'!$D:$AI,IF($J261=1,"ACTIVE     CED, FARM GATE (MJ/kg)","CED, processor gate (MJ/kg)"),INDIRECT($K261)),GETPIVOTDATA(IF($J261=1,"Average of ACTIVE     CED, FARM GATE (MJ/kg)","Average of CED, processor gate (MJ/kg)"),'Pivot Table_CED'!$A$3,"SUB TYPE",$B261))</f>
        <v>6.8049999999999997</v>
      </c>
      <c r="O261" s="119">
        <f ca="1">IF($L261="PROXY",DSTDEV('literature entries'!D:AI,IF($J261=1,"ACTIVE     CED, FARM GATE (MJ/kg)","CED, processor gate (MJ/kg)"),INDIRECT($K261)),GETPIVOTDATA(IF($J261=1,"StdDev of ACTIVE     CED, FARM GATE (MJ/kg)","StdDev of CED, processor gate (MJ/kg)"),'Pivot Table_CED'!$A$3,"SUB TYPE",$B261))</f>
        <v>1.6899852070358559</v>
      </c>
      <c r="P261" s="135" t="str">
        <f>IF(ISERROR(GETPIVOTDATA(IF($J261=1,"Count of ACTIVE     GHGE, FARM GATE (kg CO2e/kg)","Count of GHGE, processor gate (kg CO2e/kg)"),'Pivot Table_GHG'!$A$3,"SUB TYPE",$B261)),"PROXY",IF(GETPIVOTDATA(IF($J261=1,"Count of ACTIVE     GHGE, FARM GATE (kg CO2e/kg)","Count of GHGE, processor gate (kg CO2e/kg)"),'Pivot Table_GHG'!$A$3,"SUB TYPE",$B261)=0,"PROXY","DB value"))</f>
        <v>DB value</v>
      </c>
      <c r="Q261" s="125">
        <f ca="1">IF($P261="PROXY",DCOUNT('literature entries'!$D:$AI,IF($J261=1,"ACTIVE     GHGE, FARM GATE (kg CO2e/kg)","GHGE, processor gate (kg CO2e/kg)"),INDIRECT($K261)),GETPIVOTDATA(IF($J261=1,"ACTIVE     GHGE, FARM GATE (kg CO2e/kg)","Count of GHGE, processor gate (kg CO2e/kg)"),'Pivot Table_GHG'!$A$3,"SUB TYPE",$B261))</f>
        <v>4</v>
      </c>
      <c r="R261" s="190">
        <f ca="1">IF($P261="PROXY",DAVERAGE('literature entries'!$D:$AI,IF($J261=1,"ACTIVE     GHGE, FARM GATE (kg CO2e/kg)","GHGE, processor gate (kg CO2e/kg)"),INDIRECT($K261)),GETPIVOTDATA(IF($J261=1,"Average of ACTIVE     GHGE, FARM GATE (kg CO2e/kg)","Average of GHGE, processor gate (kg CO2e/kg)"),'Pivot Table_GHG'!$A$3,"SUB TYPE",$B261))</f>
        <v>0.40499999999999997</v>
      </c>
      <c r="S261" s="190">
        <f ca="1">IF($P261="PROXY",DSTDEV('literature entries'!$D:$AI,IF($J261=1,"ACTIVE     GHGE, FARM GATE (kg CO2e/kg)","GHGE, processor gate (kg CO2e/kg)"),INDIRECT($K261)),GETPIVOTDATA(IF($J261=1,"StdDev of ACTIVE     GHGE, FARM GATE (kg CO2e/kg)","StdDev of GHGE, processor gate (kg CO2e/kg)"),'Pivot Table_GHG'!$A$3,"SUB TYPE",$B261))</f>
        <v>0.16481504785668108</v>
      </c>
      <c r="T261" s="88"/>
      <c r="U261" s="89"/>
      <c r="W261" s="213" t="s">
        <v>3269</v>
      </c>
      <c r="X261" s="211">
        <f ca="1">IF($W261="DIRECT",M261,DCOUNT('literature entries'!$D:$AI,IF($J261=1,"ACTIVE     CED, FARM GATE (MJ/kg)","CED, processor gate (MJ/kg)"),INDIRECT($W261)))</f>
        <v>9</v>
      </c>
      <c r="Y261" s="211">
        <f ca="1">IF($W261="DIRECT","",DAVERAGE('literature entries'!$D:$AI,IF($J261=1,"ACTIVE     CED, FARM GATE (MJ/kg)","CED, processor gate (MJ/kg)"),INDIRECT($W261)))</f>
        <v>3.3954128262185184</v>
      </c>
      <c r="Z261" s="211">
        <f ca="1">IF($W261="DIRECT",$O261,DSTDEV('literature entries'!$D:$AI,IF($J261=1,"ACTIVE     CED, FARM GATE (MJ/kg)","CED, processor gate (MJ/kg)"),INDIRECT($W261)))</f>
        <v>2.1698076963305595</v>
      </c>
      <c r="AA261" s="211">
        <f t="shared" ca="1" si="32"/>
        <v>4.3486733806015234</v>
      </c>
      <c r="AB261" s="219" t="s">
        <v>3269</v>
      </c>
      <c r="AC261" s="212">
        <f ca="1">IF($AB261="DIRECT",Q261,DCOUNT('literature entries'!$D:$AI,IF($J261=1,"ACTIVE     GHGE, FARM GATE (kg CO2e/kg)","GHGE, processor gate (kg CO2e/kg)"),INDIRECT($AB261)))</f>
        <v>30</v>
      </c>
      <c r="AD261" s="212">
        <f ca="1">IF($AB261="DIRECT","",DAVERAGE('literature entries'!$D:$AI,IF($J261=1,"ACTIVE     GHGE, FARM GATE (kg CO2e/kg)","GHGE, processor gate (kg CO2e/kg)"),INDIRECT($AB261)))</f>
        <v>0.53448943577564734</v>
      </c>
      <c r="AE261" s="212">
        <f ca="1">IF($AB261="DIRECT",$S261,DSTDEV('literature entries'!$D:$AI,IF($J261=1,"ACTIVE     GHGE, FARM GATE (kg CO2e/kg)","GHGE, processor gate (kg CO2e/kg)"),INDIRECT($AB261)))</f>
        <v>0.86200931416440196</v>
      </c>
      <c r="AF261" s="212">
        <f t="shared" ca="1" si="33"/>
        <v>0.65317244620551074</v>
      </c>
    </row>
    <row r="262" spans="1:32" s="19" customFormat="1" thickBot="1" x14ac:dyDescent="0.25">
      <c r="A262" s="114">
        <v>2402023000</v>
      </c>
      <c r="B262" s="115" t="s">
        <v>1769</v>
      </c>
      <c r="C262" s="115" t="s">
        <v>1770</v>
      </c>
      <c r="D262" s="115"/>
      <c r="E262" s="115">
        <v>20670</v>
      </c>
      <c r="F262" s="111">
        <f t="shared" ca="1" si="34"/>
        <v>3.9790103088215996</v>
      </c>
      <c r="G262" s="112">
        <f t="shared" ca="1" si="35"/>
        <v>0.37410691261867585</v>
      </c>
      <c r="H262" s="116">
        <v>1.56</v>
      </c>
      <c r="I262" s="116" t="s">
        <v>2724</v>
      </c>
      <c r="J262" s="79">
        <v>1</v>
      </c>
      <c r="K262" s="78"/>
      <c r="L262" s="135" t="str">
        <f>IF(ISERROR(GETPIVOTDATA(IF($J262=1,"Count of ACTIVE     CED, FARM GATE (MJ/kg)","Count of CED, processor gate (MJ/kg)"),'Pivot Table_CED'!$A$3,"SUB TYPE",$B262)),"PROXY",IF(GETPIVOTDATA(IF($J262=1,"Count of ACTIVE     CED, FARM GATE (MJ/kg)","Count of CED, processor gate (MJ/kg)"),'Pivot Table_CED'!$A$3,"SUB TYPE",$B262)=0,"PROXY","DB value"))</f>
        <v>DB value</v>
      </c>
      <c r="M262" s="118">
        <f ca="1">IF($L262="PROXY",DCOUNT('literature entries'!$D:$AI,IF($J262=1,"ACTIVE     CED, FARM GATE (MJ/kg)","CED, processor gate (MJ/kg)"),INDIRECT($K262)),GETPIVOTDATA(IF($J262=1,"Count of ACTIVE     CED, FARM GATE (MJ/kg)","Count of CED, processor gate (MJ/kg)"),'Pivot Table_CED'!$A$3,"SUB TYPE",$B262))</f>
        <v>5</v>
      </c>
      <c r="N262" s="119">
        <f ca="1">IF($L262="PROXY",DAVERAGE('literature entries'!$D:$AI,IF($J262=1,"ACTIVE     CED, FARM GATE (MJ/kg)","CED, processor gate (MJ/kg)"),INDIRECT($K262)),GETPIVOTDATA(IF($J262=1,"Average of ACTIVE     CED, FARM GATE (MJ/kg)","Average of CED, processor gate (MJ/kg)"),'Pivot Table_CED'!$A$3,"SUB TYPE",$B262))</f>
        <v>2.5506476338599997</v>
      </c>
      <c r="O262" s="119">
        <f ca="1">IF($L262="PROXY",DSTDEV('literature entries'!D:AI,IF($J262=1,"ACTIVE     CED, FARM GATE (MJ/kg)","CED, processor gate (MJ/kg)"),INDIRECT($K262)),GETPIVOTDATA(IF($J262=1,"StdDev of ACTIVE     CED, FARM GATE (MJ/kg)","StdDev of CED, processor gate (MJ/kg)"),'Pivot Table_CED'!$A$3,"SUB TYPE",$B262))</f>
        <v>0.92727365263139316</v>
      </c>
      <c r="P262" s="135" t="str">
        <f>IF(ISERROR(GETPIVOTDATA(IF($J262=1,"Count of ACTIVE     GHGE, FARM GATE (kg CO2e/kg)","Count of GHGE, processor gate (kg CO2e/kg)"),'Pivot Table_GHG'!$A$3,"SUB TYPE",$B262)),"PROXY",IF(GETPIVOTDATA(IF($J262=1,"Count of ACTIVE     GHGE, FARM GATE (kg CO2e/kg)","Count of GHGE, processor gate (kg CO2e/kg)"),'Pivot Table_GHG'!$A$3,"SUB TYPE",$B262)=0,"PROXY","DB value"))</f>
        <v>DB value</v>
      </c>
      <c r="Q262" s="125">
        <f ca="1">IF($P262="PROXY",DCOUNT('literature entries'!$D:$AI,IF($J262=1,"ACTIVE     GHGE, FARM GATE (kg CO2e/kg)","GHGE, processor gate (kg CO2e/kg)"),INDIRECT($K262)),GETPIVOTDATA(IF($J262=1,"ACTIVE     GHGE, FARM GATE (kg CO2e/kg)","Count of GHGE, processor gate (kg CO2e/kg)"),'Pivot Table_GHG'!$A$3,"SUB TYPE",$B262))</f>
        <v>19</v>
      </c>
      <c r="R262" s="190">
        <f ca="1">IF($P262="PROXY",DAVERAGE('literature entries'!$D:$AI,IF($J262=1,"ACTIVE     GHGE, FARM GATE (kg CO2e/kg)","GHGE, processor gate (kg CO2e/kg)"),INDIRECT($K262)),GETPIVOTDATA(IF($J262=1,"Average of ACTIVE     GHGE, FARM GATE (kg CO2e/kg)","Average of GHGE, processor gate (kg CO2e/kg)"),'Pivot Table_GHG'!$A$3,"SUB TYPE",$B262))</f>
        <v>0.23981212347351016</v>
      </c>
      <c r="S262" s="190">
        <f ca="1">IF($P262="PROXY",DSTDEV('literature entries'!$D:$AI,IF($J262=1,"ACTIVE     GHGE, FARM GATE (kg CO2e/kg)","GHGE, processor gate (kg CO2e/kg)"),INDIRECT($K262)),GETPIVOTDATA(IF($J262=1,"StdDev of ACTIVE     GHGE, FARM GATE (kg CO2e/kg)","StdDev of GHGE, processor gate (kg CO2e/kg)"),'Pivot Table_GHG'!$A$3,"SUB TYPE",$B262))</f>
        <v>6.7822688355273247E-2</v>
      </c>
      <c r="T262" s="88"/>
      <c r="U262" s="89"/>
      <c r="W262" s="213" t="str">
        <f ca="1">IF(L262="PROXY",IF(M262&gt;=5,K262,"need group"),IF(M262&gt;=5,"DIRECT","need group"))</f>
        <v>DIRECT</v>
      </c>
      <c r="X262" s="211">
        <f ca="1">IF($W262="DIRECT",M262,DCOUNT('literature entries'!$D:$AI,IF($J262=1,"ACTIVE     CED, FARM GATE (MJ/kg)","CED, processor gate (MJ/kg)"),INDIRECT($W262)))</f>
        <v>5</v>
      </c>
      <c r="Y262" s="211" t="str">
        <f ca="1">IF($W262="DIRECT","",DAVERAGE('literature entries'!$D:$AI,IF($J262=1,"ACTIVE     CED, FARM GATE (MJ/kg)","CED, processor gate (MJ/kg)"),INDIRECT($W262)))</f>
        <v/>
      </c>
      <c r="Z262" s="211">
        <f ca="1">IF($W262="DIRECT",$O262,DSTDEV('literature entries'!$D:$AI,IF($J262=1,"ACTIVE     CED, FARM GATE (MJ/kg)","CED, processor gate (MJ/kg)"),INDIRECT($W262)))</f>
        <v>0.92727365263139316</v>
      </c>
      <c r="AA262" s="211">
        <f t="shared" ca="1" si="32"/>
        <v>0.92727365263139316</v>
      </c>
      <c r="AB262" s="219" t="str">
        <f ca="1">IF(P262="PROXY",IF(Q262&gt;=5,K262,"need group"),IF(Q262&gt;=5,"DIRECT","need group"))</f>
        <v>DIRECT</v>
      </c>
      <c r="AC262" s="212">
        <f ca="1">IF($AB262="DIRECT",Q262,DCOUNT('literature entries'!$D:$AI,IF($J262=1,"ACTIVE     GHGE, FARM GATE (kg CO2e/kg)","GHGE, processor gate (kg CO2e/kg)"),INDIRECT($AB262)))</f>
        <v>19</v>
      </c>
      <c r="AD262" s="212" t="str">
        <f ca="1">IF($AB262="DIRECT","",DAVERAGE('literature entries'!$D:$AI,IF($J262=1,"ACTIVE     GHGE, FARM GATE (kg CO2e/kg)","GHGE, processor gate (kg CO2e/kg)"),INDIRECT($AB262)))</f>
        <v/>
      </c>
      <c r="AE262" s="212">
        <f ca="1">IF($AB262="DIRECT",$S262,DSTDEV('literature entries'!$D:$AI,IF($J262=1,"ACTIVE     GHGE, FARM GATE (kg CO2e/kg)","GHGE, processor gate (kg CO2e/kg)"),INDIRECT($AB262)))</f>
        <v>6.7822688355273247E-2</v>
      </c>
      <c r="AF262" s="212">
        <f t="shared" ca="1" si="33"/>
        <v>6.7822688355273247E-2</v>
      </c>
    </row>
    <row r="263" spans="1:32" s="19" customFormat="1" ht="17" thickBot="1" x14ac:dyDescent="0.25">
      <c r="A263" s="114">
        <v>2402024000</v>
      </c>
      <c r="B263" s="115" t="s">
        <v>1771</v>
      </c>
      <c r="C263" s="115" t="s">
        <v>1772</v>
      </c>
      <c r="D263" s="115"/>
      <c r="E263" s="115">
        <v>565</v>
      </c>
      <c r="F263" s="111">
        <f t="shared" ca="1" si="34"/>
        <v>15.405911708514399</v>
      </c>
      <c r="G263" s="112">
        <f t="shared" ca="1" si="35"/>
        <v>1.4484652257800015</v>
      </c>
      <c r="H263" s="116">
        <v>6.04</v>
      </c>
      <c r="I263" s="117" t="s">
        <v>2724</v>
      </c>
      <c r="J263" s="79">
        <v>1</v>
      </c>
      <c r="K263" s="78" t="s">
        <v>836</v>
      </c>
      <c r="L263" s="135" t="str">
        <f>IF(ISERROR(GETPIVOTDATA(IF($J263=1,"Count of ACTIVE     CED, FARM GATE (MJ/kg)","Count of CED, processor gate (MJ/kg)"),'Pivot Table_CED'!$A$3,"SUB TYPE",$B263)),"PROXY",IF(GETPIVOTDATA(IF($J263=1,"Count of ACTIVE     CED, FARM GATE (MJ/kg)","Count of CED, processor gate (MJ/kg)"),'Pivot Table_CED'!$A$3,"SUB TYPE",$B263)=0,"PROXY","DB value"))</f>
        <v>PROXY</v>
      </c>
      <c r="M263" s="118">
        <f ca="1">IF($L263="PROXY",DCOUNT('literature entries'!$D:$AI,IF($J263=1,"ACTIVE     CED, FARM GATE (MJ/kg)","CED, processor gate (MJ/kg)"),INDIRECT($K263)),GETPIVOTDATA(IF($J263=1,"Count of ACTIVE     CED, FARM GATE (MJ/kg)","Count of CED, processor gate (MJ/kg)"),'Pivot Table_CED'!$A$3,"SUB TYPE",$B263))</f>
        <v>5</v>
      </c>
      <c r="N263" s="119">
        <f ca="1">IF($L263="PROXY",DAVERAGE('literature entries'!$D:$AI,IF($J263=1,"ACTIVE     CED, FARM GATE (MJ/kg)","CED, processor gate (MJ/kg)"),INDIRECT($K263)),GETPIVOTDATA(IF($J263=1,"Average of ACTIVE     CED, FARM GATE (MJ/kg)","Average of CED, processor gate (MJ/kg)"),'Pivot Table_CED'!$A$3,"SUB TYPE",$B263))</f>
        <v>2.5506476338599997</v>
      </c>
      <c r="O263" s="119">
        <f ca="1">IF($L263="PROXY",DSTDEV('literature entries'!D:AI,IF($J263=1,"ACTIVE     CED, FARM GATE (MJ/kg)","CED, processor gate (MJ/kg)"),INDIRECT($K263)),GETPIVOTDATA(IF($J263=1,"StdDev of ACTIVE     CED, FARM GATE (MJ/kg)","StdDev of CED, processor gate (MJ/kg)"),'Pivot Table_CED'!$A$3,"SUB TYPE",$B263))</f>
        <v>0.92727365263139316</v>
      </c>
      <c r="P263" s="135" t="str">
        <f>IF(ISERROR(GETPIVOTDATA(IF($J263=1,"Count of ACTIVE     GHGE, FARM GATE (kg CO2e/kg)","Count of GHGE, processor gate (kg CO2e/kg)"),'Pivot Table_GHG'!$A$3,"SUB TYPE",$B263)),"PROXY",IF(GETPIVOTDATA(IF($J263=1,"Count of ACTIVE     GHGE, FARM GATE (kg CO2e/kg)","Count of GHGE, processor gate (kg CO2e/kg)"),'Pivot Table_GHG'!$A$3,"SUB TYPE",$B263)=0,"PROXY","DB value"))</f>
        <v>PROXY</v>
      </c>
      <c r="Q263" s="125">
        <f ca="1">IF($P263="PROXY",DCOUNT('literature entries'!$D:$AI,IF($J263=1,"ACTIVE     GHGE, FARM GATE (kg CO2e/kg)","GHGE, processor gate (kg CO2e/kg)"),INDIRECT($K263)),GETPIVOTDATA(IF($J263=1,"ACTIVE     GHGE, FARM GATE (kg CO2e/kg)","Count of GHGE, processor gate (kg CO2e/kg)"),'Pivot Table_GHG'!$A$3,"SUB TYPE",$B263))</f>
        <v>19</v>
      </c>
      <c r="R263" s="190">
        <f ca="1">IF($P263="PROXY",DAVERAGE('literature entries'!$D:$AI,IF($J263=1,"ACTIVE     GHGE, FARM GATE (kg CO2e/kg)","GHGE, processor gate (kg CO2e/kg)"),INDIRECT($K263)),GETPIVOTDATA(IF($J263=1,"Average of ACTIVE     GHGE, FARM GATE (kg CO2e/kg)","Average of GHGE, processor gate (kg CO2e/kg)"),'Pivot Table_GHG'!$A$3,"SUB TYPE",$B263))</f>
        <v>0.23981212347351016</v>
      </c>
      <c r="S263" s="190">
        <f ca="1">IF($P263="PROXY",DSTDEV('literature entries'!$D:$AI,IF($J263=1,"ACTIVE     GHGE, FARM GATE (kg CO2e/kg)","GHGE, processor gate (kg CO2e/kg)"),INDIRECT($K263)),GETPIVOTDATA(IF($J263=1,"StdDev of ACTIVE     GHGE, FARM GATE (kg CO2e/kg)","StdDev of GHGE, processor gate (kg CO2e/kg)"),'Pivot Table_GHG'!$A$3,"SUB TYPE",$B263))</f>
        <v>6.7822688355273247E-2</v>
      </c>
      <c r="T263" s="88"/>
      <c r="U263" s="89"/>
      <c r="W263" s="213" t="str">
        <f ca="1">IF(L263="PROXY",IF(M263&gt;=5,K263,"need group"),IF(M263&gt;=5,"DIRECT","need group"))</f>
        <v>banana</v>
      </c>
      <c r="X263" s="211">
        <f ca="1">IF($W263="DIRECT",M263,DCOUNT('literature entries'!$D:$AI,IF($J263=1,"ACTIVE     CED, FARM GATE (MJ/kg)","CED, processor gate (MJ/kg)"),INDIRECT($W263)))</f>
        <v>5</v>
      </c>
      <c r="Y263" s="211">
        <f ca="1">IF($W263="DIRECT","",DAVERAGE('literature entries'!$D:$AI,IF($J263=1,"ACTIVE     CED, FARM GATE (MJ/kg)","CED, processor gate (MJ/kg)"),INDIRECT($W263)))</f>
        <v>2.5506476338599997</v>
      </c>
      <c r="Z263" s="211">
        <f ca="1">IF($W263="DIRECT",$O263,DSTDEV('literature entries'!$D:$AI,IF($J263=1,"ACTIVE     CED, FARM GATE (MJ/kg)","CED, processor gate (MJ/kg)"),INDIRECT($W263)))</f>
        <v>0.92727365263139316</v>
      </c>
      <c r="AA263" s="211">
        <f t="shared" ca="1" si="32"/>
        <v>0.92727365263139316</v>
      </c>
      <c r="AB263" s="219" t="str">
        <f ca="1">IF(P263="PROXY",IF(Q263&gt;=5,K263,"need group"),IF(Q263&gt;=5,"DIRECT","need group"))</f>
        <v>banana</v>
      </c>
      <c r="AC263" s="212">
        <f ca="1">IF($AB263="DIRECT",Q263,DCOUNT('literature entries'!$D:$AI,IF($J263=1,"ACTIVE     GHGE, FARM GATE (kg CO2e/kg)","GHGE, processor gate (kg CO2e/kg)"),INDIRECT($AB263)))</f>
        <v>19</v>
      </c>
      <c r="AD263" s="212">
        <f ca="1">IF($AB263="DIRECT","",DAVERAGE('literature entries'!$D:$AI,IF($J263=1,"ACTIVE     GHGE, FARM GATE (kg CO2e/kg)","GHGE, processor gate (kg CO2e/kg)"),INDIRECT($AB263)))</f>
        <v>0.23981212347351016</v>
      </c>
      <c r="AE263" s="212">
        <f ca="1">IF($AB263="DIRECT",$S263,DSTDEV('literature entries'!$D:$AI,IF($J263=1,"ACTIVE     GHGE, FARM GATE (kg CO2e/kg)","GHGE, processor gate (kg CO2e/kg)"),INDIRECT($AB263)))</f>
        <v>6.7822688355273247E-2</v>
      </c>
      <c r="AF263" s="212">
        <f t="shared" ca="1" si="33"/>
        <v>6.7822688355273247E-2</v>
      </c>
    </row>
    <row r="264" spans="1:32" s="19" customFormat="1" thickBot="1" x14ac:dyDescent="0.25">
      <c r="A264" s="114">
        <v>2402215000</v>
      </c>
      <c r="B264" s="115" t="s">
        <v>1551</v>
      </c>
      <c r="C264" s="115" t="s">
        <v>1842</v>
      </c>
      <c r="D264" s="115"/>
      <c r="E264" s="115">
        <v>448</v>
      </c>
      <c r="F264" s="111">
        <f t="shared" ca="1" si="34"/>
        <v>4.9233485980168519</v>
      </c>
      <c r="G264" s="112">
        <f t="shared" ca="1" si="35"/>
        <v>0.63944999999999996</v>
      </c>
      <c r="H264" s="116">
        <v>1.45</v>
      </c>
      <c r="I264" s="116" t="s">
        <v>2724</v>
      </c>
      <c r="J264" s="79">
        <v>1</v>
      </c>
      <c r="K264" s="78" t="s">
        <v>3269</v>
      </c>
      <c r="L264" s="135" t="str">
        <f>IF(ISERROR(GETPIVOTDATA(IF($J264=1,"Count of ACTIVE     CED, FARM GATE (MJ/kg)","Count of CED, processor gate (MJ/kg)"),'Pivot Table_CED'!$A$3,"SUB TYPE",$B264)),"PROXY",IF(GETPIVOTDATA(IF($J264=1,"Count of ACTIVE     CED, FARM GATE (MJ/kg)","Count of CED, processor gate (MJ/kg)"),'Pivot Table_CED'!$A$3,"SUB TYPE",$B264)=0,"PROXY","DB value"))</f>
        <v>PROXY</v>
      </c>
      <c r="M264" s="118">
        <f ca="1">IF($L264="PROXY",DCOUNT('literature entries'!$D:$AI,IF($J264=1,"ACTIVE     CED, FARM GATE (MJ/kg)","CED, processor gate (MJ/kg)"),INDIRECT($K264)),GETPIVOTDATA(IF($J264=1,"Count of ACTIVE     CED, FARM GATE (MJ/kg)","Count of CED, processor gate (MJ/kg)"),'Pivot Table_CED'!$A$3,"SUB TYPE",$B264))</f>
        <v>9</v>
      </c>
      <c r="N264" s="119">
        <f ca="1">IF($L264="PROXY",DAVERAGE('literature entries'!$D:$AI,IF($J264=1,"ACTIVE     CED, FARM GATE (MJ/kg)","CED, processor gate (MJ/kg)"),INDIRECT($K264)),GETPIVOTDATA(IF($J264=1,"Average of ACTIVE     CED, FARM GATE (MJ/kg)","Average of CED, processor gate (MJ/kg)"),'Pivot Table_CED'!$A$3,"SUB TYPE",$B264))</f>
        <v>3.3954128262185184</v>
      </c>
      <c r="O264" s="119">
        <f ca="1">IF($L264="PROXY",DSTDEV('literature entries'!D:AI,IF($J264=1,"ACTIVE     CED, FARM GATE (MJ/kg)","CED, processor gate (MJ/kg)"),INDIRECT($K264)),GETPIVOTDATA(IF($J264=1,"StdDev of ACTIVE     CED, FARM GATE (MJ/kg)","StdDev of CED, processor gate (MJ/kg)"),'Pivot Table_CED'!$A$3,"SUB TYPE",$B264))</f>
        <v>2.1698076963305595</v>
      </c>
      <c r="P264" s="135" t="str">
        <f>IF(ISERROR(GETPIVOTDATA(IF($J264=1,"Count of ACTIVE     GHGE, FARM GATE (kg CO2e/kg)","Count of GHGE, processor gate (kg CO2e/kg)"),'Pivot Table_GHG'!$A$3,"SUB TYPE",$B264)),"PROXY",IF(GETPIVOTDATA(IF($J264=1,"Count of ACTIVE     GHGE, FARM GATE (kg CO2e/kg)","Count of GHGE, processor gate (kg CO2e/kg)"),'Pivot Table_GHG'!$A$3,"SUB TYPE",$B264)=0,"PROXY","DB value"))</f>
        <v>DB value</v>
      </c>
      <c r="Q264" s="125">
        <f ca="1">IF($P264="PROXY",DCOUNT('literature entries'!$D:$AI,IF($J264=1,"ACTIVE     GHGE, FARM GATE (kg CO2e/kg)","GHGE, processor gate (kg CO2e/kg)"),INDIRECT($K264)),GETPIVOTDATA(IF($J264=1,"ACTIVE     GHGE, FARM GATE (kg CO2e/kg)","Count of GHGE, processor gate (kg CO2e/kg)"),'Pivot Table_GHG'!$A$3,"SUB TYPE",$B264))</f>
        <v>1</v>
      </c>
      <c r="R264" s="190">
        <f ca="1">IF($P264="PROXY",DAVERAGE('literature entries'!$D:$AI,IF($J264=1,"ACTIVE     GHGE, FARM GATE (kg CO2e/kg)","GHGE, processor gate (kg CO2e/kg)"),INDIRECT($K264)),GETPIVOTDATA(IF($J264=1,"Average of ACTIVE     GHGE, FARM GATE (kg CO2e/kg)","Average of GHGE, processor gate (kg CO2e/kg)"),'Pivot Table_GHG'!$A$3,"SUB TYPE",$B264))</f>
        <v>0.441</v>
      </c>
      <c r="S264" s="190" t="e">
        <f ca="1">IF($P264="PROXY",DSTDEV('literature entries'!$D:$AI,IF($J264=1,"ACTIVE     GHGE, FARM GATE (kg CO2e/kg)","GHGE, processor gate (kg CO2e/kg)"),INDIRECT($K264)),GETPIVOTDATA(IF($J264=1,"StdDev of ACTIVE     GHGE, FARM GATE (kg CO2e/kg)","StdDev of GHGE, processor gate (kg CO2e/kg)"),'Pivot Table_GHG'!$A$3,"SUB TYPE",$B264))</f>
        <v>#DIV/0!</v>
      </c>
      <c r="T264" s="88"/>
      <c r="U264" s="89"/>
      <c r="W264" s="213" t="str">
        <f ca="1">IF(L264="PROXY",IF(M264&gt;=5,K264,"need group"),IF(M264&gt;=5,"DIRECT","need group"))</f>
        <v>tropical_fruit</v>
      </c>
      <c r="X264" s="211">
        <f ca="1">IF($W264="DIRECT",M264,DCOUNT('literature entries'!$D:$AI,IF($J264=1,"ACTIVE     CED, FARM GATE (MJ/kg)","CED, processor gate (MJ/kg)"),INDIRECT($W264)))</f>
        <v>9</v>
      </c>
      <c r="Y264" s="211">
        <f ca="1">IF($W264="DIRECT","",DAVERAGE('literature entries'!$D:$AI,IF($J264=1,"ACTIVE     CED, FARM GATE (MJ/kg)","CED, processor gate (MJ/kg)"),INDIRECT($W264)))</f>
        <v>3.3954128262185184</v>
      </c>
      <c r="Z264" s="211">
        <f ca="1">IF($W264="DIRECT",$O264,DSTDEV('literature entries'!$D:$AI,IF($J264=1,"ACTIVE     CED, FARM GATE (MJ/kg)","CED, processor gate (MJ/kg)"),INDIRECT($W264)))</f>
        <v>2.1698076963305595</v>
      </c>
      <c r="AA264" s="211">
        <f t="shared" ca="1" si="32"/>
        <v>2.1698076963305595</v>
      </c>
      <c r="AB264" s="219" t="s">
        <v>3269</v>
      </c>
      <c r="AC264" s="212">
        <f ca="1">IF($AB264="DIRECT",Q264,DCOUNT('literature entries'!$D:$AI,IF($J264=1,"ACTIVE     GHGE, FARM GATE (kg CO2e/kg)","GHGE, processor gate (kg CO2e/kg)"),INDIRECT($AB264)))</f>
        <v>30</v>
      </c>
      <c r="AD264" s="212">
        <f ca="1">IF($AB264="DIRECT","",DAVERAGE('literature entries'!$D:$AI,IF($J264=1,"ACTIVE     GHGE, FARM GATE (kg CO2e/kg)","GHGE, processor gate (kg CO2e/kg)"),INDIRECT($AB264)))</f>
        <v>0.53448943577564734</v>
      </c>
      <c r="AE264" s="212">
        <f ca="1">IF($AB264="DIRECT",$S264,DSTDEV('literature entries'!$D:$AI,IF($J264=1,"ACTIVE     GHGE, FARM GATE (kg CO2e/kg)","GHGE, processor gate (kg CO2e/kg)"),INDIRECT($AB264)))</f>
        <v>0.86200931416440196</v>
      </c>
      <c r="AF264" s="212">
        <f t="shared" ca="1" si="33"/>
        <v>0.71123221920155622</v>
      </c>
    </row>
    <row r="265" spans="1:32" s="19" customFormat="1" ht="17" thickBot="1" x14ac:dyDescent="0.25">
      <c r="A265" s="114">
        <v>2402216000</v>
      </c>
      <c r="B265" s="115" t="s">
        <v>2065</v>
      </c>
      <c r="C265" s="115" t="s">
        <v>2066</v>
      </c>
      <c r="D265" s="115"/>
      <c r="E265" s="115">
        <v>25</v>
      </c>
      <c r="F265" s="111">
        <f t="shared" ca="1" si="34"/>
        <v>17.12076358564839</v>
      </c>
      <c r="G265" s="112">
        <f t="shared" ca="1" si="35"/>
        <v>2.6950676507671689</v>
      </c>
      <c r="H265" s="120">
        <v>5.0423216444981849</v>
      </c>
      <c r="I265" s="117" t="s">
        <v>2737</v>
      </c>
      <c r="J265" s="79">
        <v>1</v>
      </c>
      <c r="K265" s="78" t="s">
        <v>3269</v>
      </c>
      <c r="L265" s="135" t="str">
        <f>IF(ISERROR(GETPIVOTDATA(IF($J265=1,"Count of ACTIVE     CED, FARM GATE (MJ/kg)","Count of CED, processor gate (MJ/kg)"),'Pivot Table_CED'!$A$3,"SUB TYPE",$B265)),"PROXY",IF(GETPIVOTDATA(IF($J265=1,"Count of ACTIVE     CED, FARM GATE (MJ/kg)","Count of CED, processor gate (MJ/kg)"),'Pivot Table_CED'!$A$3,"SUB TYPE",$B265)=0,"PROXY","DB value"))</f>
        <v>PROXY</v>
      </c>
      <c r="M265" s="118">
        <f ca="1">IF($L265="PROXY",DCOUNT('literature entries'!$D:$AI,IF($J265=1,"ACTIVE     CED, FARM GATE (MJ/kg)","CED, processor gate (MJ/kg)"),INDIRECT($K265)),GETPIVOTDATA(IF($J265=1,"Count of ACTIVE     CED, FARM GATE (MJ/kg)","Count of CED, processor gate (MJ/kg)"),'Pivot Table_CED'!$A$3,"SUB TYPE",$B265))</f>
        <v>9</v>
      </c>
      <c r="N265" s="119">
        <f ca="1">IF($L265="PROXY",DAVERAGE('literature entries'!$D:$AI,IF($J265=1,"ACTIVE     CED, FARM GATE (MJ/kg)","CED, processor gate (MJ/kg)"),INDIRECT($K265)),GETPIVOTDATA(IF($J265=1,"Average of ACTIVE     CED, FARM GATE (MJ/kg)","Average of CED, processor gate (MJ/kg)"),'Pivot Table_CED'!$A$3,"SUB TYPE",$B265))</f>
        <v>3.3954128262185184</v>
      </c>
      <c r="O265" s="119">
        <f ca="1">IF($L265="PROXY",DSTDEV('literature entries'!D:AI,IF($J265=1,"ACTIVE     CED, FARM GATE (MJ/kg)","CED, processor gate (MJ/kg)"),INDIRECT($K265)),GETPIVOTDATA(IF($J265=1,"StdDev of ACTIVE     CED, FARM GATE (MJ/kg)","StdDev of CED, processor gate (MJ/kg)"),'Pivot Table_CED'!$A$3,"SUB TYPE",$B265))</f>
        <v>2.1698076963305595</v>
      </c>
      <c r="P265" s="135" t="str">
        <f>IF(ISERROR(GETPIVOTDATA(IF($J265=1,"Count of ACTIVE     GHGE, FARM GATE (kg CO2e/kg)","Count of GHGE, processor gate (kg CO2e/kg)"),'Pivot Table_GHG'!$A$3,"SUB TYPE",$B265)),"PROXY",IF(GETPIVOTDATA(IF($J265=1,"Count of ACTIVE     GHGE, FARM GATE (kg CO2e/kg)","Count of GHGE, processor gate (kg CO2e/kg)"),'Pivot Table_GHG'!$A$3,"SUB TYPE",$B265)=0,"PROXY","DB value"))</f>
        <v>PROXY</v>
      </c>
      <c r="Q265" s="125">
        <f ca="1">IF($P265="PROXY",DCOUNT('literature entries'!$D:$AI,IF($J265=1,"ACTIVE     GHGE, FARM GATE (kg CO2e/kg)","GHGE, processor gate (kg CO2e/kg)"),INDIRECT($K265)),GETPIVOTDATA(IF($J265=1,"ACTIVE     GHGE, FARM GATE (kg CO2e/kg)","Count of GHGE, processor gate (kg CO2e/kg)"),'Pivot Table_GHG'!$A$3,"SUB TYPE",$B265))</f>
        <v>30</v>
      </c>
      <c r="R265" s="190">
        <f ca="1">IF($P265="PROXY",DAVERAGE('literature entries'!$D:$AI,IF($J265=1,"ACTIVE     GHGE, FARM GATE (kg CO2e/kg)","GHGE, processor gate (kg CO2e/kg)"),INDIRECT($K265)),GETPIVOTDATA(IF($J265=1,"Average of ACTIVE     GHGE, FARM GATE (kg CO2e/kg)","Average of GHGE, processor gate (kg CO2e/kg)"),'Pivot Table_GHG'!$A$3,"SUB TYPE",$B265))</f>
        <v>0.53448943577564734</v>
      </c>
      <c r="S265" s="190">
        <f ca="1">IF($P265="PROXY",DSTDEV('literature entries'!$D:$AI,IF($J265=1,"ACTIVE     GHGE, FARM GATE (kg CO2e/kg)","GHGE, processor gate (kg CO2e/kg)"),INDIRECT($K265)),GETPIVOTDATA(IF($J265=1,"StdDev of ACTIVE     GHGE, FARM GATE (kg CO2e/kg)","StdDev of GHGE, processor gate (kg CO2e/kg)"),'Pivot Table_GHG'!$A$3,"SUB TYPE",$B265))</f>
        <v>0.86200931416440196</v>
      </c>
      <c r="T265" s="88"/>
      <c r="U265" s="89"/>
      <c r="W265" s="213" t="str">
        <f ca="1">IF(L265="PROXY",IF(M265&gt;=5,K265,"need group"),IF(M265&gt;=5,"DIRECT","need group"))</f>
        <v>tropical_fruit</v>
      </c>
      <c r="X265" s="211">
        <f ca="1">IF($W265="DIRECT",M265,DCOUNT('literature entries'!$D:$AI,IF($J265=1,"ACTIVE     CED, FARM GATE (MJ/kg)","CED, processor gate (MJ/kg)"),INDIRECT($W265)))</f>
        <v>9</v>
      </c>
      <c r="Y265" s="211">
        <f ca="1">IF($W265="DIRECT","",DAVERAGE('literature entries'!$D:$AI,IF($J265=1,"ACTIVE     CED, FARM GATE (MJ/kg)","CED, processor gate (MJ/kg)"),INDIRECT($W265)))</f>
        <v>3.3954128262185184</v>
      </c>
      <c r="Z265" s="211">
        <f ca="1">IF($W265="DIRECT",$O265,DSTDEV('literature entries'!$D:$AI,IF($J265=1,"ACTIVE     CED, FARM GATE (MJ/kg)","CED, processor gate (MJ/kg)"),INDIRECT($W265)))</f>
        <v>2.1698076963305595</v>
      </c>
      <c r="AA265" s="211">
        <f t="shared" ref="AA265:AA301" ca="1" si="36">IF($W265="DIRECT",$O265,$Z265/$Y265*$N265)</f>
        <v>2.1698076963305595</v>
      </c>
      <c r="AB265" s="219" t="str">
        <f ca="1">IF(P265="PROXY",IF(Q265&gt;=5,K265,"need group"),IF(Q265&gt;=5,"DIRECT","need group"))</f>
        <v>tropical_fruit</v>
      </c>
      <c r="AC265" s="212">
        <f ca="1">IF($AB265="DIRECT",Q265,DCOUNT('literature entries'!$D:$AI,IF($J265=1,"ACTIVE     GHGE, FARM GATE (kg CO2e/kg)","GHGE, processor gate (kg CO2e/kg)"),INDIRECT($AB265)))</f>
        <v>30</v>
      </c>
      <c r="AD265" s="212">
        <f ca="1">IF($AB265="DIRECT","",DAVERAGE('literature entries'!$D:$AI,IF($J265=1,"ACTIVE     GHGE, FARM GATE (kg CO2e/kg)","GHGE, processor gate (kg CO2e/kg)"),INDIRECT($AB265)))</f>
        <v>0.53448943577564734</v>
      </c>
      <c r="AE265" s="212">
        <f ca="1">IF($AB265="DIRECT",$S265,DSTDEV('literature entries'!$D:$AI,IF($J265=1,"ACTIVE     GHGE, FARM GATE (kg CO2e/kg)","GHGE, processor gate (kg CO2e/kg)"),INDIRECT($AB265)))</f>
        <v>0.86200931416440196</v>
      </c>
      <c r="AF265" s="212">
        <f t="shared" ref="AF265:AF301" ca="1" si="37">IF($AB265="DIRECT",$S265,$AE265/$AD265*$R265)</f>
        <v>0.86200931416440196</v>
      </c>
    </row>
    <row r="266" spans="1:32" s="19" customFormat="1" ht="17" thickBot="1" x14ac:dyDescent="0.25">
      <c r="A266" s="114">
        <v>2402217000</v>
      </c>
      <c r="B266" s="115" t="s">
        <v>2067</v>
      </c>
      <c r="C266" s="115" t="s">
        <v>1742</v>
      </c>
      <c r="D266" s="115"/>
      <c r="E266" s="115">
        <v>6269</v>
      </c>
      <c r="F266" s="111">
        <f t="shared" ca="1" si="34"/>
        <v>11.665376113290815</v>
      </c>
      <c r="G266" s="112">
        <f t="shared" ca="1" si="35"/>
        <v>1.9839192653382169</v>
      </c>
      <c r="H266" s="116">
        <v>1.88</v>
      </c>
      <c r="I266" s="117" t="s">
        <v>878</v>
      </c>
      <c r="J266" s="79">
        <v>1</v>
      </c>
      <c r="K266" s="78" t="s">
        <v>3269</v>
      </c>
      <c r="L266" s="135" t="str">
        <f>IF(ISERROR(GETPIVOTDATA(IF($J266=1,"Count of ACTIVE     CED, FARM GATE (MJ/kg)","Count of CED, processor gate (MJ/kg)"),'Pivot Table_CED'!$A$3,"SUB TYPE",$B266)),"PROXY",IF(GETPIVOTDATA(IF($J266=1,"Count of ACTIVE     CED, FARM GATE (MJ/kg)","Count of CED, processor gate (MJ/kg)"),'Pivot Table_CED'!$A$3,"SUB TYPE",$B266)=0,"PROXY","DB value"))</f>
        <v>PROXY</v>
      </c>
      <c r="M266" s="118">
        <f ca="1">IF($L266="PROXY",DCOUNT('literature entries'!$D:$AI,IF($J266=1,"ACTIVE     CED, FARM GATE (MJ/kg)","CED, processor gate (MJ/kg)"),INDIRECT($K266)),GETPIVOTDATA(IF($J266=1,"Count of ACTIVE     CED, FARM GATE (MJ/kg)","Count of CED, processor gate (MJ/kg)"),'Pivot Table_CED'!$A$3,"SUB TYPE",$B266))</f>
        <v>9</v>
      </c>
      <c r="N266" s="119">
        <f ca="1">IF($L266="PROXY",DAVERAGE('literature entries'!$D:$AI,IF($J266=1,"ACTIVE     CED, FARM GATE (MJ/kg)","CED, processor gate (MJ/kg)"),INDIRECT($K266)),GETPIVOTDATA(IF($J266=1,"Average of ACTIVE     CED, FARM GATE (MJ/kg)","Average of CED, processor gate (MJ/kg)"),'Pivot Table_CED'!$A$3,"SUB TYPE",$B266))</f>
        <v>3.3954128262185184</v>
      </c>
      <c r="O266" s="119">
        <f ca="1">IF($L266="PROXY",DSTDEV('literature entries'!D:AI,IF($J266=1,"ACTIVE     CED, FARM GATE (MJ/kg)","CED, processor gate (MJ/kg)"),INDIRECT($K266)),GETPIVOTDATA(IF($J266=1,"StdDev of ACTIVE     CED, FARM GATE (MJ/kg)","StdDev of CED, processor gate (MJ/kg)"),'Pivot Table_CED'!$A$3,"SUB TYPE",$B266))</f>
        <v>2.1698076963305595</v>
      </c>
      <c r="P266" s="135" t="str">
        <f>IF(ISERROR(GETPIVOTDATA(IF($J266=1,"Count of ACTIVE     GHGE, FARM GATE (kg CO2e/kg)","Count of GHGE, processor gate (kg CO2e/kg)"),'Pivot Table_GHG'!$A$3,"SUB TYPE",$B266)),"PROXY",IF(GETPIVOTDATA(IF($J266=1,"Count of ACTIVE     GHGE, FARM GATE (kg CO2e/kg)","Count of GHGE, processor gate (kg CO2e/kg)"),'Pivot Table_GHG'!$A$3,"SUB TYPE",$B266)=0,"PROXY","DB value"))</f>
        <v>PROXY</v>
      </c>
      <c r="Q266" s="125">
        <f ca="1">IF($P266="PROXY",DCOUNT('literature entries'!$D:$AI,IF($J266=1,"ACTIVE     GHGE, FARM GATE (kg CO2e/kg)","GHGE, processor gate (kg CO2e/kg)"),INDIRECT($K266)),GETPIVOTDATA(IF($J266=1,"ACTIVE     GHGE, FARM GATE (kg CO2e/kg)","Count of GHGE, processor gate (kg CO2e/kg)"),'Pivot Table_GHG'!$A$3,"SUB TYPE",$B266))</f>
        <v>30</v>
      </c>
      <c r="R266" s="190">
        <f ca="1">IF($P266="PROXY",DAVERAGE('literature entries'!$D:$AI,IF($J266=1,"ACTIVE     GHGE, FARM GATE (kg CO2e/kg)","GHGE, processor gate (kg CO2e/kg)"),INDIRECT($K266)),GETPIVOTDATA(IF($J266=1,"Average of ACTIVE     GHGE, FARM GATE (kg CO2e/kg)","Average of GHGE, processor gate (kg CO2e/kg)"),'Pivot Table_GHG'!$A$3,"SUB TYPE",$B266))</f>
        <v>0.53448943577564734</v>
      </c>
      <c r="S266" s="190">
        <f ca="1">IF($P266="PROXY",DSTDEV('literature entries'!$D:$AI,IF($J266=1,"ACTIVE     GHGE, FARM GATE (kg CO2e/kg)","GHGE, processor gate (kg CO2e/kg)"),INDIRECT($K266)),GETPIVOTDATA(IF($J266=1,"StdDev of ACTIVE     GHGE, FARM GATE (kg CO2e/kg)","StdDev of GHGE, processor gate (kg CO2e/kg)"),'Pivot Table_GHG'!$A$3,"SUB TYPE",$B266))</f>
        <v>0.86200931416440196</v>
      </c>
      <c r="T266" s="86">
        <v>5.282</v>
      </c>
      <c r="U266" s="87">
        <v>0.97907912607999992</v>
      </c>
      <c r="W266" s="213" t="str">
        <f ca="1">IF(L266="PROXY",IF(M266&gt;=5,K266,"need group"),IF(M266&gt;=5,"DIRECT","need group"))</f>
        <v>tropical_fruit</v>
      </c>
      <c r="X266" s="211">
        <f ca="1">IF($W266="DIRECT",M266,DCOUNT('literature entries'!$D:$AI,IF($J266=1,"ACTIVE     CED, FARM GATE (MJ/kg)","CED, processor gate (MJ/kg)"),INDIRECT($W266)))</f>
        <v>9</v>
      </c>
      <c r="Y266" s="211">
        <f ca="1">IF($W266="DIRECT","",DAVERAGE('literature entries'!$D:$AI,IF($J266=1,"ACTIVE     CED, FARM GATE (MJ/kg)","CED, processor gate (MJ/kg)"),INDIRECT($W266)))</f>
        <v>3.3954128262185184</v>
      </c>
      <c r="Z266" s="211">
        <f ca="1">IF($W266="DIRECT",$O266,DSTDEV('literature entries'!$D:$AI,IF($J266=1,"ACTIVE     CED, FARM GATE (MJ/kg)","CED, processor gate (MJ/kg)"),INDIRECT($W266)))</f>
        <v>2.1698076963305595</v>
      </c>
      <c r="AA266" s="211">
        <f t="shared" ca="1" si="36"/>
        <v>2.1698076963305595</v>
      </c>
      <c r="AB266" s="219" t="str">
        <f ca="1">IF(P266="PROXY",IF(Q266&gt;=5,K266,"need group"),IF(Q266&gt;=5,"DIRECT","need group"))</f>
        <v>tropical_fruit</v>
      </c>
      <c r="AC266" s="212">
        <f ca="1">IF($AB266="DIRECT",Q266,DCOUNT('literature entries'!$D:$AI,IF($J266=1,"ACTIVE     GHGE, FARM GATE (kg CO2e/kg)","GHGE, processor gate (kg CO2e/kg)"),INDIRECT($AB266)))</f>
        <v>30</v>
      </c>
      <c r="AD266" s="212">
        <f ca="1">IF($AB266="DIRECT","",DAVERAGE('literature entries'!$D:$AI,IF($J266=1,"ACTIVE     GHGE, FARM GATE (kg CO2e/kg)","GHGE, processor gate (kg CO2e/kg)"),INDIRECT($AB266)))</f>
        <v>0.53448943577564734</v>
      </c>
      <c r="AE266" s="212">
        <f ca="1">IF($AB266="DIRECT",$S266,DSTDEV('literature entries'!$D:$AI,IF($J266=1,"ACTIVE     GHGE, FARM GATE (kg CO2e/kg)","GHGE, processor gate (kg CO2e/kg)"),INDIRECT($AB266)))</f>
        <v>0.86200931416440196</v>
      </c>
      <c r="AF266" s="212">
        <f t="shared" ca="1" si="37"/>
        <v>0.86200931416440196</v>
      </c>
    </row>
    <row r="267" spans="1:32" s="19" customFormat="1" thickBot="1" x14ac:dyDescent="0.25">
      <c r="A267" s="114">
        <v>2402245000</v>
      </c>
      <c r="B267" s="115" t="s">
        <v>2115</v>
      </c>
      <c r="C267" s="115" t="s">
        <v>2116</v>
      </c>
      <c r="D267" s="115"/>
      <c r="E267" s="115">
        <v>266</v>
      </c>
      <c r="F267" s="111">
        <f t="shared" ca="1" si="34"/>
        <v>1.9799277939999995</v>
      </c>
      <c r="G267" s="112">
        <f t="shared" ca="1" si="35"/>
        <v>0.2160202</v>
      </c>
      <c r="H267" s="116">
        <v>1.49</v>
      </c>
      <c r="I267" s="116" t="s">
        <v>2724</v>
      </c>
      <c r="J267" s="79">
        <v>1</v>
      </c>
      <c r="K267" s="78"/>
      <c r="L267" s="135" t="str">
        <f>IF(ISERROR(GETPIVOTDATA(IF($J267=1,"Count of ACTIVE     CED, FARM GATE (MJ/kg)","Count of CED, processor gate (MJ/kg)"),'Pivot Table_CED'!$A$3,"SUB TYPE",$B267)),"PROXY",IF(GETPIVOTDATA(IF($J267=1,"Count of ACTIVE     CED, FARM GATE (MJ/kg)","Count of CED, processor gate (MJ/kg)"),'Pivot Table_CED'!$A$3,"SUB TYPE",$B267)=0,"PROXY","DB value"))</f>
        <v>DB value</v>
      </c>
      <c r="M267" s="118">
        <f ca="1">IF($L267="PROXY",DCOUNT('literature entries'!$D:$AI,IF($J267=1,"ACTIVE     CED, FARM GATE (MJ/kg)","CED, processor gate (MJ/kg)"),INDIRECT($K267)),GETPIVOTDATA(IF($J267=1,"Count of ACTIVE     CED, FARM GATE (MJ/kg)","Count of CED, processor gate (MJ/kg)"),'Pivot Table_CED'!$A$3,"SUB TYPE",$B267))</f>
        <v>1</v>
      </c>
      <c r="N267" s="119">
        <f ca="1">IF($L267="PROXY",DAVERAGE('literature entries'!$D:$AI,IF($J267=1,"ACTIVE     CED, FARM GATE (MJ/kg)","CED, processor gate (MJ/kg)"),INDIRECT($K267)),GETPIVOTDATA(IF($J267=1,"Average of ACTIVE     CED, FARM GATE (MJ/kg)","Average of CED, processor gate (MJ/kg)"),'Pivot Table_CED'!$A$3,"SUB TYPE",$B267))</f>
        <v>1.3288105999999997</v>
      </c>
      <c r="O267" s="119">
        <f ca="1">IF($L267="PROXY",DSTDEV('literature entries'!D:AI,IF($J267=1,"ACTIVE     CED, FARM GATE (MJ/kg)","CED, processor gate (MJ/kg)"),INDIRECT($K267)),GETPIVOTDATA(IF($J267=1,"StdDev of ACTIVE     CED, FARM GATE (MJ/kg)","StdDev of CED, processor gate (MJ/kg)"),'Pivot Table_CED'!$A$3,"SUB TYPE",$B267))</f>
        <v>0</v>
      </c>
      <c r="P267" s="135" t="str">
        <f>IF(ISERROR(GETPIVOTDATA(IF($J267=1,"Count of ACTIVE     GHGE, FARM GATE (kg CO2e/kg)","Count of GHGE, processor gate (kg CO2e/kg)"),'Pivot Table_GHG'!$A$3,"SUB TYPE",$B267)),"PROXY",IF(GETPIVOTDATA(IF($J267=1,"Count of ACTIVE     GHGE, FARM GATE (kg CO2e/kg)","Count of GHGE, processor gate (kg CO2e/kg)"),'Pivot Table_GHG'!$A$3,"SUB TYPE",$B267)=0,"PROXY","DB value"))</f>
        <v>DB value</v>
      </c>
      <c r="Q267" s="125">
        <f ca="1">IF($P267="PROXY",DCOUNT('literature entries'!$D:$AI,IF($J267=1,"ACTIVE     GHGE, FARM GATE (kg CO2e/kg)","GHGE, processor gate (kg CO2e/kg)"),INDIRECT($K267)),GETPIVOTDATA(IF($J267=1,"ACTIVE     GHGE, FARM GATE (kg CO2e/kg)","Count of GHGE, processor gate (kg CO2e/kg)"),'Pivot Table_GHG'!$A$3,"SUB TYPE",$B267))</f>
        <v>1</v>
      </c>
      <c r="R267" s="190">
        <f ca="1">IF($P267="PROXY",DAVERAGE('literature entries'!$D:$AI,IF($J267=1,"ACTIVE     GHGE, FARM GATE (kg CO2e/kg)","GHGE, processor gate (kg CO2e/kg)"),INDIRECT($K267)),GETPIVOTDATA(IF($J267=1,"Average of ACTIVE     GHGE, FARM GATE (kg CO2e/kg)","Average of GHGE, processor gate (kg CO2e/kg)"),'Pivot Table_GHG'!$A$3,"SUB TYPE",$B267))</f>
        <v>0.14498</v>
      </c>
      <c r="S267" s="190" t="e">
        <f ca="1">IF($P267="PROXY",DSTDEV('literature entries'!$D:$AI,IF($J267=1,"ACTIVE     GHGE, FARM GATE (kg CO2e/kg)","GHGE, processor gate (kg CO2e/kg)"),INDIRECT($K267)),GETPIVOTDATA(IF($J267=1,"StdDev of ACTIVE     GHGE, FARM GATE (kg CO2e/kg)","StdDev of GHGE, processor gate (kg CO2e/kg)"),'Pivot Table_GHG'!$A$3,"SUB TYPE",$B267))</f>
        <v>#DIV/0!</v>
      </c>
      <c r="T267" s="88"/>
      <c r="U267" s="89"/>
      <c r="W267" s="213" t="s">
        <v>3269</v>
      </c>
      <c r="X267" s="211">
        <f ca="1">IF($W267="DIRECT",M267,DCOUNT('literature entries'!$D:$AI,IF($J267=1,"ACTIVE     CED, FARM GATE (MJ/kg)","CED, processor gate (MJ/kg)"),INDIRECT($W267)))</f>
        <v>9</v>
      </c>
      <c r="Y267" s="211">
        <f ca="1">IF($W267="DIRECT","",DAVERAGE('literature entries'!$D:$AI,IF($J267=1,"ACTIVE     CED, FARM GATE (MJ/kg)","CED, processor gate (MJ/kg)"),INDIRECT($W267)))</f>
        <v>3.3954128262185184</v>
      </c>
      <c r="Z267" s="211">
        <f ca="1">IF($W267="DIRECT",$O267,DSTDEV('literature entries'!$D:$AI,IF($J267=1,"ACTIVE     CED, FARM GATE (MJ/kg)","CED, processor gate (MJ/kg)"),INDIRECT($W267)))</f>
        <v>2.1698076963305595</v>
      </c>
      <c r="AA267" s="211">
        <f t="shared" ca="1" si="36"/>
        <v>0.84916433270846992</v>
      </c>
      <c r="AB267" s="219" t="s">
        <v>3269</v>
      </c>
      <c r="AC267" s="212">
        <f ca="1">IF($AB267="DIRECT",Q267,DCOUNT('literature entries'!$D:$AI,IF($J267=1,"ACTIVE     GHGE, FARM GATE (kg CO2e/kg)","GHGE, processor gate (kg CO2e/kg)"),INDIRECT($AB267)))</f>
        <v>30</v>
      </c>
      <c r="AD267" s="212">
        <f ca="1">IF($AB267="DIRECT","",DAVERAGE('literature entries'!$D:$AI,IF($J267=1,"ACTIVE     GHGE, FARM GATE (kg CO2e/kg)","GHGE, processor gate (kg CO2e/kg)"),INDIRECT($AB267)))</f>
        <v>0.53448943577564734</v>
      </c>
      <c r="AE267" s="212">
        <f ca="1">IF($AB267="DIRECT",$S267,DSTDEV('literature entries'!$D:$AI,IF($J267=1,"ACTIVE     GHGE, FARM GATE (kg CO2e/kg)","GHGE, processor gate (kg CO2e/kg)"),INDIRECT($AB267)))</f>
        <v>0.86200931416440196</v>
      </c>
      <c r="AF267" s="212">
        <f t="shared" ca="1" si="37"/>
        <v>0.23381960802685173</v>
      </c>
    </row>
    <row r="268" spans="1:32" s="19" customFormat="1" ht="17" thickBot="1" x14ac:dyDescent="0.25">
      <c r="A268" s="114">
        <v>2402246000</v>
      </c>
      <c r="B268" s="115" t="s">
        <v>2117</v>
      </c>
      <c r="C268" s="115" t="s">
        <v>2066</v>
      </c>
      <c r="D268" s="115"/>
      <c r="E268" s="115">
        <v>121</v>
      </c>
      <c r="F268" s="111">
        <f t="shared" ca="1" si="34"/>
        <v>14.218273419999996</v>
      </c>
      <c r="G268" s="112">
        <f t="shared" ca="1" si="35"/>
        <v>1.5512859999999999</v>
      </c>
      <c r="H268" s="116">
        <v>10.7</v>
      </c>
      <c r="I268" s="117" t="s">
        <v>2724</v>
      </c>
      <c r="J268" s="79">
        <v>1</v>
      </c>
      <c r="K268" s="78" t="s">
        <v>2770</v>
      </c>
      <c r="L268" s="135" t="str">
        <f>IF(ISERROR(GETPIVOTDATA(IF($J268=1,"Count of ACTIVE     CED, FARM GATE (MJ/kg)","Count of CED, processor gate (MJ/kg)"),'Pivot Table_CED'!$A$3,"SUB TYPE",$B268)),"PROXY",IF(GETPIVOTDATA(IF($J268=1,"Count of ACTIVE     CED, FARM GATE (MJ/kg)","Count of CED, processor gate (MJ/kg)"),'Pivot Table_CED'!$A$3,"SUB TYPE",$B268)=0,"PROXY","DB value"))</f>
        <v>PROXY</v>
      </c>
      <c r="M268" s="118">
        <f ca="1">IF($L268="PROXY",DCOUNT('literature entries'!$D:$AI,IF($J268=1,"ACTIVE     CED, FARM GATE (MJ/kg)","CED, processor gate (MJ/kg)"),INDIRECT($K268)),GETPIVOTDATA(IF($J268=1,"Count of ACTIVE     CED, FARM GATE (MJ/kg)","Count of CED, processor gate (MJ/kg)"),'Pivot Table_CED'!$A$3,"SUB TYPE",$B268))</f>
        <v>1</v>
      </c>
      <c r="N268" s="119">
        <f ca="1">IF($L268="PROXY",DAVERAGE('literature entries'!$D:$AI,IF($J268=1,"ACTIVE     CED, FARM GATE (MJ/kg)","CED, processor gate (MJ/kg)"),INDIRECT($K268)),GETPIVOTDATA(IF($J268=1,"Average of ACTIVE     CED, FARM GATE (MJ/kg)","Average of CED, processor gate (MJ/kg)"),'Pivot Table_CED'!$A$3,"SUB TYPE",$B268))</f>
        <v>1.3288105999999997</v>
      </c>
      <c r="O268" s="119" t="e">
        <f ca="1">IF($L268="PROXY",DSTDEV('literature entries'!D:AI,IF($J268=1,"ACTIVE     CED, FARM GATE (MJ/kg)","CED, processor gate (MJ/kg)"),INDIRECT($K268)),GETPIVOTDATA(IF($J268=1,"StdDev of ACTIVE     CED, FARM GATE (MJ/kg)","StdDev of CED, processor gate (MJ/kg)"),'Pivot Table_CED'!$A$3,"SUB TYPE",$B268))</f>
        <v>#DIV/0!</v>
      </c>
      <c r="P268" s="135" t="str">
        <f>IF(ISERROR(GETPIVOTDATA(IF($J268=1,"Count of ACTIVE     GHGE, FARM GATE (kg CO2e/kg)","Count of GHGE, processor gate (kg CO2e/kg)"),'Pivot Table_GHG'!$A$3,"SUB TYPE",$B268)),"PROXY",IF(GETPIVOTDATA(IF($J268=1,"Count of ACTIVE     GHGE, FARM GATE (kg CO2e/kg)","Count of GHGE, processor gate (kg CO2e/kg)"),'Pivot Table_GHG'!$A$3,"SUB TYPE",$B268)=0,"PROXY","DB value"))</f>
        <v>PROXY</v>
      </c>
      <c r="Q268" s="125">
        <f ca="1">IF($P268="PROXY",DCOUNT('literature entries'!$D:$AI,IF($J268=1,"ACTIVE     GHGE, FARM GATE (kg CO2e/kg)","GHGE, processor gate (kg CO2e/kg)"),INDIRECT($K268)),GETPIVOTDATA(IF($J268=1,"ACTIVE     GHGE, FARM GATE (kg CO2e/kg)","Count of GHGE, processor gate (kg CO2e/kg)"),'Pivot Table_GHG'!$A$3,"SUB TYPE",$B268))</f>
        <v>1</v>
      </c>
      <c r="R268" s="190">
        <f ca="1">IF($P268="PROXY",DAVERAGE('literature entries'!$D:$AI,IF($J268=1,"ACTIVE     GHGE, FARM GATE (kg CO2e/kg)","GHGE, processor gate (kg CO2e/kg)"),INDIRECT($K268)),GETPIVOTDATA(IF($J268=1,"Average of ACTIVE     GHGE, FARM GATE (kg CO2e/kg)","Average of GHGE, processor gate (kg CO2e/kg)"),'Pivot Table_GHG'!$A$3,"SUB TYPE",$B268))</f>
        <v>0.14498</v>
      </c>
      <c r="S268" s="190" t="e">
        <f ca="1">IF($P268="PROXY",DSTDEV('literature entries'!$D:$AI,IF($J268=1,"ACTIVE     GHGE, FARM GATE (kg CO2e/kg)","GHGE, processor gate (kg CO2e/kg)"),INDIRECT($K268)),GETPIVOTDATA(IF($J268=1,"StdDev of ACTIVE     GHGE, FARM GATE (kg CO2e/kg)","StdDev of GHGE, processor gate (kg CO2e/kg)"),'Pivot Table_GHG'!$A$3,"SUB TYPE",$B268))</f>
        <v>#DIV/0!</v>
      </c>
      <c r="T268" s="88"/>
      <c r="U268" s="89"/>
      <c r="W268" s="213" t="s">
        <v>3269</v>
      </c>
      <c r="X268" s="211">
        <f ca="1">IF($W268="DIRECT",M268,DCOUNT('literature entries'!$D:$AI,IF($J268=1,"ACTIVE     CED, FARM GATE (MJ/kg)","CED, processor gate (MJ/kg)"),INDIRECT($W268)))</f>
        <v>9</v>
      </c>
      <c r="Y268" s="211">
        <f ca="1">IF($W268="DIRECT","",DAVERAGE('literature entries'!$D:$AI,IF($J268=1,"ACTIVE     CED, FARM GATE (MJ/kg)","CED, processor gate (MJ/kg)"),INDIRECT($W268)))</f>
        <v>3.3954128262185184</v>
      </c>
      <c r="Z268" s="211">
        <f ca="1">IF($W268="DIRECT",$O268,DSTDEV('literature entries'!$D:$AI,IF($J268=1,"ACTIVE     CED, FARM GATE (MJ/kg)","CED, processor gate (MJ/kg)"),INDIRECT($W268)))</f>
        <v>2.1698076963305595</v>
      </c>
      <c r="AA268" s="211">
        <f t="shared" ca="1" si="36"/>
        <v>0.84916433270846992</v>
      </c>
      <c r="AB268" s="219" t="s">
        <v>3269</v>
      </c>
      <c r="AC268" s="212">
        <f ca="1">IF($AB268="DIRECT",Q268,DCOUNT('literature entries'!$D:$AI,IF($J268=1,"ACTIVE     GHGE, FARM GATE (kg CO2e/kg)","GHGE, processor gate (kg CO2e/kg)"),INDIRECT($AB268)))</f>
        <v>30</v>
      </c>
      <c r="AD268" s="212">
        <f ca="1">IF($AB268="DIRECT","",DAVERAGE('literature entries'!$D:$AI,IF($J268=1,"ACTIVE     GHGE, FARM GATE (kg CO2e/kg)","GHGE, processor gate (kg CO2e/kg)"),INDIRECT($AB268)))</f>
        <v>0.53448943577564734</v>
      </c>
      <c r="AE268" s="212">
        <f ca="1">IF($AB268="DIRECT",$S268,DSTDEV('literature entries'!$D:$AI,IF($J268=1,"ACTIVE     GHGE, FARM GATE (kg CO2e/kg)","GHGE, processor gate (kg CO2e/kg)"),INDIRECT($AB268)))</f>
        <v>0.86200931416440196</v>
      </c>
      <c r="AF268" s="212">
        <f t="shared" ca="1" si="37"/>
        <v>0.23381960802685173</v>
      </c>
    </row>
    <row r="269" spans="1:32" s="19" customFormat="1" ht="17" thickBot="1" x14ac:dyDescent="0.25">
      <c r="A269" s="114">
        <v>2402247000</v>
      </c>
      <c r="B269" s="115" t="s">
        <v>2118</v>
      </c>
      <c r="C269" s="115" t="s">
        <v>1742</v>
      </c>
      <c r="D269" s="115"/>
      <c r="E269" s="115">
        <v>38</v>
      </c>
      <c r="F269" s="111">
        <f t="shared" ca="1" si="34"/>
        <v>7.261927794</v>
      </c>
      <c r="G269" s="112">
        <f t="shared" ca="1" si="35"/>
        <v>1.19509932608</v>
      </c>
      <c r="H269" s="116">
        <v>1.49</v>
      </c>
      <c r="I269" s="117" t="s">
        <v>2724</v>
      </c>
      <c r="J269" s="79">
        <v>1</v>
      </c>
      <c r="K269" s="78" t="s">
        <v>2770</v>
      </c>
      <c r="L269" s="135" t="str">
        <f>IF(ISERROR(GETPIVOTDATA(IF($J269=1,"Count of ACTIVE     CED, FARM GATE (MJ/kg)","Count of CED, processor gate (MJ/kg)"),'Pivot Table_CED'!$A$3,"SUB TYPE",$B269)),"PROXY",IF(GETPIVOTDATA(IF($J269=1,"Count of ACTIVE     CED, FARM GATE (MJ/kg)","Count of CED, processor gate (MJ/kg)"),'Pivot Table_CED'!$A$3,"SUB TYPE",$B269)=0,"PROXY","DB value"))</f>
        <v>PROXY</v>
      </c>
      <c r="M269" s="118">
        <f ca="1">IF($L269="PROXY",DCOUNT('literature entries'!$D:$AI,IF($J269=1,"ACTIVE     CED, FARM GATE (MJ/kg)","CED, processor gate (MJ/kg)"),INDIRECT($K269)),GETPIVOTDATA(IF($J269=1,"Count of ACTIVE     CED, FARM GATE (MJ/kg)","Count of CED, processor gate (MJ/kg)"),'Pivot Table_CED'!$A$3,"SUB TYPE",$B269))</f>
        <v>1</v>
      </c>
      <c r="N269" s="119">
        <f ca="1">IF($L269="PROXY",DAVERAGE('literature entries'!$D:$AI,IF($J269=1,"ACTIVE     CED, FARM GATE (MJ/kg)","CED, processor gate (MJ/kg)"),INDIRECT($K269)),GETPIVOTDATA(IF($J269=1,"Average of ACTIVE     CED, FARM GATE (MJ/kg)","Average of CED, processor gate (MJ/kg)"),'Pivot Table_CED'!$A$3,"SUB TYPE",$B269))</f>
        <v>1.3288105999999997</v>
      </c>
      <c r="O269" s="119" t="e">
        <f ca="1">IF($L269="PROXY",DSTDEV('literature entries'!D:AI,IF($J269=1,"ACTIVE     CED, FARM GATE (MJ/kg)","CED, processor gate (MJ/kg)"),INDIRECT($K269)),GETPIVOTDATA(IF($J269=1,"StdDev of ACTIVE     CED, FARM GATE (MJ/kg)","StdDev of CED, processor gate (MJ/kg)"),'Pivot Table_CED'!$A$3,"SUB TYPE",$B269))</f>
        <v>#DIV/0!</v>
      </c>
      <c r="P269" s="135" t="str">
        <f>IF(ISERROR(GETPIVOTDATA(IF($J269=1,"Count of ACTIVE     GHGE, FARM GATE (kg CO2e/kg)","Count of GHGE, processor gate (kg CO2e/kg)"),'Pivot Table_GHG'!$A$3,"SUB TYPE",$B269)),"PROXY",IF(GETPIVOTDATA(IF($J269=1,"Count of ACTIVE     GHGE, FARM GATE (kg CO2e/kg)","Count of GHGE, processor gate (kg CO2e/kg)"),'Pivot Table_GHG'!$A$3,"SUB TYPE",$B269)=0,"PROXY","DB value"))</f>
        <v>PROXY</v>
      </c>
      <c r="Q269" s="125">
        <f ca="1">IF($P269="PROXY",DCOUNT('literature entries'!$D:$AI,IF($J269=1,"ACTIVE     GHGE, FARM GATE (kg CO2e/kg)","GHGE, processor gate (kg CO2e/kg)"),INDIRECT($K269)),GETPIVOTDATA(IF($J269=1,"ACTIVE     GHGE, FARM GATE (kg CO2e/kg)","Count of GHGE, processor gate (kg CO2e/kg)"),'Pivot Table_GHG'!$A$3,"SUB TYPE",$B269))</f>
        <v>1</v>
      </c>
      <c r="R269" s="190">
        <f ca="1">IF($P269="PROXY",DAVERAGE('literature entries'!$D:$AI,IF($J269=1,"ACTIVE     GHGE, FARM GATE (kg CO2e/kg)","GHGE, processor gate (kg CO2e/kg)"),INDIRECT($K269)),GETPIVOTDATA(IF($J269=1,"Average of ACTIVE     GHGE, FARM GATE (kg CO2e/kg)","Average of GHGE, processor gate (kg CO2e/kg)"),'Pivot Table_GHG'!$A$3,"SUB TYPE",$B269))</f>
        <v>0.14498</v>
      </c>
      <c r="S269" s="190" t="e">
        <f ca="1">IF($P269="PROXY",DSTDEV('literature entries'!$D:$AI,IF($J269=1,"ACTIVE     GHGE, FARM GATE (kg CO2e/kg)","GHGE, processor gate (kg CO2e/kg)"),INDIRECT($K269)),GETPIVOTDATA(IF($J269=1,"StdDev of ACTIVE     GHGE, FARM GATE (kg CO2e/kg)","StdDev of GHGE, processor gate (kg CO2e/kg)"),'Pivot Table_GHG'!$A$3,"SUB TYPE",$B269))</f>
        <v>#DIV/0!</v>
      </c>
      <c r="T269" s="86">
        <v>5.282</v>
      </c>
      <c r="U269" s="87">
        <v>0.97907912608000003</v>
      </c>
      <c r="W269" s="213" t="s">
        <v>3269</v>
      </c>
      <c r="X269" s="211">
        <f ca="1">IF($W269="DIRECT",M269,DCOUNT('literature entries'!$D:$AI,IF($J269=1,"ACTIVE     CED, FARM GATE (MJ/kg)","CED, processor gate (MJ/kg)"),INDIRECT($W269)))</f>
        <v>9</v>
      </c>
      <c r="Y269" s="211">
        <f ca="1">IF($W269="DIRECT","",DAVERAGE('literature entries'!$D:$AI,IF($J269=1,"ACTIVE     CED, FARM GATE (MJ/kg)","CED, processor gate (MJ/kg)"),INDIRECT($W269)))</f>
        <v>3.3954128262185184</v>
      </c>
      <c r="Z269" s="211">
        <f ca="1">IF($W269="DIRECT",$O269,DSTDEV('literature entries'!$D:$AI,IF($J269=1,"ACTIVE     CED, FARM GATE (MJ/kg)","CED, processor gate (MJ/kg)"),INDIRECT($W269)))</f>
        <v>2.1698076963305595</v>
      </c>
      <c r="AA269" s="211">
        <f t="shared" ca="1" si="36"/>
        <v>0.84916433270846992</v>
      </c>
      <c r="AB269" s="219" t="s">
        <v>3269</v>
      </c>
      <c r="AC269" s="212">
        <f ca="1">IF($AB269="DIRECT",Q269,DCOUNT('literature entries'!$D:$AI,IF($J269=1,"ACTIVE     GHGE, FARM GATE (kg CO2e/kg)","GHGE, processor gate (kg CO2e/kg)"),INDIRECT($AB269)))</f>
        <v>30</v>
      </c>
      <c r="AD269" s="212">
        <f ca="1">IF($AB269="DIRECT","",DAVERAGE('literature entries'!$D:$AI,IF($J269=1,"ACTIVE     GHGE, FARM GATE (kg CO2e/kg)","GHGE, processor gate (kg CO2e/kg)"),INDIRECT($AB269)))</f>
        <v>0.53448943577564734</v>
      </c>
      <c r="AE269" s="212">
        <f ca="1">IF($AB269="DIRECT",$S269,DSTDEV('literature entries'!$D:$AI,IF($J269=1,"ACTIVE     GHGE, FARM GATE (kg CO2e/kg)","GHGE, processor gate (kg CO2e/kg)"),INDIRECT($AB269)))</f>
        <v>0.86200931416440196</v>
      </c>
      <c r="AF269" s="212">
        <f t="shared" ca="1" si="37"/>
        <v>0.23381960802685173</v>
      </c>
    </row>
    <row r="270" spans="1:32" s="19" customFormat="1" thickBot="1" x14ac:dyDescent="0.25">
      <c r="A270" s="114">
        <v>2402277000</v>
      </c>
      <c r="B270" s="115" t="s">
        <v>2166</v>
      </c>
      <c r="C270" s="115" t="s">
        <v>2167</v>
      </c>
      <c r="D270" s="115"/>
      <c r="E270" s="115">
        <v>48</v>
      </c>
      <c r="F270" s="111">
        <f t="shared" ca="1" si="34"/>
        <v>2.4180403333333333</v>
      </c>
      <c r="G270" s="112">
        <f t="shared" ca="1" si="35"/>
        <v>0.30692945487198525</v>
      </c>
      <c r="H270" s="116">
        <v>1.19</v>
      </c>
      <c r="I270" s="116" t="s">
        <v>2724</v>
      </c>
      <c r="J270" s="79">
        <v>1</v>
      </c>
      <c r="K270" s="78" t="s">
        <v>3268</v>
      </c>
      <c r="L270" s="135" t="str">
        <f>IF(ISERROR(GETPIVOTDATA(IF($J270=1,"Count of ACTIVE     CED, FARM GATE (MJ/kg)","Count of CED, processor gate (MJ/kg)"),'Pivot Table_CED'!$A$3,"SUB TYPE",$B270)),"PROXY",IF(GETPIVOTDATA(IF($J270=1,"Count of ACTIVE     CED, FARM GATE (MJ/kg)","Count of CED, processor gate (MJ/kg)"),'Pivot Table_CED'!$A$3,"SUB TYPE",$B270)=0,"PROXY","DB value"))</f>
        <v>PROXY</v>
      </c>
      <c r="M270" s="118">
        <f ca="1">IF($L270="PROXY",DCOUNT('literature entries'!$D:$AI,IF($J270=1,"ACTIVE     CED, FARM GATE (MJ/kg)","CED, processor gate (MJ/kg)"),INDIRECT($K270)),GETPIVOTDATA(IF($J270=1,"Count of ACTIVE     CED, FARM GATE (MJ/kg)","Count of CED, processor gate (MJ/kg)"),'Pivot Table_CED'!$A$3,"SUB TYPE",$B270))</f>
        <v>30</v>
      </c>
      <c r="N270" s="119">
        <f ca="1">IF($L270="PROXY",DAVERAGE('literature entries'!$D:$AI,IF($J270=1,"ACTIVE     CED, FARM GATE (MJ/kg)","CED, processor gate (MJ/kg)"),INDIRECT($K270)),GETPIVOTDATA(IF($J270=1,"Average of ACTIVE     CED, FARM GATE (MJ/kg)","Average of CED, processor gate (MJ/kg)"),'Pivot Table_CED'!$A$3,"SUB TYPE",$B270))</f>
        <v>2.0319666666666669</v>
      </c>
      <c r="O270" s="119">
        <f ca="1">IF($L270="PROXY",DSTDEV('literature entries'!D:AI,IF($J270=1,"ACTIVE     CED, FARM GATE (MJ/kg)","CED, processor gate (MJ/kg)"),INDIRECT($K270)),GETPIVOTDATA(IF($J270=1,"StdDev of ACTIVE     CED, FARM GATE (MJ/kg)","StdDev of CED, processor gate (MJ/kg)"),'Pivot Table_CED'!$A$3,"SUB TYPE",$B270))</f>
        <v>1.7780728376790285</v>
      </c>
      <c r="P270" s="135" t="str">
        <f>IF(ISERROR(GETPIVOTDATA(IF($J270=1,"Count of ACTIVE     GHGE, FARM GATE (kg CO2e/kg)","Count of GHGE, processor gate (kg CO2e/kg)"),'Pivot Table_GHG'!$A$3,"SUB TYPE",$B270)),"PROXY",IF(GETPIVOTDATA(IF($J270=1,"Count of ACTIVE     GHGE, FARM GATE (kg CO2e/kg)","Count of GHGE, processor gate (kg CO2e/kg)"),'Pivot Table_GHG'!$A$3,"SUB TYPE",$B270)=0,"PROXY","DB value"))</f>
        <v>PROXY</v>
      </c>
      <c r="Q270" s="125">
        <f ca="1">IF($P270="PROXY",DCOUNT('literature entries'!$D:$AI,IF($J270=1,"ACTIVE     GHGE, FARM GATE (kg CO2e/kg)","GHGE, processor gate (kg CO2e/kg)"),INDIRECT($K270)),GETPIVOTDATA(IF($J270=1,"ACTIVE     GHGE, FARM GATE (kg CO2e/kg)","Count of GHGE, processor gate (kg CO2e/kg)"),'Pivot Table_GHG'!$A$3,"SUB TYPE",$B270))</f>
        <v>59</v>
      </c>
      <c r="R270" s="190">
        <f ca="1">IF($P270="PROXY",DAVERAGE('literature entries'!$D:$AI,IF($J270=1,"ACTIVE     GHGE, FARM GATE (kg CO2e/kg)","GHGE, processor gate (kg CO2e/kg)"),INDIRECT($K270)),GETPIVOTDATA(IF($J270=1,"Average of ACTIVE     GHGE, FARM GATE (kg CO2e/kg)","Average of GHGE, processor gate (kg CO2e/kg)"),'Pivot Table_GHG'!$A$3,"SUB TYPE",$B270))</f>
        <v>0.25792391165713047</v>
      </c>
      <c r="S270" s="190">
        <f ca="1">IF($P270="PROXY",DSTDEV('literature entries'!$D:$AI,IF($J270=1,"ACTIVE     GHGE, FARM GATE (kg CO2e/kg)","GHGE, processor gate (kg CO2e/kg)"),INDIRECT($K270)),GETPIVOTDATA(IF($J270=1,"StdDev of ACTIVE     GHGE, FARM GATE (kg CO2e/kg)","StdDev of GHGE, processor gate (kg CO2e/kg)"),'Pivot Table_GHG'!$A$3,"SUB TYPE",$B270))</f>
        <v>0.22451998550634089</v>
      </c>
      <c r="T270" s="88"/>
      <c r="U270" s="89"/>
      <c r="W270" s="213" t="str">
        <f t="shared" ref="W270:W275" ca="1" si="38">IF(L270="PROXY",IF(M270&gt;=5,K270,"need group"),IF(M270&gt;=5,"DIRECT","need group"))</f>
        <v>tree_fruit</v>
      </c>
      <c r="X270" s="211">
        <f ca="1">IF($W270="DIRECT",M270,DCOUNT('literature entries'!$D:$AI,IF($J270=1,"ACTIVE     CED, FARM GATE (MJ/kg)","CED, processor gate (MJ/kg)"),INDIRECT($W270)))</f>
        <v>30</v>
      </c>
      <c r="Y270" s="211">
        <f ca="1">IF($W270="DIRECT","",DAVERAGE('literature entries'!$D:$AI,IF($J270=1,"ACTIVE     CED, FARM GATE (MJ/kg)","CED, processor gate (MJ/kg)"),INDIRECT($W270)))</f>
        <v>2.0319666666666669</v>
      </c>
      <c r="Z270" s="211">
        <f ca="1">IF($W270="DIRECT",$O270,DSTDEV('literature entries'!$D:$AI,IF($J270=1,"ACTIVE     CED, FARM GATE (MJ/kg)","CED, processor gate (MJ/kg)"),INDIRECT($W270)))</f>
        <v>1.7780728376790285</v>
      </c>
      <c r="AA270" s="211">
        <f t="shared" ca="1" si="36"/>
        <v>1.7780728376790285</v>
      </c>
      <c r="AB270" s="219" t="str">
        <f ca="1">IF(P270="PROXY",IF(Q270&gt;=5,K270,"need group"),IF(Q270&gt;=5,"DIRECT","need group"))</f>
        <v>tree_fruit</v>
      </c>
      <c r="AC270" s="212">
        <f ca="1">IF($AB270="DIRECT",Q270,DCOUNT('literature entries'!$D:$AI,IF($J270=1,"ACTIVE     GHGE, FARM GATE (kg CO2e/kg)","GHGE, processor gate (kg CO2e/kg)"),INDIRECT($AB270)))</f>
        <v>59</v>
      </c>
      <c r="AD270" s="212">
        <f ca="1">IF($AB270="DIRECT","",DAVERAGE('literature entries'!$D:$AI,IF($J270=1,"ACTIVE     GHGE, FARM GATE (kg CO2e/kg)","GHGE, processor gate (kg CO2e/kg)"),INDIRECT($AB270)))</f>
        <v>0.25792391165713047</v>
      </c>
      <c r="AE270" s="212">
        <f ca="1">IF($AB270="DIRECT",$S270,DSTDEV('literature entries'!$D:$AI,IF($J270=1,"ACTIVE     GHGE, FARM GATE (kg CO2e/kg)","GHGE, processor gate (kg CO2e/kg)"),INDIRECT($AB270)))</f>
        <v>0.22451998550634089</v>
      </c>
      <c r="AF270" s="212">
        <f t="shared" ca="1" si="37"/>
        <v>0.22451998550634089</v>
      </c>
    </row>
    <row r="271" spans="1:32" s="19" customFormat="1" ht="17" thickBot="1" x14ac:dyDescent="0.25">
      <c r="A271" s="114">
        <v>2402283000</v>
      </c>
      <c r="B271" s="115" t="s">
        <v>2174</v>
      </c>
      <c r="C271" s="115" t="s">
        <v>2175</v>
      </c>
      <c r="D271" s="115"/>
      <c r="E271" s="115">
        <v>334</v>
      </c>
      <c r="F271" s="111">
        <f t="shared" ca="1" si="34"/>
        <v>3.9279973561443997</v>
      </c>
      <c r="G271" s="112">
        <f t="shared" ca="1" si="35"/>
        <v>2.0482</v>
      </c>
      <c r="H271" s="116">
        <v>1.54</v>
      </c>
      <c r="I271" s="117" t="s">
        <v>2724</v>
      </c>
      <c r="J271" s="79">
        <v>1</v>
      </c>
      <c r="K271" s="78" t="s">
        <v>836</v>
      </c>
      <c r="L271" s="135" t="str">
        <f>IF(ISERROR(GETPIVOTDATA(IF($J271=1,"Count of ACTIVE     CED, FARM GATE (MJ/kg)","Count of CED, processor gate (MJ/kg)"),'Pivot Table_CED'!$A$3,"SUB TYPE",$B271)),"PROXY",IF(GETPIVOTDATA(IF($J271=1,"Count of ACTIVE     CED, FARM GATE (MJ/kg)","Count of CED, processor gate (MJ/kg)"),'Pivot Table_CED'!$A$3,"SUB TYPE",$B271)=0,"PROXY","DB value"))</f>
        <v>PROXY</v>
      </c>
      <c r="M271" s="118">
        <f ca="1">IF($L271="PROXY",DCOUNT('literature entries'!$D:$AI,IF($J271=1,"ACTIVE     CED, FARM GATE (MJ/kg)","CED, processor gate (MJ/kg)"),INDIRECT($K271)),GETPIVOTDATA(IF($J271=1,"Count of ACTIVE     CED, FARM GATE (MJ/kg)","Count of CED, processor gate (MJ/kg)"),'Pivot Table_CED'!$A$3,"SUB TYPE",$B271))</f>
        <v>5</v>
      </c>
      <c r="N271" s="119">
        <f ca="1">IF($L271="PROXY",DAVERAGE('literature entries'!$D:$AI,IF($J271=1,"ACTIVE     CED, FARM GATE (MJ/kg)","CED, processor gate (MJ/kg)"),INDIRECT($K271)),GETPIVOTDATA(IF($J271=1,"Average of ACTIVE     CED, FARM GATE (MJ/kg)","Average of CED, processor gate (MJ/kg)"),'Pivot Table_CED'!$A$3,"SUB TYPE",$B271))</f>
        <v>2.5506476338599997</v>
      </c>
      <c r="O271" s="119">
        <f ca="1">IF($L271="PROXY",DSTDEV('literature entries'!D:AI,IF($J271=1,"ACTIVE     CED, FARM GATE (MJ/kg)","CED, processor gate (MJ/kg)"),INDIRECT($K271)),GETPIVOTDATA(IF($J271=1,"StdDev of ACTIVE     CED, FARM GATE (MJ/kg)","StdDev of CED, processor gate (MJ/kg)"),'Pivot Table_CED'!$A$3,"SUB TYPE",$B271))</f>
        <v>0.92727365263139316</v>
      </c>
      <c r="P271" s="135" t="str">
        <f>IF(ISERROR(GETPIVOTDATA(IF($J271=1,"Count of ACTIVE     GHGE, FARM GATE (kg CO2e/kg)","Count of GHGE, processor gate (kg CO2e/kg)"),'Pivot Table_GHG'!$A$3,"SUB TYPE",$B271)),"PROXY",IF(GETPIVOTDATA(IF($J271=1,"Count of ACTIVE     GHGE, FARM GATE (kg CO2e/kg)","Count of GHGE, processor gate (kg CO2e/kg)"),'Pivot Table_GHG'!$A$3,"SUB TYPE",$B271)=0,"PROXY","DB value"))</f>
        <v>DB value</v>
      </c>
      <c r="Q271" s="125">
        <f ca="1">IF($P271="PROXY",DCOUNT('literature entries'!$D:$AI,IF($J271=1,"ACTIVE     GHGE, FARM GATE (kg CO2e/kg)","GHGE, processor gate (kg CO2e/kg)"),INDIRECT($K271)),GETPIVOTDATA(IF($J271=1,"ACTIVE     GHGE, FARM GATE (kg CO2e/kg)","Count of GHGE, processor gate (kg CO2e/kg)"),'Pivot Table_GHG'!$A$3,"SUB TYPE",$B271))</f>
        <v>1</v>
      </c>
      <c r="R271" s="190">
        <f ca="1">IF($P271="PROXY",DAVERAGE('literature entries'!$D:$AI,IF($J271=1,"ACTIVE     GHGE, FARM GATE (kg CO2e/kg)","GHGE, processor gate (kg CO2e/kg)"),INDIRECT($K271)),GETPIVOTDATA(IF($J271=1,"Average of ACTIVE     GHGE, FARM GATE (kg CO2e/kg)","Average of GHGE, processor gate (kg CO2e/kg)"),'Pivot Table_GHG'!$A$3,"SUB TYPE",$B271))</f>
        <v>1.33</v>
      </c>
      <c r="S271" s="190" t="e">
        <f ca="1">IF($P271="PROXY",DSTDEV('literature entries'!$D:$AI,IF($J271=1,"ACTIVE     GHGE, FARM GATE (kg CO2e/kg)","GHGE, processor gate (kg CO2e/kg)"),INDIRECT($K271)),GETPIVOTDATA(IF($J271=1,"StdDev of ACTIVE     GHGE, FARM GATE (kg CO2e/kg)","StdDev of GHGE, processor gate (kg CO2e/kg)"),'Pivot Table_GHG'!$A$3,"SUB TYPE",$B271))</f>
        <v>#DIV/0!</v>
      </c>
      <c r="T271" s="88"/>
      <c r="U271" s="89"/>
      <c r="W271" s="213" t="str">
        <f t="shared" ca="1" si="38"/>
        <v>banana</v>
      </c>
      <c r="X271" s="211">
        <f ca="1">IF($W271="DIRECT",M271,DCOUNT('literature entries'!$D:$AI,IF($J271=1,"ACTIVE     CED, FARM GATE (MJ/kg)","CED, processor gate (MJ/kg)"),INDIRECT($W271)))</f>
        <v>5</v>
      </c>
      <c r="Y271" s="211">
        <f ca="1">IF($W271="DIRECT","",DAVERAGE('literature entries'!$D:$AI,IF($J271=1,"ACTIVE     CED, FARM GATE (MJ/kg)","CED, processor gate (MJ/kg)"),INDIRECT($W271)))</f>
        <v>2.5506476338599997</v>
      </c>
      <c r="Z271" s="211">
        <f ca="1">IF($W271="DIRECT",$O271,DSTDEV('literature entries'!$D:$AI,IF($J271=1,"ACTIVE     CED, FARM GATE (MJ/kg)","CED, processor gate (MJ/kg)"),INDIRECT($W271)))</f>
        <v>0.92727365263139316</v>
      </c>
      <c r="AA271" s="211">
        <f t="shared" ca="1" si="36"/>
        <v>0.92727365263139316</v>
      </c>
      <c r="AB271" s="219" t="s">
        <v>836</v>
      </c>
      <c r="AC271" s="212">
        <f ca="1">IF($AB271="DIRECT",Q271,DCOUNT('literature entries'!$D:$AI,IF($J271=1,"ACTIVE     GHGE, FARM GATE (kg CO2e/kg)","GHGE, processor gate (kg CO2e/kg)"),INDIRECT($AB271)))</f>
        <v>19</v>
      </c>
      <c r="AD271" s="212">
        <f ca="1">IF($AB271="DIRECT","",DAVERAGE('literature entries'!$D:$AI,IF($J271=1,"ACTIVE     GHGE, FARM GATE (kg CO2e/kg)","GHGE, processor gate (kg CO2e/kg)"),INDIRECT($AB271)))</f>
        <v>0.23981212347351016</v>
      </c>
      <c r="AE271" s="212">
        <f ca="1">IF($AB271="DIRECT",$S271,DSTDEV('literature entries'!$D:$AI,IF($J271=1,"ACTIVE     GHGE, FARM GATE (kg CO2e/kg)","GHGE, processor gate (kg CO2e/kg)"),INDIRECT($AB271)))</f>
        <v>6.7822688355273247E-2</v>
      </c>
      <c r="AF271" s="212">
        <f t="shared" ca="1" si="37"/>
        <v>0.3761451848470766</v>
      </c>
    </row>
    <row r="272" spans="1:32" s="19" customFormat="1" ht="17" thickBot="1" x14ac:dyDescent="0.25">
      <c r="A272" s="114">
        <v>2402284000</v>
      </c>
      <c r="B272" s="115" t="s">
        <v>2176</v>
      </c>
      <c r="C272" s="115" t="s">
        <v>2172</v>
      </c>
      <c r="D272" s="115"/>
      <c r="E272" s="115">
        <v>12</v>
      </c>
      <c r="F272" s="111">
        <f t="shared" ca="1" si="34"/>
        <v>8.0523945800960188</v>
      </c>
      <c r="G272" s="112">
        <f t="shared" ca="1" si="35"/>
        <v>0.75708687380587159</v>
      </c>
      <c r="H272" s="116">
        <v>3.157</v>
      </c>
      <c r="I272" s="117" t="s">
        <v>2724</v>
      </c>
      <c r="J272" s="79">
        <v>1</v>
      </c>
      <c r="K272" s="78" t="s">
        <v>836</v>
      </c>
      <c r="L272" s="135" t="str">
        <f>IF(ISERROR(GETPIVOTDATA(IF($J272=1,"Count of ACTIVE     CED, FARM GATE (MJ/kg)","Count of CED, processor gate (MJ/kg)"),'Pivot Table_CED'!$A$3,"SUB TYPE",$B272)),"PROXY",IF(GETPIVOTDATA(IF($J272=1,"Count of ACTIVE     CED, FARM GATE (MJ/kg)","Count of CED, processor gate (MJ/kg)"),'Pivot Table_CED'!$A$3,"SUB TYPE",$B272)=0,"PROXY","DB value"))</f>
        <v>PROXY</v>
      </c>
      <c r="M272" s="118">
        <f ca="1">IF($L272="PROXY",DCOUNT('literature entries'!$D:$AI,IF($J272=1,"ACTIVE     CED, FARM GATE (MJ/kg)","CED, processor gate (MJ/kg)"),INDIRECT($K272)),GETPIVOTDATA(IF($J272=1,"Count of ACTIVE     CED, FARM GATE (MJ/kg)","Count of CED, processor gate (MJ/kg)"),'Pivot Table_CED'!$A$3,"SUB TYPE",$B272))</f>
        <v>5</v>
      </c>
      <c r="N272" s="119">
        <f ca="1">IF($L272="PROXY",DAVERAGE('literature entries'!$D:$AI,IF($J272=1,"ACTIVE     CED, FARM GATE (MJ/kg)","CED, processor gate (MJ/kg)"),INDIRECT($K272)),GETPIVOTDATA(IF($J272=1,"Average of ACTIVE     CED, FARM GATE (MJ/kg)","Average of CED, processor gate (MJ/kg)"),'Pivot Table_CED'!$A$3,"SUB TYPE",$B272))</f>
        <v>2.5506476338599997</v>
      </c>
      <c r="O272" s="119">
        <f ca="1">IF($L272="PROXY",DSTDEV('literature entries'!D:AI,IF($J272=1,"ACTIVE     CED, FARM GATE (MJ/kg)","CED, processor gate (MJ/kg)"),INDIRECT($K272)),GETPIVOTDATA(IF($J272=1,"StdDev of ACTIVE     CED, FARM GATE (MJ/kg)","StdDev of CED, processor gate (MJ/kg)"),'Pivot Table_CED'!$A$3,"SUB TYPE",$B272))</f>
        <v>0.92727365263139316</v>
      </c>
      <c r="P272" s="135" t="str">
        <f>IF(ISERROR(GETPIVOTDATA(IF($J272=1,"Count of ACTIVE     GHGE, FARM GATE (kg CO2e/kg)","Count of GHGE, processor gate (kg CO2e/kg)"),'Pivot Table_GHG'!$A$3,"SUB TYPE",$B272)),"PROXY",IF(GETPIVOTDATA(IF($J272=1,"Count of ACTIVE     GHGE, FARM GATE (kg CO2e/kg)","Count of GHGE, processor gate (kg CO2e/kg)"),'Pivot Table_GHG'!$A$3,"SUB TYPE",$B272)=0,"PROXY","DB value"))</f>
        <v>PROXY</v>
      </c>
      <c r="Q272" s="125">
        <f ca="1">IF($P272="PROXY",DCOUNT('literature entries'!$D:$AI,IF($J272=1,"ACTIVE     GHGE, FARM GATE (kg CO2e/kg)","GHGE, processor gate (kg CO2e/kg)"),INDIRECT($K272)),GETPIVOTDATA(IF($J272=1,"ACTIVE     GHGE, FARM GATE (kg CO2e/kg)","Count of GHGE, processor gate (kg CO2e/kg)"),'Pivot Table_GHG'!$A$3,"SUB TYPE",$B272))</f>
        <v>19</v>
      </c>
      <c r="R272" s="190">
        <f ca="1">IF($P272="PROXY",DAVERAGE('literature entries'!$D:$AI,IF($J272=1,"ACTIVE     GHGE, FARM GATE (kg CO2e/kg)","GHGE, processor gate (kg CO2e/kg)"),INDIRECT($K272)),GETPIVOTDATA(IF($J272=1,"Average of ACTIVE     GHGE, FARM GATE (kg CO2e/kg)","Average of GHGE, processor gate (kg CO2e/kg)"),'Pivot Table_GHG'!$A$3,"SUB TYPE",$B272))</f>
        <v>0.23981212347351016</v>
      </c>
      <c r="S272" s="190">
        <f ca="1">IF($P272="PROXY",DSTDEV('literature entries'!$D:$AI,IF($J272=1,"ACTIVE     GHGE, FARM GATE (kg CO2e/kg)","GHGE, processor gate (kg CO2e/kg)"),INDIRECT($K272)),GETPIVOTDATA(IF($J272=1,"StdDev of ACTIVE     GHGE, FARM GATE (kg CO2e/kg)","StdDev of GHGE, processor gate (kg CO2e/kg)"),'Pivot Table_GHG'!$A$3,"SUB TYPE",$B272))</f>
        <v>6.7822688355273247E-2</v>
      </c>
      <c r="T272" s="88"/>
      <c r="U272" s="89"/>
      <c r="W272" s="213" t="str">
        <f t="shared" ca="1" si="38"/>
        <v>banana</v>
      </c>
      <c r="X272" s="211">
        <f ca="1">IF($W272="DIRECT",M272,DCOUNT('literature entries'!$D:$AI,IF($J272=1,"ACTIVE     CED, FARM GATE (MJ/kg)","CED, processor gate (MJ/kg)"),INDIRECT($W272)))</f>
        <v>5</v>
      </c>
      <c r="Y272" s="211">
        <f ca="1">IF($W272="DIRECT","",DAVERAGE('literature entries'!$D:$AI,IF($J272=1,"ACTIVE     CED, FARM GATE (MJ/kg)","CED, processor gate (MJ/kg)"),INDIRECT($W272)))</f>
        <v>2.5506476338599997</v>
      </c>
      <c r="Z272" s="211">
        <f ca="1">IF($W272="DIRECT",$O272,DSTDEV('literature entries'!$D:$AI,IF($J272=1,"ACTIVE     CED, FARM GATE (MJ/kg)","CED, processor gate (MJ/kg)"),INDIRECT($W272)))</f>
        <v>0.92727365263139316</v>
      </c>
      <c r="AA272" s="211">
        <f t="shared" ca="1" si="36"/>
        <v>0.92727365263139316</v>
      </c>
      <c r="AB272" s="219" t="str">
        <f ca="1">IF(P272="PROXY",IF(Q272&gt;=5,K272,"need group"),IF(Q272&gt;=5,"DIRECT","need group"))</f>
        <v>banana</v>
      </c>
      <c r="AC272" s="212">
        <f ca="1">IF($AB272="DIRECT",Q272,DCOUNT('literature entries'!$D:$AI,IF($J272=1,"ACTIVE     GHGE, FARM GATE (kg CO2e/kg)","GHGE, processor gate (kg CO2e/kg)"),INDIRECT($AB272)))</f>
        <v>19</v>
      </c>
      <c r="AD272" s="212">
        <f ca="1">IF($AB272="DIRECT","",DAVERAGE('literature entries'!$D:$AI,IF($J272=1,"ACTIVE     GHGE, FARM GATE (kg CO2e/kg)","GHGE, processor gate (kg CO2e/kg)"),INDIRECT($AB272)))</f>
        <v>0.23981212347351016</v>
      </c>
      <c r="AE272" s="212">
        <f ca="1">IF($AB272="DIRECT",$S272,DSTDEV('literature entries'!$D:$AI,IF($J272=1,"ACTIVE     GHGE, FARM GATE (kg CO2e/kg)","GHGE, processor gate (kg CO2e/kg)"),INDIRECT($AB272)))</f>
        <v>6.7822688355273247E-2</v>
      </c>
      <c r="AF272" s="212">
        <f t="shared" ca="1" si="37"/>
        <v>6.7822688355273247E-2</v>
      </c>
    </row>
    <row r="273" spans="1:32" s="19" customFormat="1" ht="17" thickBot="1" x14ac:dyDescent="0.25">
      <c r="A273" s="114">
        <v>2402289000</v>
      </c>
      <c r="B273" s="115" t="s">
        <v>2185</v>
      </c>
      <c r="C273" s="115" t="s">
        <v>2116</v>
      </c>
      <c r="D273" s="115" t="s">
        <v>2186</v>
      </c>
      <c r="E273" s="115">
        <v>39</v>
      </c>
      <c r="F273" s="111">
        <f t="shared" ca="1" si="34"/>
        <v>3.6372203333333339</v>
      </c>
      <c r="G273" s="112">
        <f t="shared" ca="1" si="35"/>
        <v>0.46168380186626357</v>
      </c>
      <c r="H273" s="116">
        <v>1.79</v>
      </c>
      <c r="I273" s="117" t="s">
        <v>2724</v>
      </c>
      <c r="J273" s="79">
        <v>1</v>
      </c>
      <c r="K273" s="78" t="s">
        <v>3268</v>
      </c>
      <c r="L273" s="135" t="str">
        <f>IF(ISERROR(GETPIVOTDATA(IF($J273=1,"Count of ACTIVE     CED, FARM GATE (MJ/kg)","Count of CED, processor gate (MJ/kg)"),'Pivot Table_CED'!$A$3,"SUB TYPE",$B273)),"PROXY",IF(GETPIVOTDATA(IF($J273=1,"Count of ACTIVE     CED, FARM GATE (MJ/kg)","Count of CED, processor gate (MJ/kg)"),'Pivot Table_CED'!$A$3,"SUB TYPE",$B273)=0,"PROXY","DB value"))</f>
        <v>PROXY</v>
      </c>
      <c r="M273" s="118">
        <f ca="1">IF($L273="PROXY",DCOUNT('literature entries'!$D:$AI,IF($J273=1,"ACTIVE     CED, FARM GATE (MJ/kg)","CED, processor gate (MJ/kg)"),INDIRECT($K273)),GETPIVOTDATA(IF($J273=1,"Count of ACTIVE     CED, FARM GATE (MJ/kg)","Count of CED, processor gate (MJ/kg)"),'Pivot Table_CED'!$A$3,"SUB TYPE",$B273))</f>
        <v>30</v>
      </c>
      <c r="N273" s="119">
        <f ca="1">IF($L273="PROXY",DAVERAGE('literature entries'!$D:$AI,IF($J273=1,"ACTIVE     CED, FARM GATE (MJ/kg)","CED, processor gate (MJ/kg)"),INDIRECT($K273)),GETPIVOTDATA(IF($J273=1,"Average of ACTIVE     CED, FARM GATE (MJ/kg)","Average of CED, processor gate (MJ/kg)"),'Pivot Table_CED'!$A$3,"SUB TYPE",$B273))</f>
        <v>2.0319666666666669</v>
      </c>
      <c r="O273" s="119">
        <f ca="1">IF($L273="PROXY",DSTDEV('literature entries'!D:AI,IF($J273=1,"ACTIVE     CED, FARM GATE (MJ/kg)","CED, processor gate (MJ/kg)"),INDIRECT($K273)),GETPIVOTDATA(IF($J273=1,"StdDev of ACTIVE     CED, FARM GATE (MJ/kg)","StdDev of CED, processor gate (MJ/kg)"),'Pivot Table_CED'!$A$3,"SUB TYPE",$B273))</f>
        <v>1.7780728376790285</v>
      </c>
      <c r="P273" s="135" t="str">
        <f>IF(ISERROR(GETPIVOTDATA(IF($J273=1,"Count of ACTIVE     GHGE, FARM GATE (kg CO2e/kg)","Count of GHGE, processor gate (kg CO2e/kg)"),'Pivot Table_GHG'!$A$3,"SUB TYPE",$B273)),"PROXY",IF(GETPIVOTDATA(IF($J273=1,"Count of ACTIVE     GHGE, FARM GATE (kg CO2e/kg)","Count of GHGE, processor gate (kg CO2e/kg)"),'Pivot Table_GHG'!$A$3,"SUB TYPE",$B273)=0,"PROXY","DB value"))</f>
        <v>PROXY</v>
      </c>
      <c r="Q273" s="125">
        <f ca="1">IF($P273="PROXY",DCOUNT('literature entries'!$D:$AI,IF($J273=1,"ACTIVE     GHGE, FARM GATE (kg CO2e/kg)","GHGE, processor gate (kg CO2e/kg)"),INDIRECT($K273)),GETPIVOTDATA(IF($J273=1,"ACTIVE     GHGE, FARM GATE (kg CO2e/kg)","Count of GHGE, processor gate (kg CO2e/kg)"),'Pivot Table_GHG'!$A$3,"SUB TYPE",$B273))</f>
        <v>59</v>
      </c>
      <c r="R273" s="190">
        <f ca="1">IF($P273="PROXY",DAVERAGE('literature entries'!$D:$AI,IF($J273=1,"ACTIVE     GHGE, FARM GATE (kg CO2e/kg)","GHGE, processor gate (kg CO2e/kg)"),INDIRECT($K273)),GETPIVOTDATA(IF($J273=1,"Average of ACTIVE     GHGE, FARM GATE (kg CO2e/kg)","Average of GHGE, processor gate (kg CO2e/kg)"),'Pivot Table_GHG'!$A$3,"SUB TYPE",$B273))</f>
        <v>0.25792391165713047</v>
      </c>
      <c r="S273" s="190">
        <f ca="1">IF($P273="PROXY",DSTDEV('literature entries'!$D:$AI,IF($J273=1,"ACTIVE     GHGE, FARM GATE (kg CO2e/kg)","GHGE, processor gate (kg CO2e/kg)"),INDIRECT($K273)),GETPIVOTDATA(IF($J273=1,"StdDev of ACTIVE     GHGE, FARM GATE (kg CO2e/kg)","StdDev of GHGE, processor gate (kg CO2e/kg)"),'Pivot Table_GHG'!$A$3,"SUB TYPE",$B273))</f>
        <v>0.22451998550634089</v>
      </c>
      <c r="T273" s="88"/>
      <c r="U273" s="89"/>
      <c r="W273" s="213" t="str">
        <f t="shared" ca="1" si="38"/>
        <v>tree_fruit</v>
      </c>
      <c r="X273" s="211">
        <f ca="1">IF($W273="DIRECT",M273,DCOUNT('literature entries'!$D:$AI,IF($J273=1,"ACTIVE     CED, FARM GATE (MJ/kg)","CED, processor gate (MJ/kg)"),INDIRECT($W273)))</f>
        <v>30</v>
      </c>
      <c r="Y273" s="211">
        <f ca="1">IF($W273="DIRECT","",DAVERAGE('literature entries'!$D:$AI,IF($J273=1,"ACTIVE     CED, FARM GATE (MJ/kg)","CED, processor gate (MJ/kg)"),INDIRECT($W273)))</f>
        <v>2.0319666666666669</v>
      </c>
      <c r="Z273" s="211">
        <f ca="1">IF($W273="DIRECT",$O273,DSTDEV('literature entries'!$D:$AI,IF($J273=1,"ACTIVE     CED, FARM GATE (MJ/kg)","CED, processor gate (MJ/kg)"),INDIRECT($W273)))</f>
        <v>1.7780728376790285</v>
      </c>
      <c r="AA273" s="211">
        <f t="shared" ca="1" si="36"/>
        <v>1.7780728376790285</v>
      </c>
      <c r="AB273" s="219" t="str">
        <f ca="1">IF(P273="PROXY",IF(Q273&gt;=5,K273,"need group"),IF(Q273&gt;=5,"DIRECT","need group"))</f>
        <v>tree_fruit</v>
      </c>
      <c r="AC273" s="212">
        <f ca="1">IF($AB273="DIRECT",Q273,DCOUNT('literature entries'!$D:$AI,IF($J273=1,"ACTIVE     GHGE, FARM GATE (kg CO2e/kg)","GHGE, processor gate (kg CO2e/kg)"),INDIRECT($AB273)))</f>
        <v>59</v>
      </c>
      <c r="AD273" s="212">
        <f ca="1">IF($AB273="DIRECT","",DAVERAGE('literature entries'!$D:$AI,IF($J273=1,"ACTIVE     GHGE, FARM GATE (kg CO2e/kg)","GHGE, processor gate (kg CO2e/kg)"),INDIRECT($AB273)))</f>
        <v>0.25792391165713047</v>
      </c>
      <c r="AE273" s="212">
        <f ca="1">IF($AB273="DIRECT",$S273,DSTDEV('literature entries'!$D:$AI,IF($J273=1,"ACTIVE     GHGE, FARM GATE (kg CO2e/kg)","GHGE, processor gate (kg CO2e/kg)"),INDIRECT($AB273)))</f>
        <v>0.22451998550634089</v>
      </c>
      <c r="AF273" s="212">
        <f t="shared" ca="1" si="37"/>
        <v>0.22451998550634089</v>
      </c>
    </row>
    <row r="274" spans="1:32" s="19" customFormat="1" ht="17" thickBot="1" x14ac:dyDescent="0.25">
      <c r="A274" s="114">
        <v>2402290000</v>
      </c>
      <c r="B274" s="115" t="s">
        <v>2187</v>
      </c>
      <c r="C274" s="115" t="s">
        <v>1808</v>
      </c>
      <c r="D274" s="115" t="s">
        <v>1809</v>
      </c>
      <c r="E274" s="115">
        <v>41</v>
      </c>
      <c r="F274" s="111">
        <f t="shared" ca="1" si="34"/>
        <v>12.556440666666667</v>
      </c>
      <c r="G274" s="112">
        <f t="shared" ca="1" si="35"/>
        <v>1.9024467298125272</v>
      </c>
      <c r="H274" s="116">
        <v>3.58</v>
      </c>
      <c r="I274" s="117" t="s">
        <v>2724</v>
      </c>
      <c r="J274" s="79">
        <v>1</v>
      </c>
      <c r="K274" s="78" t="s">
        <v>3268</v>
      </c>
      <c r="L274" s="135" t="str">
        <f>IF(ISERROR(GETPIVOTDATA(IF($J274=1,"Count of ACTIVE     CED, FARM GATE (MJ/kg)","Count of CED, processor gate (MJ/kg)"),'Pivot Table_CED'!$A$3,"SUB TYPE",$B274)),"PROXY",IF(GETPIVOTDATA(IF($J274=1,"Count of ACTIVE     CED, FARM GATE (MJ/kg)","Count of CED, processor gate (MJ/kg)"),'Pivot Table_CED'!$A$3,"SUB TYPE",$B274)=0,"PROXY","DB value"))</f>
        <v>PROXY</v>
      </c>
      <c r="M274" s="118">
        <f ca="1">IF($L274="PROXY",DCOUNT('literature entries'!$D:$AI,IF($J274=1,"ACTIVE     CED, FARM GATE (MJ/kg)","CED, processor gate (MJ/kg)"),INDIRECT($K274)),GETPIVOTDATA(IF($J274=1,"Count of ACTIVE     CED, FARM GATE (MJ/kg)","Count of CED, processor gate (MJ/kg)"),'Pivot Table_CED'!$A$3,"SUB TYPE",$B274))</f>
        <v>30</v>
      </c>
      <c r="N274" s="119">
        <f ca="1">IF($L274="PROXY",DAVERAGE('literature entries'!$D:$AI,IF($J274=1,"ACTIVE     CED, FARM GATE (MJ/kg)","CED, processor gate (MJ/kg)"),INDIRECT($K274)),GETPIVOTDATA(IF($J274=1,"Average of ACTIVE     CED, FARM GATE (MJ/kg)","Average of CED, processor gate (MJ/kg)"),'Pivot Table_CED'!$A$3,"SUB TYPE",$B274))</f>
        <v>2.0319666666666669</v>
      </c>
      <c r="O274" s="119">
        <f ca="1">IF($L274="PROXY",DSTDEV('literature entries'!D:AI,IF($J274=1,"ACTIVE     CED, FARM GATE (MJ/kg)","CED, processor gate (MJ/kg)"),INDIRECT($K274)),GETPIVOTDATA(IF($J274=1,"StdDev of ACTIVE     CED, FARM GATE (MJ/kg)","StdDev of CED, processor gate (MJ/kg)"),'Pivot Table_CED'!$A$3,"SUB TYPE",$B274))</f>
        <v>1.7780728376790285</v>
      </c>
      <c r="P274" s="135" t="str">
        <f>IF(ISERROR(GETPIVOTDATA(IF($J274=1,"Count of ACTIVE     GHGE, FARM GATE (kg CO2e/kg)","Count of GHGE, processor gate (kg CO2e/kg)"),'Pivot Table_GHG'!$A$3,"SUB TYPE",$B274)),"PROXY",IF(GETPIVOTDATA(IF($J274=1,"Count of ACTIVE     GHGE, FARM GATE (kg CO2e/kg)","Count of GHGE, processor gate (kg CO2e/kg)"),'Pivot Table_GHG'!$A$3,"SUB TYPE",$B274)=0,"PROXY","DB value"))</f>
        <v>PROXY</v>
      </c>
      <c r="Q274" s="125">
        <f ca="1">IF($P274="PROXY",DCOUNT('literature entries'!$D:$AI,IF($J274=1,"ACTIVE     GHGE, FARM GATE (kg CO2e/kg)","GHGE, processor gate (kg CO2e/kg)"),INDIRECT($K274)),GETPIVOTDATA(IF($J274=1,"ACTIVE     GHGE, FARM GATE (kg CO2e/kg)","Count of GHGE, processor gate (kg CO2e/kg)"),'Pivot Table_GHG'!$A$3,"SUB TYPE",$B274))</f>
        <v>59</v>
      </c>
      <c r="R274" s="190">
        <f ca="1">IF($P274="PROXY",DAVERAGE('literature entries'!$D:$AI,IF($J274=1,"ACTIVE     GHGE, FARM GATE (kg CO2e/kg)","GHGE, processor gate (kg CO2e/kg)"),INDIRECT($K274)),GETPIVOTDATA(IF($J274=1,"Average of ACTIVE     GHGE, FARM GATE (kg CO2e/kg)","Average of GHGE, processor gate (kg CO2e/kg)"),'Pivot Table_GHG'!$A$3,"SUB TYPE",$B274))</f>
        <v>0.25792391165713047</v>
      </c>
      <c r="S274" s="190">
        <f ca="1">IF($P274="PROXY",DSTDEV('literature entries'!$D:$AI,IF($J274=1,"ACTIVE     GHGE, FARM GATE (kg CO2e/kg)","GHGE, processor gate (kg CO2e/kg)"),INDIRECT($K274)),GETPIVOTDATA(IF($J274=1,"StdDev of ACTIVE     GHGE, FARM GATE (kg CO2e/kg)","StdDev of GHGE, processor gate (kg CO2e/kg)"),'Pivot Table_GHG'!$A$3,"SUB TYPE",$B274))</f>
        <v>0.22451998550634089</v>
      </c>
      <c r="T274" s="86">
        <v>5.282</v>
      </c>
      <c r="U274" s="87">
        <v>0.97907912607999992</v>
      </c>
      <c r="W274" s="213" t="str">
        <f t="shared" ca="1" si="38"/>
        <v>tree_fruit</v>
      </c>
      <c r="X274" s="211">
        <f ca="1">IF($W274="DIRECT",M274,DCOUNT('literature entries'!$D:$AI,IF($J274=1,"ACTIVE     CED, FARM GATE (MJ/kg)","CED, processor gate (MJ/kg)"),INDIRECT($W274)))</f>
        <v>30</v>
      </c>
      <c r="Y274" s="211">
        <f ca="1">IF($W274="DIRECT","",DAVERAGE('literature entries'!$D:$AI,IF($J274=1,"ACTIVE     CED, FARM GATE (MJ/kg)","CED, processor gate (MJ/kg)"),INDIRECT($W274)))</f>
        <v>2.0319666666666669</v>
      </c>
      <c r="Z274" s="211">
        <f ca="1">IF($W274="DIRECT",$O274,DSTDEV('literature entries'!$D:$AI,IF($J274=1,"ACTIVE     CED, FARM GATE (MJ/kg)","CED, processor gate (MJ/kg)"),INDIRECT($W274)))</f>
        <v>1.7780728376790285</v>
      </c>
      <c r="AA274" s="211">
        <f t="shared" ca="1" si="36"/>
        <v>1.7780728376790285</v>
      </c>
      <c r="AB274" s="219" t="str">
        <f ca="1">IF(P274="PROXY",IF(Q274&gt;=5,K274,"need group"),IF(Q274&gt;=5,"DIRECT","need group"))</f>
        <v>tree_fruit</v>
      </c>
      <c r="AC274" s="212">
        <f ca="1">IF($AB274="DIRECT",Q274,DCOUNT('literature entries'!$D:$AI,IF($J274=1,"ACTIVE     GHGE, FARM GATE (kg CO2e/kg)","GHGE, processor gate (kg CO2e/kg)"),INDIRECT($AB274)))</f>
        <v>59</v>
      </c>
      <c r="AD274" s="212">
        <f ca="1">IF($AB274="DIRECT","",DAVERAGE('literature entries'!$D:$AI,IF($J274=1,"ACTIVE     GHGE, FARM GATE (kg CO2e/kg)","GHGE, processor gate (kg CO2e/kg)"),INDIRECT($AB274)))</f>
        <v>0.25792391165713047</v>
      </c>
      <c r="AE274" s="212">
        <f ca="1">IF($AB274="DIRECT",$S274,DSTDEV('literature entries'!$D:$AI,IF($J274=1,"ACTIVE     GHGE, FARM GATE (kg CO2e/kg)","GHGE, processor gate (kg CO2e/kg)"),INDIRECT($AB274)))</f>
        <v>0.22451998550634089</v>
      </c>
      <c r="AF274" s="212">
        <f t="shared" ca="1" si="37"/>
        <v>0.22451998550634089</v>
      </c>
    </row>
    <row r="275" spans="1:32" s="19" customFormat="1" thickBot="1" x14ac:dyDescent="0.25">
      <c r="A275" s="114">
        <v>2403060000</v>
      </c>
      <c r="B275" s="115" t="s">
        <v>1841</v>
      </c>
      <c r="C275" s="115" t="s">
        <v>1842</v>
      </c>
      <c r="D275" s="115"/>
      <c r="E275" s="115">
        <v>1</v>
      </c>
      <c r="F275" s="111">
        <f t="shared" ca="1" si="34"/>
        <v>4.3461284175597035</v>
      </c>
      <c r="G275" s="112">
        <f t="shared" ca="1" si="35"/>
        <v>0.68414647779282856</v>
      </c>
      <c r="H275" s="116">
        <v>1.28</v>
      </c>
      <c r="I275" s="116" t="s">
        <v>2724</v>
      </c>
      <c r="J275" s="79">
        <v>1</v>
      </c>
      <c r="K275" s="78" t="s">
        <v>3269</v>
      </c>
      <c r="L275" s="135" t="str">
        <f>IF(ISERROR(GETPIVOTDATA(IF($J275=1,"Count of ACTIVE     CED, FARM GATE (MJ/kg)","Count of CED, processor gate (MJ/kg)"),'Pivot Table_CED'!$A$3,"SUB TYPE",$B275)),"PROXY",IF(GETPIVOTDATA(IF($J275=1,"Count of ACTIVE     CED, FARM GATE (MJ/kg)","Count of CED, processor gate (MJ/kg)"),'Pivot Table_CED'!$A$3,"SUB TYPE",$B275)=0,"PROXY","DB value"))</f>
        <v>PROXY</v>
      </c>
      <c r="M275" s="118">
        <f ca="1">IF($L275="PROXY",DCOUNT('literature entries'!$D:$AI,IF($J275=1,"ACTIVE     CED, FARM GATE (MJ/kg)","CED, processor gate (MJ/kg)"),INDIRECT($K275)),GETPIVOTDATA(IF($J275=1,"Count of ACTIVE     CED, FARM GATE (MJ/kg)","Count of CED, processor gate (MJ/kg)"),'Pivot Table_CED'!$A$3,"SUB TYPE",$B275))</f>
        <v>9</v>
      </c>
      <c r="N275" s="119">
        <f ca="1">IF($L275="PROXY",DAVERAGE('literature entries'!$D:$AI,IF($J275=1,"ACTIVE     CED, FARM GATE (MJ/kg)","CED, processor gate (MJ/kg)"),INDIRECT($K275)),GETPIVOTDATA(IF($J275=1,"Average of ACTIVE     CED, FARM GATE (MJ/kg)","Average of CED, processor gate (MJ/kg)"),'Pivot Table_CED'!$A$3,"SUB TYPE",$B275))</f>
        <v>3.3954128262185184</v>
      </c>
      <c r="O275" s="119">
        <f ca="1">IF($L275="PROXY",DSTDEV('literature entries'!D:AI,IF($J275=1,"ACTIVE     CED, FARM GATE (MJ/kg)","CED, processor gate (MJ/kg)"),INDIRECT($K275)),GETPIVOTDATA(IF($J275=1,"StdDev of ACTIVE     CED, FARM GATE (MJ/kg)","StdDev of CED, processor gate (MJ/kg)"),'Pivot Table_CED'!$A$3,"SUB TYPE",$B275))</f>
        <v>2.1698076963305595</v>
      </c>
      <c r="P275" s="135" t="str">
        <f>IF(ISERROR(GETPIVOTDATA(IF($J275=1,"Count of ACTIVE     GHGE, FARM GATE (kg CO2e/kg)","Count of GHGE, processor gate (kg CO2e/kg)"),'Pivot Table_GHG'!$A$3,"SUB TYPE",$B275)),"PROXY",IF(GETPIVOTDATA(IF($J275=1,"Count of ACTIVE     GHGE, FARM GATE (kg CO2e/kg)","Count of GHGE, processor gate (kg CO2e/kg)"),'Pivot Table_GHG'!$A$3,"SUB TYPE",$B275)=0,"PROXY","DB value"))</f>
        <v>PROXY</v>
      </c>
      <c r="Q275" s="125">
        <f ca="1">IF($P275="PROXY",DCOUNT('literature entries'!$D:$AI,IF($J275=1,"ACTIVE     GHGE, FARM GATE (kg CO2e/kg)","GHGE, processor gate (kg CO2e/kg)"),INDIRECT($K275)),GETPIVOTDATA(IF($J275=1,"ACTIVE     GHGE, FARM GATE (kg CO2e/kg)","Count of GHGE, processor gate (kg CO2e/kg)"),'Pivot Table_GHG'!$A$3,"SUB TYPE",$B275))</f>
        <v>30</v>
      </c>
      <c r="R275" s="190">
        <f ca="1">IF($P275="PROXY",DAVERAGE('literature entries'!$D:$AI,IF($J275=1,"ACTIVE     GHGE, FARM GATE (kg CO2e/kg)","GHGE, processor gate (kg CO2e/kg)"),INDIRECT($K275)),GETPIVOTDATA(IF($J275=1,"Average of ACTIVE     GHGE, FARM GATE (kg CO2e/kg)","Average of GHGE, processor gate (kg CO2e/kg)"),'Pivot Table_GHG'!$A$3,"SUB TYPE",$B275))</f>
        <v>0.53448943577564734</v>
      </c>
      <c r="S275" s="190">
        <f ca="1">IF($P275="PROXY",DSTDEV('literature entries'!$D:$AI,IF($J275=1,"ACTIVE     GHGE, FARM GATE (kg CO2e/kg)","GHGE, processor gate (kg CO2e/kg)"),INDIRECT($K275)),GETPIVOTDATA(IF($J275=1,"StdDev of ACTIVE     GHGE, FARM GATE (kg CO2e/kg)","StdDev of GHGE, processor gate (kg CO2e/kg)"),'Pivot Table_GHG'!$A$3,"SUB TYPE",$B275))</f>
        <v>0.86200931416440196</v>
      </c>
      <c r="T275" s="88"/>
      <c r="U275" s="89"/>
      <c r="W275" s="213" t="str">
        <f t="shared" ca="1" si="38"/>
        <v>tropical_fruit</v>
      </c>
      <c r="X275" s="211">
        <f ca="1">IF($W275="DIRECT",M275,DCOUNT('literature entries'!$D:$AI,IF($J275=1,"ACTIVE     CED, FARM GATE (MJ/kg)","CED, processor gate (MJ/kg)"),INDIRECT($W275)))</f>
        <v>9</v>
      </c>
      <c r="Y275" s="211">
        <f ca="1">IF($W275="DIRECT","",DAVERAGE('literature entries'!$D:$AI,IF($J275=1,"ACTIVE     CED, FARM GATE (MJ/kg)","CED, processor gate (MJ/kg)"),INDIRECT($W275)))</f>
        <v>3.3954128262185184</v>
      </c>
      <c r="Z275" s="211">
        <f ca="1">IF($W275="DIRECT",$O275,DSTDEV('literature entries'!$D:$AI,IF($J275=1,"ACTIVE     CED, FARM GATE (MJ/kg)","CED, processor gate (MJ/kg)"),INDIRECT($W275)))</f>
        <v>2.1698076963305595</v>
      </c>
      <c r="AA275" s="211">
        <f t="shared" ca="1" si="36"/>
        <v>2.1698076963305595</v>
      </c>
      <c r="AB275" s="219" t="str">
        <f ca="1">IF(P275="PROXY",IF(Q275&gt;=5,K275,"need group"),IF(Q275&gt;=5,"DIRECT","need group"))</f>
        <v>tropical_fruit</v>
      </c>
      <c r="AC275" s="212">
        <f ca="1">IF($AB275="DIRECT",Q275,DCOUNT('literature entries'!$D:$AI,IF($J275=1,"ACTIVE     GHGE, FARM GATE (kg CO2e/kg)","GHGE, processor gate (kg CO2e/kg)"),INDIRECT($AB275)))</f>
        <v>30</v>
      </c>
      <c r="AD275" s="212">
        <f ca="1">IF($AB275="DIRECT","",DAVERAGE('literature entries'!$D:$AI,IF($J275=1,"ACTIVE     GHGE, FARM GATE (kg CO2e/kg)","GHGE, processor gate (kg CO2e/kg)"),INDIRECT($AB275)))</f>
        <v>0.53448943577564734</v>
      </c>
      <c r="AE275" s="212">
        <f ca="1">IF($AB275="DIRECT",$S275,DSTDEV('literature entries'!$D:$AI,IF($J275=1,"ACTIVE     GHGE, FARM GATE (kg CO2e/kg)","GHGE, processor gate (kg CO2e/kg)"),INDIRECT($AB275)))</f>
        <v>0.86200931416440196</v>
      </c>
      <c r="AF275" s="212">
        <f t="shared" ca="1" si="37"/>
        <v>0.86200931416440196</v>
      </c>
    </row>
    <row r="276" spans="1:32" s="19" customFormat="1" thickBot="1" x14ac:dyDescent="0.25">
      <c r="A276" s="114">
        <v>2403279000</v>
      </c>
      <c r="B276" s="115" t="s">
        <v>480</v>
      </c>
      <c r="C276" s="115" t="s">
        <v>2170</v>
      </c>
      <c r="D276" s="115"/>
      <c r="E276" s="115">
        <v>2681</v>
      </c>
      <c r="F276" s="111">
        <f t="shared" ca="1" si="34"/>
        <v>5.6186666666666669</v>
      </c>
      <c r="G276" s="112">
        <f t="shared" ca="1" si="35"/>
        <v>0.91362727272727262</v>
      </c>
      <c r="H276" s="116">
        <v>1.96</v>
      </c>
      <c r="I276" s="116" t="s">
        <v>2724</v>
      </c>
      <c r="J276" s="79">
        <v>1</v>
      </c>
      <c r="K276" s="78"/>
      <c r="L276" s="135" t="str">
        <f>IF(ISERROR(GETPIVOTDATA(IF($J276=1,"Count of ACTIVE     CED, FARM GATE (MJ/kg)","Count of CED, processor gate (MJ/kg)"),'Pivot Table_CED'!$A$3,"SUB TYPE",$B276)),"PROXY",IF(GETPIVOTDATA(IF($J276=1,"Count of ACTIVE     CED, FARM GATE (MJ/kg)","Count of CED, processor gate (MJ/kg)"),'Pivot Table_CED'!$A$3,"SUB TYPE",$B276)=0,"PROXY","DB value"))</f>
        <v>DB value</v>
      </c>
      <c r="M276" s="118">
        <f ca="1">IF($L276="PROXY",DCOUNT('literature entries'!$D:$AI,IF($J276=1,"ACTIVE     CED, FARM GATE (MJ/kg)","CED, processor gate (MJ/kg)"),INDIRECT($K276)),GETPIVOTDATA(IF($J276=1,"Count of ACTIVE     CED, FARM GATE (MJ/kg)","Count of CED, processor gate (MJ/kg)"),'Pivot Table_CED'!$A$3,"SUB TYPE",$B276))</f>
        <v>1</v>
      </c>
      <c r="N276" s="119">
        <f ca="1">IF($L276="PROXY",DAVERAGE('literature entries'!$D:$AI,IF($J276=1,"ACTIVE     CED, FARM GATE (MJ/kg)","CED, processor gate (MJ/kg)"),INDIRECT($K276)),GETPIVOTDATA(IF($J276=1,"Average of ACTIVE     CED, FARM GATE (MJ/kg)","Average of CED, processor gate (MJ/kg)"),'Pivot Table_CED'!$A$3,"SUB TYPE",$B276))</f>
        <v>2.8666666666666667</v>
      </c>
      <c r="O276" s="119">
        <f ca="1">IF($L276="PROXY",DSTDEV('literature entries'!D:AI,IF($J276=1,"ACTIVE     CED, FARM GATE (MJ/kg)","CED, processor gate (MJ/kg)"),INDIRECT($K276)),GETPIVOTDATA(IF($J276=1,"StdDev of ACTIVE     CED, FARM GATE (MJ/kg)","StdDev of CED, processor gate (MJ/kg)"),'Pivot Table_CED'!$A$3,"SUB TYPE",$B276))</f>
        <v>0</v>
      </c>
      <c r="P276" s="135" t="str">
        <f>IF(ISERROR(GETPIVOTDATA(IF($J276=1,"Count of ACTIVE     GHGE, FARM GATE (kg CO2e/kg)","Count of GHGE, processor gate (kg CO2e/kg)"),'Pivot Table_GHG'!$A$3,"SUB TYPE",$B276)),"PROXY",IF(GETPIVOTDATA(IF($J276=1,"Count of ACTIVE     GHGE, FARM GATE (kg CO2e/kg)","Count of GHGE, processor gate (kg CO2e/kg)"),'Pivot Table_GHG'!$A$3,"SUB TYPE",$B276)=0,"PROXY","DB value"))</f>
        <v>DB value</v>
      </c>
      <c r="Q276" s="125">
        <f ca="1">IF($P276="PROXY",DCOUNT('literature entries'!$D:$AI,IF($J276=1,"ACTIVE     GHGE, FARM GATE (kg CO2e/kg)","GHGE, processor gate (kg CO2e/kg)"),INDIRECT($K276)),GETPIVOTDATA(IF($J276=1,"ACTIVE     GHGE, FARM GATE (kg CO2e/kg)","Count of GHGE, processor gate (kg CO2e/kg)"),'Pivot Table_GHG'!$A$3,"SUB TYPE",$B276))</f>
        <v>2</v>
      </c>
      <c r="R276" s="190">
        <f ca="1">IF($P276="PROXY",DAVERAGE('literature entries'!$D:$AI,IF($J276=1,"ACTIVE     GHGE, FARM GATE (kg CO2e/kg)","GHGE, processor gate (kg CO2e/kg)"),INDIRECT($K276)),GETPIVOTDATA(IF($J276=1,"Average of ACTIVE     GHGE, FARM GATE (kg CO2e/kg)","Average of GHGE, processor gate (kg CO2e/kg)"),'Pivot Table_GHG'!$A$3,"SUB TYPE",$B276))</f>
        <v>0.46613636363636357</v>
      </c>
      <c r="S276" s="190">
        <f ca="1">IF($P276="PROXY",DSTDEV('literature entries'!$D:$AI,IF($J276=1,"ACTIVE     GHGE, FARM GATE (kg CO2e/kg)","GHGE, processor gate (kg CO2e/kg)"),INDIRECT($K276)),GETPIVOTDATA(IF($J276=1,"StdDev of ACTIVE     GHGE, FARM GATE (kg CO2e/kg)","StdDev of GHGE, processor gate (kg CO2e/kg)"),'Pivot Table_GHG'!$A$3,"SUB TYPE",$B276))</f>
        <v>0.19638283786590038</v>
      </c>
      <c r="T276" s="88"/>
      <c r="U276" s="89"/>
      <c r="W276" s="213" t="s">
        <v>3269</v>
      </c>
      <c r="X276" s="211">
        <f ca="1">IF($W276="DIRECT",M276,DCOUNT('literature entries'!$D:$AI,IF($J276=1,"ACTIVE     CED, FARM GATE (MJ/kg)","CED, processor gate (MJ/kg)"),INDIRECT($W276)))</f>
        <v>9</v>
      </c>
      <c r="Y276" s="211">
        <f ca="1">IF($W276="DIRECT","",DAVERAGE('literature entries'!$D:$AI,IF($J276=1,"ACTIVE     CED, FARM GATE (MJ/kg)","CED, processor gate (MJ/kg)"),INDIRECT($W276)))</f>
        <v>3.3954128262185184</v>
      </c>
      <c r="Z276" s="211">
        <f ca="1">IF($W276="DIRECT",$O276,DSTDEV('literature entries'!$D:$AI,IF($J276=1,"ACTIVE     CED, FARM GATE (MJ/kg)","CED, processor gate (MJ/kg)"),INDIRECT($W276)))</f>
        <v>2.1698076963305595</v>
      </c>
      <c r="AA276" s="211">
        <f t="shared" ca="1" si="36"/>
        <v>1.8319172702999316</v>
      </c>
      <c r="AB276" s="219" t="s">
        <v>3269</v>
      </c>
      <c r="AC276" s="212">
        <f ca="1">IF($AB276="DIRECT",Q276,DCOUNT('literature entries'!$D:$AI,IF($J276=1,"ACTIVE     GHGE, FARM GATE (kg CO2e/kg)","GHGE, processor gate (kg CO2e/kg)"),INDIRECT($AB276)))</f>
        <v>30</v>
      </c>
      <c r="AD276" s="212">
        <f ca="1">IF($AB276="DIRECT","",DAVERAGE('literature entries'!$D:$AI,IF($J276=1,"ACTIVE     GHGE, FARM GATE (kg CO2e/kg)","GHGE, processor gate (kg CO2e/kg)"),INDIRECT($AB276)))</f>
        <v>0.53448943577564734</v>
      </c>
      <c r="AE276" s="212">
        <f ca="1">IF($AB276="DIRECT",$S276,DSTDEV('literature entries'!$D:$AI,IF($J276=1,"ACTIVE     GHGE, FARM GATE (kg CO2e/kg)","GHGE, processor gate (kg CO2e/kg)"),INDIRECT($AB276)))</f>
        <v>0.86200931416440196</v>
      </c>
      <c r="AF276" s="212">
        <f t="shared" ca="1" si="37"/>
        <v>0.75177142938692609</v>
      </c>
    </row>
    <row r="277" spans="1:32" s="19" customFormat="1" ht="17" thickBot="1" x14ac:dyDescent="0.25">
      <c r="A277" s="114">
        <v>2403280000</v>
      </c>
      <c r="B277" s="115" t="s">
        <v>2171</v>
      </c>
      <c r="C277" s="115" t="s">
        <v>2172</v>
      </c>
      <c r="D277" s="115"/>
      <c r="E277" s="115">
        <v>125</v>
      </c>
      <c r="F277" s="111">
        <f t="shared" ca="1" si="34"/>
        <v>27.806666666666665</v>
      </c>
      <c r="G277" s="112">
        <f t="shared" ca="1" si="35"/>
        <v>4.5215227272727265</v>
      </c>
      <c r="H277" s="116">
        <v>9.6999999999999993</v>
      </c>
      <c r="I277" s="117" t="s">
        <v>2724</v>
      </c>
      <c r="J277" s="79">
        <v>1</v>
      </c>
      <c r="K277" s="78" t="s">
        <v>878</v>
      </c>
      <c r="L277" s="135" t="str">
        <f>IF(ISERROR(GETPIVOTDATA(IF($J277=1,"Count of ACTIVE     CED, FARM GATE (MJ/kg)","Count of CED, processor gate (MJ/kg)"),'Pivot Table_CED'!$A$3,"SUB TYPE",$B277)),"PROXY",IF(GETPIVOTDATA(IF($J277=1,"Count of ACTIVE     CED, FARM GATE (MJ/kg)","Count of CED, processor gate (MJ/kg)"),'Pivot Table_CED'!$A$3,"SUB TYPE",$B277)=0,"PROXY","DB value"))</f>
        <v>PROXY</v>
      </c>
      <c r="M277" s="118">
        <f ca="1">IF($L277="PROXY",DCOUNT('literature entries'!$D:$AI,IF($J277=1,"ACTIVE     CED, FARM GATE (MJ/kg)","CED, processor gate (MJ/kg)"),INDIRECT($K277)),GETPIVOTDATA(IF($J277=1,"Count of ACTIVE     CED, FARM GATE (MJ/kg)","Count of CED, processor gate (MJ/kg)"),'Pivot Table_CED'!$A$3,"SUB TYPE",$B277))</f>
        <v>1</v>
      </c>
      <c r="N277" s="119">
        <f ca="1">IF($L277="PROXY",DAVERAGE('literature entries'!$D:$AI,IF($J277=1,"ACTIVE     CED, FARM GATE (MJ/kg)","CED, processor gate (MJ/kg)"),INDIRECT($K277)),GETPIVOTDATA(IF($J277=1,"Average of ACTIVE     CED, FARM GATE (MJ/kg)","Average of CED, processor gate (MJ/kg)"),'Pivot Table_CED'!$A$3,"SUB TYPE",$B277))</f>
        <v>2.8666666666666667</v>
      </c>
      <c r="O277" s="119" t="e">
        <f ca="1">IF($L277="PROXY",DSTDEV('literature entries'!D:AI,IF($J277=1,"ACTIVE     CED, FARM GATE (MJ/kg)","CED, processor gate (MJ/kg)"),INDIRECT($K277)),GETPIVOTDATA(IF($J277=1,"StdDev of ACTIVE     CED, FARM GATE (MJ/kg)","StdDev of CED, processor gate (MJ/kg)"),'Pivot Table_CED'!$A$3,"SUB TYPE",$B277))</f>
        <v>#DIV/0!</v>
      </c>
      <c r="P277" s="135" t="str">
        <f>IF(ISERROR(GETPIVOTDATA(IF($J277=1,"Count of ACTIVE     GHGE, FARM GATE (kg CO2e/kg)","Count of GHGE, processor gate (kg CO2e/kg)"),'Pivot Table_GHG'!$A$3,"SUB TYPE",$B277)),"PROXY",IF(GETPIVOTDATA(IF($J277=1,"Count of ACTIVE     GHGE, FARM GATE (kg CO2e/kg)","Count of GHGE, processor gate (kg CO2e/kg)"),'Pivot Table_GHG'!$A$3,"SUB TYPE",$B277)=0,"PROXY","DB value"))</f>
        <v>PROXY</v>
      </c>
      <c r="Q277" s="125">
        <f ca="1">IF($P277="PROXY",DCOUNT('literature entries'!$D:$AI,IF($J277=1,"ACTIVE     GHGE, FARM GATE (kg CO2e/kg)","GHGE, processor gate (kg CO2e/kg)"),INDIRECT($K277)),GETPIVOTDATA(IF($J277=1,"ACTIVE     GHGE, FARM GATE (kg CO2e/kg)","Count of GHGE, processor gate (kg CO2e/kg)"),'Pivot Table_GHG'!$A$3,"SUB TYPE",$B277))</f>
        <v>2</v>
      </c>
      <c r="R277" s="190">
        <f ca="1">IF($P277="PROXY",DAVERAGE('literature entries'!$D:$AI,IF($J277=1,"ACTIVE     GHGE, FARM GATE (kg CO2e/kg)","GHGE, processor gate (kg CO2e/kg)"),INDIRECT($K277)),GETPIVOTDATA(IF($J277=1,"Average of ACTIVE     GHGE, FARM GATE (kg CO2e/kg)","Average of GHGE, processor gate (kg CO2e/kg)"),'Pivot Table_GHG'!$A$3,"SUB TYPE",$B277))</f>
        <v>0.46613636363636357</v>
      </c>
      <c r="S277" s="190">
        <f ca="1">IF($P277="PROXY",DSTDEV('literature entries'!$D:$AI,IF($J277=1,"ACTIVE     GHGE, FARM GATE (kg CO2e/kg)","GHGE, processor gate (kg CO2e/kg)"),INDIRECT($K277)),GETPIVOTDATA(IF($J277=1,"StdDev of ACTIVE     GHGE, FARM GATE (kg CO2e/kg)","StdDev of GHGE, processor gate (kg CO2e/kg)"),'Pivot Table_GHG'!$A$3,"SUB TYPE",$B277))</f>
        <v>0.19638283786590038</v>
      </c>
      <c r="T277" s="88"/>
      <c r="U277" s="89"/>
      <c r="W277" s="213" t="s">
        <v>3269</v>
      </c>
      <c r="X277" s="211">
        <f ca="1">IF($W277="DIRECT",M277,DCOUNT('literature entries'!$D:$AI,IF($J277=1,"ACTIVE     CED, FARM GATE (MJ/kg)","CED, processor gate (MJ/kg)"),INDIRECT($W277)))</f>
        <v>9</v>
      </c>
      <c r="Y277" s="211">
        <f ca="1">IF($W277="DIRECT","",DAVERAGE('literature entries'!$D:$AI,IF($J277=1,"ACTIVE     CED, FARM GATE (MJ/kg)","CED, processor gate (MJ/kg)"),INDIRECT($W277)))</f>
        <v>3.3954128262185184</v>
      </c>
      <c r="Z277" s="211">
        <f ca="1">IF($W277="DIRECT",$O277,DSTDEV('literature entries'!$D:$AI,IF($J277=1,"ACTIVE     CED, FARM GATE (MJ/kg)","CED, processor gate (MJ/kg)"),INDIRECT($W277)))</f>
        <v>2.1698076963305595</v>
      </c>
      <c r="AA277" s="211">
        <f t="shared" ca="1" si="36"/>
        <v>1.8319172702999316</v>
      </c>
      <c r="AB277" s="219" t="s">
        <v>3269</v>
      </c>
      <c r="AC277" s="212">
        <f ca="1">IF($AB277="DIRECT",Q277,DCOUNT('literature entries'!$D:$AI,IF($J277=1,"ACTIVE     GHGE, FARM GATE (kg CO2e/kg)","GHGE, processor gate (kg CO2e/kg)"),INDIRECT($AB277)))</f>
        <v>30</v>
      </c>
      <c r="AD277" s="212">
        <f ca="1">IF($AB277="DIRECT","",DAVERAGE('literature entries'!$D:$AI,IF($J277=1,"ACTIVE     GHGE, FARM GATE (kg CO2e/kg)","GHGE, processor gate (kg CO2e/kg)"),INDIRECT($AB277)))</f>
        <v>0.53448943577564734</v>
      </c>
      <c r="AE277" s="212">
        <f ca="1">IF($AB277="DIRECT",$S277,DSTDEV('literature entries'!$D:$AI,IF($J277=1,"ACTIVE     GHGE, FARM GATE (kg CO2e/kg)","GHGE, processor gate (kg CO2e/kg)"),INDIRECT($AB277)))</f>
        <v>0.86200931416440196</v>
      </c>
      <c r="AF277" s="212">
        <f t="shared" ca="1" si="37"/>
        <v>0.75177142938692609</v>
      </c>
    </row>
    <row r="278" spans="1:32" s="19" customFormat="1" ht="17" thickBot="1" x14ac:dyDescent="0.25">
      <c r="A278" s="114">
        <v>2403281000</v>
      </c>
      <c r="B278" s="115" t="s">
        <v>2173</v>
      </c>
      <c r="C278" s="115" t="s">
        <v>1742</v>
      </c>
      <c r="D278" s="115"/>
      <c r="E278" s="115">
        <v>8553</v>
      </c>
      <c r="F278" s="111">
        <f t="shared" ca="1" si="34"/>
        <v>10.671333333333333</v>
      </c>
      <c r="G278" s="112">
        <f t="shared" ca="1" si="35"/>
        <v>1.8554154897163633</v>
      </c>
      <c r="H278" s="116">
        <v>1.88</v>
      </c>
      <c r="I278" s="117" t="s">
        <v>2724</v>
      </c>
      <c r="J278" s="79">
        <v>1</v>
      </c>
      <c r="K278" s="78" t="s">
        <v>878</v>
      </c>
      <c r="L278" s="135" t="str">
        <f>IF(ISERROR(GETPIVOTDATA(IF($J278=1,"Count of ACTIVE     CED, FARM GATE (MJ/kg)","Count of CED, processor gate (MJ/kg)"),'Pivot Table_CED'!$A$3,"SUB TYPE",$B278)),"PROXY",IF(GETPIVOTDATA(IF($J278=1,"Count of ACTIVE     CED, FARM GATE (MJ/kg)","Count of CED, processor gate (MJ/kg)"),'Pivot Table_CED'!$A$3,"SUB TYPE",$B278)=0,"PROXY","DB value"))</f>
        <v>PROXY</v>
      </c>
      <c r="M278" s="118">
        <f ca="1">IF($L278="PROXY",DCOUNT('literature entries'!$D:$AI,IF($J278=1,"ACTIVE     CED, FARM GATE (MJ/kg)","CED, processor gate (MJ/kg)"),INDIRECT($K278)),GETPIVOTDATA(IF($J278=1,"Count of ACTIVE     CED, FARM GATE (MJ/kg)","Count of CED, processor gate (MJ/kg)"),'Pivot Table_CED'!$A$3,"SUB TYPE",$B278))</f>
        <v>1</v>
      </c>
      <c r="N278" s="119">
        <f ca="1">IF($L278="PROXY",DAVERAGE('literature entries'!$D:$AI,IF($J278=1,"ACTIVE     CED, FARM GATE (MJ/kg)","CED, processor gate (MJ/kg)"),INDIRECT($K278)),GETPIVOTDATA(IF($J278=1,"Average of ACTIVE     CED, FARM GATE (MJ/kg)","Average of CED, processor gate (MJ/kg)"),'Pivot Table_CED'!$A$3,"SUB TYPE",$B278))</f>
        <v>2.8666666666666667</v>
      </c>
      <c r="O278" s="119" t="e">
        <f ca="1">IF($L278="PROXY",DSTDEV('literature entries'!D:AI,IF($J278=1,"ACTIVE     CED, FARM GATE (MJ/kg)","CED, processor gate (MJ/kg)"),INDIRECT($K278)),GETPIVOTDATA(IF($J278=1,"StdDev of ACTIVE     CED, FARM GATE (MJ/kg)","StdDev of CED, processor gate (MJ/kg)"),'Pivot Table_CED'!$A$3,"SUB TYPE",$B278))</f>
        <v>#DIV/0!</v>
      </c>
      <c r="P278" s="135" t="str">
        <f>IF(ISERROR(GETPIVOTDATA(IF($J278=1,"Count of ACTIVE     GHGE, FARM GATE (kg CO2e/kg)","Count of GHGE, processor gate (kg CO2e/kg)"),'Pivot Table_GHG'!$A$3,"SUB TYPE",$B278)),"PROXY",IF(GETPIVOTDATA(IF($J278=1,"Count of ACTIVE     GHGE, FARM GATE (kg CO2e/kg)","Count of GHGE, processor gate (kg CO2e/kg)"),'Pivot Table_GHG'!$A$3,"SUB TYPE",$B278)=0,"PROXY","DB value"))</f>
        <v>PROXY</v>
      </c>
      <c r="Q278" s="125">
        <f ca="1">IF($P278="PROXY",DCOUNT('literature entries'!$D:$AI,IF($J278=1,"ACTIVE     GHGE, FARM GATE (kg CO2e/kg)","GHGE, processor gate (kg CO2e/kg)"),INDIRECT($K278)),GETPIVOTDATA(IF($J278=1,"ACTIVE     GHGE, FARM GATE (kg CO2e/kg)","Count of GHGE, processor gate (kg CO2e/kg)"),'Pivot Table_GHG'!$A$3,"SUB TYPE",$B278))</f>
        <v>2</v>
      </c>
      <c r="R278" s="190">
        <f ca="1">IF($P278="PROXY",DAVERAGE('literature entries'!$D:$AI,IF($J278=1,"ACTIVE     GHGE, FARM GATE (kg CO2e/kg)","GHGE, processor gate (kg CO2e/kg)"),INDIRECT($K278)),GETPIVOTDATA(IF($J278=1,"Average of ACTIVE     GHGE, FARM GATE (kg CO2e/kg)","Average of GHGE, processor gate (kg CO2e/kg)"),'Pivot Table_GHG'!$A$3,"SUB TYPE",$B278))</f>
        <v>0.46613636363636357</v>
      </c>
      <c r="S278" s="190">
        <f ca="1">IF($P278="PROXY",DSTDEV('literature entries'!$D:$AI,IF($J278=1,"ACTIVE     GHGE, FARM GATE (kg CO2e/kg)","GHGE, processor gate (kg CO2e/kg)"),INDIRECT($K278)),GETPIVOTDATA(IF($J278=1,"StdDev of ACTIVE     GHGE, FARM GATE (kg CO2e/kg)","StdDev of GHGE, processor gate (kg CO2e/kg)"),'Pivot Table_GHG'!$A$3,"SUB TYPE",$B278))</f>
        <v>0.19638283786590038</v>
      </c>
      <c r="T278" s="86">
        <v>5.282</v>
      </c>
      <c r="U278" s="87">
        <v>0.97907912607999992</v>
      </c>
      <c r="W278" s="213" t="s">
        <v>3269</v>
      </c>
      <c r="X278" s="211">
        <f ca="1">IF($W278="DIRECT",M278,DCOUNT('literature entries'!$D:$AI,IF($J278=1,"ACTIVE     CED, FARM GATE (MJ/kg)","CED, processor gate (MJ/kg)"),INDIRECT($W278)))</f>
        <v>9</v>
      </c>
      <c r="Y278" s="211">
        <f ca="1">IF($W278="DIRECT","",DAVERAGE('literature entries'!$D:$AI,IF($J278=1,"ACTIVE     CED, FARM GATE (MJ/kg)","CED, processor gate (MJ/kg)"),INDIRECT($W278)))</f>
        <v>3.3954128262185184</v>
      </c>
      <c r="Z278" s="211">
        <f ca="1">IF($W278="DIRECT",$O278,DSTDEV('literature entries'!$D:$AI,IF($J278=1,"ACTIVE     CED, FARM GATE (MJ/kg)","CED, processor gate (MJ/kg)"),INDIRECT($W278)))</f>
        <v>2.1698076963305595</v>
      </c>
      <c r="AA278" s="211">
        <f t="shared" ca="1" si="36"/>
        <v>1.8319172702999316</v>
      </c>
      <c r="AB278" s="219" t="s">
        <v>3269</v>
      </c>
      <c r="AC278" s="212">
        <f ca="1">IF($AB278="DIRECT",Q278,DCOUNT('literature entries'!$D:$AI,IF($J278=1,"ACTIVE     GHGE, FARM GATE (kg CO2e/kg)","GHGE, processor gate (kg CO2e/kg)"),INDIRECT($AB278)))</f>
        <v>30</v>
      </c>
      <c r="AD278" s="212">
        <f ca="1">IF($AB278="DIRECT","",DAVERAGE('literature entries'!$D:$AI,IF($J278=1,"ACTIVE     GHGE, FARM GATE (kg CO2e/kg)","GHGE, processor gate (kg CO2e/kg)"),INDIRECT($AB278)))</f>
        <v>0.53448943577564734</v>
      </c>
      <c r="AE278" s="212">
        <f ca="1">IF($AB278="DIRECT",$S278,DSTDEV('literature entries'!$D:$AI,IF($J278=1,"ACTIVE     GHGE, FARM GATE (kg CO2e/kg)","GHGE, processor gate (kg CO2e/kg)"),INDIRECT($AB278)))</f>
        <v>0.86200931416440196</v>
      </c>
      <c r="AF278" s="212">
        <f t="shared" ca="1" si="37"/>
        <v>0.75177142938692609</v>
      </c>
    </row>
    <row r="279" spans="1:32" s="19" customFormat="1" thickBot="1" x14ac:dyDescent="0.25">
      <c r="A279" s="114">
        <v>2403346000</v>
      </c>
      <c r="B279" s="115" t="s">
        <v>2265</v>
      </c>
      <c r="C279" s="115" t="s">
        <v>1842</v>
      </c>
      <c r="D279" s="115"/>
      <c r="E279" s="115">
        <v>4</v>
      </c>
      <c r="F279" s="111">
        <f t="shared" ca="1" si="34"/>
        <v>5.0591651110655924</v>
      </c>
      <c r="G279" s="112">
        <f t="shared" ca="1" si="35"/>
        <v>0.79638925930571458</v>
      </c>
      <c r="H279" s="116">
        <v>1.49</v>
      </c>
      <c r="I279" s="116" t="s">
        <v>2724</v>
      </c>
      <c r="J279" s="79">
        <v>1</v>
      </c>
      <c r="K279" s="78" t="s">
        <v>3269</v>
      </c>
      <c r="L279" s="135" t="str">
        <f>IF(ISERROR(GETPIVOTDATA(IF($J279=1,"Count of ACTIVE     CED, FARM GATE (MJ/kg)","Count of CED, processor gate (MJ/kg)"),'Pivot Table_CED'!$A$3,"SUB TYPE",$B279)),"PROXY",IF(GETPIVOTDATA(IF($J279=1,"Count of ACTIVE     CED, FARM GATE (MJ/kg)","Count of CED, processor gate (MJ/kg)"),'Pivot Table_CED'!$A$3,"SUB TYPE",$B279)=0,"PROXY","DB value"))</f>
        <v>PROXY</v>
      </c>
      <c r="M279" s="118">
        <f ca="1">IF($L279="PROXY",DCOUNT('literature entries'!$D:$AI,IF($J279=1,"ACTIVE     CED, FARM GATE (MJ/kg)","CED, processor gate (MJ/kg)"),INDIRECT($K279)),GETPIVOTDATA(IF($J279=1,"Count of ACTIVE     CED, FARM GATE (MJ/kg)","Count of CED, processor gate (MJ/kg)"),'Pivot Table_CED'!$A$3,"SUB TYPE",$B279))</f>
        <v>9</v>
      </c>
      <c r="N279" s="119">
        <f ca="1">IF($L279="PROXY",DAVERAGE('literature entries'!$D:$AI,IF($J279=1,"ACTIVE     CED, FARM GATE (MJ/kg)","CED, processor gate (MJ/kg)"),INDIRECT($K279)),GETPIVOTDATA(IF($J279=1,"Average of ACTIVE     CED, FARM GATE (MJ/kg)","Average of CED, processor gate (MJ/kg)"),'Pivot Table_CED'!$A$3,"SUB TYPE",$B279))</f>
        <v>3.3954128262185184</v>
      </c>
      <c r="O279" s="119">
        <f ca="1">IF($L279="PROXY",DSTDEV('literature entries'!D:AI,IF($J279=1,"ACTIVE     CED, FARM GATE (MJ/kg)","CED, processor gate (MJ/kg)"),INDIRECT($K279)),GETPIVOTDATA(IF($J279=1,"StdDev of ACTIVE     CED, FARM GATE (MJ/kg)","StdDev of CED, processor gate (MJ/kg)"),'Pivot Table_CED'!$A$3,"SUB TYPE",$B279))</f>
        <v>2.1698076963305595</v>
      </c>
      <c r="P279" s="135" t="str">
        <f>IF(ISERROR(GETPIVOTDATA(IF($J279=1,"Count of ACTIVE     GHGE, FARM GATE (kg CO2e/kg)","Count of GHGE, processor gate (kg CO2e/kg)"),'Pivot Table_GHG'!$A$3,"SUB TYPE",$B279)),"PROXY",IF(GETPIVOTDATA(IF($J279=1,"Count of ACTIVE     GHGE, FARM GATE (kg CO2e/kg)","Count of GHGE, processor gate (kg CO2e/kg)"),'Pivot Table_GHG'!$A$3,"SUB TYPE",$B279)=0,"PROXY","DB value"))</f>
        <v>PROXY</v>
      </c>
      <c r="Q279" s="125">
        <f ca="1">IF($P279="PROXY",DCOUNT('literature entries'!$D:$AI,IF($J279=1,"ACTIVE     GHGE, FARM GATE (kg CO2e/kg)","GHGE, processor gate (kg CO2e/kg)"),INDIRECT($K279)),GETPIVOTDATA(IF($J279=1,"ACTIVE     GHGE, FARM GATE (kg CO2e/kg)","Count of GHGE, processor gate (kg CO2e/kg)"),'Pivot Table_GHG'!$A$3,"SUB TYPE",$B279))</f>
        <v>30</v>
      </c>
      <c r="R279" s="190">
        <f ca="1">IF($P279="PROXY",DAVERAGE('literature entries'!$D:$AI,IF($J279=1,"ACTIVE     GHGE, FARM GATE (kg CO2e/kg)","GHGE, processor gate (kg CO2e/kg)"),INDIRECT($K279)),GETPIVOTDATA(IF($J279=1,"Average of ACTIVE     GHGE, FARM GATE (kg CO2e/kg)","Average of GHGE, processor gate (kg CO2e/kg)"),'Pivot Table_GHG'!$A$3,"SUB TYPE",$B279))</f>
        <v>0.53448943577564734</v>
      </c>
      <c r="S279" s="190">
        <f ca="1">IF($P279="PROXY",DSTDEV('literature entries'!$D:$AI,IF($J279=1,"ACTIVE     GHGE, FARM GATE (kg CO2e/kg)","GHGE, processor gate (kg CO2e/kg)"),INDIRECT($K279)),GETPIVOTDATA(IF($J279=1,"StdDev of ACTIVE     GHGE, FARM GATE (kg CO2e/kg)","StdDev of GHGE, processor gate (kg CO2e/kg)"),'Pivot Table_GHG'!$A$3,"SUB TYPE",$B279))</f>
        <v>0.86200931416440196</v>
      </c>
      <c r="T279" s="88"/>
      <c r="U279" s="89"/>
      <c r="W279" s="213" t="str">
        <f t="shared" ref="W279:W298" ca="1" si="39">IF(L279="PROXY",IF(M279&gt;=5,K279,"need group"),IF(M279&gt;=5,"DIRECT","need group"))</f>
        <v>tropical_fruit</v>
      </c>
      <c r="X279" s="211">
        <f ca="1">IF($W279="DIRECT",M279,DCOUNT('literature entries'!$D:$AI,IF($J279=1,"ACTIVE     CED, FARM GATE (MJ/kg)","CED, processor gate (MJ/kg)"),INDIRECT($W279)))</f>
        <v>9</v>
      </c>
      <c r="Y279" s="211">
        <f ca="1">IF($W279="DIRECT","",DAVERAGE('literature entries'!$D:$AI,IF($J279=1,"ACTIVE     CED, FARM GATE (MJ/kg)","CED, processor gate (MJ/kg)"),INDIRECT($W279)))</f>
        <v>3.3954128262185184</v>
      </c>
      <c r="Z279" s="211">
        <f ca="1">IF($W279="DIRECT",$O279,DSTDEV('literature entries'!$D:$AI,IF($J279=1,"ACTIVE     CED, FARM GATE (MJ/kg)","CED, processor gate (MJ/kg)"),INDIRECT($W279)))</f>
        <v>2.1698076963305595</v>
      </c>
      <c r="AA279" s="211">
        <f t="shared" ca="1" si="36"/>
        <v>2.1698076963305595</v>
      </c>
      <c r="AB279" s="219" t="str">
        <f t="shared" ref="AB279:AB301" ca="1" si="40">IF(P279="PROXY",IF(Q279&gt;=5,K279,"need group"),IF(Q279&gt;=5,"DIRECT","need group"))</f>
        <v>tropical_fruit</v>
      </c>
      <c r="AC279" s="212">
        <f ca="1">IF($AB279="DIRECT",Q279,DCOUNT('literature entries'!$D:$AI,IF($J279=1,"ACTIVE     GHGE, FARM GATE (kg CO2e/kg)","GHGE, processor gate (kg CO2e/kg)"),INDIRECT($AB279)))</f>
        <v>30</v>
      </c>
      <c r="AD279" s="212">
        <f ca="1">IF($AB279="DIRECT","",DAVERAGE('literature entries'!$D:$AI,IF($J279=1,"ACTIVE     GHGE, FARM GATE (kg CO2e/kg)","GHGE, processor gate (kg CO2e/kg)"),INDIRECT($AB279)))</f>
        <v>0.53448943577564734</v>
      </c>
      <c r="AE279" s="212">
        <f ca="1">IF($AB279="DIRECT",$S279,DSTDEV('literature entries'!$D:$AI,IF($J279=1,"ACTIVE     GHGE, FARM GATE (kg CO2e/kg)","GHGE, processor gate (kg CO2e/kg)"),INDIRECT($AB279)))</f>
        <v>0.86200931416440196</v>
      </c>
      <c r="AF279" s="212">
        <f t="shared" ca="1" si="37"/>
        <v>0.86200931416440196</v>
      </c>
    </row>
    <row r="280" spans="1:32" s="19" customFormat="1" ht="17" thickBot="1" x14ac:dyDescent="0.25">
      <c r="A280" s="114">
        <v>2405252000</v>
      </c>
      <c r="B280" s="115" t="s">
        <v>2124</v>
      </c>
      <c r="C280" s="115" t="s">
        <v>1912</v>
      </c>
      <c r="D280" s="115"/>
      <c r="E280" s="115">
        <v>3</v>
      </c>
      <c r="F280" s="111">
        <f t="shared" ca="1" si="34"/>
        <v>4.3461284175597035</v>
      </c>
      <c r="G280" s="112">
        <f t="shared" ca="1" si="35"/>
        <v>0.68414647779282856</v>
      </c>
      <c r="H280" s="116">
        <v>1.28</v>
      </c>
      <c r="I280" s="117" t="s">
        <v>2724</v>
      </c>
      <c r="J280" s="79">
        <v>1</v>
      </c>
      <c r="K280" s="78" t="s">
        <v>3269</v>
      </c>
      <c r="L280" s="135" t="str">
        <f>IF(ISERROR(GETPIVOTDATA(IF($J280=1,"Count of ACTIVE     CED, FARM GATE (MJ/kg)","Count of CED, processor gate (MJ/kg)"),'Pivot Table_CED'!$A$3,"SUB TYPE",$B280)),"PROXY",IF(GETPIVOTDATA(IF($J280=1,"Count of ACTIVE     CED, FARM GATE (MJ/kg)","Count of CED, processor gate (MJ/kg)"),'Pivot Table_CED'!$A$3,"SUB TYPE",$B280)=0,"PROXY","DB value"))</f>
        <v>PROXY</v>
      </c>
      <c r="M280" s="118">
        <f ca="1">IF($L280="PROXY",DCOUNT('literature entries'!$D:$AI,IF($J280=1,"ACTIVE     CED, FARM GATE (MJ/kg)","CED, processor gate (MJ/kg)"),INDIRECT($K280)),GETPIVOTDATA(IF($J280=1,"Count of ACTIVE     CED, FARM GATE (MJ/kg)","Count of CED, processor gate (MJ/kg)"),'Pivot Table_CED'!$A$3,"SUB TYPE",$B280))</f>
        <v>9</v>
      </c>
      <c r="N280" s="119">
        <f ca="1">IF($L280="PROXY",DAVERAGE('literature entries'!$D:$AI,IF($J280=1,"ACTIVE     CED, FARM GATE (MJ/kg)","CED, processor gate (MJ/kg)"),INDIRECT($K280)),GETPIVOTDATA(IF($J280=1,"Average of ACTIVE     CED, FARM GATE (MJ/kg)","Average of CED, processor gate (MJ/kg)"),'Pivot Table_CED'!$A$3,"SUB TYPE",$B280))</f>
        <v>3.3954128262185184</v>
      </c>
      <c r="O280" s="119">
        <f ca="1">IF($L280="PROXY",DSTDEV('literature entries'!D:AI,IF($J280=1,"ACTIVE     CED, FARM GATE (MJ/kg)","CED, processor gate (MJ/kg)"),INDIRECT($K280)),GETPIVOTDATA(IF($J280=1,"StdDev of ACTIVE     CED, FARM GATE (MJ/kg)","StdDev of CED, processor gate (MJ/kg)"),'Pivot Table_CED'!$A$3,"SUB TYPE",$B280))</f>
        <v>2.1698076963305595</v>
      </c>
      <c r="P280" s="135" t="str">
        <f>IF(ISERROR(GETPIVOTDATA(IF($J280=1,"Count of ACTIVE     GHGE, FARM GATE (kg CO2e/kg)","Count of GHGE, processor gate (kg CO2e/kg)"),'Pivot Table_GHG'!$A$3,"SUB TYPE",$B280)),"PROXY",IF(GETPIVOTDATA(IF($J280=1,"Count of ACTIVE     GHGE, FARM GATE (kg CO2e/kg)","Count of GHGE, processor gate (kg CO2e/kg)"),'Pivot Table_GHG'!$A$3,"SUB TYPE",$B280)=0,"PROXY","DB value"))</f>
        <v>PROXY</v>
      </c>
      <c r="Q280" s="125">
        <f ca="1">IF($P280="PROXY",DCOUNT('literature entries'!$D:$AI,IF($J280=1,"ACTIVE     GHGE, FARM GATE (kg CO2e/kg)","GHGE, processor gate (kg CO2e/kg)"),INDIRECT($K280)),GETPIVOTDATA(IF($J280=1,"ACTIVE     GHGE, FARM GATE (kg CO2e/kg)","Count of GHGE, processor gate (kg CO2e/kg)"),'Pivot Table_GHG'!$A$3,"SUB TYPE",$B280))</f>
        <v>30</v>
      </c>
      <c r="R280" s="190">
        <f ca="1">IF($P280="PROXY",DAVERAGE('literature entries'!$D:$AI,IF($J280=1,"ACTIVE     GHGE, FARM GATE (kg CO2e/kg)","GHGE, processor gate (kg CO2e/kg)"),INDIRECT($K280)),GETPIVOTDATA(IF($J280=1,"Average of ACTIVE     GHGE, FARM GATE (kg CO2e/kg)","Average of GHGE, processor gate (kg CO2e/kg)"),'Pivot Table_GHG'!$A$3,"SUB TYPE",$B280))</f>
        <v>0.53448943577564734</v>
      </c>
      <c r="S280" s="190">
        <f ca="1">IF($P280="PROXY",DSTDEV('literature entries'!$D:$AI,IF($J280=1,"ACTIVE     GHGE, FARM GATE (kg CO2e/kg)","GHGE, processor gate (kg CO2e/kg)"),INDIRECT($K280)),GETPIVOTDATA(IF($J280=1,"StdDev of ACTIVE     GHGE, FARM GATE (kg CO2e/kg)","StdDev of GHGE, processor gate (kg CO2e/kg)"),'Pivot Table_GHG'!$A$3,"SUB TYPE",$B280))</f>
        <v>0.86200931416440196</v>
      </c>
      <c r="W280" s="213" t="str">
        <f t="shared" ca="1" si="39"/>
        <v>tropical_fruit</v>
      </c>
      <c r="X280" s="211">
        <f ca="1">IF($W280="DIRECT",M280,DCOUNT('literature entries'!$D:$AI,IF($J280=1,"ACTIVE     CED, FARM GATE (MJ/kg)","CED, processor gate (MJ/kg)"),INDIRECT($W280)))</f>
        <v>9</v>
      </c>
      <c r="Y280" s="211">
        <f ca="1">IF($W280="DIRECT","",DAVERAGE('literature entries'!$D:$AI,IF($J280=1,"ACTIVE     CED, FARM GATE (MJ/kg)","CED, processor gate (MJ/kg)"),INDIRECT($W280)))</f>
        <v>3.3954128262185184</v>
      </c>
      <c r="Z280" s="211">
        <f ca="1">IF($W280="DIRECT",$O280,DSTDEV('literature entries'!$D:$AI,IF($J280=1,"ACTIVE     CED, FARM GATE (MJ/kg)","CED, processor gate (MJ/kg)"),INDIRECT($W280)))</f>
        <v>2.1698076963305595</v>
      </c>
      <c r="AA280" s="211">
        <f t="shared" ca="1" si="36"/>
        <v>2.1698076963305595</v>
      </c>
      <c r="AB280" s="219" t="str">
        <f t="shared" ca="1" si="40"/>
        <v>tropical_fruit</v>
      </c>
      <c r="AC280" s="212">
        <f ca="1">IF($AB280="DIRECT",Q280,DCOUNT('literature entries'!$D:$AI,IF($J280=1,"ACTIVE     GHGE, FARM GATE (kg CO2e/kg)","GHGE, processor gate (kg CO2e/kg)"),INDIRECT($AB280)))</f>
        <v>30</v>
      </c>
      <c r="AD280" s="212">
        <f ca="1">IF($AB280="DIRECT","",DAVERAGE('literature entries'!$D:$AI,IF($J280=1,"ACTIVE     GHGE, FARM GATE (kg CO2e/kg)","GHGE, processor gate (kg CO2e/kg)"),INDIRECT($AB280)))</f>
        <v>0.53448943577564734</v>
      </c>
      <c r="AE280" s="212">
        <f ca="1">IF($AB280="DIRECT",$S280,DSTDEV('literature entries'!$D:$AI,IF($J280=1,"ACTIVE     GHGE, FARM GATE (kg CO2e/kg)","GHGE, processor gate (kg CO2e/kg)"),INDIRECT($AB280)))</f>
        <v>0.86200931416440196</v>
      </c>
      <c r="AF280" s="212">
        <f t="shared" ca="1" si="37"/>
        <v>0.86200931416440196</v>
      </c>
    </row>
    <row r="281" spans="1:32" s="19" customFormat="1" ht="17" thickBot="1" x14ac:dyDescent="0.25">
      <c r="A281" s="114">
        <v>2405253000</v>
      </c>
      <c r="B281" s="115" t="s">
        <v>2125</v>
      </c>
      <c r="C281" s="115" t="s">
        <v>1742</v>
      </c>
      <c r="D281" s="115"/>
      <c r="E281" s="115">
        <v>6353</v>
      </c>
      <c r="F281" s="111">
        <f t="shared" ca="1" si="34"/>
        <v>11.665376113290815</v>
      </c>
      <c r="G281" s="112">
        <f t="shared" ca="1" si="35"/>
        <v>1.9839192653382169</v>
      </c>
      <c r="H281" s="116">
        <v>1.88</v>
      </c>
      <c r="I281" s="117" t="s">
        <v>2724</v>
      </c>
      <c r="J281" s="79">
        <v>1</v>
      </c>
      <c r="K281" s="78" t="s">
        <v>3269</v>
      </c>
      <c r="L281" s="135" t="str">
        <f>IF(ISERROR(GETPIVOTDATA(IF($J281=1,"Count of ACTIVE     CED, FARM GATE (MJ/kg)","Count of CED, processor gate (MJ/kg)"),'Pivot Table_CED'!$A$3,"SUB TYPE",$B281)),"PROXY",IF(GETPIVOTDATA(IF($J281=1,"Count of ACTIVE     CED, FARM GATE (MJ/kg)","Count of CED, processor gate (MJ/kg)"),'Pivot Table_CED'!$A$3,"SUB TYPE",$B281)=0,"PROXY","DB value"))</f>
        <v>PROXY</v>
      </c>
      <c r="M281" s="118">
        <f ca="1">IF($L281="PROXY",DCOUNT('literature entries'!$D:$AI,IF($J281=1,"ACTIVE     CED, FARM GATE (MJ/kg)","CED, processor gate (MJ/kg)"),INDIRECT($K281)),GETPIVOTDATA(IF($J281=1,"Count of ACTIVE     CED, FARM GATE (MJ/kg)","Count of CED, processor gate (MJ/kg)"),'Pivot Table_CED'!$A$3,"SUB TYPE",$B281))</f>
        <v>9</v>
      </c>
      <c r="N281" s="119">
        <f ca="1">IF($L281="PROXY",DAVERAGE('literature entries'!$D:$AI,IF($J281=1,"ACTIVE     CED, FARM GATE (MJ/kg)","CED, processor gate (MJ/kg)"),INDIRECT($K281)),GETPIVOTDATA(IF($J281=1,"Average of ACTIVE     CED, FARM GATE (MJ/kg)","Average of CED, processor gate (MJ/kg)"),'Pivot Table_CED'!$A$3,"SUB TYPE",$B281))</f>
        <v>3.3954128262185184</v>
      </c>
      <c r="O281" s="119">
        <f ca="1">IF($L281="PROXY",DSTDEV('literature entries'!D:AI,IF($J281=1,"ACTIVE     CED, FARM GATE (MJ/kg)","CED, processor gate (MJ/kg)"),INDIRECT($K281)),GETPIVOTDATA(IF($J281=1,"StdDev of ACTIVE     CED, FARM GATE (MJ/kg)","StdDev of CED, processor gate (MJ/kg)"),'Pivot Table_CED'!$A$3,"SUB TYPE",$B281))</f>
        <v>2.1698076963305595</v>
      </c>
      <c r="P281" s="135" t="str">
        <f>IF(ISERROR(GETPIVOTDATA(IF($J281=1,"Count of ACTIVE     GHGE, FARM GATE (kg CO2e/kg)","Count of GHGE, processor gate (kg CO2e/kg)"),'Pivot Table_GHG'!$A$3,"SUB TYPE",$B281)),"PROXY",IF(GETPIVOTDATA(IF($J281=1,"Count of ACTIVE     GHGE, FARM GATE (kg CO2e/kg)","Count of GHGE, processor gate (kg CO2e/kg)"),'Pivot Table_GHG'!$A$3,"SUB TYPE",$B281)=0,"PROXY","DB value"))</f>
        <v>PROXY</v>
      </c>
      <c r="Q281" s="125">
        <f ca="1">IF($P281="PROXY",DCOUNT('literature entries'!$D:$AI,IF($J281=1,"ACTIVE     GHGE, FARM GATE (kg CO2e/kg)","GHGE, processor gate (kg CO2e/kg)"),INDIRECT($K281)),GETPIVOTDATA(IF($J281=1,"ACTIVE     GHGE, FARM GATE (kg CO2e/kg)","Count of GHGE, processor gate (kg CO2e/kg)"),'Pivot Table_GHG'!$A$3,"SUB TYPE",$B281))</f>
        <v>30</v>
      </c>
      <c r="R281" s="190">
        <f ca="1">IF($P281="PROXY",DAVERAGE('literature entries'!$D:$AI,IF($J281=1,"ACTIVE     GHGE, FARM GATE (kg CO2e/kg)","GHGE, processor gate (kg CO2e/kg)"),INDIRECT($K281)),GETPIVOTDATA(IF($J281=1,"Average of ACTIVE     GHGE, FARM GATE (kg CO2e/kg)","Average of GHGE, processor gate (kg CO2e/kg)"),'Pivot Table_GHG'!$A$3,"SUB TYPE",$B281))</f>
        <v>0.53448943577564734</v>
      </c>
      <c r="S281" s="190">
        <f ca="1">IF($P281="PROXY",DSTDEV('literature entries'!$D:$AI,IF($J281=1,"ACTIVE     GHGE, FARM GATE (kg CO2e/kg)","GHGE, processor gate (kg CO2e/kg)"),INDIRECT($K281)),GETPIVOTDATA(IF($J281=1,"StdDev of ACTIVE     GHGE, FARM GATE (kg CO2e/kg)","StdDev of GHGE, processor gate (kg CO2e/kg)"),'Pivot Table_GHG'!$A$3,"SUB TYPE",$B281))</f>
        <v>0.86200931416440196</v>
      </c>
      <c r="T281" s="86">
        <v>5.282</v>
      </c>
      <c r="U281" s="87">
        <v>0.97907912607999992</v>
      </c>
      <c r="W281" s="213" t="str">
        <f t="shared" ca="1" si="39"/>
        <v>tropical_fruit</v>
      </c>
      <c r="X281" s="211">
        <f ca="1">IF($W281="DIRECT",M281,DCOUNT('literature entries'!$D:$AI,IF($J281=1,"ACTIVE     CED, FARM GATE (MJ/kg)","CED, processor gate (MJ/kg)"),INDIRECT($W281)))</f>
        <v>9</v>
      </c>
      <c r="Y281" s="211">
        <f ca="1">IF($W281="DIRECT","",DAVERAGE('literature entries'!$D:$AI,IF($J281=1,"ACTIVE     CED, FARM GATE (MJ/kg)","CED, processor gate (MJ/kg)"),INDIRECT($W281)))</f>
        <v>3.3954128262185184</v>
      </c>
      <c r="Z281" s="211">
        <f ca="1">IF($W281="DIRECT",$O281,DSTDEV('literature entries'!$D:$AI,IF($J281=1,"ACTIVE     CED, FARM GATE (MJ/kg)","CED, processor gate (MJ/kg)"),INDIRECT($W281)))</f>
        <v>2.1698076963305595</v>
      </c>
      <c r="AA281" s="211">
        <f t="shared" ca="1" si="36"/>
        <v>2.1698076963305595</v>
      </c>
      <c r="AB281" s="219" t="str">
        <f t="shared" ca="1" si="40"/>
        <v>tropical_fruit</v>
      </c>
      <c r="AC281" s="212">
        <f ca="1">IF($AB281="DIRECT",Q281,DCOUNT('literature entries'!$D:$AI,IF($J281=1,"ACTIVE     GHGE, FARM GATE (kg CO2e/kg)","GHGE, processor gate (kg CO2e/kg)"),INDIRECT($AB281)))</f>
        <v>30</v>
      </c>
      <c r="AD281" s="212">
        <f ca="1">IF($AB281="DIRECT","",DAVERAGE('literature entries'!$D:$AI,IF($J281=1,"ACTIVE     GHGE, FARM GATE (kg CO2e/kg)","GHGE, processor gate (kg CO2e/kg)"),INDIRECT($AB281)))</f>
        <v>0.53448943577564734</v>
      </c>
      <c r="AE281" s="212">
        <f ca="1">IF($AB281="DIRECT",$S281,DSTDEV('literature entries'!$D:$AI,IF($J281=1,"ACTIVE     GHGE, FARM GATE (kg CO2e/kg)","GHGE, processor gate (kg CO2e/kg)"),INDIRECT($AB281)))</f>
        <v>0.86200931416440196</v>
      </c>
      <c r="AF281" s="212">
        <f t="shared" ca="1" si="37"/>
        <v>0.86200931416440196</v>
      </c>
    </row>
    <row r="282" spans="1:32" s="19" customFormat="1" ht="17" thickBot="1" x14ac:dyDescent="0.25">
      <c r="A282" s="114">
        <v>3100044000</v>
      </c>
      <c r="B282" s="115" t="s">
        <v>1814</v>
      </c>
      <c r="C282" s="115" t="s">
        <v>1815</v>
      </c>
      <c r="D282" s="115" t="s">
        <v>1816</v>
      </c>
      <c r="E282" s="115">
        <v>29164</v>
      </c>
      <c r="F282" s="111">
        <f t="shared" ca="1" si="34"/>
        <v>67.894632596446456</v>
      </c>
      <c r="G282" s="112">
        <f t="shared" ca="1" si="35"/>
        <v>33.105179355719855</v>
      </c>
      <c r="H282" s="116">
        <v>1</v>
      </c>
      <c r="I282" s="117" t="s">
        <v>594</v>
      </c>
      <c r="J282" s="79">
        <v>1</v>
      </c>
      <c r="K282" s="188"/>
      <c r="L282" s="135" t="str">
        <f>IF(ISERROR(GETPIVOTDATA(IF($J282=1,"Count of ACTIVE     CED, FARM GATE (MJ/kg)","Count of CED, processor gate (MJ/kg)"),'Pivot Table_CED'!$A$3,"SUB TYPE","beef")),"PROXY",IF(GETPIVOTDATA(IF($J282=1,"Count of ACTIVE     CED, FARM GATE (MJ/kg)","Count of CED, processor gate (MJ/kg)"),'Pivot Table_CED'!$A$3,"SUB TYPE","beef")=0,"PROXY","DB value"))</f>
        <v>DB value</v>
      </c>
      <c r="M282" s="118">
        <f ca="1">IF($L282="PROXY",DCOUNT('literature entries'!$D:$AI,IF($J282=1,"ACTIVE     CED, FARM GATE (MJ/kg)","CED, processor gate (MJ/kg)"),INDIRECT($K282)),GETPIVOTDATA(IF($J282=1,"Count of ACTIVE     CED, FARM GATE (MJ/kg)","Count of CED, processor gate (MJ/kg)"),'Pivot Table_CED'!$A$3,"SUB TYPE","beef"))</f>
        <v>19</v>
      </c>
      <c r="N282" s="119">
        <f ca="1">IF($L282="PROXY",DAVERAGE('literature entries'!$D:$AI,IF($J282=1,"ACTIVE     CED, FARM GATE (MJ/kg)","CED, processor gate (MJ/kg)"),INDIRECT($K282)),GETPIVOTDATA(IF($J282=1,"Average of ACTIVE     CED, FARM GATE (MJ/kg)","Average of CED, processor gate (MJ/kg)"),'Pivot Table_CED'!$A$3,"SUB TYPE","beef"))</f>
        <v>67.894632596446456</v>
      </c>
      <c r="O282" s="119">
        <f ca="1">IF($L282="PROXY",DSTDEV('literature entries'!D:AI,IF($J282=1,"ACTIVE     CED, FARM GATE (MJ/kg)","CED, processor gate (MJ/kg)"),INDIRECT($K282)),GETPIVOTDATA(IF($J282=1,"StdDev of ACTIVE     CED, FARM GATE (MJ/kg)","StdDev of CED, processor gate (MJ/kg)"),'Pivot Table_CED'!$A$3,"SUB TYPE","beef"))</f>
        <v>39.183980232133344</v>
      </c>
      <c r="P282" s="135" t="str">
        <f>IF(ISERROR(GETPIVOTDATA(IF($J282=1,"Count of ACTIVE     GHGE, FARM GATE (kg CO2e/kg)","Count of GHGE, processor gate (kg CO2e/kg)"),'Pivot Table_GHG'!$A$3,"SUB TYPE","beef")),"PROXY",IF(GETPIVOTDATA(IF($J282=1,"Count of ACTIVE     GHGE, FARM GATE (kg CO2e/kg)","Count of GHGE, processor gate (kg CO2e/kg)"),'Pivot Table_GHG'!$A$3,"SUB TYPE","beef")=0,"PROXY","DB value"))</f>
        <v>DB value</v>
      </c>
      <c r="Q282" s="125">
        <f ca="1">IF($P282="PROXY",DCOUNT('literature entries'!$D:$AI,IF($J282=1,"ACTIVE     GHGE, FARM GATE (kg CO2e/kg)","GHGE, processor gate (kg CO2e/kg)"),INDIRECT($K282)),GETPIVOTDATA(IF($J282=1,"ACTIVE     GHGE, FARM GATE (kg CO2e/kg)","Count of GHGE, processor gate (kg CO2e/kg)"),'Pivot Table_GHG'!$A$3,"SUB TYPE","beef"))</f>
        <v>95</v>
      </c>
      <c r="R282" s="190">
        <f ca="1">IF($P282="PROXY",DAVERAGE('literature entries'!$D:$AI,IF($J282=1,"ACTIVE     GHGE, FARM GATE (kg CO2e/kg)","GHGE, processor gate (kg CO2e/kg)"),INDIRECT($K282)),GETPIVOTDATA(IF($J282=1,"Average of ACTIVE     GHGE, FARM GATE (kg CO2e/kg)","Average of GHGE, processor gate (kg CO2e/kg)"),'Pivot Table_GHG'!$A$3,"SUB TYPE","beef"))</f>
        <v>33.105179355719855</v>
      </c>
      <c r="S282" s="190">
        <f ca="1">IF($P282="PROXY",DSTDEV('literature entries'!$D:$AI,IF($J282=1,"ACTIVE     GHGE, FARM GATE (kg CO2e/kg)","GHGE, processor gate (kg CO2e/kg)"),INDIRECT($K282)),GETPIVOTDATA(IF($J282=1,"StdDev of ACTIVE     GHGE, FARM GATE (kg CO2e/kg)","StdDev of GHGE, processor gate (kg CO2e/kg)"),'Pivot Table_GHG'!$A$3,"SUB TYPE","beef"))</f>
        <v>12.613499974064888</v>
      </c>
      <c r="T282" s="88"/>
      <c r="U282" s="89"/>
      <c r="W282" s="213" t="str">
        <f t="shared" ca="1" si="39"/>
        <v>DIRECT</v>
      </c>
      <c r="X282" s="211">
        <f ca="1">IF($W282="DIRECT",M282,DCOUNT('literature entries'!$D:$AI,IF($J282=1,"ACTIVE     CED, FARM GATE (MJ/kg)","CED, processor gate (MJ/kg)"),INDIRECT($W282)))</f>
        <v>19</v>
      </c>
      <c r="Y282" s="211" t="str">
        <f ca="1">IF($W282="DIRECT","",DAVERAGE('literature entries'!$D:$AI,IF($J282=1,"ACTIVE     CED, FARM GATE (MJ/kg)","CED, processor gate (MJ/kg)"),INDIRECT($W282)))</f>
        <v/>
      </c>
      <c r="Z282" s="211">
        <f ca="1">IF($W282="DIRECT",$O282,DSTDEV('literature entries'!$D:$AI,IF($J282=1,"ACTIVE     CED, FARM GATE (MJ/kg)","CED, processor gate (MJ/kg)"),INDIRECT($W282)))</f>
        <v>39.183980232133344</v>
      </c>
      <c r="AA282" s="211">
        <f t="shared" ca="1" si="36"/>
        <v>39.183980232133344</v>
      </c>
      <c r="AB282" s="219" t="str">
        <f t="shared" ca="1" si="40"/>
        <v>DIRECT</v>
      </c>
      <c r="AC282" s="212">
        <f ca="1">IF($AB282="DIRECT",Q282,DCOUNT('literature entries'!$D:$AI,IF($J282=1,"ACTIVE     GHGE, FARM GATE (kg CO2e/kg)","GHGE, processor gate (kg CO2e/kg)"),INDIRECT($AB282)))</f>
        <v>95</v>
      </c>
      <c r="AD282" s="212" t="str">
        <f ca="1">IF($AB282="DIRECT","",DAVERAGE('literature entries'!$D:$AI,IF($J282=1,"ACTIVE     GHGE, FARM GATE (kg CO2e/kg)","GHGE, processor gate (kg CO2e/kg)"),INDIRECT($AB282)))</f>
        <v/>
      </c>
      <c r="AE282" s="212">
        <f ca="1">IF($AB282="DIRECT",$S282,DSTDEV('literature entries'!$D:$AI,IF($J282=1,"ACTIVE     GHGE, FARM GATE (kg CO2e/kg)","GHGE, processor gate (kg CO2e/kg)"),INDIRECT($AB282)))</f>
        <v>12.613499974064888</v>
      </c>
      <c r="AF282" s="212">
        <f t="shared" ca="1" si="37"/>
        <v>12.613499974064888</v>
      </c>
    </row>
    <row r="283" spans="1:32" s="19" customFormat="1" ht="17" thickBot="1" x14ac:dyDescent="0.25">
      <c r="A283" s="114">
        <v>3100045000</v>
      </c>
      <c r="B283" s="115" t="s">
        <v>1820</v>
      </c>
      <c r="C283" s="115" t="s">
        <v>1821</v>
      </c>
      <c r="D283" s="115"/>
      <c r="E283" s="115">
        <v>414</v>
      </c>
      <c r="F283" s="111">
        <f t="shared" ca="1" si="34"/>
        <v>93.694592983096101</v>
      </c>
      <c r="G283" s="112">
        <f t="shared" ca="1" si="35"/>
        <v>45.685147510893394</v>
      </c>
      <c r="H283" s="116">
        <v>1.38</v>
      </c>
      <c r="I283" s="117" t="s">
        <v>2724</v>
      </c>
      <c r="J283" s="79">
        <v>1</v>
      </c>
      <c r="K283" s="188"/>
      <c r="L283" s="135" t="str">
        <f>IF(ISERROR(GETPIVOTDATA(IF($J283=1,"Count of ACTIVE     CED, FARM GATE (MJ/kg)","Count of CED, processor gate (MJ/kg)"),'Pivot Table_CED'!$A$3,"SUB TYPE","beef")),"PROXY",IF(GETPIVOTDATA(IF($J283=1,"Count of ACTIVE     CED, FARM GATE (MJ/kg)","Count of CED, processor gate (MJ/kg)"),'Pivot Table_CED'!$A$3,"SUB TYPE","beef")=0,"PROXY","DB value"))</f>
        <v>DB value</v>
      </c>
      <c r="M283" s="118">
        <f ca="1">IF($L283="PROXY",DCOUNT('literature entries'!$D:$AI,IF($J283=1,"ACTIVE     CED, FARM GATE (MJ/kg)","CED, processor gate (MJ/kg)"),INDIRECT($K283)),GETPIVOTDATA(IF($J283=1,"Count of ACTIVE     CED, FARM GATE (MJ/kg)","Count of CED, processor gate (MJ/kg)"),'Pivot Table_CED'!$A$3,"SUB TYPE","beef"))</f>
        <v>19</v>
      </c>
      <c r="N283" s="119">
        <f ca="1">IF($L283="PROXY",DAVERAGE('literature entries'!$D:$AI,IF($J283=1,"ACTIVE     CED, FARM GATE (MJ/kg)","CED, processor gate (MJ/kg)"),INDIRECT($K283)),GETPIVOTDATA(IF($J283=1,"Average of ACTIVE     CED, FARM GATE (MJ/kg)","Average of CED, processor gate (MJ/kg)"),'Pivot Table_CED'!$A$3,"SUB TYPE","beef"))</f>
        <v>67.894632596446456</v>
      </c>
      <c r="O283" s="119">
        <f ca="1">IF($L283="PROXY",DSTDEV('literature entries'!D:AI,IF($J283=1,"ACTIVE     CED, FARM GATE (MJ/kg)","CED, processor gate (MJ/kg)"),INDIRECT($K283)),GETPIVOTDATA(IF($J283=1,"StdDev of ACTIVE     CED, FARM GATE (MJ/kg)","StdDev of CED, processor gate (MJ/kg)"),'Pivot Table_CED'!$A$3,"SUB TYPE","beef"))</f>
        <v>39.183980232133344</v>
      </c>
      <c r="P283" s="135" t="str">
        <f>IF(ISERROR(GETPIVOTDATA(IF($J283=1,"Count of ACTIVE     GHGE, FARM GATE (kg CO2e/kg)","Count of GHGE, processor gate (kg CO2e/kg)"),'Pivot Table_GHG'!$A$3,"SUB TYPE","beef")),"PROXY",IF(GETPIVOTDATA(IF($J283=1,"Count of ACTIVE     GHGE, FARM GATE (kg CO2e/kg)","Count of GHGE, processor gate (kg CO2e/kg)"),'Pivot Table_GHG'!$A$3,"SUB TYPE","beef")=0,"PROXY","DB value"))</f>
        <v>DB value</v>
      </c>
      <c r="Q283" s="125">
        <f ca="1">IF($P283="PROXY",DCOUNT('literature entries'!$D:$AI,IF($J283=1,"ACTIVE     GHGE, FARM GATE (kg CO2e/kg)","GHGE, processor gate (kg CO2e/kg)"),INDIRECT($K283)),GETPIVOTDATA(IF($J283=1,"ACTIVE     GHGE, FARM GATE (kg CO2e/kg)","Count of GHGE, processor gate (kg CO2e/kg)"),'Pivot Table_GHG'!$A$3,"SUB TYPE","beef"))</f>
        <v>95</v>
      </c>
      <c r="R283" s="190">
        <f ca="1">IF($P283="PROXY",DAVERAGE('literature entries'!$D:$AI,IF($J283=1,"ACTIVE     GHGE, FARM GATE (kg CO2e/kg)","GHGE, processor gate (kg CO2e/kg)"),INDIRECT($K283)),GETPIVOTDATA(IF($J283=1,"Average of ACTIVE     GHGE, FARM GATE (kg CO2e/kg)","Average of GHGE, processor gate (kg CO2e/kg)"),'Pivot Table_GHG'!$A$3,"SUB TYPE","beef"))</f>
        <v>33.105179355719855</v>
      </c>
      <c r="S283" s="190">
        <f ca="1">IF($P283="PROXY",DSTDEV('literature entries'!$D:$AI,IF($J283=1,"ACTIVE     GHGE, FARM GATE (kg CO2e/kg)","GHGE, processor gate (kg CO2e/kg)"),INDIRECT($K283)),GETPIVOTDATA(IF($J283=1,"StdDev of ACTIVE     GHGE, FARM GATE (kg CO2e/kg)","StdDev of GHGE, processor gate (kg CO2e/kg)"),'Pivot Table_GHG'!$A$3,"SUB TYPE","beef"))</f>
        <v>12.613499974064888</v>
      </c>
      <c r="T283" s="88"/>
      <c r="U283" s="89"/>
      <c r="W283" s="213" t="str">
        <f t="shared" ca="1" si="39"/>
        <v>DIRECT</v>
      </c>
      <c r="X283" s="211">
        <f ca="1">IF($W283="DIRECT",M283,DCOUNT('literature entries'!$D:$AI,IF($J283=1,"ACTIVE     CED, FARM GATE (MJ/kg)","CED, processor gate (MJ/kg)"),INDIRECT($W283)))</f>
        <v>19</v>
      </c>
      <c r="Y283" s="211" t="str">
        <f ca="1">IF($W283="DIRECT","",DAVERAGE('literature entries'!$D:$AI,IF($J283=1,"ACTIVE     CED, FARM GATE (MJ/kg)","CED, processor gate (MJ/kg)"),INDIRECT($W283)))</f>
        <v/>
      </c>
      <c r="Z283" s="211">
        <f ca="1">IF($W283="DIRECT",$O283,DSTDEV('literature entries'!$D:$AI,IF($J283=1,"ACTIVE     CED, FARM GATE (MJ/kg)","CED, processor gate (MJ/kg)"),INDIRECT($W283)))</f>
        <v>39.183980232133344</v>
      </c>
      <c r="AA283" s="211">
        <f t="shared" ca="1" si="36"/>
        <v>39.183980232133344</v>
      </c>
      <c r="AB283" s="219" t="str">
        <f t="shared" ca="1" si="40"/>
        <v>DIRECT</v>
      </c>
      <c r="AC283" s="212">
        <f ca="1">IF($AB283="DIRECT",Q283,DCOUNT('literature entries'!$D:$AI,IF($J283=1,"ACTIVE     GHGE, FARM GATE (kg CO2e/kg)","GHGE, processor gate (kg CO2e/kg)"),INDIRECT($AB283)))</f>
        <v>95</v>
      </c>
      <c r="AD283" s="212" t="str">
        <f ca="1">IF($AB283="DIRECT","",DAVERAGE('literature entries'!$D:$AI,IF($J283=1,"ACTIVE     GHGE, FARM GATE (kg CO2e/kg)","GHGE, processor gate (kg CO2e/kg)"),INDIRECT($AB283)))</f>
        <v/>
      </c>
      <c r="AE283" s="212">
        <f ca="1">IF($AB283="DIRECT",$S283,DSTDEV('literature entries'!$D:$AI,IF($J283=1,"ACTIVE     GHGE, FARM GATE (kg CO2e/kg)","GHGE, processor gate (kg CO2e/kg)"),INDIRECT($AB283)))</f>
        <v>12.613499974064888</v>
      </c>
      <c r="AF283" s="212">
        <f t="shared" ca="1" si="37"/>
        <v>12.613499974064888</v>
      </c>
    </row>
    <row r="284" spans="1:32" s="19" customFormat="1" ht="17" thickBot="1" x14ac:dyDescent="0.25">
      <c r="A284" s="114">
        <v>3100046000</v>
      </c>
      <c r="B284" s="115" t="s">
        <v>1817</v>
      </c>
      <c r="C284" s="115" t="s">
        <v>1818</v>
      </c>
      <c r="D284" s="115" t="s">
        <v>1819</v>
      </c>
      <c r="E284" s="115">
        <v>26546</v>
      </c>
      <c r="F284" s="111">
        <f t="shared" ca="1" si="34"/>
        <v>67.894632596446456</v>
      </c>
      <c r="G284" s="112">
        <f t="shared" ca="1" si="35"/>
        <v>33.105179355719855</v>
      </c>
      <c r="H284" s="116">
        <v>1</v>
      </c>
      <c r="I284" s="117" t="s">
        <v>594</v>
      </c>
      <c r="J284" s="79">
        <v>1</v>
      </c>
      <c r="K284" s="188"/>
      <c r="L284" s="135" t="str">
        <f>IF(ISERROR(GETPIVOTDATA(IF($J284=1,"Count of ACTIVE     CED, FARM GATE (MJ/kg)","Count of CED, processor gate (MJ/kg)"),'Pivot Table_CED'!$A$3,"SUB TYPE","beef")),"PROXY",IF(GETPIVOTDATA(IF($J284=1,"Count of ACTIVE     CED, FARM GATE (MJ/kg)","Count of CED, processor gate (MJ/kg)"),'Pivot Table_CED'!$A$3,"SUB TYPE","beef")=0,"PROXY","DB value"))</f>
        <v>DB value</v>
      </c>
      <c r="M284" s="118">
        <f ca="1">IF($L284="PROXY",DCOUNT('literature entries'!$D:$AI,IF($J284=1,"ACTIVE     CED, FARM GATE (MJ/kg)","CED, processor gate (MJ/kg)"),INDIRECT($K284)),GETPIVOTDATA(IF($J284=1,"Count of ACTIVE     CED, FARM GATE (MJ/kg)","Count of CED, processor gate (MJ/kg)"),'Pivot Table_CED'!$A$3,"SUB TYPE","beef"))</f>
        <v>19</v>
      </c>
      <c r="N284" s="119">
        <f ca="1">IF($L284="PROXY",DAVERAGE('literature entries'!$D:$AI,IF($J284=1,"ACTIVE     CED, FARM GATE (MJ/kg)","CED, processor gate (MJ/kg)"),INDIRECT($K284)),GETPIVOTDATA(IF($J284=1,"Average of ACTIVE     CED, FARM GATE (MJ/kg)","Average of CED, processor gate (MJ/kg)"),'Pivot Table_CED'!$A$3,"SUB TYPE","beef"))</f>
        <v>67.894632596446456</v>
      </c>
      <c r="O284" s="119">
        <f ca="1">IF($L284="PROXY",DSTDEV('literature entries'!D:AI,IF($J284=1,"ACTIVE     CED, FARM GATE (MJ/kg)","CED, processor gate (MJ/kg)"),INDIRECT($K284)),GETPIVOTDATA(IF($J284=1,"StdDev of ACTIVE     CED, FARM GATE (MJ/kg)","StdDev of CED, processor gate (MJ/kg)"),'Pivot Table_CED'!$A$3,"SUB TYPE","beef"))</f>
        <v>39.183980232133344</v>
      </c>
      <c r="P284" s="135" t="str">
        <f>IF(ISERROR(GETPIVOTDATA(IF($J284=1,"Count of ACTIVE     GHGE, FARM GATE (kg CO2e/kg)","Count of GHGE, processor gate (kg CO2e/kg)"),'Pivot Table_GHG'!$A$3,"SUB TYPE","beef")),"PROXY",IF(GETPIVOTDATA(IF($J284=1,"Count of ACTIVE     GHGE, FARM GATE (kg CO2e/kg)","Count of GHGE, processor gate (kg CO2e/kg)"),'Pivot Table_GHG'!$A$3,"SUB TYPE","beef")=0,"PROXY","DB value"))</f>
        <v>DB value</v>
      </c>
      <c r="Q284" s="125">
        <f ca="1">IF($P284="PROXY",DCOUNT('literature entries'!$D:$AI,IF($J284=1,"ACTIVE     GHGE, FARM GATE (kg CO2e/kg)","GHGE, processor gate (kg CO2e/kg)"),INDIRECT($K284)),GETPIVOTDATA(IF($J284=1,"ACTIVE     GHGE, FARM GATE (kg CO2e/kg)","Count of GHGE, processor gate (kg CO2e/kg)"),'Pivot Table_GHG'!$A$3,"SUB TYPE","beef"))</f>
        <v>95</v>
      </c>
      <c r="R284" s="190">
        <f ca="1">IF($P284="PROXY",DAVERAGE('literature entries'!$D:$AI,IF($J284=1,"ACTIVE     GHGE, FARM GATE (kg CO2e/kg)","GHGE, processor gate (kg CO2e/kg)"),INDIRECT($K284)),GETPIVOTDATA(IF($J284=1,"Average of ACTIVE     GHGE, FARM GATE (kg CO2e/kg)","Average of GHGE, processor gate (kg CO2e/kg)"),'Pivot Table_GHG'!$A$3,"SUB TYPE","beef"))</f>
        <v>33.105179355719855</v>
      </c>
      <c r="S284" s="190">
        <f ca="1">IF($P284="PROXY",DSTDEV('literature entries'!$D:$AI,IF($J284=1,"ACTIVE     GHGE, FARM GATE (kg CO2e/kg)","GHGE, processor gate (kg CO2e/kg)"),INDIRECT($K284)),GETPIVOTDATA(IF($J284=1,"StdDev of ACTIVE     GHGE, FARM GATE (kg CO2e/kg)","StdDev of GHGE, processor gate (kg CO2e/kg)"),'Pivot Table_GHG'!$A$3,"SUB TYPE","beef"))</f>
        <v>12.613499974064888</v>
      </c>
      <c r="T284" s="88"/>
      <c r="U284" s="89"/>
      <c r="W284" s="213" t="str">
        <f t="shared" ca="1" si="39"/>
        <v>DIRECT</v>
      </c>
      <c r="X284" s="211">
        <f ca="1">IF($W284="DIRECT",M284,DCOUNT('literature entries'!$D:$AI,IF($J284=1,"ACTIVE     CED, FARM GATE (MJ/kg)","CED, processor gate (MJ/kg)"),INDIRECT($W284)))</f>
        <v>19</v>
      </c>
      <c r="Y284" s="211" t="str">
        <f ca="1">IF($W284="DIRECT","",DAVERAGE('literature entries'!$D:$AI,IF($J284=1,"ACTIVE     CED, FARM GATE (MJ/kg)","CED, processor gate (MJ/kg)"),INDIRECT($W284)))</f>
        <v/>
      </c>
      <c r="Z284" s="211">
        <f ca="1">IF($W284="DIRECT",$O284,DSTDEV('literature entries'!$D:$AI,IF($J284=1,"ACTIVE     CED, FARM GATE (MJ/kg)","CED, processor gate (MJ/kg)"),INDIRECT($W284)))</f>
        <v>39.183980232133344</v>
      </c>
      <c r="AA284" s="211">
        <f t="shared" ca="1" si="36"/>
        <v>39.183980232133344</v>
      </c>
      <c r="AB284" s="219" t="str">
        <f t="shared" ca="1" si="40"/>
        <v>DIRECT</v>
      </c>
      <c r="AC284" s="212">
        <f ca="1">IF($AB284="DIRECT",Q284,DCOUNT('literature entries'!$D:$AI,IF($J284=1,"ACTIVE     GHGE, FARM GATE (kg CO2e/kg)","GHGE, processor gate (kg CO2e/kg)"),INDIRECT($AB284)))</f>
        <v>95</v>
      </c>
      <c r="AD284" s="212" t="str">
        <f ca="1">IF($AB284="DIRECT","",DAVERAGE('literature entries'!$D:$AI,IF($J284=1,"ACTIVE     GHGE, FARM GATE (kg CO2e/kg)","GHGE, processor gate (kg CO2e/kg)"),INDIRECT($AB284)))</f>
        <v/>
      </c>
      <c r="AE284" s="212">
        <f ca="1">IF($AB284="DIRECT",$S284,DSTDEV('literature entries'!$D:$AI,IF($J284=1,"ACTIVE     GHGE, FARM GATE (kg CO2e/kg)","GHGE, processor gate (kg CO2e/kg)"),INDIRECT($AB284)))</f>
        <v>12.613499974064888</v>
      </c>
      <c r="AF284" s="212">
        <f t="shared" ca="1" si="37"/>
        <v>12.613499974064888</v>
      </c>
    </row>
    <row r="285" spans="1:32" s="19" customFormat="1" ht="17" thickBot="1" x14ac:dyDescent="0.25">
      <c r="A285" s="114">
        <v>3100047000</v>
      </c>
      <c r="B285" s="115" t="s">
        <v>1810</v>
      </c>
      <c r="C285" s="115" t="s">
        <v>1811</v>
      </c>
      <c r="D285" s="115"/>
      <c r="E285" s="115">
        <v>32127</v>
      </c>
      <c r="F285" s="111">
        <f t="shared" ca="1" si="34"/>
        <v>67.894632596446456</v>
      </c>
      <c r="G285" s="112">
        <f t="shared" ca="1" si="35"/>
        <v>33.105179355719855</v>
      </c>
      <c r="H285" s="116">
        <v>1</v>
      </c>
      <c r="I285" s="117" t="s">
        <v>594</v>
      </c>
      <c r="J285" s="79">
        <v>1</v>
      </c>
      <c r="K285" s="188"/>
      <c r="L285" s="135" t="str">
        <f>IF(ISERROR(GETPIVOTDATA(IF($J285=1,"Count of ACTIVE     CED, FARM GATE (MJ/kg)","Count of CED, processor gate (MJ/kg)"),'Pivot Table_CED'!$A$3,"SUB TYPE","beef")),"PROXY",IF(GETPIVOTDATA(IF($J285=1,"Count of ACTIVE     CED, FARM GATE (MJ/kg)","Count of CED, processor gate (MJ/kg)"),'Pivot Table_CED'!$A$3,"SUB TYPE","beef")=0,"PROXY","DB value"))</f>
        <v>DB value</v>
      </c>
      <c r="M285" s="118">
        <f ca="1">IF($L285="PROXY",DCOUNT('literature entries'!$D:$AI,IF($J285=1,"ACTIVE     CED, FARM GATE (MJ/kg)","CED, processor gate (MJ/kg)"),INDIRECT($K285)),GETPIVOTDATA(IF($J285=1,"Count of ACTIVE     CED, FARM GATE (MJ/kg)","Count of CED, processor gate (MJ/kg)"),'Pivot Table_CED'!$A$3,"SUB TYPE","beef"))</f>
        <v>19</v>
      </c>
      <c r="N285" s="119">
        <f ca="1">IF($L285="PROXY",DAVERAGE('literature entries'!$D:$AI,IF($J285=1,"ACTIVE     CED, FARM GATE (MJ/kg)","CED, processor gate (MJ/kg)"),INDIRECT($K285)),GETPIVOTDATA(IF($J285=1,"Average of ACTIVE     CED, FARM GATE (MJ/kg)","Average of CED, processor gate (MJ/kg)"),'Pivot Table_CED'!$A$3,"SUB TYPE","beef"))</f>
        <v>67.894632596446456</v>
      </c>
      <c r="O285" s="119">
        <f ca="1">IF($L285="PROXY",DSTDEV('literature entries'!D:AI,IF($J285=1,"ACTIVE     CED, FARM GATE (MJ/kg)","CED, processor gate (MJ/kg)"),INDIRECT($K285)),GETPIVOTDATA(IF($J285=1,"StdDev of ACTIVE     CED, FARM GATE (MJ/kg)","StdDev of CED, processor gate (MJ/kg)"),'Pivot Table_CED'!$A$3,"SUB TYPE","beef"))</f>
        <v>39.183980232133344</v>
      </c>
      <c r="P285" s="135" t="str">
        <f>IF(ISERROR(GETPIVOTDATA(IF($J285=1,"Count of ACTIVE     GHGE, FARM GATE (kg CO2e/kg)","Count of GHGE, processor gate (kg CO2e/kg)"),'Pivot Table_GHG'!$A$3,"SUB TYPE","beef")),"PROXY",IF(GETPIVOTDATA(IF($J285=1,"Count of ACTIVE     GHGE, FARM GATE (kg CO2e/kg)","Count of GHGE, processor gate (kg CO2e/kg)"),'Pivot Table_GHG'!$A$3,"SUB TYPE","beef")=0,"PROXY","DB value"))</f>
        <v>DB value</v>
      </c>
      <c r="Q285" s="125">
        <f ca="1">IF($P285="PROXY",DCOUNT('literature entries'!$D:$AI,IF($J285=1,"ACTIVE     GHGE, FARM GATE (kg CO2e/kg)","GHGE, processor gate (kg CO2e/kg)"),INDIRECT($K285)),GETPIVOTDATA(IF($J285=1,"ACTIVE     GHGE, FARM GATE (kg CO2e/kg)","Count of GHGE, processor gate (kg CO2e/kg)"),'Pivot Table_GHG'!$A$3,"SUB TYPE","beef"))</f>
        <v>95</v>
      </c>
      <c r="R285" s="190">
        <f ca="1">IF($P285="PROXY",DAVERAGE('literature entries'!$D:$AI,IF($J285=1,"ACTIVE     GHGE, FARM GATE (kg CO2e/kg)","GHGE, processor gate (kg CO2e/kg)"),INDIRECT($K285)),GETPIVOTDATA(IF($J285=1,"Average of ACTIVE     GHGE, FARM GATE (kg CO2e/kg)","Average of GHGE, processor gate (kg CO2e/kg)"),'Pivot Table_GHG'!$A$3,"SUB TYPE","beef"))</f>
        <v>33.105179355719855</v>
      </c>
      <c r="S285" s="190">
        <f ca="1">IF($P285="PROXY",DSTDEV('literature entries'!$D:$AI,IF($J285=1,"ACTIVE     GHGE, FARM GATE (kg CO2e/kg)","GHGE, processor gate (kg CO2e/kg)"),INDIRECT($K285)),GETPIVOTDATA(IF($J285=1,"StdDev of ACTIVE     GHGE, FARM GATE (kg CO2e/kg)","StdDev of GHGE, processor gate (kg CO2e/kg)"),'Pivot Table_GHG'!$A$3,"SUB TYPE","beef"))</f>
        <v>12.613499974064888</v>
      </c>
      <c r="T285" s="88"/>
      <c r="U285" s="89"/>
      <c r="W285" s="213" t="str">
        <f t="shared" ca="1" si="39"/>
        <v>DIRECT</v>
      </c>
      <c r="X285" s="211">
        <f ca="1">IF($W285="DIRECT",M285,DCOUNT('literature entries'!$D:$AI,IF($J285=1,"ACTIVE     CED, FARM GATE (MJ/kg)","CED, processor gate (MJ/kg)"),INDIRECT($W285)))</f>
        <v>19</v>
      </c>
      <c r="Y285" s="211" t="str">
        <f ca="1">IF($W285="DIRECT","",DAVERAGE('literature entries'!$D:$AI,IF($J285=1,"ACTIVE     CED, FARM GATE (MJ/kg)","CED, processor gate (MJ/kg)"),INDIRECT($W285)))</f>
        <v/>
      </c>
      <c r="Z285" s="211">
        <f ca="1">IF($W285="DIRECT",$O285,DSTDEV('literature entries'!$D:$AI,IF($J285=1,"ACTIVE     CED, FARM GATE (MJ/kg)","CED, processor gate (MJ/kg)"),INDIRECT($W285)))</f>
        <v>39.183980232133344</v>
      </c>
      <c r="AA285" s="211">
        <f t="shared" ca="1" si="36"/>
        <v>39.183980232133344</v>
      </c>
      <c r="AB285" s="219" t="str">
        <f t="shared" ca="1" si="40"/>
        <v>DIRECT</v>
      </c>
      <c r="AC285" s="212">
        <f ca="1">IF($AB285="DIRECT",Q285,DCOUNT('literature entries'!$D:$AI,IF($J285=1,"ACTIVE     GHGE, FARM GATE (kg CO2e/kg)","GHGE, processor gate (kg CO2e/kg)"),INDIRECT($AB285)))</f>
        <v>95</v>
      </c>
      <c r="AD285" s="212" t="str">
        <f ca="1">IF($AB285="DIRECT","",DAVERAGE('literature entries'!$D:$AI,IF($J285=1,"ACTIVE     GHGE, FARM GATE (kg CO2e/kg)","GHGE, processor gate (kg CO2e/kg)"),INDIRECT($AB285)))</f>
        <v/>
      </c>
      <c r="AE285" s="212">
        <f ca="1">IF($AB285="DIRECT",$S285,DSTDEV('literature entries'!$D:$AI,IF($J285=1,"ACTIVE     GHGE, FARM GATE (kg CO2e/kg)","GHGE, processor gate (kg CO2e/kg)"),INDIRECT($AB285)))</f>
        <v>12.613499974064888</v>
      </c>
      <c r="AF285" s="212">
        <f t="shared" ca="1" si="37"/>
        <v>12.613499974064888</v>
      </c>
    </row>
    <row r="286" spans="1:32" s="19" customFormat="1" ht="17" thickBot="1" x14ac:dyDescent="0.25">
      <c r="A286" s="114">
        <v>3100049000</v>
      </c>
      <c r="B286" s="115" t="s">
        <v>1812</v>
      </c>
      <c r="C286" s="115" t="s">
        <v>1813</v>
      </c>
      <c r="D286" s="115"/>
      <c r="E286" s="115">
        <v>84</v>
      </c>
      <c r="F286" s="111">
        <f t="shared" ca="1" si="34"/>
        <v>67.894632596446456</v>
      </c>
      <c r="G286" s="112">
        <f t="shared" ca="1" si="35"/>
        <v>33.105179355719855</v>
      </c>
      <c r="H286" s="116">
        <v>1</v>
      </c>
      <c r="I286" s="117" t="s">
        <v>594</v>
      </c>
      <c r="J286" s="79">
        <v>1</v>
      </c>
      <c r="K286" s="188"/>
      <c r="L286" s="135" t="str">
        <f>IF(ISERROR(GETPIVOTDATA(IF($J286=1,"Count of ACTIVE     CED, FARM GATE (MJ/kg)","Count of CED, processor gate (MJ/kg)"),'Pivot Table_CED'!$A$3,"SUB TYPE","beef")),"PROXY",IF(GETPIVOTDATA(IF($J286=1,"Count of ACTIVE     CED, FARM GATE (MJ/kg)","Count of CED, processor gate (MJ/kg)"),'Pivot Table_CED'!$A$3,"SUB TYPE","beef")=0,"PROXY","DB value"))</f>
        <v>DB value</v>
      </c>
      <c r="M286" s="118">
        <f ca="1">IF($L286="PROXY",DCOUNT('literature entries'!$D:$AI,IF($J286=1,"ACTIVE     CED, FARM GATE (MJ/kg)","CED, processor gate (MJ/kg)"),INDIRECT($K286)),GETPIVOTDATA(IF($J286=1,"Count of ACTIVE     CED, FARM GATE (MJ/kg)","Count of CED, processor gate (MJ/kg)"),'Pivot Table_CED'!$A$3,"SUB TYPE","beef"))</f>
        <v>19</v>
      </c>
      <c r="N286" s="119">
        <f ca="1">IF($L286="PROXY",DAVERAGE('literature entries'!$D:$AI,IF($J286=1,"ACTIVE     CED, FARM GATE (MJ/kg)","CED, processor gate (MJ/kg)"),INDIRECT($K286)),GETPIVOTDATA(IF($J286=1,"Average of ACTIVE     CED, FARM GATE (MJ/kg)","Average of CED, processor gate (MJ/kg)"),'Pivot Table_CED'!$A$3,"SUB TYPE","beef"))</f>
        <v>67.894632596446456</v>
      </c>
      <c r="O286" s="119">
        <f ca="1">IF($L286="PROXY",DSTDEV('literature entries'!D:AI,IF($J286=1,"ACTIVE     CED, FARM GATE (MJ/kg)","CED, processor gate (MJ/kg)"),INDIRECT($K286)),GETPIVOTDATA(IF($J286=1,"StdDev of ACTIVE     CED, FARM GATE (MJ/kg)","StdDev of CED, processor gate (MJ/kg)"),'Pivot Table_CED'!$A$3,"SUB TYPE","beef"))</f>
        <v>39.183980232133344</v>
      </c>
      <c r="P286" s="135" t="str">
        <f>IF(ISERROR(GETPIVOTDATA(IF($J286=1,"Count of ACTIVE     GHGE, FARM GATE (kg CO2e/kg)","Count of GHGE, processor gate (kg CO2e/kg)"),'Pivot Table_GHG'!$A$3,"SUB TYPE","beef")),"PROXY",IF(GETPIVOTDATA(IF($J286=1,"Count of ACTIVE     GHGE, FARM GATE (kg CO2e/kg)","Count of GHGE, processor gate (kg CO2e/kg)"),'Pivot Table_GHG'!$A$3,"SUB TYPE","beef")=0,"PROXY","DB value"))</f>
        <v>DB value</v>
      </c>
      <c r="Q286" s="125">
        <f ca="1">IF($P286="PROXY",DCOUNT('literature entries'!$D:$AI,IF($J286=1,"ACTIVE     GHGE, FARM GATE (kg CO2e/kg)","GHGE, processor gate (kg CO2e/kg)"),INDIRECT($K286)),GETPIVOTDATA(IF($J286=1,"ACTIVE     GHGE, FARM GATE (kg CO2e/kg)","Count of GHGE, processor gate (kg CO2e/kg)"),'Pivot Table_GHG'!$A$3,"SUB TYPE","beef"))</f>
        <v>95</v>
      </c>
      <c r="R286" s="190">
        <f ca="1">IF($P286="PROXY",DAVERAGE('literature entries'!$D:$AI,IF($J286=1,"ACTIVE     GHGE, FARM GATE (kg CO2e/kg)","GHGE, processor gate (kg CO2e/kg)"),INDIRECT($K286)),GETPIVOTDATA(IF($J286=1,"Average of ACTIVE     GHGE, FARM GATE (kg CO2e/kg)","Average of GHGE, processor gate (kg CO2e/kg)"),'Pivot Table_GHG'!$A$3,"SUB TYPE","beef"))</f>
        <v>33.105179355719855</v>
      </c>
      <c r="S286" s="190">
        <f ca="1">IF($P286="PROXY",DSTDEV('literature entries'!$D:$AI,IF($J286=1,"ACTIVE     GHGE, FARM GATE (kg CO2e/kg)","GHGE, processor gate (kg CO2e/kg)"),INDIRECT($K286)),GETPIVOTDATA(IF($J286=1,"StdDev of ACTIVE     GHGE, FARM GATE (kg CO2e/kg)","StdDev of GHGE, processor gate (kg CO2e/kg)"),'Pivot Table_GHG'!$A$3,"SUB TYPE","beef"))</f>
        <v>12.613499974064888</v>
      </c>
      <c r="T286" s="88"/>
      <c r="U286" s="89"/>
      <c r="W286" s="213" t="str">
        <f t="shared" ca="1" si="39"/>
        <v>DIRECT</v>
      </c>
      <c r="X286" s="211">
        <f ca="1">IF($W286="DIRECT",M286,DCOUNT('literature entries'!$D:$AI,IF($J286=1,"ACTIVE     CED, FARM GATE (MJ/kg)","CED, processor gate (MJ/kg)"),INDIRECT($W286)))</f>
        <v>19</v>
      </c>
      <c r="Y286" s="211" t="str">
        <f ca="1">IF($W286="DIRECT","",DAVERAGE('literature entries'!$D:$AI,IF($J286=1,"ACTIVE     CED, FARM GATE (MJ/kg)","CED, processor gate (MJ/kg)"),INDIRECT($W286)))</f>
        <v/>
      </c>
      <c r="Z286" s="211">
        <f ca="1">IF($W286="DIRECT",$O286,DSTDEV('literature entries'!$D:$AI,IF($J286=1,"ACTIVE     CED, FARM GATE (MJ/kg)","CED, processor gate (MJ/kg)"),INDIRECT($W286)))</f>
        <v>39.183980232133344</v>
      </c>
      <c r="AA286" s="211">
        <f t="shared" ca="1" si="36"/>
        <v>39.183980232133344</v>
      </c>
      <c r="AB286" s="219" t="str">
        <f t="shared" ca="1" si="40"/>
        <v>DIRECT</v>
      </c>
      <c r="AC286" s="212">
        <f ca="1">IF($AB286="DIRECT",Q286,DCOUNT('literature entries'!$D:$AI,IF($J286=1,"ACTIVE     GHGE, FARM GATE (kg CO2e/kg)","GHGE, processor gate (kg CO2e/kg)"),INDIRECT($AB286)))</f>
        <v>95</v>
      </c>
      <c r="AD286" s="212" t="str">
        <f ca="1">IF($AB286="DIRECT","",DAVERAGE('literature entries'!$D:$AI,IF($J286=1,"ACTIVE     GHGE, FARM GATE (kg CO2e/kg)","GHGE, processor gate (kg CO2e/kg)"),INDIRECT($AB286)))</f>
        <v/>
      </c>
      <c r="AE286" s="212">
        <f ca="1">IF($AB286="DIRECT",$S286,DSTDEV('literature entries'!$D:$AI,IF($J286=1,"ACTIVE     GHGE, FARM GATE (kg CO2e/kg)","GHGE, processor gate (kg CO2e/kg)"),INDIRECT($AB286)))</f>
        <v>12.613499974064888</v>
      </c>
      <c r="AF286" s="212">
        <f t="shared" ca="1" si="37"/>
        <v>12.613499974064888</v>
      </c>
    </row>
    <row r="287" spans="1:32" s="19" customFormat="1" ht="17" thickBot="1" x14ac:dyDescent="0.25">
      <c r="A287" s="114">
        <v>3200169000</v>
      </c>
      <c r="B287" s="115" t="s">
        <v>2006</v>
      </c>
      <c r="C287" s="115" t="s">
        <v>2007</v>
      </c>
      <c r="D287" s="115"/>
      <c r="E287" s="115">
        <v>45</v>
      </c>
      <c r="F287" s="111">
        <f t="shared" ca="1" si="34"/>
        <v>33.613424518743663</v>
      </c>
      <c r="G287" s="112">
        <f t="shared" ca="1" si="35"/>
        <v>34.745269501950553</v>
      </c>
      <c r="H287" s="116">
        <v>1</v>
      </c>
      <c r="I287" s="117" t="s">
        <v>594</v>
      </c>
      <c r="J287" s="79">
        <v>1</v>
      </c>
      <c r="K287" s="196" t="s">
        <v>346</v>
      </c>
      <c r="L287" s="135" t="str">
        <f>IF(ISERROR(GETPIVOTDATA(IF($J287=1,"Count of ACTIVE     CED, FARM GATE (MJ/kg)","Count of CED, processor gate (MJ/kg)"),'Pivot Table_CED'!$A$3,"SUB TYPE",$B287)),"PROXY",IF(GETPIVOTDATA(IF($J287=1,"Count of ACTIVE     CED, FARM GATE (MJ/kg)","Count of CED, processor gate (MJ/kg)"),'Pivot Table_CED'!$A$3,"SUB TYPE",$B287)=0,"PROXY","DB value"))</f>
        <v>PROXY</v>
      </c>
      <c r="M287" s="118">
        <f ca="1">IF($L287="PROXY",DCOUNT('literature entries'!$D:$AI,IF($J287=1,"ACTIVE     CED, FARM GATE (MJ/kg)","CED, processor gate (MJ/kg)"),INDIRECT($K287)),GETPIVOTDATA(IF($J287=1,"Count of ACTIVE     CED, FARM GATE (MJ/kg)","Count of CED, processor gate (MJ/kg)"),'Pivot Table_CED'!$A$3,"SUB TYPE",$B287))</f>
        <v>6</v>
      </c>
      <c r="N287" s="119">
        <f ca="1">IF($L287="PROXY",DAVERAGE('literature entries'!$D:$AI,IF($J287=1,"ACTIVE     CED, FARM GATE (MJ/kg)","CED, processor gate (MJ/kg)"),INDIRECT($K287)),GETPIVOTDATA(IF($J287=1,"Average of ACTIVE     CED, FARM GATE (MJ/kg)","Average of CED, processor gate (MJ/kg)"),'Pivot Table_CED'!$A$3,"SUB TYPE",$B287))</f>
        <v>33.613424518743663</v>
      </c>
      <c r="O287" s="119">
        <f ca="1">IF($L287="PROXY",DSTDEV('literature entries'!D:AI,IF($J287=1,"ACTIVE     CED, FARM GATE (MJ/kg)","CED, processor gate (MJ/kg)"),INDIRECT($K287)),GETPIVOTDATA(IF($J287=1,"StdDev of ACTIVE     CED, FARM GATE (MJ/kg)","StdDev of CED, processor gate (MJ/kg)"),'Pivot Table_CED'!$A$3,"SUB TYPE",$B287))</f>
        <v>20.560479404527239</v>
      </c>
      <c r="P287" s="135" t="str">
        <f>IF(ISERROR(GETPIVOTDATA(IF($J287=1,"Count of ACTIVE     GHGE, FARM GATE (kg CO2e/kg)","Count of GHGE, processor gate (kg CO2e/kg)"),'Pivot Table_GHG'!$A$3,"SUB TYPE",$B287)),"PROXY",IF(GETPIVOTDATA(IF($J287=1,"Count of ACTIVE     GHGE, FARM GATE (kg CO2e/kg)","Count of GHGE, processor gate (kg CO2e/kg)"),'Pivot Table_GHG'!$A$3,"SUB TYPE",$B287)=0,"PROXY","DB value"))</f>
        <v>PROXY</v>
      </c>
      <c r="Q287" s="125">
        <f ca="1">IF($P287="PROXY",DCOUNT('literature entries'!$D:$AI,IF($J287=1,"ACTIVE     GHGE, FARM GATE (kg CO2e/kg)","GHGE, processor gate (kg CO2e/kg)"),INDIRECT($K287)),GETPIVOTDATA(IF($J287=1,"ACTIVE     GHGE, FARM GATE (kg CO2e/kg)","Count of GHGE, processor gate (kg CO2e/kg)"),'Pivot Table_GHG'!$A$3,"SUB TYPE",$B287))</f>
        <v>25</v>
      </c>
      <c r="R287" s="190">
        <f ca="1">IF($P287="PROXY",DAVERAGE('literature entries'!$D:$AI,IF($J287=1,"ACTIVE     GHGE, FARM GATE (kg CO2e/kg)","GHGE, processor gate (kg CO2e/kg)"),INDIRECT($K287)),GETPIVOTDATA(IF($J287=1,"Average of ACTIVE     GHGE, FARM GATE (kg CO2e/kg)","Average of GHGE, processor gate (kg CO2e/kg)"),'Pivot Table_GHG'!$A$3,"SUB TYPE",$B287))</f>
        <v>34.745269501950553</v>
      </c>
      <c r="S287" s="190">
        <f ca="1">IF($P287="PROXY",DSTDEV('literature entries'!$D:$AI,IF($J287=1,"ACTIVE     GHGE, FARM GATE (kg CO2e/kg)","GHGE, processor gate (kg CO2e/kg)"),INDIRECT($K287)),GETPIVOTDATA(IF($J287=1,"StdDev of ACTIVE     GHGE, FARM GATE (kg CO2e/kg)","StdDev of GHGE, processor gate (kg CO2e/kg)"),'Pivot Table_GHG'!$A$3,"SUB TYPE",$B287))</f>
        <v>30.511572332540641</v>
      </c>
      <c r="T287" s="88"/>
      <c r="U287" s="89"/>
      <c r="W287" s="213" t="str">
        <f t="shared" ca="1" si="39"/>
        <v>Sheep</v>
      </c>
      <c r="X287" s="211">
        <f ca="1">IF($W287="DIRECT",M287,DCOUNT('literature entries'!$D:$AI,IF($J287=1,"ACTIVE     CED, FARM GATE (MJ/kg)","CED, processor gate (MJ/kg)"),INDIRECT($W287)))</f>
        <v>6</v>
      </c>
      <c r="Y287" s="211">
        <f ca="1">IF($W287="DIRECT","",DAVERAGE('literature entries'!$D:$AI,IF($J287=1,"ACTIVE     CED, FARM GATE (MJ/kg)","CED, processor gate (MJ/kg)"),INDIRECT($W287)))</f>
        <v>33.613424518743663</v>
      </c>
      <c r="Z287" s="211">
        <f ca="1">IF($W287="DIRECT",$O287,DSTDEV('literature entries'!$D:$AI,IF($J287=1,"ACTIVE     CED, FARM GATE (MJ/kg)","CED, processor gate (MJ/kg)"),INDIRECT($W287)))</f>
        <v>20.560479404527239</v>
      </c>
      <c r="AA287" s="211">
        <f t="shared" ca="1" si="36"/>
        <v>20.560479404527239</v>
      </c>
      <c r="AB287" s="219" t="str">
        <f t="shared" ca="1" si="40"/>
        <v>Sheep</v>
      </c>
      <c r="AC287" s="212">
        <f ca="1">IF($AB287="DIRECT",Q287,DCOUNT('literature entries'!$D:$AI,IF($J287=1,"ACTIVE     GHGE, FARM GATE (kg CO2e/kg)","GHGE, processor gate (kg CO2e/kg)"),INDIRECT($AB287)))</f>
        <v>25</v>
      </c>
      <c r="AD287" s="212">
        <f ca="1">IF($AB287="DIRECT","",DAVERAGE('literature entries'!$D:$AI,IF($J287=1,"ACTIVE     GHGE, FARM GATE (kg CO2e/kg)","GHGE, processor gate (kg CO2e/kg)"),INDIRECT($AB287)))</f>
        <v>34.745269501950553</v>
      </c>
      <c r="AE287" s="212">
        <f ca="1">IF($AB287="DIRECT",$S287,DSTDEV('literature entries'!$D:$AI,IF($J287=1,"ACTIVE     GHGE, FARM GATE (kg CO2e/kg)","GHGE, processor gate (kg CO2e/kg)"),INDIRECT($AB287)))</f>
        <v>30.511572332540641</v>
      </c>
      <c r="AF287" s="212">
        <f t="shared" ca="1" si="37"/>
        <v>30.511572332540641</v>
      </c>
    </row>
    <row r="288" spans="1:32" s="19" customFormat="1" ht="17" thickBot="1" x14ac:dyDescent="0.25">
      <c r="A288" s="114">
        <v>3200170000</v>
      </c>
      <c r="B288" s="115" t="s">
        <v>2008</v>
      </c>
      <c r="C288" s="115" t="s">
        <v>1892</v>
      </c>
      <c r="D288" s="115" t="s">
        <v>2009</v>
      </c>
      <c r="E288" s="115">
        <v>1</v>
      </c>
      <c r="F288" s="111">
        <f t="shared" ca="1" si="34"/>
        <v>33.613424518743663</v>
      </c>
      <c r="G288" s="112">
        <f t="shared" ca="1" si="35"/>
        <v>34.745269501950553</v>
      </c>
      <c r="H288" s="116">
        <v>1</v>
      </c>
      <c r="I288" s="117" t="s">
        <v>594</v>
      </c>
      <c r="J288" s="79">
        <v>1</v>
      </c>
      <c r="K288" s="196" t="s">
        <v>346</v>
      </c>
      <c r="L288" s="135" t="str">
        <f>IF(ISERROR(GETPIVOTDATA(IF($J288=1,"Count of ACTIVE     CED, FARM GATE (MJ/kg)","Count of CED, processor gate (MJ/kg)"),'Pivot Table_CED'!$A$3,"SUB TYPE",$B288)),"PROXY",IF(GETPIVOTDATA(IF($J288=1,"Count of ACTIVE     CED, FARM GATE (MJ/kg)","Count of CED, processor gate (MJ/kg)"),'Pivot Table_CED'!$A$3,"SUB TYPE",$B288)=0,"PROXY","DB value"))</f>
        <v>PROXY</v>
      </c>
      <c r="M288" s="118">
        <f ca="1">IF($L288="PROXY",DCOUNT('literature entries'!$D:$AI,IF($J288=1,"ACTIVE     CED, FARM GATE (MJ/kg)","CED, processor gate (MJ/kg)"),INDIRECT($K288)),GETPIVOTDATA(IF($J288=1,"Count of ACTIVE     CED, FARM GATE (MJ/kg)","Count of CED, processor gate (MJ/kg)"),'Pivot Table_CED'!$A$3,"SUB TYPE",$B288))</f>
        <v>6</v>
      </c>
      <c r="N288" s="119">
        <f ca="1">IF($L288="PROXY",DAVERAGE('literature entries'!$D:$AI,IF($J288=1,"ACTIVE     CED, FARM GATE (MJ/kg)","CED, processor gate (MJ/kg)"),INDIRECT($K288)),GETPIVOTDATA(IF($J288=1,"Average of ACTIVE     CED, FARM GATE (MJ/kg)","Average of CED, processor gate (MJ/kg)"),'Pivot Table_CED'!$A$3,"SUB TYPE",$B288))</f>
        <v>33.613424518743663</v>
      </c>
      <c r="O288" s="119">
        <f ca="1">IF($L288="PROXY",DSTDEV('literature entries'!D:AI,IF($J288=1,"ACTIVE     CED, FARM GATE (MJ/kg)","CED, processor gate (MJ/kg)"),INDIRECT($K288)),GETPIVOTDATA(IF($J288=1,"StdDev of ACTIVE     CED, FARM GATE (MJ/kg)","StdDev of CED, processor gate (MJ/kg)"),'Pivot Table_CED'!$A$3,"SUB TYPE",$B288))</f>
        <v>20.560479404527239</v>
      </c>
      <c r="P288" s="135" t="str">
        <f>IF(ISERROR(GETPIVOTDATA(IF($J288=1,"Count of ACTIVE     GHGE, FARM GATE (kg CO2e/kg)","Count of GHGE, processor gate (kg CO2e/kg)"),'Pivot Table_GHG'!$A$3,"SUB TYPE",$B288)),"PROXY",IF(GETPIVOTDATA(IF($J288=1,"Count of ACTIVE     GHGE, FARM GATE (kg CO2e/kg)","Count of GHGE, processor gate (kg CO2e/kg)"),'Pivot Table_GHG'!$A$3,"SUB TYPE",$B288)=0,"PROXY","DB value"))</f>
        <v>PROXY</v>
      </c>
      <c r="Q288" s="125">
        <f ca="1">IF($P288="PROXY",DCOUNT('literature entries'!$D:$AI,IF($J288=1,"ACTIVE     GHGE, FARM GATE (kg CO2e/kg)","GHGE, processor gate (kg CO2e/kg)"),INDIRECT($K288)),GETPIVOTDATA(IF($J288=1,"ACTIVE     GHGE, FARM GATE (kg CO2e/kg)","Count of GHGE, processor gate (kg CO2e/kg)"),'Pivot Table_GHG'!$A$3,"SUB TYPE",$B288))</f>
        <v>25</v>
      </c>
      <c r="R288" s="190">
        <f ca="1">IF($P288="PROXY",DAVERAGE('literature entries'!$D:$AI,IF($J288=1,"ACTIVE     GHGE, FARM GATE (kg CO2e/kg)","GHGE, processor gate (kg CO2e/kg)"),INDIRECT($K288)),GETPIVOTDATA(IF($J288=1,"Average of ACTIVE     GHGE, FARM GATE (kg CO2e/kg)","Average of GHGE, processor gate (kg CO2e/kg)"),'Pivot Table_GHG'!$A$3,"SUB TYPE",$B288))</f>
        <v>34.745269501950553</v>
      </c>
      <c r="S288" s="190">
        <f ca="1">IF($P288="PROXY",DSTDEV('literature entries'!$D:$AI,IF($J288=1,"ACTIVE     GHGE, FARM GATE (kg CO2e/kg)","GHGE, processor gate (kg CO2e/kg)"),INDIRECT($K288)),GETPIVOTDATA(IF($J288=1,"StdDev of ACTIVE     GHGE, FARM GATE (kg CO2e/kg)","StdDev of GHGE, processor gate (kg CO2e/kg)"),'Pivot Table_GHG'!$A$3,"SUB TYPE",$B288))</f>
        <v>30.511572332540641</v>
      </c>
      <c r="T288" s="88"/>
      <c r="U288" s="89"/>
      <c r="W288" s="213" t="str">
        <f t="shared" ca="1" si="39"/>
        <v>Sheep</v>
      </c>
      <c r="X288" s="211">
        <f ca="1">IF($W288="DIRECT",M288,DCOUNT('literature entries'!$D:$AI,IF($J288=1,"ACTIVE     CED, FARM GATE (MJ/kg)","CED, processor gate (MJ/kg)"),INDIRECT($W288)))</f>
        <v>6</v>
      </c>
      <c r="Y288" s="211">
        <f ca="1">IF($W288="DIRECT","",DAVERAGE('literature entries'!$D:$AI,IF($J288=1,"ACTIVE     CED, FARM GATE (MJ/kg)","CED, processor gate (MJ/kg)"),INDIRECT($W288)))</f>
        <v>33.613424518743663</v>
      </c>
      <c r="Z288" s="211">
        <f ca="1">IF($W288="DIRECT",$O288,DSTDEV('literature entries'!$D:$AI,IF($J288=1,"ACTIVE     CED, FARM GATE (MJ/kg)","CED, processor gate (MJ/kg)"),INDIRECT($W288)))</f>
        <v>20.560479404527239</v>
      </c>
      <c r="AA288" s="211">
        <f t="shared" ca="1" si="36"/>
        <v>20.560479404527239</v>
      </c>
      <c r="AB288" s="219" t="str">
        <f t="shared" ca="1" si="40"/>
        <v>Sheep</v>
      </c>
      <c r="AC288" s="212">
        <f ca="1">IF($AB288="DIRECT",Q288,DCOUNT('literature entries'!$D:$AI,IF($J288=1,"ACTIVE     GHGE, FARM GATE (kg CO2e/kg)","GHGE, processor gate (kg CO2e/kg)"),INDIRECT($AB288)))</f>
        <v>25</v>
      </c>
      <c r="AD288" s="212">
        <f ca="1">IF($AB288="DIRECT","",DAVERAGE('literature entries'!$D:$AI,IF($J288=1,"ACTIVE     GHGE, FARM GATE (kg CO2e/kg)","GHGE, processor gate (kg CO2e/kg)"),INDIRECT($AB288)))</f>
        <v>34.745269501950553</v>
      </c>
      <c r="AE288" s="212">
        <f ca="1">IF($AB288="DIRECT",$S288,DSTDEV('literature entries'!$D:$AI,IF($J288=1,"ACTIVE     GHGE, FARM GATE (kg CO2e/kg)","GHGE, processor gate (kg CO2e/kg)"),INDIRECT($AB288)))</f>
        <v>30.511572332540641</v>
      </c>
      <c r="AF288" s="212">
        <f t="shared" ca="1" si="37"/>
        <v>30.511572332540641</v>
      </c>
    </row>
    <row r="289" spans="1:32" s="19" customFormat="1" ht="17" thickBot="1" x14ac:dyDescent="0.25">
      <c r="A289" s="114">
        <v>3200171000</v>
      </c>
      <c r="B289" s="115" t="s">
        <v>2004</v>
      </c>
      <c r="C289" s="115" t="s">
        <v>2005</v>
      </c>
      <c r="D289" s="115"/>
      <c r="E289" s="115">
        <v>45</v>
      </c>
      <c r="F289" s="111">
        <f t="shared" ca="1" si="34"/>
        <v>33.613424518743663</v>
      </c>
      <c r="G289" s="112">
        <f t="shared" ca="1" si="35"/>
        <v>34.745269501950553</v>
      </c>
      <c r="H289" s="116">
        <v>1</v>
      </c>
      <c r="I289" s="117" t="s">
        <v>594</v>
      </c>
      <c r="J289" s="79">
        <v>1</v>
      </c>
      <c r="K289" s="196" t="s">
        <v>346</v>
      </c>
      <c r="L289" s="135" t="str">
        <f>IF(ISERROR(GETPIVOTDATA(IF($J289=1,"Count of ACTIVE     CED, FARM GATE (MJ/kg)","Count of CED, processor gate (MJ/kg)"),'Pivot Table_CED'!$A$3,"SUB TYPE",$B289)),"PROXY",IF(GETPIVOTDATA(IF($J289=1,"Count of ACTIVE     CED, FARM GATE (MJ/kg)","Count of CED, processor gate (MJ/kg)"),'Pivot Table_CED'!$A$3,"SUB TYPE",$B289)=0,"PROXY","DB value"))</f>
        <v>PROXY</v>
      </c>
      <c r="M289" s="118">
        <f ca="1">IF($L289="PROXY",DCOUNT('literature entries'!$D:$AI,IF($J289=1,"ACTIVE     CED, FARM GATE (MJ/kg)","CED, processor gate (MJ/kg)"),INDIRECT($K289)),GETPIVOTDATA(IF($J289=1,"Count of ACTIVE     CED, FARM GATE (MJ/kg)","Count of CED, processor gate (MJ/kg)"),'Pivot Table_CED'!$A$3,"SUB TYPE",$B289))</f>
        <v>6</v>
      </c>
      <c r="N289" s="119">
        <f ca="1">IF($L289="PROXY",DAVERAGE('literature entries'!$D:$AI,IF($J289=1,"ACTIVE     CED, FARM GATE (MJ/kg)","CED, processor gate (MJ/kg)"),INDIRECT($K289)),GETPIVOTDATA(IF($J289=1,"Average of ACTIVE     CED, FARM GATE (MJ/kg)","Average of CED, processor gate (MJ/kg)"),'Pivot Table_CED'!$A$3,"SUB TYPE",$B289))</f>
        <v>33.613424518743663</v>
      </c>
      <c r="O289" s="119">
        <f ca="1">IF($L289="PROXY",DSTDEV('literature entries'!D:AI,IF($J289=1,"ACTIVE     CED, FARM GATE (MJ/kg)","CED, processor gate (MJ/kg)"),INDIRECT($K289)),GETPIVOTDATA(IF($J289=1,"StdDev of ACTIVE     CED, FARM GATE (MJ/kg)","StdDev of CED, processor gate (MJ/kg)"),'Pivot Table_CED'!$A$3,"SUB TYPE",$B289))</f>
        <v>20.560479404527239</v>
      </c>
      <c r="P289" s="135" t="str">
        <f>IF(ISERROR(GETPIVOTDATA(IF($J289=1,"Count of ACTIVE     GHGE, FARM GATE (kg CO2e/kg)","Count of GHGE, processor gate (kg CO2e/kg)"),'Pivot Table_GHG'!$A$3,"SUB TYPE",$B289)),"PROXY",IF(GETPIVOTDATA(IF($J289=1,"Count of ACTIVE     GHGE, FARM GATE (kg CO2e/kg)","Count of GHGE, processor gate (kg CO2e/kg)"),'Pivot Table_GHG'!$A$3,"SUB TYPE",$B289)=0,"PROXY","DB value"))</f>
        <v>PROXY</v>
      </c>
      <c r="Q289" s="125">
        <f ca="1">IF($P289="PROXY",DCOUNT('literature entries'!$D:$AI,IF($J289=1,"ACTIVE     GHGE, FARM GATE (kg CO2e/kg)","GHGE, processor gate (kg CO2e/kg)"),INDIRECT($K289)),GETPIVOTDATA(IF($J289=1,"ACTIVE     GHGE, FARM GATE (kg CO2e/kg)","Count of GHGE, processor gate (kg CO2e/kg)"),'Pivot Table_GHG'!$A$3,"SUB TYPE",$B289))</f>
        <v>25</v>
      </c>
      <c r="R289" s="190">
        <f ca="1">IF($P289="PROXY",DAVERAGE('literature entries'!$D:$AI,IF($J289=1,"ACTIVE     GHGE, FARM GATE (kg CO2e/kg)","GHGE, processor gate (kg CO2e/kg)"),INDIRECT($K289)),GETPIVOTDATA(IF($J289=1,"Average of ACTIVE     GHGE, FARM GATE (kg CO2e/kg)","Average of GHGE, processor gate (kg CO2e/kg)"),'Pivot Table_GHG'!$A$3,"SUB TYPE",$B289))</f>
        <v>34.745269501950553</v>
      </c>
      <c r="S289" s="190">
        <f ca="1">IF($P289="PROXY",DSTDEV('literature entries'!$D:$AI,IF($J289=1,"ACTIVE     GHGE, FARM GATE (kg CO2e/kg)","GHGE, processor gate (kg CO2e/kg)"),INDIRECT($K289)),GETPIVOTDATA(IF($J289=1,"StdDev of ACTIVE     GHGE, FARM GATE (kg CO2e/kg)","StdDev of GHGE, processor gate (kg CO2e/kg)"),'Pivot Table_GHG'!$A$3,"SUB TYPE",$B289))</f>
        <v>30.511572332540641</v>
      </c>
      <c r="T289" s="88"/>
      <c r="U289" s="89"/>
      <c r="W289" s="213" t="str">
        <f t="shared" ca="1" si="39"/>
        <v>Sheep</v>
      </c>
      <c r="X289" s="211">
        <f ca="1">IF($W289="DIRECT",M289,DCOUNT('literature entries'!$D:$AI,IF($J289=1,"ACTIVE     CED, FARM GATE (MJ/kg)","CED, processor gate (MJ/kg)"),INDIRECT($W289)))</f>
        <v>6</v>
      </c>
      <c r="Y289" s="211">
        <f ca="1">IF($W289="DIRECT","",DAVERAGE('literature entries'!$D:$AI,IF($J289=1,"ACTIVE     CED, FARM GATE (MJ/kg)","CED, processor gate (MJ/kg)"),INDIRECT($W289)))</f>
        <v>33.613424518743663</v>
      </c>
      <c r="Z289" s="211">
        <f ca="1">IF($W289="DIRECT",$O289,DSTDEV('literature entries'!$D:$AI,IF($J289=1,"ACTIVE     CED, FARM GATE (MJ/kg)","CED, processor gate (MJ/kg)"),INDIRECT($W289)))</f>
        <v>20.560479404527239</v>
      </c>
      <c r="AA289" s="211">
        <f t="shared" ca="1" si="36"/>
        <v>20.560479404527239</v>
      </c>
      <c r="AB289" s="219" t="str">
        <f t="shared" ca="1" si="40"/>
        <v>Sheep</v>
      </c>
      <c r="AC289" s="212">
        <f ca="1">IF($AB289="DIRECT",Q289,DCOUNT('literature entries'!$D:$AI,IF($J289=1,"ACTIVE     GHGE, FARM GATE (kg CO2e/kg)","GHGE, processor gate (kg CO2e/kg)"),INDIRECT($AB289)))</f>
        <v>25</v>
      </c>
      <c r="AD289" s="212">
        <f ca="1">IF($AB289="DIRECT","",DAVERAGE('literature entries'!$D:$AI,IF($J289=1,"ACTIVE     GHGE, FARM GATE (kg CO2e/kg)","GHGE, processor gate (kg CO2e/kg)"),INDIRECT($AB289)))</f>
        <v>34.745269501950553</v>
      </c>
      <c r="AE289" s="212">
        <f ca="1">IF($AB289="DIRECT",$S289,DSTDEV('literature entries'!$D:$AI,IF($J289=1,"ACTIVE     GHGE, FARM GATE (kg CO2e/kg)","GHGE, processor gate (kg CO2e/kg)"),INDIRECT($AB289)))</f>
        <v>30.511572332540641</v>
      </c>
      <c r="AF289" s="212">
        <f t="shared" ca="1" si="37"/>
        <v>30.511572332540641</v>
      </c>
    </row>
    <row r="290" spans="1:32" s="19" customFormat="1" ht="17" thickBot="1" x14ac:dyDescent="0.25">
      <c r="A290" s="114">
        <v>3400290000</v>
      </c>
      <c r="B290" s="115" t="s">
        <v>2191</v>
      </c>
      <c r="C290" s="115" t="s">
        <v>2007</v>
      </c>
      <c r="D290" s="115"/>
      <c r="E290" s="115">
        <v>24279</v>
      </c>
      <c r="F290" s="111">
        <f t="shared" ca="1" si="34"/>
        <v>28.619775438183076</v>
      </c>
      <c r="G290" s="112">
        <f t="shared" ca="1" si="35"/>
        <v>5.5600439454132689</v>
      </c>
      <c r="H290" s="116">
        <v>1</v>
      </c>
      <c r="I290" s="117" t="s">
        <v>594</v>
      </c>
      <c r="J290" s="79">
        <v>1</v>
      </c>
      <c r="K290" s="188"/>
      <c r="L290" s="135" t="str">
        <f>IF(ISERROR(GETPIVOTDATA(IF($J290=1,"Count of ACTIVE     CED, FARM GATE (MJ/kg)","Count of CED, processor gate (MJ/kg)"),'Pivot Table_CED'!$A$3,"SUB TYPE","pork")),"PROXY",IF(GETPIVOTDATA(IF($J290=1,"Count of ACTIVE     CED, FARM GATE (MJ/kg)","Count of CED, processor gate (MJ/kg)"),'Pivot Table_CED'!$A$3,"SUB TYPE","pork")=0,"PROXY","DB value"))</f>
        <v>DB value</v>
      </c>
      <c r="M290" s="118">
        <f ca="1">IF($L290="PROXY",DCOUNT('literature entries'!$D:$AI,IF($J290=1,"ACTIVE     CED, FARM GATE (MJ/kg)","CED, processor gate (MJ/kg)"),INDIRECT($K290)),GETPIVOTDATA(IF($J290=1,"Count of ACTIVE     CED, FARM GATE (MJ/kg)","Count of CED, processor gate (MJ/kg)"),'Pivot Table_CED'!$A$3,"SUB TYPE","pork"))</f>
        <v>17</v>
      </c>
      <c r="N290" s="119">
        <f ca="1">IF($L290="PROXY",DAVERAGE('literature entries'!$D:$AI,IF($J290=1,"ACTIVE     CED, FARM GATE (MJ/kg)","CED, processor gate (MJ/kg)"),INDIRECT($K290)),GETPIVOTDATA(IF($J290=1,"Average of ACTIVE     CED, FARM GATE (MJ/kg)","Average of CED, processor gate (MJ/kg)"),'Pivot Table_CED'!$A$3,"SUB TYPE","pork"))</f>
        <v>28.619775438183076</v>
      </c>
      <c r="O290" s="119">
        <f ca="1">IF($L290="PROXY",DSTDEV('literature entries'!D:AI,IF($J290=1,"ACTIVE     CED, FARM GATE (MJ/kg)","CED, processor gate (MJ/kg)"),INDIRECT($K290)),GETPIVOTDATA(IF($J290=1,"StdDev of ACTIVE     CED, FARM GATE (MJ/kg)","StdDev of CED, processor gate (MJ/kg)"),'Pivot Table_CED'!$A$3,"SUB TYPE","pork"))</f>
        <v>6.8913248294546285</v>
      </c>
      <c r="P290" s="135" t="str">
        <f>IF(ISERROR(GETPIVOTDATA(IF($J290=1,"Count of ACTIVE     GHGE, FARM GATE (kg CO2e/kg)","Count of GHGE, processor gate (kg CO2e/kg)"),'Pivot Table_GHG'!$A$3,"SUB TYPE","pork")),"PROXY",IF(GETPIVOTDATA(IF($J290=1,"Count of ACTIVE     GHGE, FARM GATE (kg CO2e/kg)","Count of GHGE, processor gate (kg CO2e/kg)"),'Pivot Table_GHG'!$A$3,"SUB TYPE","pork")=0,"PROXY","DB value"))</f>
        <v>DB value</v>
      </c>
      <c r="Q290" s="125">
        <f ca="1">IF($P290="PROXY",DCOUNT('literature entries'!$D:$AI,IF($J290=1,"ACTIVE     GHGE, FARM GATE (kg CO2e/kg)","GHGE, processor gate (kg CO2e/kg)"),INDIRECT($K290)),GETPIVOTDATA(IF($J290=1,"ACTIVE     GHGE, FARM GATE (kg CO2e/kg)","Count of GHGE, processor gate (kg CO2e/kg)"),'Pivot Table_GHG'!$A$3,"SUB TYPE","pork"))</f>
        <v>50</v>
      </c>
      <c r="R290" s="190">
        <f ca="1">IF($P290="PROXY",DAVERAGE('literature entries'!$D:$AI,IF($J290=1,"ACTIVE     GHGE, FARM GATE (kg CO2e/kg)","GHGE, processor gate (kg CO2e/kg)"),INDIRECT($K290)),GETPIVOTDATA(IF($J290=1,"Average of ACTIVE     GHGE, FARM GATE (kg CO2e/kg)","Average of GHGE, processor gate (kg CO2e/kg)"),'Pivot Table_GHG'!$A$3,"SUB TYPE","pork"))</f>
        <v>5.5600439454132689</v>
      </c>
      <c r="S290" s="190">
        <f ca="1">IF($P290="PROXY",DSTDEV('literature entries'!$D:$AI,IF($J290=1,"ACTIVE     GHGE, FARM GATE (kg CO2e/kg)","GHGE, processor gate (kg CO2e/kg)"),INDIRECT($K290)),GETPIVOTDATA(IF($J290=1,"StdDev of ACTIVE     GHGE, FARM GATE (kg CO2e/kg)","StdDev of GHGE, processor gate (kg CO2e/kg)"),'Pivot Table_GHG'!$A$3,"SUB TYPE","pork"))</f>
        <v>1.5896088267882067</v>
      </c>
      <c r="T290" s="88"/>
      <c r="U290" s="89"/>
      <c r="W290" s="213" t="str">
        <f t="shared" ca="1" si="39"/>
        <v>DIRECT</v>
      </c>
      <c r="X290" s="211">
        <f ca="1">IF($W290="DIRECT",M290,DCOUNT('literature entries'!$D:$AI,IF($J290=1,"ACTIVE     CED, FARM GATE (MJ/kg)","CED, processor gate (MJ/kg)"),INDIRECT($W290)))</f>
        <v>17</v>
      </c>
      <c r="Y290" s="211" t="str">
        <f ca="1">IF($W290="DIRECT","",DAVERAGE('literature entries'!$D:$AI,IF($J290=1,"ACTIVE     CED, FARM GATE (MJ/kg)","CED, processor gate (MJ/kg)"),INDIRECT($W290)))</f>
        <v/>
      </c>
      <c r="Z290" s="211">
        <f ca="1">IF($W290="DIRECT",$O290,DSTDEV('literature entries'!$D:$AI,IF($J290=1,"ACTIVE     CED, FARM GATE (MJ/kg)","CED, processor gate (MJ/kg)"),INDIRECT($W290)))</f>
        <v>6.8913248294546285</v>
      </c>
      <c r="AA290" s="211">
        <f t="shared" ca="1" si="36"/>
        <v>6.8913248294546285</v>
      </c>
      <c r="AB290" s="219" t="str">
        <f t="shared" ca="1" si="40"/>
        <v>DIRECT</v>
      </c>
      <c r="AC290" s="212">
        <f ca="1">IF($AB290="DIRECT",Q290,DCOUNT('literature entries'!$D:$AI,IF($J290=1,"ACTIVE     GHGE, FARM GATE (kg CO2e/kg)","GHGE, processor gate (kg CO2e/kg)"),INDIRECT($AB290)))</f>
        <v>50</v>
      </c>
      <c r="AD290" s="212" t="str">
        <f ca="1">IF($AB290="DIRECT","",DAVERAGE('literature entries'!$D:$AI,IF($J290=1,"ACTIVE     GHGE, FARM GATE (kg CO2e/kg)","GHGE, processor gate (kg CO2e/kg)"),INDIRECT($AB290)))</f>
        <v/>
      </c>
      <c r="AE290" s="212">
        <f ca="1">IF($AB290="DIRECT",$S290,DSTDEV('literature entries'!$D:$AI,IF($J290=1,"ACTIVE     GHGE, FARM GATE (kg CO2e/kg)","GHGE, processor gate (kg CO2e/kg)"),INDIRECT($AB290)))</f>
        <v>1.5896088267882067</v>
      </c>
      <c r="AF290" s="212">
        <f t="shared" ca="1" si="37"/>
        <v>1.5896088267882067</v>
      </c>
    </row>
    <row r="291" spans="1:32" s="19" customFormat="1" ht="17" thickBot="1" x14ac:dyDescent="0.25">
      <c r="A291" s="114">
        <v>3400291000</v>
      </c>
      <c r="B291" s="115" t="s">
        <v>2195</v>
      </c>
      <c r="C291" s="115" t="s">
        <v>2196</v>
      </c>
      <c r="D291" s="115" t="s">
        <v>2197</v>
      </c>
      <c r="E291" s="115">
        <v>10329</v>
      </c>
      <c r="F291" s="111">
        <f t="shared" ca="1" si="34"/>
        <v>28.619775438183076</v>
      </c>
      <c r="G291" s="112">
        <f t="shared" ca="1" si="35"/>
        <v>5.5600439454132689</v>
      </c>
      <c r="H291" s="116">
        <v>1</v>
      </c>
      <c r="I291" s="117" t="s">
        <v>594</v>
      </c>
      <c r="J291" s="79">
        <v>1</v>
      </c>
      <c r="K291" s="188"/>
      <c r="L291" s="135" t="str">
        <f>IF(ISERROR(GETPIVOTDATA(IF($J291=1,"Count of ACTIVE     CED, FARM GATE (MJ/kg)","Count of CED, processor gate (MJ/kg)"),'Pivot Table_CED'!$A$3,"SUB TYPE","pork")),"PROXY",IF(GETPIVOTDATA(IF($J291=1,"Count of ACTIVE     CED, FARM GATE (MJ/kg)","Count of CED, processor gate (MJ/kg)"),'Pivot Table_CED'!$A$3,"SUB TYPE","pork")=0,"PROXY","DB value"))</f>
        <v>DB value</v>
      </c>
      <c r="M291" s="118">
        <f ca="1">IF($L291="PROXY",DCOUNT('literature entries'!$D:$AI,IF($J291=1,"ACTIVE     CED, FARM GATE (MJ/kg)","CED, processor gate (MJ/kg)"),INDIRECT($K291)),GETPIVOTDATA(IF($J291=1,"Count of ACTIVE     CED, FARM GATE (MJ/kg)","Count of CED, processor gate (MJ/kg)"),'Pivot Table_CED'!$A$3,"SUB TYPE","pork"))</f>
        <v>17</v>
      </c>
      <c r="N291" s="119">
        <f ca="1">IF($L291="PROXY",DAVERAGE('literature entries'!$D:$AI,IF($J291=1,"ACTIVE     CED, FARM GATE (MJ/kg)","CED, processor gate (MJ/kg)"),INDIRECT($K291)),GETPIVOTDATA(IF($J291=1,"Average of ACTIVE     CED, FARM GATE (MJ/kg)","Average of CED, processor gate (MJ/kg)"),'Pivot Table_CED'!$A$3,"SUB TYPE","pork"))</f>
        <v>28.619775438183076</v>
      </c>
      <c r="O291" s="119">
        <f ca="1">IF($L291="PROXY",DSTDEV('literature entries'!D:AI,IF($J291=1,"ACTIVE     CED, FARM GATE (MJ/kg)","CED, processor gate (MJ/kg)"),INDIRECT($K291)),GETPIVOTDATA(IF($J291=1,"StdDev of ACTIVE     CED, FARM GATE (MJ/kg)","StdDev of CED, processor gate (MJ/kg)"),'Pivot Table_CED'!$A$3,"SUB TYPE","pork"))</f>
        <v>6.8913248294546285</v>
      </c>
      <c r="P291" s="135" t="str">
        <f>IF(ISERROR(GETPIVOTDATA(IF($J291=1,"Count of ACTIVE     GHGE, FARM GATE (kg CO2e/kg)","Count of GHGE, processor gate (kg CO2e/kg)"),'Pivot Table_GHG'!$A$3,"SUB TYPE","pork")),"PROXY",IF(GETPIVOTDATA(IF($J291=1,"Count of ACTIVE     GHGE, FARM GATE (kg CO2e/kg)","Count of GHGE, processor gate (kg CO2e/kg)"),'Pivot Table_GHG'!$A$3,"SUB TYPE","pork")=0,"PROXY","DB value"))</f>
        <v>DB value</v>
      </c>
      <c r="Q291" s="125">
        <f ca="1">IF($P291="PROXY",DCOUNT('literature entries'!$D:$AI,IF($J291=1,"ACTIVE     GHGE, FARM GATE (kg CO2e/kg)","GHGE, processor gate (kg CO2e/kg)"),INDIRECT($K291)),GETPIVOTDATA(IF($J291=1,"ACTIVE     GHGE, FARM GATE (kg CO2e/kg)","Count of GHGE, processor gate (kg CO2e/kg)"),'Pivot Table_GHG'!$A$3,"SUB TYPE","pork"))</f>
        <v>50</v>
      </c>
      <c r="R291" s="190">
        <f ca="1">IF($P291="PROXY",DAVERAGE('literature entries'!$D:$AI,IF($J291=1,"ACTIVE     GHGE, FARM GATE (kg CO2e/kg)","GHGE, processor gate (kg CO2e/kg)"),INDIRECT($K291)),GETPIVOTDATA(IF($J291=1,"Average of ACTIVE     GHGE, FARM GATE (kg CO2e/kg)","Average of GHGE, processor gate (kg CO2e/kg)"),'Pivot Table_GHG'!$A$3,"SUB TYPE","pork"))</f>
        <v>5.5600439454132689</v>
      </c>
      <c r="S291" s="190">
        <f ca="1">IF($P291="PROXY",DSTDEV('literature entries'!$D:$AI,IF($J291=1,"ACTIVE     GHGE, FARM GATE (kg CO2e/kg)","GHGE, processor gate (kg CO2e/kg)"),INDIRECT($K291)),GETPIVOTDATA(IF($J291=1,"StdDev of ACTIVE     GHGE, FARM GATE (kg CO2e/kg)","StdDev of GHGE, processor gate (kg CO2e/kg)"),'Pivot Table_GHG'!$A$3,"SUB TYPE","pork"))</f>
        <v>1.5896088267882067</v>
      </c>
      <c r="T291" s="88"/>
      <c r="U291" s="89"/>
      <c r="W291" s="213" t="str">
        <f t="shared" ca="1" si="39"/>
        <v>DIRECT</v>
      </c>
      <c r="X291" s="211">
        <f ca="1">IF($W291="DIRECT",M291,DCOUNT('literature entries'!$D:$AI,IF($J291=1,"ACTIVE     CED, FARM GATE (MJ/kg)","CED, processor gate (MJ/kg)"),INDIRECT($W291)))</f>
        <v>17</v>
      </c>
      <c r="Y291" s="211" t="str">
        <f ca="1">IF($W291="DIRECT","",DAVERAGE('literature entries'!$D:$AI,IF($J291=1,"ACTIVE     CED, FARM GATE (MJ/kg)","CED, processor gate (MJ/kg)"),INDIRECT($W291)))</f>
        <v/>
      </c>
      <c r="Z291" s="211">
        <f ca="1">IF($W291="DIRECT",$O291,DSTDEV('literature entries'!$D:$AI,IF($J291=1,"ACTIVE     CED, FARM GATE (MJ/kg)","CED, processor gate (MJ/kg)"),INDIRECT($W291)))</f>
        <v>6.8913248294546285</v>
      </c>
      <c r="AA291" s="211">
        <f t="shared" ca="1" si="36"/>
        <v>6.8913248294546285</v>
      </c>
      <c r="AB291" s="219" t="str">
        <f t="shared" ca="1" si="40"/>
        <v>DIRECT</v>
      </c>
      <c r="AC291" s="212">
        <f ca="1">IF($AB291="DIRECT",Q291,DCOUNT('literature entries'!$D:$AI,IF($J291=1,"ACTIVE     GHGE, FARM GATE (kg CO2e/kg)","GHGE, processor gate (kg CO2e/kg)"),INDIRECT($AB291)))</f>
        <v>50</v>
      </c>
      <c r="AD291" s="212" t="str">
        <f ca="1">IF($AB291="DIRECT","",DAVERAGE('literature entries'!$D:$AI,IF($J291=1,"ACTIVE     GHGE, FARM GATE (kg CO2e/kg)","GHGE, processor gate (kg CO2e/kg)"),INDIRECT($AB291)))</f>
        <v/>
      </c>
      <c r="AE291" s="212">
        <f ca="1">IF($AB291="DIRECT",$S291,DSTDEV('literature entries'!$D:$AI,IF($J291=1,"ACTIVE     GHGE, FARM GATE (kg CO2e/kg)","GHGE, processor gate (kg CO2e/kg)"),INDIRECT($AB291)))</f>
        <v>1.5896088267882067</v>
      </c>
      <c r="AF291" s="212">
        <f t="shared" ca="1" si="37"/>
        <v>1.5896088267882067</v>
      </c>
    </row>
    <row r="292" spans="1:32" s="19" customFormat="1" ht="17" thickBot="1" x14ac:dyDescent="0.25">
      <c r="A292" s="114">
        <v>3400292000</v>
      </c>
      <c r="B292" s="115" t="s">
        <v>2192</v>
      </c>
      <c r="C292" s="115" t="s">
        <v>2193</v>
      </c>
      <c r="D292" s="115" t="s">
        <v>2194</v>
      </c>
      <c r="E292" s="115">
        <v>19329</v>
      </c>
      <c r="F292" s="111">
        <f t="shared" ca="1" si="34"/>
        <v>28.619775438183076</v>
      </c>
      <c r="G292" s="112">
        <f t="shared" ca="1" si="35"/>
        <v>5.5600439454132689</v>
      </c>
      <c r="H292" s="116">
        <v>1</v>
      </c>
      <c r="I292" s="117" t="s">
        <v>594</v>
      </c>
      <c r="J292" s="79">
        <v>1</v>
      </c>
      <c r="K292" s="188"/>
      <c r="L292" s="135" t="str">
        <f>IF(ISERROR(GETPIVOTDATA(IF($J292=1,"Count of ACTIVE     CED, FARM GATE (MJ/kg)","Count of CED, processor gate (MJ/kg)"),'Pivot Table_CED'!$A$3,"SUB TYPE","pork")),"PROXY",IF(GETPIVOTDATA(IF($J292=1,"Count of ACTIVE     CED, FARM GATE (MJ/kg)","Count of CED, processor gate (MJ/kg)"),'Pivot Table_CED'!$A$3,"SUB TYPE","pork")=0,"PROXY","DB value"))</f>
        <v>DB value</v>
      </c>
      <c r="M292" s="118">
        <f ca="1">IF($L292="PROXY",DCOUNT('literature entries'!$D:$AI,IF($J292=1,"ACTIVE     CED, FARM GATE (MJ/kg)","CED, processor gate (MJ/kg)"),INDIRECT($K292)),GETPIVOTDATA(IF($J292=1,"Count of ACTIVE     CED, FARM GATE (MJ/kg)","Count of CED, processor gate (MJ/kg)"),'Pivot Table_CED'!$A$3,"SUB TYPE","pork"))</f>
        <v>17</v>
      </c>
      <c r="N292" s="119">
        <f ca="1">IF($L292="PROXY",DAVERAGE('literature entries'!$D:$AI,IF($J292=1,"ACTIVE     CED, FARM GATE (MJ/kg)","CED, processor gate (MJ/kg)"),INDIRECT($K292)),GETPIVOTDATA(IF($J292=1,"Average of ACTIVE     CED, FARM GATE (MJ/kg)","Average of CED, processor gate (MJ/kg)"),'Pivot Table_CED'!$A$3,"SUB TYPE","pork"))</f>
        <v>28.619775438183076</v>
      </c>
      <c r="O292" s="119">
        <f ca="1">IF($L292="PROXY",DSTDEV('literature entries'!D:AI,IF($J292=1,"ACTIVE     CED, FARM GATE (MJ/kg)","CED, processor gate (MJ/kg)"),INDIRECT($K292)),GETPIVOTDATA(IF($J292=1,"StdDev of ACTIVE     CED, FARM GATE (MJ/kg)","StdDev of CED, processor gate (MJ/kg)"),'Pivot Table_CED'!$A$3,"SUB TYPE","pork"))</f>
        <v>6.8913248294546285</v>
      </c>
      <c r="P292" s="135" t="str">
        <f>IF(ISERROR(GETPIVOTDATA(IF($J292=1,"Count of ACTIVE     GHGE, FARM GATE (kg CO2e/kg)","Count of GHGE, processor gate (kg CO2e/kg)"),'Pivot Table_GHG'!$A$3,"SUB TYPE","pork")),"PROXY",IF(GETPIVOTDATA(IF($J292=1,"Count of ACTIVE     GHGE, FARM GATE (kg CO2e/kg)","Count of GHGE, processor gate (kg CO2e/kg)"),'Pivot Table_GHG'!$A$3,"SUB TYPE","pork")=0,"PROXY","DB value"))</f>
        <v>DB value</v>
      </c>
      <c r="Q292" s="125">
        <f ca="1">IF($P292="PROXY",DCOUNT('literature entries'!$D:$AI,IF($J292=1,"ACTIVE     GHGE, FARM GATE (kg CO2e/kg)","GHGE, processor gate (kg CO2e/kg)"),INDIRECT($K292)),GETPIVOTDATA(IF($J292=1,"ACTIVE     GHGE, FARM GATE (kg CO2e/kg)","Count of GHGE, processor gate (kg CO2e/kg)"),'Pivot Table_GHG'!$A$3,"SUB TYPE","pork"))</f>
        <v>50</v>
      </c>
      <c r="R292" s="190">
        <f ca="1">IF($P292="PROXY",DAVERAGE('literature entries'!$D:$AI,IF($J292=1,"ACTIVE     GHGE, FARM GATE (kg CO2e/kg)","GHGE, processor gate (kg CO2e/kg)"),INDIRECT($K292)),GETPIVOTDATA(IF($J292=1,"Average of ACTIVE     GHGE, FARM GATE (kg CO2e/kg)","Average of GHGE, processor gate (kg CO2e/kg)"),'Pivot Table_GHG'!$A$3,"SUB TYPE","pork"))</f>
        <v>5.5600439454132689</v>
      </c>
      <c r="S292" s="190">
        <f ca="1">IF($P292="PROXY",DSTDEV('literature entries'!$D:$AI,IF($J292=1,"ACTIVE     GHGE, FARM GATE (kg CO2e/kg)","GHGE, processor gate (kg CO2e/kg)"),INDIRECT($K292)),GETPIVOTDATA(IF($J292=1,"StdDev of ACTIVE     GHGE, FARM GATE (kg CO2e/kg)","StdDev of GHGE, processor gate (kg CO2e/kg)"),'Pivot Table_GHG'!$A$3,"SUB TYPE","pork"))</f>
        <v>1.5896088267882067</v>
      </c>
      <c r="T292" s="88"/>
      <c r="U292" s="89"/>
      <c r="W292" s="213" t="str">
        <f t="shared" ca="1" si="39"/>
        <v>DIRECT</v>
      </c>
      <c r="X292" s="211">
        <f ca="1">IF($W292="DIRECT",M292,DCOUNT('literature entries'!$D:$AI,IF($J292=1,"ACTIVE     CED, FARM GATE (MJ/kg)","CED, processor gate (MJ/kg)"),INDIRECT($W292)))</f>
        <v>17</v>
      </c>
      <c r="Y292" s="211" t="str">
        <f ca="1">IF($W292="DIRECT","",DAVERAGE('literature entries'!$D:$AI,IF($J292=1,"ACTIVE     CED, FARM GATE (MJ/kg)","CED, processor gate (MJ/kg)"),INDIRECT($W292)))</f>
        <v/>
      </c>
      <c r="Z292" s="211">
        <f ca="1">IF($W292="DIRECT",$O292,DSTDEV('literature entries'!$D:$AI,IF($J292=1,"ACTIVE     CED, FARM GATE (MJ/kg)","CED, processor gate (MJ/kg)"),INDIRECT($W292)))</f>
        <v>6.8913248294546285</v>
      </c>
      <c r="AA292" s="211">
        <f t="shared" ca="1" si="36"/>
        <v>6.8913248294546285</v>
      </c>
      <c r="AB292" s="219" t="str">
        <f t="shared" ca="1" si="40"/>
        <v>DIRECT</v>
      </c>
      <c r="AC292" s="212">
        <f ca="1">IF($AB292="DIRECT",Q292,DCOUNT('literature entries'!$D:$AI,IF($J292=1,"ACTIVE     GHGE, FARM GATE (kg CO2e/kg)","GHGE, processor gate (kg CO2e/kg)"),INDIRECT($AB292)))</f>
        <v>50</v>
      </c>
      <c r="AD292" s="212" t="str">
        <f ca="1">IF($AB292="DIRECT","",DAVERAGE('literature entries'!$D:$AI,IF($J292=1,"ACTIVE     GHGE, FARM GATE (kg CO2e/kg)","GHGE, processor gate (kg CO2e/kg)"),INDIRECT($AB292)))</f>
        <v/>
      </c>
      <c r="AE292" s="212">
        <f ca="1">IF($AB292="DIRECT",$S292,DSTDEV('literature entries'!$D:$AI,IF($J292=1,"ACTIVE     GHGE, FARM GATE (kg CO2e/kg)","GHGE, processor gate (kg CO2e/kg)"),INDIRECT($AB292)))</f>
        <v>1.5896088267882067</v>
      </c>
      <c r="AF292" s="212">
        <f t="shared" ca="1" si="37"/>
        <v>1.5896088267882067</v>
      </c>
    </row>
    <row r="293" spans="1:32" s="19" customFormat="1" ht="17" thickBot="1" x14ac:dyDescent="0.25">
      <c r="A293" s="114">
        <v>3400293000</v>
      </c>
      <c r="B293" s="115" t="s">
        <v>2188</v>
      </c>
      <c r="C293" s="115" t="s">
        <v>2189</v>
      </c>
      <c r="D293" s="115"/>
      <c r="E293" s="115">
        <v>27119</v>
      </c>
      <c r="F293" s="111">
        <f t="shared" ca="1" si="34"/>
        <v>28.619775438183076</v>
      </c>
      <c r="G293" s="112">
        <f t="shared" ca="1" si="35"/>
        <v>5.5600439454132689</v>
      </c>
      <c r="H293" s="116">
        <v>1</v>
      </c>
      <c r="I293" s="117" t="s">
        <v>594</v>
      </c>
      <c r="J293" s="79">
        <v>1</v>
      </c>
      <c r="K293" s="188"/>
      <c r="L293" s="135" t="str">
        <f>IF(ISERROR(GETPIVOTDATA(IF($J293=1,"Count of ACTIVE     CED, FARM GATE (MJ/kg)","Count of CED, processor gate (MJ/kg)"),'Pivot Table_CED'!$A$3,"SUB TYPE","pork")),"PROXY",IF(GETPIVOTDATA(IF($J293=1,"Count of ACTIVE     CED, FARM GATE (MJ/kg)","Count of CED, processor gate (MJ/kg)"),'Pivot Table_CED'!$A$3,"SUB TYPE","pork")=0,"PROXY","DB value"))</f>
        <v>DB value</v>
      </c>
      <c r="M293" s="118">
        <f ca="1">IF($L293="PROXY",DCOUNT('literature entries'!$D:$AI,IF($J293=1,"ACTIVE     CED, FARM GATE (MJ/kg)","CED, processor gate (MJ/kg)"),INDIRECT($K293)),GETPIVOTDATA(IF($J293=1,"Count of ACTIVE     CED, FARM GATE (MJ/kg)","Count of CED, processor gate (MJ/kg)"),'Pivot Table_CED'!$A$3,"SUB TYPE","pork"))</f>
        <v>17</v>
      </c>
      <c r="N293" s="119">
        <f ca="1">IF($L293="PROXY",DAVERAGE('literature entries'!$D:$AI,IF($J293=1,"ACTIVE     CED, FARM GATE (MJ/kg)","CED, processor gate (MJ/kg)"),INDIRECT($K293)),GETPIVOTDATA(IF($J293=1,"Average of ACTIVE     CED, FARM GATE (MJ/kg)","Average of CED, processor gate (MJ/kg)"),'Pivot Table_CED'!$A$3,"SUB TYPE","pork"))</f>
        <v>28.619775438183076</v>
      </c>
      <c r="O293" s="119">
        <f ca="1">IF($L293="PROXY",DSTDEV('literature entries'!D:AI,IF($J293=1,"ACTIVE     CED, FARM GATE (MJ/kg)","CED, processor gate (MJ/kg)"),INDIRECT($K293)),GETPIVOTDATA(IF($J293=1,"StdDev of ACTIVE     CED, FARM GATE (MJ/kg)","StdDev of CED, processor gate (MJ/kg)"),'Pivot Table_CED'!$A$3,"SUB TYPE","pork"))</f>
        <v>6.8913248294546285</v>
      </c>
      <c r="P293" s="135" t="str">
        <f>IF(ISERROR(GETPIVOTDATA(IF($J293=1,"Count of ACTIVE     GHGE, FARM GATE (kg CO2e/kg)","Count of GHGE, processor gate (kg CO2e/kg)"),'Pivot Table_GHG'!$A$3,"SUB TYPE","pork")),"PROXY",IF(GETPIVOTDATA(IF($J293=1,"Count of ACTIVE     GHGE, FARM GATE (kg CO2e/kg)","Count of GHGE, processor gate (kg CO2e/kg)"),'Pivot Table_GHG'!$A$3,"SUB TYPE","pork")=0,"PROXY","DB value"))</f>
        <v>DB value</v>
      </c>
      <c r="Q293" s="125">
        <f ca="1">IF($P293="PROXY",DCOUNT('literature entries'!$D:$AI,IF($J293=1,"ACTIVE     GHGE, FARM GATE (kg CO2e/kg)","GHGE, processor gate (kg CO2e/kg)"),INDIRECT($K293)),GETPIVOTDATA(IF($J293=1,"ACTIVE     GHGE, FARM GATE (kg CO2e/kg)","Count of GHGE, processor gate (kg CO2e/kg)"),'Pivot Table_GHG'!$A$3,"SUB TYPE","pork"))</f>
        <v>50</v>
      </c>
      <c r="R293" s="190">
        <f ca="1">IF($P293="PROXY",DAVERAGE('literature entries'!$D:$AI,IF($J293=1,"ACTIVE     GHGE, FARM GATE (kg CO2e/kg)","GHGE, processor gate (kg CO2e/kg)"),INDIRECT($K293)),GETPIVOTDATA(IF($J293=1,"Average of ACTIVE     GHGE, FARM GATE (kg CO2e/kg)","Average of GHGE, processor gate (kg CO2e/kg)"),'Pivot Table_GHG'!$A$3,"SUB TYPE","pork"))</f>
        <v>5.5600439454132689</v>
      </c>
      <c r="S293" s="190">
        <f ca="1">IF($P293="PROXY",DSTDEV('literature entries'!$D:$AI,IF($J293=1,"ACTIVE     GHGE, FARM GATE (kg CO2e/kg)","GHGE, processor gate (kg CO2e/kg)"),INDIRECT($K293)),GETPIVOTDATA(IF($J293=1,"StdDev of ACTIVE     GHGE, FARM GATE (kg CO2e/kg)","StdDev of GHGE, processor gate (kg CO2e/kg)"),'Pivot Table_GHG'!$A$3,"SUB TYPE","pork"))</f>
        <v>1.5896088267882067</v>
      </c>
      <c r="T293" s="88"/>
      <c r="U293" s="89"/>
      <c r="W293" s="213" t="str">
        <f t="shared" ca="1" si="39"/>
        <v>DIRECT</v>
      </c>
      <c r="X293" s="211">
        <f ca="1">IF($W293="DIRECT",M293,DCOUNT('literature entries'!$D:$AI,IF($J293=1,"ACTIVE     CED, FARM GATE (MJ/kg)","CED, processor gate (MJ/kg)"),INDIRECT($W293)))</f>
        <v>17</v>
      </c>
      <c r="Y293" s="211" t="str">
        <f ca="1">IF($W293="DIRECT","",DAVERAGE('literature entries'!$D:$AI,IF($J293=1,"ACTIVE     CED, FARM GATE (MJ/kg)","CED, processor gate (MJ/kg)"),INDIRECT($W293)))</f>
        <v/>
      </c>
      <c r="Z293" s="211">
        <f ca="1">IF($W293="DIRECT",$O293,DSTDEV('literature entries'!$D:$AI,IF($J293=1,"ACTIVE     CED, FARM GATE (MJ/kg)","CED, processor gate (MJ/kg)"),INDIRECT($W293)))</f>
        <v>6.8913248294546285</v>
      </c>
      <c r="AA293" s="211">
        <f t="shared" ca="1" si="36"/>
        <v>6.8913248294546285</v>
      </c>
      <c r="AB293" s="219" t="str">
        <f t="shared" ca="1" si="40"/>
        <v>DIRECT</v>
      </c>
      <c r="AC293" s="212">
        <f ca="1">IF($AB293="DIRECT",Q293,DCOUNT('literature entries'!$D:$AI,IF($J293=1,"ACTIVE     GHGE, FARM GATE (kg CO2e/kg)","GHGE, processor gate (kg CO2e/kg)"),INDIRECT($AB293)))</f>
        <v>50</v>
      </c>
      <c r="AD293" s="212" t="str">
        <f ca="1">IF($AB293="DIRECT","",DAVERAGE('literature entries'!$D:$AI,IF($J293=1,"ACTIVE     GHGE, FARM GATE (kg CO2e/kg)","GHGE, processor gate (kg CO2e/kg)"),INDIRECT($AB293)))</f>
        <v/>
      </c>
      <c r="AE293" s="212">
        <f ca="1">IF($AB293="DIRECT",$S293,DSTDEV('literature entries'!$D:$AI,IF($J293=1,"ACTIVE     GHGE, FARM GATE (kg CO2e/kg)","GHGE, processor gate (kg CO2e/kg)"),INDIRECT($AB293)))</f>
        <v>1.5896088267882067</v>
      </c>
      <c r="AF293" s="212">
        <f t="shared" ca="1" si="37"/>
        <v>1.5896088267882067</v>
      </c>
    </row>
    <row r="294" spans="1:32" s="19" customFormat="1" ht="17" thickBot="1" x14ac:dyDescent="0.25">
      <c r="A294" s="114">
        <v>3400295000</v>
      </c>
      <c r="B294" s="115" t="s">
        <v>2190</v>
      </c>
      <c r="C294" s="115" t="s">
        <v>1813</v>
      </c>
      <c r="D294" s="115"/>
      <c r="E294" s="115">
        <v>89</v>
      </c>
      <c r="F294" s="111">
        <f t="shared" ca="1" si="34"/>
        <v>28.619775438183076</v>
      </c>
      <c r="G294" s="112">
        <f t="shared" ca="1" si="35"/>
        <v>5.5600439454132689</v>
      </c>
      <c r="H294" s="116">
        <v>1</v>
      </c>
      <c r="I294" s="117" t="s">
        <v>594</v>
      </c>
      <c r="J294" s="79">
        <v>1</v>
      </c>
      <c r="K294" s="188"/>
      <c r="L294" s="135" t="str">
        <f>IF(ISERROR(GETPIVOTDATA(IF($J294=1,"Count of ACTIVE     CED, FARM GATE (MJ/kg)","Count of CED, processor gate (MJ/kg)"),'Pivot Table_CED'!$A$3,"SUB TYPE","pork")),"PROXY",IF(GETPIVOTDATA(IF($J294=1,"Count of ACTIVE     CED, FARM GATE (MJ/kg)","Count of CED, processor gate (MJ/kg)"),'Pivot Table_CED'!$A$3,"SUB TYPE","pork")=0,"PROXY","DB value"))</f>
        <v>DB value</v>
      </c>
      <c r="M294" s="118">
        <f ca="1">IF($L294="PROXY",DCOUNT('literature entries'!$D:$AI,IF($J294=1,"ACTIVE     CED, FARM GATE (MJ/kg)","CED, processor gate (MJ/kg)"),INDIRECT($K294)),GETPIVOTDATA(IF($J294=1,"Count of ACTIVE     CED, FARM GATE (MJ/kg)","Count of CED, processor gate (MJ/kg)"),'Pivot Table_CED'!$A$3,"SUB TYPE","pork"))</f>
        <v>17</v>
      </c>
      <c r="N294" s="119">
        <f ca="1">IF($L294="PROXY",DAVERAGE('literature entries'!$D:$AI,IF($J294=1,"ACTIVE     CED, FARM GATE (MJ/kg)","CED, processor gate (MJ/kg)"),INDIRECT($K294)),GETPIVOTDATA(IF($J294=1,"Average of ACTIVE     CED, FARM GATE (MJ/kg)","Average of CED, processor gate (MJ/kg)"),'Pivot Table_CED'!$A$3,"SUB TYPE","pork"))</f>
        <v>28.619775438183076</v>
      </c>
      <c r="O294" s="119">
        <f ca="1">IF($L294="PROXY",DSTDEV('literature entries'!D:AI,IF($J294=1,"ACTIVE     CED, FARM GATE (MJ/kg)","CED, processor gate (MJ/kg)"),INDIRECT($K294)),GETPIVOTDATA(IF($J294=1,"StdDev of ACTIVE     CED, FARM GATE (MJ/kg)","StdDev of CED, processor gate (MJ/kg)"),'Pivot Table_CED'!$A$3,"SUB TYPE","pork"))</f>
        <v>6.8913248294546285</v>
      </c>
      <c r="P294" s="135" t="str">
        <f>IF(ISERROR(GETPIVOTDATA(IF($J294=1,"Count of ACTIVE     GHGE, FARM GATE (kg CO2e/kg)","Count of GHGE, processor gate (kg CO2e/kg)"),'Pivot Table_GHG'!$A$3,"SUB TYPE","pork")),"PROXY",IF(GETPIVOTDATA(IF($J294=1,"Count of ACTIVE     GHGE, FARM GATE (kg CO2e/kg)","Count of GHGE, processor gate (kg CO2e/kg)"),'Pivot Table_GHG'!$A$3,"SUB TYPE","pork")=0,"PROXY","DB value"))</f>
        <v>DB value</v>
      </c>
      <c r="Q294" s="125">
        <f ca="1">IF($P294="PROXY",DCOUNT('literature entries'!$D:$AI,IF($J294=1,"ACTIVE     GHGE, FARM GATE (kg CO2e/kg)","GHGE, processor gate (kg CO2e/kg)"),INDIRECT($K294)),GETPIVOTDATA(IF($J294=1,"ACTIVE     GHGE, FARM GATE (kg CO2e/kg)","Count of GHGE, processor gate (kg CO2e/kg)"),'Pivot Table_GHG'!$A$3,"SUB TYPE","pork"))</f>
        <v>50</v>
      </c>
      <c r="R294" s="190">
        <f ca="1">IF($P294="PROXY",DAVERAGE('literature entries'!$D:$AI,IF($J294=1,"ACTIVE     GHGE, FARM GATE (kg CO2e/kg)","GHGE, processor gate (kg CO2e/kg)"),INDIRECT($K294)),GETPIVOTDATA(IF($J294=1,"Average of ACTIVE     GHGE, FARM GATE (kg CO2e/kg)","Average of GHGE, processor gate (kg CO2e/kg)"),'Pivot Table_GHG'!$A$3,"SUB TYPE","pork"))</f>
        <v>5.5600439454132689</v>
      </c>
      <c r="S294" s="190">
        <f ca="1">IF($P294="PROXY",DSTDEV('literature entries'!$D:$AI,IF($J294=1,"ACTIVE     GHGE, FARM GATE (kg CO2e/kg)","GHGE, processor gate (kg CO2e/kg)"),INDIRECT($K294)),GETPIVOTDATA(IF($J294=1,"StdDev of ACTIVE     GHGE, FARM GATE (kg CO2e/kg)","StdDev of GHGE, processor gate (kg CO2e/kg)"),'Pivot Table_GHG'!$A$3,"SUB TYPE","pork"))</f>
        <v>1.5896088267882067</v>
      </c>
      <c r="T294" s="88"/>
      <c r="U294" s="89"/>
      <c r="W294" s="213" t="str">
        <f t="shared" ca="1" si="39"/>
        <v>DIRECT</v>
      </c>
      <c r="X294" s="211">
        <f ca="1">IF($W294="DIRECT",M294,DCOUNT('literature entries'!$D:$AI,IF($J294=1,"ACTIVE     CED, FARM GATE (MJ/kg)","CED, processor gate (MJ/kg)"),INDIRECT($W294)))</f>
        <v>17</v>
      </c>
      <c r="Y294" s="211" t="str">
        <f ca="1">IF($W294="DIRECT","",DAVERAGE('literature entries'!$D:$AI,IF($J294=1,"ACTIVE     CED, FARM GATE (MJ/kg)","CED, processor gate (MJ/kg)"),INDIRECT($W294)))</f>
        <v/>
      </c>
      <c r="Z294" s="211">
        <f ca="1">IF($W294="DIRECT",$O294,DSTDEV('literature entries'!$D:$AI,IF($J294=1,"ACTIVE     CED, FARM GATE (MJ/kg)","CED, processor gate (MJ/kg)"),INDIRECT($W294)))</f>
        <v>6.8913248294546285</v>
      </c>
      <c r="AA294" s="211">
        <f t="shared" ca="1" si="36"/>
        <v>6.8913248294546285</v>
      </c>
      <c r="AB294" s="219" t="str">
        <f t="shared" ca="1" si="40"/>
        <v>DIRECT</v>
      </c>
      <c r="AC294" s="212">
        <f ca="1">IF($AB294="DIRECT",Q294,DCOUNT('literature entries'!$D:$AI,IF($J294=1,"ACTIVE     GHGE, FARM GATE (kg CO2e/kg)","GHGE, processor gate (kg CO2e/kg)"),INDIRECT($AB294)))</f>
        <v>50</v>
      </c>
      <c r="AD294" s="212" t="str">
        <f ca="1">IF($AB294="DIRECT","",DAVERAGE('literature entries'!$D:$AI,IF($J294=1,"ACTIVE     GHGE, FARM GATE (kg CO2e/kg)","GHGE, processor gate (kg CO2e/kg)"),INDIRECT($AB294)))</f>
        <v/>
      </c>
      <c r="AE294" s="212">
        <f ca="1">IF($AB294="DIRECT",$S294,DSTDEV('literature entries'!$D:$AI,IF($J294=1,"ACTIVE     GHGE, FARM GATE (kg CO2e/kg)","GHGE, processor gate (kg CO2e/kg)"),INDIRECT($AB294)))</f>
        <v>1.5896088267882067</v>
      </c>
      <c r="AF294" s="212">
        <f t="shared" ca="1" si="37"/>
        <v>1.5896088267882067</v>
      </c>
    </row>
    <row r="295" spans="1:32" s="19" customFormat="1" ht="17" thickBot="1" x14ac:dyDescent="0.25">
      <c r="A295" s="114">
        <v>3500339000</v>
      </c>
      <c r="B295" s="115" t="s">
        <v>2259</v>
      </c>
      <c r="C295" s="115" t="s">
        <v>2260</v>
      </c>
      <c r="D295" s="115"/>
      <c r="E295" s="115">
        <v>2660</v>
      </c>
      <c r="F295" s="111">
        <f t="shared" ca="1" si="34"/>
        <v>33.613424518743663</v>
      </c>
      <c r="G295" s="112">
        <f t="shared" ca="1" si="35"/>
        <v>34.745269501950553</v>
      </c>
      <c r="H295" s="116">
        <v>1</v>
      </c>
      <c r="I295" s="117" t="s">
        <v>594</v>
      </c>
      <c r="J295" s="79">
        <v>1</v>
      </c>
      <c r="K295" s="188"/>
      <c r="L295" s="135" t="str">
        <f>IF(ISERROR(GETPIVOTDATA(IF($J295=1,"Count of ACTIVE     CED, FARM GATE (MJ/kg)","Count of CED, processor gate (MJ/kg)"),'Pivot Table_CED'!$A$3,"SUB TYPE","Sheep")),"PROXY",IF(GETPIVOTDATA(IF($J295=1,"Count of ACTIVE     CED, FARM GATE (MJ/kg)","Count of CED, processor gate (MJ/kg)"),'Pivot Table_CED'!$A$3,"SUB TYPE","Sheep")=0,"PROXY","DB value"))</f>
        <v>DB value</v>
      </c>
      <c r="M295" s="118">
        <f ca="1">IF($L295="PROXY",DCOUNT('literature entries'!$D:$AI,IF($J295=1,"ACTIVE     CED, FARM GATE (MJ/kg)","CED, processor gate (MJ/kg)"),INDIRECT($K295)),GETPIVOTDATA(IF($J295=1,"Count of ACTIVE     CED, FARM GATE (MJ/kg)","Count of CED, processor gate (MJ/kg)"),'Pivot Table_CED'!$A$3,"SUB TYPE","Sheep"))</f>
        <v>6</v>
      </c>
      <c r="N295" s="119">
        <f ca="1">IF($L295="PROXY",DAVERAGE('literature entries'!$D:$AI,IF($J295=1,"ACTIVE     CED, FARM GATE (MJ/kg)","CED, processor gate (MJ/kg)"),INDIRECT($K295)),GETPIVOTDATA(IF($J295=1,"Average of ACTIVE     CED, FARM GATE (MJ/kg)","Average of CED, processor gate (MJ/kg)"),'Pivot Table_CED'!$A$3,"SUB TYPE","Sheep"))</f>
        <v>33.613424518743663</v>
      </c>
      <c r="O295" s="119">
        <f ca="1">IF($L295="PROXY",DSTDEV('literature entries'!D:AI,IF($J295=1,"ACTIVE     CED, FARM GATE (MJ/kg)","CED, processor gate (MJ/kg)"),INDIRECT($K295)),GETPIVOTDATA(IF($J295=1,"StdDev of ACTIVE     CED, FARM GATE (MJ/kg)","StdDev of CED, processor gate (MJ/kg)"),'Pivot Table_CED'!$A$3,"SUB TYPE","Sheep"))</f>
        <v>20.560479404527239</v>
      </c>
      <c r="P295" s="135" t="str">
        <f>IF(ISERROR(GETPIVOTDATA(IF($J295=1,"Count of ACTIVE     GHGE, FARM GATE (kg CO2e/kg)","Count of GHGE, processor gate (kg CO2e/kg)"),'Pivot Table_GHG'!$A$3,"SUB TYPE","Sheep")),"PROXY",IF(GETPIVOTDATA(IF($J295=1,"Count of ACTIVE     GHGE, FARM GATE (kg CO2e/kg)","Count of GHGE, processor gate (kg CO2e/kg)"),'Pivot Table_GHG'!$A$3,"SUB TYPE","Sheep")=0,"PROXY","DB value"))</f>
        <v>DB value</v>
      </c>
      <c r="Q295" s="125">
        <f ca="1">IF($P295="PROXY",DCOUNT('literature entries'!$D:$AI,IF($J295=1,"ACTIVE     GHGE, FARM GATE (kg CO2e/kg)","GHGE, processor gate (kg CO2e/kg)"),INDIRECT($K295)),GETPIVOTDATA(IF($J295=1,"ACTIVE     GHGE, FARM GATE (kg CO2e/kg)","Count of GHGE, processor gate (kg CO2e/kg)"),'Pivot Table_GHG'!$A$3,"SUB TYPE","Sheep"))</f>
        <v>25</v>
      </c>
      <c r="R295" s="190">
        <f ca="1">IF($P295="PROXY",DAVERAGE('literature entries'!$D:$AI,IF($J295=1,"ACTIVE     GHGE, FARM GATE (kg CO2e/kg)","GHGE, processor gate (kg CO2e/kg)"),INDIRECT($K295)),GETPIVOTDATA(IF($J295=1,"Average of ACTIVE     GHGE, FARM GATE (kg CO2e/kg)","Average of GHGE, processor gate (kg CO2e/kg)"),'Pivot Table_GHG'!$A$3,"SUB TYPE","Sheep"))</f>
        <v>34.745269501950553</v>
      </c>
      <c r="S295" s="190">
        <f ca="1">IF($P295="PROXY",DSTDEV('literature entries'!$D:$AI,IF($J295=1,"ACTIVE     GHGE, FARM GATE (kg CO2e/kg)","GHGE, processor gate (kg CO2e/kg)"),INDIRECT($K295)),GETPIVOTDATA(IF($J295=1,"StdDev of ACTIVE     GHGE, FARM GATE (kg CO2e/kg)","StdDev of GHGE, processor gate (kg CO2e/kg)"),'Pivot Table_GHG'!$A$3,"SUB TYPE","Sheep"))</f>
        <v>30.511572332540641</v>
      </c>
      <c r="T295" s="88"/>
      <c r="U295" s="89"/>
      <c r="W295" s="213" t="str">
        <f t="shared" ca="1" si="39"/>
        <v>DIRECT</v>
      </c>
      <c r="X295" s="211">
        <f ca="1">IF($W295="DIRECT",M295,DCOUNT('literature entries'!$D:$AI,IF($J295=1,"ACTIVE     CED, FARM GATE (MJ/kg)","CED, processor gate (MJ/kg)"),INDIRECT($W295)))</f>
        <v>6</v>
      </c>
      <c r="Y295" s="211" t="str">
        <f ca="1">IF($W295="DIRECT","",DAVERAGE('literature entries'!$D:$AI,IF($J295=1,"ACTIVE     CED, FARM GATE (MJ/kg)","CED, processor gate (MJ/kg)"),INDIRECT($W295)))</f>
        <v/>
      </c>
      <c r="Z295" s="211">
        <f ca="1">IF($W295="DIRECT",$O295,DSTDEV('literature entries'!$D:$AI,IF($J295=1,"ACTIVE     CED, FARM GATE (MJ/kg)","CED, processor gate (MJ/kg)"),INDIRECT($W295)))</f>
        <v>20.560479404527239</v>
      </c>
      <c r="AA295" s="211">
        <f t="shared" ca="1" si="36"/>
        <v>20.560479404527239</v>
      </c>
      <c r="AB295" s="219" t="str">
        <f t="shared" ca="1" si="40"/>
        <v>DIRECT</v>
      </c>
      <c r="AC295" s="212">
        <f ca="1">IF($AB295="DIRECT",Q295,DCOUNT('literature entries'!$D:$AI,IF($J295=1,"ACTIVE     GHGE, FARM GATE (kg CO2e/kg)","GHGE, processor gate (kg CO2e/kg)"),INDIRECT($AB295)))</f>
        <v>25</v>
      </c>
      <c r="AD295" s="212" t="str">
        <f ca="1">IF($AB295="DIRECT","",DAVERAGE('literature entries'!$D:$AI,IF($J295=1,"ACTIVE     GHGE, FARM GATE (kg CO2e/kg)","GHGE, processor gate (kg CO2e/kg)"),INDIRECT($AB295)))</f>
        <v/>
      </c>
      <c r="AE295" s="212">
        <f ca="1">IF($AB295="DIRECT",$S295,DSTDEV('literature entries'!$D:$AI,IF($J295=1,"ACTIVE     GHGE, FARM GATE (kg CO2e/kg)","GHGE, processor gate (kg CO2e/kg)"),INDIRECT($AB295)))</f>
        <v>30.511572332540641</v>
      </c>
      <c r="AF295" s="212">
        <f t="shared" ca="1" si="37"/>
        <v>30.511572332540641</v>
      </c>
    </row>
    <row r="296" spans="1:32" s="19" customFormat="1" ht="17" thickBot="1" x14ac:dyDescent="0.25">
      <c r="A296" s="114">
        <v>3500340000</v>
      </c>
      <c r="B296" s="115" t="s">
        <v>2261</v>
      </c>
      <c r="C296" s="115" t="s">
        <v>2262</v>
      </c>
      <c r="D296" s="115" t="s">
        <v>2263</v>
      </c>
      <c r="E296" s="115">
        <v>2176</v>
      </c>
      <c r="F296" s="111">
        <f t="shared" ca="1" si="34"/>
        <v>33.613424518743663</v>
      </c>
      <c r="G296" s="112">
        <f t="shared" ca="1" si="35"/>
        <v>34.745269501950553</v>
      </c>
      <c r="H296" s="116">
        <v>1</v>
      </c>
      <c r="I296" s="117" t="s">
        <v>594</v>
      </c>
      <c r="J296" s="79">
        <v>1</v>
      </c>
      <c r="K296" s="188"/>
      <c r="L296" s="135" t="str">
        <f>IF(ISERROR(GETPIVOTDATA(IF($J296=1,"Count of ACTIVE     CED, FARM GATE (MJ/kg)","Count of CED, processor gate (MJ/kg)"),'Pivot Table_CED'!$A$3,"SUB TYPE","Sheep")),"PROXY",IF(GETPIVOTDATA(IF($J296=1,"Count of ACTIVE     CED, FARM GATE (MJ/kg)","Count of CED, processor gate (MJ/kg)"),'Pivot Table_CED'!$A$3,"SUB TYPE","Sheep")=0,"PROXY","DB value"))</f>
        <v>DB value</v>
      </c>
      <c r="M296" s="118">
        <f ca="1">IF($L296="PROXY",DCOUNT('literature entries'!$D:$AI,IF($J296=1,"ACTIVE     CED, FARM GATE (MJ/kg)","CED, processor gate (MJ/kg)"),INDIRECT($K296)),GETPIVOTDATA(IF($J296=1,"Count of ACTIVE     CED, FARM GATE (MJ/kg)","Count of CED, processor gate (MJ/kg)"),'Pivot Table_CED'!$A$3,"SUB TYPE","Sheep"))</f>
        <v>6</v>
      </c>
      <c r="N296" s="119">
        <f ca="1">IF($L296="PROXY",DAVERAGE('literature entries'!$D:$AI,IF($J296=1,"ACTIVE     CED, FARM GATE (MJ/kg)","CED, processor gate (MJ/kg)"),INDIRECT($K296)),GETPIVOTDATA(IF($J296=1,"Average of ACTIVE     CED, FARM GATE (MJ/kg)","Average of CED, processor gate (MJ/kg)"),'Pivot Table_CED'!$A$3,"SUB TYPE","Sheep"))</f>
        <v>33.613424518743663</v>
      </c>
      <c r="O296" s="119">
        <f ca="1">IF($L296="PROXY",DSTDEV('literature entries'!D:AI,IF($J296=1,"ACTIVE     CED, FARM GATE (MJ/kg)","CED, processor gate (MJ/kg)"),INDIRECT($K296)),GETPIVOTDATA(IF($J296=1,"StdDev of ACTIVE     CED, FARM GATE (MJ/kg)","StdDev of CED, processor gate (MJ/kg)"),'Pivot Table_CED'!$A$3,"SUB TYPE","Sheep"))</f>
        <v>20.560479404527239</v>
      </c>
      <c r="P296" s="135" t="str">
        <f>IF(ISERROR(GETPIVOTDATA(IF($J296=1,"Count of ACTIVE     GHGE, FARM GATE (kg CO2e/kg)","Count of GHGE, processor gate (kg CO2e/kg)"),'Pivot Table_GHG'!$A$3,"SUB TYPE","Sheep")),"PROXY",IF(GETPIVOTDATA(IF($J296=1,"Count of ACTIVE     GHGE, FARM GATE (kg CO2e/kg)","Count of GHGE, processor gate (kg CO2e/kg)"),'Pivot Table_GHG'!$A$3,"SUB TYPE","Sheep")=0,"PROXY","DB value"))</f>
        <v>DB value</v>
      </c>
      <c r="Q296" s="125">
        <f ca="1">IF($P296="PROXY",DCOUNT('literature entries'!$D:$AI,IF($J296=1,"ACTIVE     GHGE, FARM GATE (kg CO2e/kg)","GHGE, processor gate (kg CO2e/kg)"),INDIRECT($K296)),GETPIVOTDATA(IF($J296=1,"ACTIVE     GHGE, FARM GATE (kg CO2e/kg)","Count of GHGE, processor gate (kg CO2e/kg)"),'Pivot Table_GHG'!$A$3,"SUB TYPE","Sheep"))</f>
        <v>25</v>
      </c>
      <c r="R296" s="190">
        <f ca="1">IF($P296="PROXY",DAVERAGE('literature entries'!$D:$AI,IF($J296=1,"ACTIVE     GHGE, FARM GATE (kg CO2e/kg)","GHGE, processor gate (kg CO2e/kg)"),INDIRECT($K296)),GETPIVOTDATA(IF($J296=1,"Average of ACTIVE     GHGE, FARM GATE (kg CO2e/kg)","Average of GHGE, processor gate (kg CO2e/kg)"),'Pivot Table_GHG'!$A$3,"SUB TYPE","Sheep"))</f>
        <v>34.745269501950553</v>
      </c>
      <c r="S296" s="190">
        <f ca="1">IF($P296="PROXY",DSTDEV('literature entries'!$D:$AI,IF($J296=1,"ACTIVE     GHGE, FARM GATE (kg CO2e/kg)","GHGE, processor gate (kg CO2e/kg)"),INDIRECT($K296)),GETPIVOTDATA(IF($J296=1,"StdDev of ACTIVE     GHGE, FARM GATE (kg CO2e/kg)","StdDev of GHGE, processor gate (kg CO2e/kg)"),'Pivot Table_GHG'!$A$3,"SUB TYPE","Sheep"))</f>
        <v>30.511572332540641</v>
      </c>
      <c r="T296" s="88"/>
      <c r="U296" s="89"/>
      <c r="W296" s="213" t="str">
        <f t="shared" ca="1" si="39"/>
        <v>DIRECT</v>
      </c>
      <c r="X296" s="211">
        <f ca="1">IF($W296="DIRECT",M296,DCOUNT('literature entries'!$D:$AI,IF($J296=1,"ACTIVE     CED, FARM GATE (MJ/kg)","CED, processor gate (MJ/kg)"),INDIRECT($W296)))</f>
        <v>6</v>
      </c>
      <c r="Y296" s="211" t="str">
        <f ca="1">IF($W296="DIRECT","",DAVERAGE('literature entries'!$D:$AI,IF($J296=1,"ACTIVE     CED, FARM GATE (MJ/kg)","CED, processor gate (MJ/kg)"),INDIRECT($W296)))</f>
        <v/>
      </c>
      <c r="Z296" s="211">
        <f ca="1">IF($W296="DIRECT",$O296,DSTDEV('literature entries'!$D:$AI,IF($J296=1,"ACTIVE     CED, FARM GATE (MJ/kg)","CED, processor gate (MJ/kg)"),INDIRECT($W296)))</f>
        <v>20.560479404527239</v>
      </c>
      <c r="AA296" s="211">
        <f t="shared" ca="1" si="36"/>
        <v>20.560479404527239</v>
      </c>
      <c r="AB296" s="219" t="str">
        <f t="shared" ca="1" si="40"/>
        <v>DIRECT</v>
      </c>
      <c r="AC296" s="212">
        <f ca="1">IF($AB296="DIRECT",Q296,DCOUNT('literature entries'!$D:$AI,IF($J296=1,"ACTIVE     GHGE, FARM GATE (kg CO2e/kg)","GHGE, processor gate (kg CO2e/kg)"),INDIRECT($AB296)))</f>
        <v>25</v>
      </c>
      <c r="AD296" s="212" t="str">
        <f ca="1">IF($AB296="DIRECT","",DAVERAGE('literature entries'!$D:$AI,IF($J296=1,"ACTIVE     GHGE, FARM GATE (kg CO2e/kg)","GHGE, processor gate (kg CO2e/kg)"),INDIRECT($AB296)))</f>
        <v/>
      </c>
      <c r="AE296" s="212">
        <f ca="1">IF($AB296="DIRECT",$S296,DSTDEV('literature entries'!$D:$AI,IF($J296=1,"ACTIVE     GHGE, FARM GATE (kg CO2e/kg)","GHGE, processor gate (kg CO2e/kg)"),INDIRECT($AB296)))</f>
        <v>30.511572332540641</v>
      </c>
      <c r="AF296" s="212">
        <f t="shared" ca="1" si="37"/>
        <v>30.511572332540641</v>
      </c>
    </row>
    <row r="297" spans="1:32" s="19" customFormat="1" ht="17" thickBot="1" x14ac:dyDescent="0.25">
      <c r="A297" s="114">
        <v>3500341000</v>
      </c>
      <c r="B297" s="115" t="s">
        <v>2256</v>
      </c>
      <c r="C297" s="115" t="s">
        <v>2257</v>
      </c>
      <c r="D297" s="115"/>
      <c r="E297" s="115">
        <v>3742</v>
      </c>
      <c r="F297" s="111">
        <f t="shared" ca="1" si="34"/>
        <v>33.613424518743663</v>
      </c>
      <c r="G297" s="112">
        <f t="shared" ca="1" si="35"/>
        <v>34.745269501950553</v>
      </c>
      <c r="H297" s="116">
        <v>1</v>
      </c>
      <c r="I297" s="117" t="s">
        <v>594</v>
      </c>
      <c r="J297" s="79">
        <v>1</v>
      </c>
      <c r="K297" s="188"/>
      <c r="L297" s="135" t="str">
        <f>IF(ISERROR(GETPIVOTDATA(IF($J297=1,"Count of ACTIVE     CED, FARM GATE (MJ/kg)","Count of CED, processor gate (MJ/kg)"),'Pivot Table_CED'!$A$3,"SUB TYPE","Sheep")),"PROXY",IF(GETPIVOTDATA(IF($J297=1,"Count of ACTIVE     CED, FARM GATE (MJ/kg)","Count of CED, processor gate (MJ/kg)"),'Pivot Table_CED'!$A$3,"SUB TYPE","Sheep")=0,"PROXY","DB value"))</f>
        <v>DB value</v>
      </c>
      <c r="M297" s="118">
        <f ca="1">IF($L297="PROXY",DCOUNT('literature entries'!$D:$AI,IF($J297=1,"ACTIVE     CED, FARM GATE (MJ/kg)","CED, processor gate (MJ/kg)"),INDIRECT($K297)),GETPIVOTDATA(IF($J297=1,"Count of ACTIVE     CED, FARM GATE (MJ/kg)","Count of CED, processor gate (MJ/kg)"),'Pivot Table_CED'!$A$3,"SUB TYPE","Sheep"))</f>
        <v>6</v>
      </c>
      <c r="N297" s="119">
        <f ca="1">IF($L297="PROXY",DAVERAGE('literature entries'!$D:$AI,IF($J297=1,"ACTIVE     CED, FARM GATE (MJ/kg)","CED, processor gate (MJ/kg)"),INDIRECT($K297)),GETPIVOTDATA(IF($J297=1,"Average of ACTIVE     CED, FARM GATE (MJ/kg)","Average of CED, processor gate (MJ/kg)"),'Pivot Table_CED'!$A$3,"SUB TYPE","Sheep"))</f>
        <v>33.613424518743663</v>
      </c>
      <c r="O297" s="119">
        <f ca="1">IF($L297="PROXY",DSTDEV('literature entries'!D:AI,IF($J297=1,"ACTIVE     CED, FARM GATE (MJ/kg)","CED, processor gate (MJ/kg)"),INDIRECT($K297)),GETPIVOTDATA(IF($J297=1,"StdDev of ACTIVE     CED, FARM GATE (MJ/kg)","StdDev of CED, processor gate (MJ/kg)"),'Pivot Table_CED'!$A$3,"SUB TYPE","Sheep"))</f>
        <v>20.560479404527239</v>
      </c>
      <c r="P297" s="135" t="str">
        <f>IF(ISERROR(GETPIVOTDATA(IF($J297=1,"Count of ACTIVE     GHGE, FARM GATE (kg CO2e/kg)","Count of GHGE, processor gate (kg CO2e/kg)"),'Pivot Table_GHG'!$A$3,"SUB TYPE","Sheep")),"PROXY",IF(GETPIVOTDATA(IF($J297=1,"Count of ACTIVE     GHGE, FARM GATE (kg CO2e/kg)","Count of GHGE, processor gate (kg CO2e/kg)"),'Pivot Table_GHG'!$A$3,"SUB TYPE","Sheep")=0,"PROXY","DB value"))</f>
        <v>DB value</v>
      </c>
      <c r="Q297" s="125">
        <f ca="1">IF($P297="PROXY",DCOUNT('literature entries'!$D:$AI,IF($J297=1,"ACTIVE     GHGE, FARM GATE (kg CO2e/kg)","GHGE, processor gate (kg CO2e/kg)"),INDIRECT($K297)),GETPIVOTDATA(IF($J297=1,"ACTIVE     GHGE, FARM GATE (kg CO2e/kg)","Count of GHGE, processor gate (kg CO2e/kg)"),'Pivot Table_GHG'!$A$3,"SUB TYPE","Sheep"))</f>
        <v>25</v>
      </c>
      <c r="R297" s="190">
        <f ca="1">IF($P297="PROXY",DAVERAGE('literature entries'!$D:$AI,IF($J297=1,"ACTIVE     GHGE, FARM GATE (kg CO2e/kg)","GHGE, processor gate (kg CO2e/kg)"),INDIRECT($K297)),GETPIVOTDATA(IF($J297=1,"Average of ACTIVE     GHGE, FARM GATE (kg CO2e/kg)","Average of GHGE, processor gate (kg CO2e/kg)"),'Pivot Table_GHG'!$A$3,"SUB TYPE","Sheep"))</f>
        <v>34.745269501950553</v>
      </c>
      <c r="S297" s="190">
        <f ca="1">IF($P297="PROXY",DSTDEV('literature entries'!$D:$AI,IF($J297=1,"ACTIVE     GHGE, FARM GATE (kg CO2e/kg)","GHGE, processor gate (kg CO2e/kg)"),INDIRECT($K297)),GETPIVOTDATA(IF($J297=1,"StdDev of ACTIVE     GHGE, FARM GATE (kg CO2e/kg)","StdDev of GHGE, processor gate (kg CO2e/kg)"),'Pivot Table_GHG'!$A$3,"SUB TYPE","Sheep"))</f>
        <v>30.511572332540641</v>
      </c>
      <c r="T297" s="88"/>
      <c r="U297" s="89"/>
      <c r="W297" s="213" t="str">
        <f t="shared" ca="1" si="39"/>
        <v>DIRECT</v>
      </c>
      <c r="X297" s="211">
        <f ca="1">IF($W297="DIRECT",M297,DCOUNT('literature entries'!$D:$AI,IF($J297=1,"ACTIVE     CED, FARM GATE (MJ/kg)","CED, processor gate (MJ/kg)"),INDIRECT($W297)))</f>
        <v>6</v>
      </c>
      <c r="Y297" s="211" t="str">
        <f ca="1">IF($W297="DIRECT","",DAVERAGE('literature entries'!$D:$AI,IF($J297=1,"ACTIVE     CED, FARM GATE (MJ/kg)","CED, processor gate (MJ/kg)"),INDIRECT($W297)))</f>
        <v/>
      </c>
      <c r="Z297" s="211">
        <f ca="1">IF($W297="DIRECT",$O297,DSTDEV('literature entries'!$D:$AI,IF($J297=1,"ACTIVE     CED, FARM GATE (MJ/kg)","CED, processor gate (MJ/kg)"),INDIRECT($W297)))</f>
        <v>20.560479404527239</v>
      </c>
      <c r="AA297" s="211">
        <f t="shared" ca="1" si="36"/>
        <v>20.560479404527239</v>
      </c>
      <c r="AB297" s="219" t="str">
        <f t="shared" ca="1" si="40"/>
        <v>DIRECT</v>
      </c>
      <c r="AC297" s="212">
        <f ca="1">IF($AB297="DIRECT",Q297,DCOUNT('literature entries'!$D:$AI,IF($J297=1,"ACTIVE     GHGE, FARM GATE (kg CO2e/kg)","GHGE, processor gate (kg CO2e/kg)"),INDIRECT($AB297)))</f>
        <v>25</v>
      </c>
      <c r="AD297" s="212" t="str">
        <f ca="1">IF($AB297="DIRECT","",DAVERAGE('literature entries'!$D:$AI,IF($J297=1,"ACTIVE     GHGE, FARM GATE (kg CO2e/kg)","GHGE, processor gate (kg CO2e/kg)"),INDIRECT($AB297)))</f>
        <v/>
      </c>
      <c r="AE297" s="212">
        <f ca="1">IF($AB297="DIRECT",$S297,DSTDEV('literature entries'!$D:$AI,IF($J297=1,"ACTIVE     GHGE, FARM GATE (kg CO2e/kg)","GHGE, processor gate (kg CO2e/kg)"),INDIRECT($AB297)))</f>
        <v>30.511572332540641</v>
      </c>
      <c r="AF297" s="212">
        <f t="shared" ca="1" si="37"/>
        <v>30.511572332540641</v>
      </c>
    </row>
    <row r="298" spans="1:32" s="19" customFormat="1" ht="17" thickBot="1" x14ac:dyDescent="0.25">
      <c r="A298" s="114">
        <v>3500343000</v>
      </c>
      <c r="B298" s="115" t="s">
        <v>2258</v>
      </c>
      <c r="C298" s="115" t="s">
        <v>2212</v>
      </c>
      <c r="D298" s="115"/>
      <c r="E298" s="115">
        <v>16</v>
      </c>
      <c r="F298" s="111">
        <f t="shared" ca="1" si="34"/>
        <v>33.613424518743663</v>
      </c>
      <c r="G298" s="112">
        <f t="shared" ca="1" si="35"/>
        <v>34.745269501950553</v>
      </c>
      <c r="H298" s="116">
        <v>1</v>
      </c>
      <c r="I298" s="117" t="s">
        <v>594</v>
      </c>
      <c r="J298" s="79">
        <v>1</v>
      </c>
      <c r="K298" s="188"/>
      <c r="L298" s="135" t="str">
        <f>IF(ISERROR(GETPIVOTDATA(IF($J298=1,"Count of ACTIVE     CED, FARM GATE (MJ/kg)","Count of CED, processor gate (MJ/kg)"),'Pivot Table_CED'!$A$3,"SUB TYPE","Sheep")),"PROXY",IF(GETPIVOTDATA(IF($J298=1,"Count of ACTIVE     CED, FARM GATE (MJ/kg)","Count of CED, processor gate (MJ/kg)"),'Pivot Table_CED'!$A$3,"SUB TYPE","Sheep")=0,"PROXY","DB value"))</f>
        <v>DB value</v>
      </c>
      <c r="M298" s="118">
        <f ca="1">IF($L298="PROXY",DCOUNT('literature entries'!$D:$AI,IF($J298=1,"ACTIVE     CED, FARM GATE (MJ/kg)","CED, processor gate (MJ/kg)"),INDIRECT($K298)),GETPIVOTDATA(IF($J298=1,"Count of ACTIVE     CED, FARM GATE (MJ/kg)","Count of CED, processor gate (MJ/kg)"),'Pivot Table_CED'!$A$3,"SUB TYPE","Sheep"))</f>
        <v>6</v>
      </c>
      <c r="N298" s="119">
        <f ca="1">IF($L298="PROXY",DAVERAGE('literature entries'!$D:$AI,IF($J298=1,"ACTIVE     CED, FARM GATE (MJ/kg)","CED, processor gate (MJ/kg)"),INDIRECT($K298)),GETPIVOTDATA(IF($J298=1,"Average of ACTIVE     CED, FARM GATE (MJ/kg)","Average of CED, processor gate (MJ/kg)"),'Pivot Table_CED'!$A$3,"SUB TYPE","Sheep"))</f>
        <v>33.613424518743663</v>
      </c>
      <c r="O298" s="119">
        <f ca="1">IF($L298="PROXY",DSTDEV('literature entries'!D:AI,IF($J298=1,"ACTIVE     CED, FARM GATE (MJ/kg)","CED, processor gate (MJ/kg)"),INDIRECT($K298)),GETPIVOTDATA(IF($J298=1,"StdDev of ACTIVE     CED, FARM GATE (MJ/kg)","StdDev of CED, processor gate (MJ/kg)"),'Pivot Table_CED'!$A$3,"SUB TYPE","Sheep"))</f>
        <v>20.560479404527239</v>
      </c>
      <c r="P298" s="135" t="str">
        <f>IF(ISERROR(GETPIVOTDATA(IF($J298=1,"Count of ACTIVE     GHGE, FARM GATE (kg CO2e/kg)","Count of GHGE, processor gate (kg CO2e/kg)"),'Pivot Table_GHG'!$A$3,"SUB TYPE","Sheep")),"PROXY",IF(GETPIVOTDATA(IF($J298=1,"Count of ACTIVE     GHGE, FARM GATE (kg CO2e/kg)","Count of GHGE, processor gate (kg CO2e/kg)"),'Pivot Table_GHG'!$A$3,"SUB TYPE","Sheep")=0,"PROXY","DB value"))</f>
        <v>DB value</v>
      </c>
      <c r="Q298" s="125">
        <f ca="1">IF($P298="PROXY",DCOUNT('literature entries'!$D:$AI,IF($J298=1,"ACTIVE     GHGE, FARM GATE (kg CO2e/kg)","GHGE, processor gate (kg CO2e/kg)"),INDIRECT($K298)),GETPIVOTDATA(IF($J298=1,"ACTIVE     GHGE, FARM GATE (kg CO2e/kg)","Count of GHGE, processor gate (kg CO2e/kg)"),'Pivot Table_GHG'!$A$3,"SUB TYPE","Sheep"))</f>
        <v>25</v>
      </c>
      <c r="R298" s="190">
        <f ca="1">IF($P298="PROXY",DAVERAGE('literature entries'!$D:$AI,IF($J298=1,"ACTIVE     GHGE, FARM GATE (kg CO2e/kg)","GHGE, processor gate (kg CO2e/kg)"),INDIRECT($K298)),GETPIVOTDATA(IF($J298=1,"Average of ACTIVE     GHGE, FARM GATE (kg CO2e/kg)","Average of GHGE, processor gate (kg CO2e/kg)"),'Pivot Table_GHG'!$A$3,"SUB TYPE","Sheep"))</f>
        <v>34.745269501950553</v>
      </c>
      <c r="S298" s="190">
        <f ca="1">IF($P298="PROXY",DSTDEV('literature entries'!$D:$AI,IF($J298=1,"ACTIVE     GHGE, FARM GATE (kg CO2e/kg)","GHGE, processor gate (kg CO2e/kg)"),INDIRECT($K298)),GETPIVOTDATA(IF($J298=1,"StdDev of ACTIVE     GHGE, FARM GATE (kg CO2e/kg)","StdDev of GHGE, processor gate (kg CO2e/kg)"),'Pivot Table_GHG'!$A$3,"SUB TYPE","Sheep"))</f>
        <v>30.511572332540641</v>
      </c>
      <c r="T298" s="88"/>
      <c r="U298" s="89"/>
      <c r="W298" s="213" t="str">
        <f t="shared" ca="1" si="39"/>
        <v>DIRECT</v>
      </c>
      <c r="X298" s="211">
        <f ca="1">IF($W298="DIRECT",M298,DCOUNT('literature entries'!$D:$AI,IF($J298=1,"ACTIVE     CED, FARM GATE (MJ/kg)","CED, processor gate (MJ/kg)"),INDIRECT($W298)))</f>
        <v>6</v>
      </c>
      <c r="Y298" s="211" t="str">
        <f ca="1">IF($W298="DIRECT","",DAVERAGE('literature entries'!$D:$AI,IF($J298=1,"ACTIVE     CED, FARM GATE (MJ/kg)","CED, processor gate (MJ/kg)"),INDIRECT($W298)))</f>
        <v/>
      </c>
      <c r="Z298" s="211">
        <f ca="1">IF($W298="DIRECT",$O298,DSTDEV('literature entries'!$D:$AI,IF($J298=1,"ACTIVE     CED, FARM GATE (MJ/kg)","CED, processor gate (MJ/kg)"),INDIRECT($W298)))</f>
        <v>20.560479404527239</v>
      </c>
      <c r="AA298" s="211">
        <f t="shared" ca="1" si="36"/>
        <v>20.560479404527239</v>
      </c>
      <c r="AB298" s="219" t="str">
        <f t="shared" ca="1" si="40"/>
        <v>DIRECT</v>
      </c>
      <c r="AC298" s="212">
        <f ca="1">IF($AB298="DIRECT",Q298,DCOUNT('literature entries'!$D:$AI,IF($J298=1,"ACTIVE     GHGE, FARM GATE (kg CO2e/kg)","GHGE, processor gate (kg CO2e/kg)"),INDIRECT($AB298)))</f>
        <v>25</v>
      </c>
      <c r="AD298" s="212" t="str">
        <f ca="1">IF($AB298="DIRECT","",DAVERAGE('literature entries'!$D:$AI,IF($J298=1,"ACTIVE     GHGE, FARM GATE (kg CO2e/kg)","GHGE, processor gate (kg CO2e/kg)"),INDIRECT($AB298)))</f>
        <v/>
      </c>
      <c r="AE298" s="212">
        <f ca="1">IF($AB298="DIRECT",$S298,DSTDEV('literature entries'!$D:$AI,IF($J298=1,"ACTIVE     GHGE, FARM GATE (kg CO2e/kg)","GHGE, processor gate (kg CO2e/kg)"),INDIRECT($AB298)))</f>
        <v>30.511572332540641</v>
      </c>
      <c r="AF298" s="212">
        <f t="shared" ca="1" si="37"/>
        <v>30.511572332540641</v>
      </c>
    </row>
    <row r="299" spans="1:32" s="19" customFormat="1" ht="17" thickBot="1" x14ac:dyDescent="0.25">
      <c r="A299" s="114">
        <v>3600222000</v>
      </c>
      <c r="B299" s="115" t="s">
        <v>2076</v>
      </c>
      <c r="C299" s="115" t="s">
        <v>2077</v>
      </c>
      <c r="D299" s="115"/>
      <c r="E299" s="115">
        <v>50583</v>
      </c>
      <c r="F299" s="111">
        <f t="shared" ca="1" si="34"/>
        <v>59.355710095753537</v>
      </c>
      <c r="G299" s="112">
        <f t="shared" ca="1" si="35"/>
        <v>11.018406266382952</v>
      </c>
      <c r="H299" s="116">
        <f>1/0.1201</f>
        <v>8.3263946711074102</v>
      </c>
      <c r="I299" s="117" t="s">
        <v>594</v>
      </c>
      <c r="J299" s="79">
        <v>2</v>
      </c>
      <c r="K299" s="188"/>
      <c r="L299" s="135" t="str">
        <f>IF(ISERROR(GETPIVOTDATA(IF($J299=1,"Count of ACTIVE     CED, FARM GATE (MJ/kg)","Count of CED, processor gate (MJ/kg)"),'Pivot Table_CED'!$A$3,"SUB TYPE","Fluid Milk, Cow")),"PROXY",IF(GETPIVOTDATA(IF($J299=1,"Count of ACTIVE     CED, FARM GATE (MJ/kg)","Count of CED, processor gate (MJ/kg)"),'Pivot Table_CED'!$A$3,"SUB TYPE","Fluid Milk, Cow")=0,"PROXY","DB value"))</f>
        <v>DB value</v>
      </c>
      <c r="M299" s="118">
        <f ca="1">IF($L299="PROXY",DCOUNT('literature entries'!$D:$AI,IF($J299=1,"ACTIVE     CED, FARM GATE (MJ/kg)","CED, processor gate (MJ/kg)"),INDIRECT($K299)),GETPIVOTDATA(IF($J299=1,"Count of ACTIVE     CED, FARM GATE (MJ/kg)","Count of CED, processor gate (MJ/kg)"),'Pivot Table_CED'!$A$3,"SUB TYPE","Fluid Milk, Cow"))</f>
        <v>4</v>
      </c>
      <c r="N299" s="119">
        <f ca="1">IF($L299="PROXY",DAVERAGE('literature entries'!$D:$AI,IF($J299=1,"ACTIVE     CED, FARM GATE (MJ/kg)","CED, processor gate (MJ/kg)"),INDIRECT($K299)),GETPIVOTDATA(IF($J299=1,"Average of ACTIVE     CED, FARM GATE (MJ/kg)","Average of CED, processor gate (MJ/kg)"),'Pivot Table_CED'!$A$3,"SUB TYPE","Fluid Milk, Cow"))</f>
        <v>7.1286207824999996</v>
      </c>
      <c r="O299" s="119">
        <f ca="1">IF($L299="PROXY",DSTDEV('literature entries'!D:AI,IF($J299=1,"ACTIVE     CED, FARM GATE (MJ/kg)","CED, processor gate (MJ/kg)"),INDIRECT($K299)),GETPIVOTDATA(IF($J299=1,"StdDev of ACTIVE     CED, FARM GATE (MJ/kg)","StdDev of CED, processor gate (MJ/kg)"),'Pivot Table_CED'!$A$3,"SUB TYPE","Fluid Milk, Cow"))</f>
        <v>3.4350520731026917</v>
      </c>
      <c r="P299" s="135" t="str">
        <f>IF(ISERROR(GETPIVOTDATA(IF($J299=1,"Count of ACTIVE     GHGE, FARM GATE (kg CO2e/kg)","Count of GHGE, processor gate (kg CO2e/kg)"),'Pivot Table_GHG'!$A$3,"SUB TYPE","Fluid Milk, Cow")),"PROXY",IF(GETPIVOTDATA(IF($J299=1,"Count of ACTIVE     GHGE, FARM GATE (kg CO2e/kg)","Count of GHGE, processor gate (kg CO2e/kg)"),'Pivot Table_GHG'!$A$3,"SUB TYPE","Fluid Milk, Cow")=0,"PROXY","DB value"))</f>
        <v>DB value</v>
      </c>
      <c r="Q299" s="125">
        <f ca="1">IF($P299="PROXY",DCOUNT('literature entries'!$D:$AI,IF($J299=1,"ACTIVE     GHGE, FARM GATE (kg CO2e/kg)","GHGE, processor gate (kg CO2e/kg)"),INDIRECT($K299)),GETPIVOTDATA(IF($J299=1,"ACTIVE     GHGE, FARM GATE (kg CO2e/kg)","Count of GHGE, processor gate (kg CO2e/kg)"),'Pivot Table_GHG'!$A$3,"SUB TYPE","Fluid Milk, Cow"))</f>
        <v>9</v>
      </c>
      <c r="R299" s="190">
        <f ca="1">IF($P299="PROXY",DAVERAGE('literature entries'!$D:$AI,IF($J299=1,"ACTIVE     GHGE, FARM GATE (kg CO2e/kg)","GHGE, processor gate (kg CO2e/kg)"),INDIRECT($K299)),GETPIVOTDATA(IF($J299=1,"Average of ACTIVE     GHGE, FARM GATE (kg CO2e/kg)","Average of GHGE, processor gate (kg CO2e/kg)"),'Pivot Table_GHG'!$A$3,"SUB TYPE","Fluid Milk, Cow"))</f>
        <v>1.3233105925925925</v>
      </c>
      <c r="S299" s="190">
        <f ca="1">IF($P299="PROXY",DSTDEV('literature entries'!$D:$AI,IF($J299=1,"ACTIVE     GHGE, FARM GATE (kg CO2e/kg)","GHGE, processor gate (kg CO2e/kg)"),INDIRECT($K299)),GETPIVOTDATA(IF($J299=1,"StdDev of ACTIVE     GHGE, FARM GATE (kg CO2e/kg)","StdDev of GHGE, processor gate (kg CO2e/kg)"),'Pivot Table_GHG'!$A$3,"SUB TYPE","Fluid Milk, Cow"))</f>
        <v>0.32820469451153628</v>
      </c>
      <c r="T299" s="88"/>
      <c r="U299" s="89"/>
      <c r="W299" s="223" t="s">
        <v>3369</v>
      </c>
      <c r="X299" s="211">
        <f ca="1">IF($W299="DIRECT",M299,DCOUNT('literature entries'!$D:$AI,"ACTIVE     CED, FARM GATE (MJ/kg)",INDIRECT($W299)))</f>
        <v>41</v>
      </c>
      <c r="Y299" s="211">
        <f ca="1">IF($W299="DIRECT","",DAVERAGE('literature entries'!$D:$AI,IF($J299=1,"ACTIVE     CED, FARM GATE (MJ/kg)","CED, processor gate (MJ/kg)"),INDIRECT($W299)))</f>
        <v>7.1286207824999996</v>
      </c>
      <c r="Z299" s="211">
        <f ca="1">IF($W299="DIRECT",$O299,DSTDEV('literature entries'!$D:$AI,IF($J299=1,"ACTIVE     CED, FARM GATE (MJ/kg)","CED, processor gate (MJ/kg)"),INDIRECT($W299)))</f>
        <v>3.4350520731026917</v>
      </c>
      <c r="AA299" s="211">
        <f t="shared" ca="1" si="36"/>
        <v>3.4350520731026917</v>
      </c>
      <c r="AB299" s="219" t="str">
        <f t="shared" ca="1" si="40"/>
        <v>DIRECT</v>
      </c>
      <c r="AC299" s="212">
        <f ca="1">IF($AB299="DIRECT",Q299,DCOUNT('literature entries'!$D:$AI,IF($J299=1,"ACTIVE     GHGE, FARM GATE (kg CO2e/kg)","GHGE, processor gate (kg CO2e/kg)"),INDIRECT($AB299)))</f>
        <v>9</v>
      </c>
      <c r="AD299" s="212" t="str">
        <f ca="1">IF($AB299="DIRECT","",DAVERAGE('literature entries'!$D:$AI,IF($J299=1,"ACTIVE     GHGE, FARM GATE (kg CO2e/kg)","GHGE, processor gate (kg CO2e/kg)"),INDIRECT($AB299)))</f>
        <v/>
      </c>
      <c r="AE299" s="212">
        <f ca="1">IF($AB299="DIRECT",$S299,DSTDEV('literature entries'!$D:$AI,IF($J299=1,"ACTIVE     GHGE, FARM GATE (kg CO2e/kg)","GHGE, processor gate (kg CO2e/kg)"),INDIRECT($AB299)))</f>
        <v>0.32820469451153628</v>
      </c>
      <c r="AF299" s="212">
        <f t="shared" ca="1" si="37"/>
        <v>0.32820469451153628</v>
      </c>
    </row>
    <row r="300" spans="1:32" s="19" customFormat="1" ht="17" thickBot="1" x14ac:dyDescent="0.25">
      <c r="A300" s="114">
        <v>3600223000</v>
      </c>
      <c r="B300" s="115" t="s">
        <v>2078</v>
      </c>
      <c r="C300" s="115" t="s">
        <v>2079</v>
      </c>
      <c r="D300" s="115" t="s">
        <v>2080</v>
      </c>
      <c r="E300" s="115">
        <v>50712</v>
      </c>
      <c r="F300" s="111">
        <f t="shared" ca="1" si="34"/>
        <v>59.355710095753537</v>
      </c>
      <c r="G300" s="112">
        <f t="shared" ca="1" si="35"/>
        <v>11.018406266382952</v>
      </c>
      <c r="H300" s="116">
        <f>1/0.1201</f>
        <v>8.3263946711074102</v>
      </c>
      <c r="I300" s="117" t="s">
        <v>594</v>
      </c>
      <c r="J300" s="79">
        <v>2</v>
      </c>
      <c r="K300" s="188"/>
      <c r="L300" s="135" t="str">
        <f>IF(ISERROR(GETPIVOTDATA(IF($J300=1,"Count of ACTIVE     CED, FARM GATE (MJ/kg)","Count of CED, processor gate (MJ/kg)"),'Pivot Table_CED'!$A$3,"SUB TYPE","Fluid Milk, Cow")),"PROXY",IF(GETPIVOTDATA(IF($J300=1,"Count of ACTIVE     CED, FARM GATE (MJ/kg)","Count of CED, processor gate (MJ/kg)"),'Pivot Table_CED'!$A$3,"SUB TYPE","Fluid Milk, Cow")=0,"PROXY","DB value"))</f>
        <v>DB value</v>
      </c>
      <c r="M300" s="118">
        <f ca="1">IF($L300="PROXY",DCOUNT('literature entries'!$D:$AI,IF($J300=1,"ACTIVE     CED, FARM GATE (MJ/kg)","CED, processor gate (MJ/kg)"),INDIRECT($K300)),GETPIVOTDATA(IF($J300=1,"Count of ACTIVE     CED, FARM GATE (MJ/kg)","Count of CED, processor gate (MJ/kg)"),'Pivot Table_CED'!$A$3,"SUB TYPE","Fluid Milk, Cow"))</f>
        <v>4</v>
      </c>
      <c r="N300" s="119">
        <f ca="1">IF($L300="PROXY",DAVERAGE('literature entries'!$D:$AI,IF($J300=1,"ACTIVE     CED, FARM GATE (MJ/kg)","CED, processor gate (MJ/kg)"),INDIRECT($K300)),GETPIVOTDATA(IF($J300=1,"Average of ACTIVE     CED, FARM GATE (MJ/kg)","Average of CED, processor gate (MJ/kg)"),'Pivot Table_CED'!$A$3,"SUB TYPE","Fluid Milk, Cow"))</f>
        <v>7.1286207824999996</v>
      </c>
      <c r="O300" s="119">
        <f ca="1">IF($L300="PROXY",DSTDEV('literature entries'!D:AI,IF($J300=1,"ACTIVE     CED, FARM GATE (MJ/kg)","CED, processor gate (MJ/kg)"),INDIRECT($K300)),GETPIVOTDATA(IF($J300=1,"StdDev of ACTIVE     CED, FARM GATE (MJ/kg)","StdDev of CED, processor gate (MJ/kg)"),'Pivot Table_CED'!$A$3,"SUB TYPE","Fluid Milk, Cow"))</f>
        <v>3.4350520731026917</v>
      </c>
      <c r="P300" s="135" t="str">
        <f>IF(ISERROR(GETPIVOTDATA(IF($J300=1,"Count of ACTIVE     GHGE, FARM GATE (kg CO2e/kg)","Count of GHGE, processor gate (kg CO2e/kg)"),'Pivot Table_GHG'!$A$3,"SUB TYPE","Fluid Milk, Cow")),"PROXY",IF(GETPIVOTDATA(IF($J300=1,"Count of ACTIVE     GHGE, FARM GATE (kg CO2e/kg)","Count of GHGE, processor gate (kg CO2e/kg)"),'Pivot Table_GHG'!$A$3,"SUB TYPE","Fluid Milk, Cow")=0,"PROXY","DB value"))</f>
        <v>DB value</v>
      </c>
      <c r="Q300" s="125">
        <f ca="1">IF($P300="PROXY",DCOUNT('literature entries'!$D:$AI,IF($J300=1,"ACTIVE     GHGE, FARM GATE (kg CO2e/kg)","GHGE, processor gate (kg CO2e/kg)"),INDIRECT($K300)),GETPIVOTDATA(IF($J300=1,"ACTIVE     GHGE, FARM GATE (kg CO2e/kg)","Count of GHGE, processor gate (kg CO2e/kg)"),'Pivot Table_GHG'!$A$3,"SUB TYPE","Fluid Milk, Cow"))</f>
        <v>9</v>
      </c>
      <c r="R300" s="190">
        <f ca="1">IF($P300="PROXY",DAVERAGE('literature entries'!$D:$AI,IF($J300=1,"ACTIVE     GHGE, FARM GATE (kg CO2e/kg)","GHGE, processor gate (kg CO2e/kg)"),INDIRECT($K300)),GETPIVOTDATA(IF($J300=1,"Average of ACTIVE     GHGE, FARM GATE (kg CO2e/kg)","Average of GHGE, processor gate (kg CO2e/kg)"),'Pivot Table_GHG'!$A$3,"SUB TYPE","Fluid Milk, Cow"))</f>
        <v>1.3233105925925925</v>
      </c>
      <c r="S300" s="190">
        <f ca="1">IF($P300="PROXY",DSTDEV('literature entries'!$D:$AI,IF($J300=1,"ACTIVE     GHGE, FARM GATE (kg CO2e/kg)","GHGE, processor gate (kg CO2e/kg)"),INDIRECT($K300)),GETPIVOTDATA(IF($J300=1,"StdDev of ACTIVE     GHGE, FARM GATE (kg CO2e/kg)","StdDev of GHGE, processor gate (kg CO2e/kg)"),'Pivot Table_GHG'!$A$3,"SUB TYPE","Fluid Milk, Cow"))</f>
        <v>0.32820469451153628</v>
      </c>
      <c r="T300" s="88"/>
      <c r="U300" s="89"/>
      <c r="W300" s="223" t="s">
        <v>3369</v>
      </c>
      <c r="X300" s="211">
        <f ca="1">IF($W300="DIRECT",M300,DCOUNT('literature entries'!$D:$AI,"ACTIVE     CED, FARM GATE (MJ/kg)",INDIRECT($W300)))</f>
        <v>41</v>
      </c>
      <c r="Y300" s="211">
        <f ca="1">IF($W300="DIRECT","",DAVERAGE('literature entries'!$D:$AI,IF($J300=1,"ACTIVE     CED, FARM GATE (MJ/kg)","CED, processor gate (MJ/kg)"),INDIRECT($W300)))</f>
        <v>7.1286207824999996</v>
      </c>
      <c r="Z300" s="211">
        <f ca="1">IF($W300="DIRECT",$O300,DSTDEV('literature entries'!$D:$AI,IF($J300=1,"ACTIVE     CED, FARM GATE (MJ/kg)","CED, processor gate (MJ/kg)"),INDIRECT($W300)))</f>
        <v>3.4350520731026917</v>
      </c>
      <c r="AA300" s="211">
        <f t="shared" ca="1" si="36"/>
        <v>3.4350520731026917</v>
      </c>
      <c r="AB300" s="219" t="str">
        <f t="shared" ca="1" si="40"/>
        <v>DIRECT</v>
      </c>
      <c r="AC300" s="212">
        <f ca="1">IF($AB300="DIRECT",Q300,DCOUNT('literature entries'!$D:$AI,IF($J300=1,"ACTIVE     GHGE, FARM GATE (kg CO2e/kg)","GHGE, processor gate (kg CO2e/kg)"),INDIRECT($AB300)))</f>
        <v>9</v>
      </c>
      <c r="AD300" s="212" t="str">
        <f ca="1">IF($AB300="DIRECT","",DAVERAGE('literature entries'!$D:$AI,IF($J300=1,"ACTIVE     GHGE, FARM GATE (kg CO2e/kg)","GHGE, processor gate (kg CO2e/kg)"),INDIRECT($AB300)))</f>
        <v/>
      </c>
      <c r="AE300" s="212">
        <f ca="1">IF($AB300="DIRECT",$S300,DSTDEV('literature entries'!$D:$AI,IF($J300=1,"ACTIVE     GHGE, FARM GATE (kg CO2e/kg)","GHGE, processor gate (kg CO2e/kg)"),INDIRECT($AB300)))</f>
        <v>0.32820469451153628</v>
      </c>
      <c r="AF300" s="212">
        <f t="shared" ca="1" si="37"/>
        <v>0.32820469451153628</v>
      </c>
    </row>
    <row r="301" spans="1:32" s="19" customFormat="1" ht="17" thickBot="1" x14ac:dyDescent="0.25">
      <c r="A301" s="114">
        <v>3600224000</v>
      </c>
      <c r="B301" s="115" t="s">
        <v>2081</v>
      </c>
      <c r="C301" s="115" t="s">
        <v>2082</v>
      </c>
      <c r="D301" s="115"/>
      <c r="E301" s="115">
        <v>50581</v>
      </c>
      <c r="F301" s="111">
        <f t="shared" ca="1" si="34"/>
        <v>0</v>
      </c>
      <c r="G301" s="112">
        <f t="shared" ca="1" si="35"/>
        <v>0</v>
      </c>
      <c r="H301" s="116">
        <v>0</v>
      </c>
      <c r="I301" s="117" t="s">
        <v>594</v>
      </c>
      <c r="J301" s="79">
        <v>2</v>
      </c>
      <c r="K301" s="188"/>
      <c r="L301" s="135" t="str">
        <f>IF(ISERROR(GETPIVOTDATA(IF($J301=1,"Count of ACTIVE     CED, FARM GATE (MJ/kg)","Count of CED, processor gate (MJ/kg)"),'Pivot Table_CED'!$A$3,"SUB TYPE","Fluid Milk, Cow")),"PROXY",IF(GETPIVOTDATA(IF($J301=1,"Count of ACTIVE     CED, FARM GATE (MJ/kg)","Count of CED, processor gate (MJ/kg)"),'Pivot Table_CED'!$A$3,"SUB TYPE","Fluid Milk, Cow")=0,"PROXY","DB value"))</f>
        <v>DB value</v>
      </c>
      <c r="M301" s="118">
        <f ca="1">IF($L301="PROXY",DCOUNT('literature entries'!$D:$AI,IF($J301=1,"ACTIVE     CED, FARM GATE (MJ/kg)","CED, processor gate (MJ/kg)"),INDIRECT($K301)),GETPIVOTDATA(IF($J301=1,"Count of ACTIVE     CED, FARM GATE (MJ/kg)","Count of CED, processor gate (MJ/kg)"),'Pivot Table_CED'!$A$3,"SUB TYPE","Fluid Milk, Cow"))</f>
        <v>4</v>
      </c>
      <c r="N301" s="119">
        <f ca="1">IF($L301="PROXY",DAVERAGE('literature entries'!$D:$AI,IF($J301=1,"ACTIVE     CED, FARM GATE (MJ/kg)","CED, processor gate (MJ/kg)"),INDIRECT($K301)),GETPIVOTDATA(IF($J301=1,"Average of ACTIVE     CED, FARM GATE (MJ/kg)","Average of CED, processor gate (MJ/kg)"),'Pivot Table_CED'!$A$3,"SUB TYPE","Fluid Milk, Cow"))</f>
        <v>7.1286207824999996</v>
      </c>
      <c r="O301" s="119">
        <f ca="1">IF($L301="PROXY",DSTDEV('literature entries'!D:AI,IF($J301=1,"ACTIVE     CED, FARM GATE (MJ/kg)","CED, processor gate (MJ/kg)"),INDIRECT($K301)),GETPIVOTDATA(IF($J301=1,"StdDev of ACTIVE     CED, FARM GATE (MJ/kg)","StdDev of CED, processor gate (MJ/kg)"),'Pivot Table_CED'!$A$3,"SUB TYPE","Fluid Milk, Cow"))</f>
        <v>3.4350520731026917</v>
      </c>
      <c r="P301" s="135" t="str">
        <f>IF(ISERROR(GETPIVOTDATA(IF($J301=1,"Count of ACTIVE     GHGE, FARM GATE (kg CO2e/kg)","Count of GHGE, processor gate (kg CO2e/kg)"),'Pivot Table_GHG'!$A$3,"SUB TYPE","Fluid Milk, Cow")),"PROXY",IF(GETPIVOTDATA(IF($J301=1,"Count of ACTIVE     GHGE, FARM GATE (kg CO2e/kg)","Count of GHGE, processor gate (kg CO2e/kg)"),'Pivot Table_GHG'!$A$3,"SUB TYPE","Fluid Milk, Cow")=0,"PROXY","DB value"))</f>
        <v>DB value</v>
      </c>
      <c r="Q301" s="125">
        <f ca="1">IF($P301="PROXY",DCOUNT('literature entries'!$D:$AI,IF($J301=1,"ACTIVE     GHGE, FARM GATE (kg CO2e/kg)","GHGE, processor gate (kg CO2e/kg)"),INDIRECT($K301)),GETPIVOTDATA(IF($J301=1,"ACTIVE     GHGE, FARM GATE (kg CO2e/kg)","Count of GHGE, processor gate (kg CO2e/kg)"),'Pivot Table_GHG'!$A$3,"SUB TYPE","Fluid Milk, Cow"))</f>
        <v>9</v>
      </c>
      <c r="R301" s="190">
        <f ca="1">IF($P301="PROXY",DAVERAGE('literature entries'!$D:$AI,IF($J301=1,"ACTIVE     GHGE, FARM GATE (kg CO2e/kg)","GHGE, processor gate (kg CO2e/kg)"),INDIRECT($K301)),GETPIVOTDATA(IF($J301=1,"Average of ACTIVE     GHGE, FARM GATE (kg CO2e/kg)","Average of GHGE, processor gate (kg CO2e/kg)"),'Pivot Table_GHG'!$A$3,"SUB TYPE","Fluid Milk, Cow"))</f>
        <v>1.3233105925925925</v>
      </c>
      <c r="S301" s="190">
        <f ca="1">IF($P301="PROXY",DSTDEV('literature entries'!$D:$AI,IF($J301=1,"ACTIVE     GHGE, FARM GATE (kg CO2e/kg)","GHGE, processor gate (kg CO2e/kg)"),INDIRECT($K301)),GETPIVOTDATA(IF($J301=1,"StdDev of ACTIVE     GHGE, FARM GATE (kg CO2e/kg)","StdDev of GHGE, processor gate (kg CO2e/kg)"),'Pivot Table_GHG'!$A$3,"SUB TYPE","Fluid Milk, Cow"))</f>
        <v>0.32820469451153628</v>
      </c>
      <c r="T301" s="88"/>
      <c r="U301" s="89"/>
      <c r="W301" s="223" t="s">
        <v>3369</v>
      </c>
      <c r="X301" s="211">
        <f ca="1">IF($W301="DIRECT",M301,DCOUNT('literature entries'!$D:$AI,"ACTIVE     CED, FARM GATE (MJ/kg)",INDIRECT($W301)))</f>
        <v>41</v>
      </c>
      <c r="Y301" s="211">
        <f ca="1">IF($W301="DIRECT","",DAVERAGE('literature entries'!$D:$AI,IF($J301=1,"ACTIVE     CED, FARM GATE (MJ/kg)","CED, processor gate (MJ/kg)"),INDIRECT($W301)))</f>
        <v>7.1286207824999996</v>
      </c>
      <c r="Z301" s="211">
        <f ca="1">IF($W301="DIRECT",$O301,DSTDEV('literature entries'!$D:$AI,IF($J301=1,"ACTIVE     CED, FARM GATE (MJ/kg)","CED, processor gate (MJ/kg)"),INDIRECT($W301)))</f>
        <v>3.4350520731026917</v>
      </c>
      <c r="AA301" s="211">
        <f t="shared" ca="1" si="36"/>
        <v>3.4350520731026917</v>
      </c>
      <c r="AB301" s="219" t="str">
        <f t="shared" ca="1" si="40"/>
        <v>DIRECT</v>
      </c>
      <c r="AC301" s="212">
        <f ca="1">IF($AB301="DIRECT",Q301,DCOUNT('literature entries'!$D:$AI,IF($J301=1,"ACTIVE     GHGE, FARM GATE (kg CO2e/kg)","GHGE, processor gate (kg CO2e/kg)"),INDIRECT($AB301)))</f>
        <v>9</v>
      </c>
      <c r="AD301" s="212" t="str">
        <f ca="1">IF($AB301="DIRECT","",DAVERAGE('literature entries'!$D:$AI,IF($J301=1,"ACTIVE     GHGE, FARM GATE (kg CO2e/kg)","GHGE, processor gate (kg CO2e/kg)"),INDIRECT($AB301)))</f>
        <v/>
      </c>
      <c r="AE301" s="212">
        <f ca="1">IF($AB301="DIRECT",$S301,DSTDEV('literature entries'!$D:$AI,IF($J301=1,"ACTIVE     GHGE, FARM GATE (kg CO2e/kg)","GHGE, processor gate (kg CO2e/kg)"),INDIRECT($AB301)))</f>
        <v>0.32820469451153628</v>
      </c>
      <c r="AF301" s="212">
        <f t="shared" ca="1" si="37"/>
        <v>0.32820469451153628</v>
      </c>
    </row>
    <row r="302" spans="1:32" s="19" customFormat="1" ht="17" thickBot="1" x14ac:dyDescent="0.25">
      <c r="A302" s="114">
        <v>3800221000</v>
      </c>
      <c r="B302" s="115" t="s">
        <v>2073</v>
      </c>
      <c r="C302" s="115" t="s">
        <v>2074</v>
      </c>
      <c r="D302" s="115" t="s">
        <v>2075</v>
      </c>
      <c r="E302" s="115">
        <v>161</v>
      </c>
      <c r="F302" s="111">
        <f t="shared" ca="1" si="34"/>
        <v>8.5</v>
      </c>
      <c r="G302" s="112">
        <f t="shared" ca="1" si="35"/>
        <v>0.84</v>
      </c>
      <c r="H302" s="116">
        <v>1</v>
      </c>
      <c r="I302" s="117" t="s">
        <v>594</v>
      </c>
      <c r="J302" s="79">
        <v>2</v>
      </c>
      <c r="K302" s="78"/>
      <c r="L302" s="135" t="str">
        <f>IF(ISERROR(GETPIVOTDATA(IF($J302=1,"Count of ACTIVE     CED, FARM GATE (MJ/kg)","Count of CED, processor gate (MJ/kg)"),'Pivot Table_CED'!$A$3,"SUB TYPE",$B302)),"PROXY",IF(GETPIVOTDATA(IF($J302=1,"Count of ACTIVE     CED, FARM GATE (MJ/kg)","Count of CED, processor gate (MJ/kg)"),'Pivot Table_CED'!$A$3,"SUB TYPE",$B302)=0,"PROXY","DB value"))</f>
        <v>DB value</v>
      </c>
      <c r="M302" s="118">
        <f ca="1">IF($L302="PROXY",DCOUNT('literature entries'!$D:$AI,IF($J302=1,"ACTIVE     CED, FARM GATE (MJ/kg)","CED, processor gate (MJ/kg)"),INDIRECT($K302)),GETPIVOTDATA(IF($J302=1,"Count of ACTIVE     CED, FARM GATE (MJ/kg)","Count of CED, processor gate (MJ/kg)"),'Pivot Table_CED'!$A$3,"SUB TYPE",$B302))</f>
        <v>1</v>
      </c>
      <c r="N302" s="119">
        <f ca="1">IF($L302="PROXY",DAVERAGE('literature entries'!$D:$AI,IF($J302=1,"ACTIVE     CED, FARM GATE (MJ/kg)","CED, processor gate (MJ/kg)"),INDIRECT($K302)),GETPIVOTDATA(IF($J302=1,"Average of ACTIVE     CED, FARM GATE (MJ/kg)","Average of CED, processor gate (MJ/kg)"),'Pivot Table_CED'!$A$3,"SUB TYPE",$B302))</f>
        <v>8.5</v>
      </c>
      <c r="O302" s="119">
        <f ca="1">IF($L302="PROXY",DSTDEV('literature entries'!D:AI,IF($J302=1,"ACTIVE     CED, FARM GATE (MJ/kg)","CED, processor gate (MJ/kg)"),INDIRECT($K302)),GETPIVOTDATA(IF($J302=1,"StdDev of ACTIVE     CED, FARM GATE (MJ/kg)","StdDev of CED, processor gate (MJ/kg)"),'Pivot Table_CED'!$A$3,"SUB TYPE",$B302))</f>
        <v>0</v>
      </c>
      <c r="P302" s="135" t="str">
        <f>IF(ISERROR(GETPIVOTDATA(IF($J302=1,"Count of ACTIVE     GHGE, FARM GATE (kg CO2e/kg)","Count of GHGE, processor gate (kg CO2e/kg)"),'Pivot Table_GHG'!$A$3,"SUB TYPE",$B302)),"PROXY",IF(GETPIVOTDATA(IF($J302=1,"Count of ACTIVE     GHGE, FARM GATE (kg CO2e/kg)","Count of GHGE, processor gate (kg CO2e/kg)"),'Pivot Table_GHG'!$A$3,"SUB TYPE",$B302)=0,"PROXY","DB value"))</f>
        <v>DB value</v>
      </c>
      <c r="Q302" s="125">
        <f ca="1">IF($P302="PROXY",DCOUNT('literature entries'!$D:$AI,IF($J302=1,"ACTIVE     GHGE, FARM GATE (kg CO2e/kg)","GHGE, processor gate (kg CO2e/kg)"),INDIRECT($K302)),GETPIVOTDATA(IF($J302=1,"ACTIVE     GHGE, FARM GATE (kg CO2e/kg)","Count of GHGE, processor gate (kg CO2e/kg)"),'Pivot Table_GHG'!$A$3,"SUB TYPE",$B302))</f>
        <v>1</v>
      </c>
      <c r="R302" s="190">
        <f ca="1">IF($P302="PROXY",DAVERAGE('literature entries'!$D:$AI,IF($J302=1,"ACTIVE     GHGE, FARM GATE (kg CO2e/kg)","GHGE, processor gate (kg CO2e/kg)"),INDIRECT($K302)),GETPIVOTDATA(IF($J302=1,"Average of ACTIVE     GHGE, FARM GATE (kg CO2e/kg)","Average of GHGE, processor gate (kg CO2e/kg)"),'Pivot Table_GHG'!$A$3,"SUB TYPE",$B302))</f>
        <v>0.84</v>
      </c>
      <c r="S302" s="190" t="e">
        <f ca="1">IF($P302="PROXY",DSTDEV('literature entries'!$D:$AI,IF($J302=1,"ACTIVE     GHGE, FARM GATE (kg CO2e/kg)","GHGE, processor gate (kg CO2e/kg)"),INDIRECT($K302)),GETPIVOTDATA(IF($J302=1,"StdDev of ACTIVE     GHGE, FARM GATE (kg CO2e/kg)","StdDev of GHGE, processor gate (kg CO2e/kg)"),'Pivot Table_GHG'!$A$3,"SUB TYPE",$B302))</f>
        <v>#DIV/0!</v>
      </c>
      <c r="T302" s="88"/>
      <c r="U302" s="89"/>
      <c r="W302" s="221" t="s">
        <v>3367</v>
      </c>
      <c r="X302" s="211"/>
      <c r="Y302" s="211"/>
      <c r="Z302" s="211">
        <v>0</v>
      </c>
      <c r="AA302" s="211">
        <v>0</v>
      </c>
      <c r="AB302" s="221" t="s">
        <v>3367</v>
      </c>
      <c r="AC302" s="212"/>
      <c r="AD302" s="212"/>
      <c r="AE302" s="212">
        <v>0</v>
      </c>
      <c r="AF302" s="212">
        <v>0</v>
      </c>
    </row>
    <row r="303" spans="1:32" s="19" customFormat="1" ht="17" thickBot="1" x14ac:dyDescent="0.25">
      <c r="A303" s="114">
        <v>3900312000</v>
      </c>
      <c r="B303" s="115" t="s">
        <v>2224</v>
      </c>
      <c r="C303" s="115" t="s">
        <v>2074</v>
      </c>
      <c r="D303" s="115"/>
      <c r="E303" s="115">
        <v>9</v>
      </c>
      <c r="F303" s="111">
        <f t="shared" ca="1" si="34"/>
        <v>55.220125786163514</v>
      </c>
      <c r="G303" s="112">
        <f t="shared" ca="1" si="35"/>
        <v>4.5408805031446535</v>
      </c>
      <c r="H303" s="116">
        <v>1</v>
      </c>
      <c r="I303" s="117" t="s">
        <v>594</v>
      </c>
      <c r="J303" s="79">
        <v>1</v>
      </c>
      <c r="K303" s="78"/>
      <c r="L303" s="135" t="str">
        <f>IF(ISERROR(GETPIVOTDATA(IF($J303=1,"Count of ACTIVE     CED, FARM GATE (MJ/kg)","Count of CED, processor gate (MJ/kg)"),'Pivot Table_CED'!$A$3,"SUB TYPE",$B303)),"PROXY",IF(GETPIVOTDATA(IF($J303=1,"Count of ACTIVE     CED, FARM GATE (MJ/kg)","Count of CED, processor gate (MJ/kg)"),'Pivot Table_CED'!$A$3,"SUB TYPE",$B303)=0,"PROXY","DB value"))</f>
        <v>DB value</v>
      </c>
      <c r="M303" s="118">
        <f ca="1">IF($L303="PROXY",DCOUNT('literature entries'!$D:$AI,IF($J303=1,"ACTIVE     CED, FARM GATE (MJ/kg)","CED, processor gate (MJ/kg)"),INDIRECT($K303)),GETPIVOTDATA(IF($J303=1,"Count of ACTIVE     CED, FARM GATE (MJ/kg)","Count of CED, processor gate (MJ/kg)"),'Pivot Table_CED'!$A$3,"SUB TYPE",$B303))</f>
        <v>1</v>
      </c>
      <c r="N303" s="119">
        <f ca="1">IF($L303="PROXY",DAVERAGE('literature entries'!$D:$AI,IF($J303=1,"ACTIVE     CED, FARM GATE (MJ/kg)","CED, processor gate (MJ/kg)"),INDIRECT($K303)),GETPIVOTDATA(IF($J303=1,"Average of ACTIVE     CED, FARM GATE (MJ/kg)","Average of CED, processor gate (MJ/kg)"),'Pivot Table_CED'!$A$3,"SUB TYPE",$B303))</f>
        <v>55.220125786163514</v>
      </c>
      <c r="O303" s="119">
        <f ca="1">IF($L303="PROXY",DSTDEV('literature entries'!D:AI,IF($J303=1,"ACTIVE     CED, FARM GATE (MJ/kg)","CED, processor gate (MJ/kg)"),INDIRECT($K303)),GETPIVOTDATA(IF($J303=1,"StdDev of ACTIVE     CED, FARM GATE (MJ/kg)","StdDev of CED, processor gate (MJ/kg)"),'Pivot Table_CED'!$A$3,"SUB TYPE",$B303))</f>
        <v>0</v>
      </c>
      <c r="P303" s="135" t="str">
        <f>IF(ISERROR(GETPIVOTDATA(IF($J303=1,"Count of ACTIVE     GHGE, FARM GATE (kg CO2e/kg)","Count of GHGE, processor gate (kg CO2e/kg)"),'Pivot Table_GHG'!$A$3,"SUB TYPE",$B303)),"PROXY",IF(GETPIVOTDATA(IF($J303=1,"Count of ACTIVE     GHGE, FARM GATE (kg CO2e/kg)","Count of GHGE, processor gate (kg CO2e/kg)"),'Pivot Table_GHG'!$A$3,"SUB TYPE",$B303)=0,"PROXY","DB value"))</f>
        <v>DB value</v>
      </c>
      <c r="Q303" s="125">
        <f ca="1">IF($P303="PROXY",DCOUNT('literature entries'!$D:$AI,IF($J303=1,"ACTIVE     GHGE, FARM GATE (kg CO2e/kg)","GHGE, processor gate (kg CO2e/kg)"),INDIRECT($K303)),GETPIVOTDATA(IF($J303=1,"ACTIVE     GHGE, FARM GATE (kg CO2e/kg)","Count of GHGE, processor gate (kg CO2e/kg)"),'Pivot Table_GHG'!$A$3,"SUB TYPE",$B303))</f>
        <v>1</v>
      </c>
      <c r="R303" s="190">
        <f ca="1">IF($P303="PROXY",DAVERAGE('literature entries'!$D:$AI,IF($J303=1,"ACTIVE     GHGE, FARM GATE (kg CO2e/kg)","GHGE, processor gate (kg CO2e/kg)"),INDIRECT($K303)),GETPIVOTDATA(IF($J303=1,"Average of ACTIVE     GHGE, FARM GATE (kg CO2e/kg)","Average of GHGE, processor gate (kg CO2e/kg)"),'Pivot Table_GHG'!$A$3,"SUB TYPE",$B303))</f>
        <v>4.5408805031446535</v>
      </c>
      <c r="S303" s="190" t="e">
        <f ca="1">IF($P303="PROXY",DSTDEV('literature entries'!$D:$AI,IF($J303=1,"ACTIVE     GHGE, FARM GATE (kg CO2e/kg)","GHGE, processor gate (kg CO2e/kg)"),INDIRECT($K303)),GETPIVOTDATA(IF($J303=1,"StdDev of ACTIVE     GHGE, FARM GATE (kg CO2e/kg)","StdDev of GHGE, processor gate (kg CO2e/kg)"),'Pivot Table_GHG'!$A$3,"SUB TYPE",$B303))</f>
        <v>#DIV/0!</v>
      </c>
      <c r="T303" s="88"/>
      <c r="U303" s="89"/>
      <c r="W303" s="213" t="s">
        <v>2448</v>
      </c>
      <c r="X303" s="211">
        <f ca="1">IF($W303="DIRECT",M303,DCOUNT('literature entries'!$D:$AI,IF($J303=1,"ACTIVE     CED, FARM GATE (MJ/kg)","CED, processor gate (MJ/kg)"),INDIRECT($W303)))</f>
        <v>15</v>
      </c>
      <c r="Y303" s="211">
        <f ca="1">IF($W303="DIRECT","",DAVERAGE('literature entries'!$D:$AI,IF($J303=1,"ACTIVE     CED, FARM GATE (MJ/kg)","CED, processor gate (MJ/kg)"),INDIRECT($W303)))</f>
        <v>27.337984848484844</v>
      </c>
      <c r="Z303" s="211">
        <f ca="1">IF($W303="DIRECT",$O303,DSTDEV('literature entries'!$D:$AI,IF($J303=1,"ACTIVE     CED, FARM GATE (MJ/kg)","CED, processor gate (MJ/kg)"),INDIRECT($W303)))</f>
        <v>11.446373044126648</v>
      </c>
      <c r="AA303" s="211">
        <f t="shared" ref="AA303:AA329" ca="1" si="41">IF($W303="DIRECT",$O303,$Z303/$Y303*$N303)</f>
        <v>23.120583422485005</v>
      </c>
      <c r="AB303" s="219" t="s">
        <v>2448</v>
      </c>
      <c r="AC303" s="212">
        <f ca="1">IF($AB303="DIRECT",Q303,DCOUNT('literature entries'!$D:$AI,IF($J303=1,"ACTIVE     GHGE, FARM GATE (kg CO2e/kg)","GHGE, processor gate (kg CO2e/kg)"),INDIRECT($AB303)))</f>
        <v>32</v>
      </c>
      <c r="AD303" s="212">
        <f ca="1">IF($AB303="DIRECT","",DAVERAGE('literature entries'!$D:$AI,IF($J303=1,"ACTIVE     GHGE, FARM GATE (kg CO2e/kg)","GHGE, processor gate (kg CO2e/kg)"),INDIRECT($AB303)))</f>
        <v>4.1878483887317701</v>
      </c>
      <c r="AE303" s="212">
        <f ca="1">IF($AB303="DIRECT",$S303,DSTDEV('literature entries'!$D:$AI,IF($J303=1,"ACTIVE     GHGE, FARM GATE (kg CO2e/kg)","GHGE, processor gate (kg CO2e/kg)"),INDIRECT($AB303)))</f>
        <v>2.3000746274481916</v>
      </c>
      <c r="AF303" s="212">
        <f t="shared" ref="AF303:AF329" ca="1" si="42">IF($AB303="DIRECT",$S303,$AE303/$AD303*$R303)</f>
        <v>2.4939689936387888</v>
      </c>
    </row>
    <row r="304" spans="1:32" s="19" customFormat="1" ht="17" thickBot="1" x14ac:dyDescent="0.25">
      <c r="A304" s="114">
        <v>4000093000</v>
      </c>
      <c r="B304" s="115" t="s">
        <v>1889</v>
      </c>
      <c r="C304" s="115" t="s">
        <v>1890</v>
      </c>
      <c r="D304" s="115"/>
      <c r="E304" s="115">
        <v>26566</v>
      </c>
      <c r="F304" s="111">
        <f t="shared" ca="1" si="34"/>
        <v>27.337984848484844</v>
      </c>
      <c r="G304" s="112">
        <f t="shared" ca="1" si="35"/>
        <v>4.1878483887317701</v>
      </c>
      <c r="H304" s="116">
        <v>1</v>
      </c>
      <c r="I304" s="117" t="s">
        <v>594</v>
      </c>
      <c r="J304" s="79">
        <v>1</v>
      </c>
      <c r="K304" s="188"/>
      <c r="L304" s="135" t="str">
        <f>IF(ISERROR(GETPIVOTDATA(IF($J304=1,"Count of ACTIVE     CED, FARM GATE (MJ/kg)","Count of CED, processor gate (MJ/kg)"),'Pivot Table_CED'!$A$3,"SUB TYPE","chicken")),"PROXY",IF(GETPIVOTDATA(IF($J304=1,"Count of ACTIVE     CED, FARM GATE (MJ/kg)","Count of CED, processor gate (MJ/kg)"),'Pivot Table_CED'!$A$3,"SUB TYPE","chicken")=0,"PROXY","DB value"))</f>
        <v>DB value</v>
      </c>
      <c r="M304" s="118">
        <f ca="1">IF($L304="PROXY",DCOUNT('literature entries'!$D:$AI,IF($J304=1,"ACTIVE     CED, FARM GATE (MJ/kg)","CED, processor gate (MJ/kg)"),INDIRECT($K304)),GETPIVOTDATA(IF($J304=1,"Count of ACTIVE     CED, FARM GATE (MJ/kg)","Count of CED, processor gate (MJ/kg)"),'Pivot Table_CED'!$A$3,"SUB TYPE","chicken"))</f>
        <v>15</v>
      </c>
      <c r="N304" s="119">
        <f ca="1">IF($L304="PROXY",DAVERAGE('literature entries'!$D:$AI,IF($J304=1,"ACTIVE     CED, FARM GATE (MJ/kg)","CED, processor gate (MJ/kg)"),INDIRECT($K304)),GETPIVOTDATA(IF($J304=1,"Average of ACTIVE     CED, FARM GATE (MJ/kg)","Average of CED, processor gate (MJ/kg)"),'Pivot Table_CED'!$A$3,"SUB TYPE","chicken"))</f>
        <v>27.337984848484844</v>
      </c>
      <c r="O304" s="119">
        <f ca="1">IF($L304="PROXY",DSTDEV('literature entries'!D:AI,IF($J304=1,"ACTIVE     CED, FARM GATE (MJ/kg)","CED, processor gate (MJ/kg)"),INDIRECT($K304)),GETPIVOTDATA(IF($J304=1,"StdDev of ACTIVE     CED, FARM GATE (MJ/kg)","StdDev of CED, processor gate (MJ/kg)"),'Pivot Table_CED'!$A$3,"SUB TYPE","chicken"))</f>
        <v>11.446373044126648</v>
      </c>
      <c r="P304" s="135" t="str">
        <f>IF(ISERROR(GETPIVOTDATA(IF($J304=1,"Count of ACTIVE     GHGE, FARM GATE (kg CO2e/kg)","Count of GHGE, processor gate (kg CO2e/kg)"),'Pivot Table_GHG'!$A$3,"SUB TYPE","chicken")),"PROXY",IF(GETPIVOTDATA(IF($J304=1,"Count of ACTIVE     GHGE, FARM GATE (kg CO2e/kg)","Count of GHGE, processor gate (kg CO2e/kg)"),'Pivot Table_GHG'!$A$3,"SUB TYPE","chicken")=0,"PROXY","DB value"))</f>
        <v>DB value</v>
      </c>
      <c r="Q304" s="125">
        <f ca="1">IF($P304="PROXY",DCOUNT('literature entries'!$D:$AI,IF($J304=1,"ACTIVE     GHGE, FARM GATE (kg CO2e/kg)","GHGE, processor gate (kg CO2e/kg)"),INDIRECT($K304)),GETPIVOTDATA(IF($J304=1,"ACTIVE     GHGE, FARM GATE (kg CO2e/kg)","Count of GHGE, processor gate (kg CO2e/kg)"),'Pivot Table_GHG'!$A$3,"SUB TYPE","chicken"))</f>
        <v>32</v>
      </c>
      <c r="R304" s="190">
        <f ca="1">IF($P304="PROXY",DAVERAGE('literature entries'!$D:$AI,IF($J304=1,"ACTIVE     GHGE, FARM GATE (kg CO2e/kg)","GHGE, processor gate (kg CO2e/kg)"),INDIRECT($K304)),GETPIVOTDATA(IF($J304=1,"Average of ACTIVE     GHGE, FARM GATE (kg CO2e/kg)","Average of GHGE, processor gate (kg CO2e/kg)"),'Pivot Table_GHG'!$A$3,"SUB TYPE","chicken"))</f>
        <v>4.1878483887317701</v>
      </c>
      <c r="S304" s="190">
        <f ca="1">IF($P304="PROXY",DSTDEV('literature entries'!$D:$AI,IF($J304=1,"ACTIVE     GHGE, FARM GATE (kg CO2e/kg)","GHGE, processor gate (kg CO2e/kg)"),INDIRECT($K304)),GETPIVOTDATA(IF($J304=1,"StdDev of ACTIVE     GHGE, FARM GATE (kg CO2e/kg)","StdDev of GHGE, processor gate (kg CO2e/kg)"),'Pivot Table_GHG'!$A$3,"SUB TYPE","chicken"))</f>
        <v>2.3000746274481916</v>
      </c>
      <c r="T304" s="88"/>
      <c r="U304" s="89"/>
      <c r="W304" s="213" t="str">
        <f t="shared" ref="W304:W313" ca="1" si="43">IF(L304="PROXY",IF(M304&gt;=5,K304,"need group"),IF(M304&gt;=5,"DIRECT","need group"))</f>
        <v>DIRECT</v>
      </c>
      <c r="X304" s="211">
        <f ca="1">IF($W304="DIRECT",M304,DCOUNT('literature entries'!$D:$AI,IF($J304=1,"ACTIVE     CED, FARM GATE (MJ/kg)","CED, processor gate (MJ/kg)"),INDIRECT($W304)))</f>
        <v>15</v>
      </c>
      <c r="Y304" s="211" t="str">
        <f ca="1">IF($W304="DIRECT","",DAVERAGE('literature entries'!$D:$AI,IF($J304=1,"ACTIVE     CED, FARM GATE (MJ/kg)","CED, processor gate (MJ/kg)"),INDIRECT($W304)))</f>
        <v/>
      </c>
      <c r="Z304" s="211">
        <f ca="1">IF($W304="DIRECT",$O304,DSTDEV('literature entries'!$D:$AI,IF($J304=1,"ACTIVE     CED, FARM GATE (MJ/kg)","CED, processor gate (MJ/kg)"),INDIRECT($W304)))</f>
        <v>11.446373044126648</v>
      </c>
      <c r="AA304" s="211">
        <f t="shared" ca="1" si="41"/>
        <v>11.446373044126648</v>
      </c>
      <c r="AB304" s="219" t="str">
        <f ca="1">IF(P304="PROXY",IF(Q304&gt;=5,K304,"need group"),IF(Q304&gt;=5,"DIRECT","need group"))</f>
        <v>DIRECT</v>
      </c>
      <c r="AC304" s="212">
        <f ca="1">IF($AB304="DIRECT",Q304,DCOUNT('literature entries'!$D:$AI,IF($J304=1,"ACTIVE     GHGE, FARM GATE (kg CO2e/kg)","GHGE, processor gate (kg CO2e/kg)"),INDIRECT($AB304)))</f>
        <v>32</v>
      </c>
      <c r="AD304" s="212" t="str">
        <f ca="1">IF($AB304="DIRECT","",DAVERAGE('literature entries'!$D:$AI,IF($J304=1,"ACTIVE     GHGE, FARM GATE (kg CO2e/kg)","GHGE, processor gate (kg CO2e/kg)"),INDIRECT($AB304)))</f>
        <v/>
      </c>
      <c r="AE304" s="212">
        <f ca="1">IF($AB304="DIRECT",$S304,DSTDEV('literature entries'!$D:$AI,IF($J304=1,"ACTIVE     GHGE, FARM GATE (kg CO2e/kg)","GHGE, processor gate (kg CO2e/kg)"),INDIRECT($AB304)))</f>
        <v>2.3000746274481916</v>
      </c>
      <c r="AF304" s="212">
        <f t="shared" ca="1" si="42"/>
        <v>2.3000746274481916</v>
      </c>
    </row>
    <row r="305" spans="1:32" s="19" customFormat="1" ht="17" thickBot="1" x14ac:dyDescent="0.25">
      <c r="A305" s="114">
        <v>4000094000</v>
      </c>
      <c r="B305" s="115" t="s">
        <v>1887</v>
      </c>
      <c r="C305" s="115" t="s">
        <v>1888</v>
      </c>
      <c r="D305" s="115"/>
      <c r="E305" s="115">
        <v>267</v>
      </c>
      <c r="F305" s="111">
        <f t="shared" ca="1" si="34"/>
        <v>27.337984848484844</v>
      </c>
      <c r="G305" s="112">
        <f t="shared" ca="1" si="35"/>
        <v>4.1878483887317701</v>
      </c>
      <c r="H305" s="116">
        <v>1</v>
      </c>
      <c r="I305" s="117" t="s">
        <v>594</v>
      </c>
      <c r="J305" s="79">
        <v>1</v>
      </c>
      <c r="K305" s="188"/>
      <c r="L305" s="135" t="str">
        <f>IF(ISERROR(GETPIVOTDATA(IF($J305=1,"Count of ACTIVE     CED, FARM GATE (MJ/kg)","Count of CED, processor gate (MJ/kg)"),'Pivot Table_CED'!$A$3,"SUB TYPE","chicken")),"PROXY",IF(GETPIVOTDATA(IF($J305=1,"Count of ACTIVE     CED, FARM GATE (MJ/kg)","Count of CED, processor gate (MJ/kg)"),'Pivot Table_CED'!$A$3,"SUB TYPE","chicken")=0,"PROXY","DB value"))</f>
        <v>DB value</v>
      </c>
      <c r="M305" s="118">
        <f ca="1">IF($L305="PROXY",DCOUNT('literature entries'!$D:$AI,IF($J305=1,"ACTIVE     CED, FARM GATE (MJ/kg)","CED, processor gate (MJ/kg)"),INDIRECT($K305)),GETPIVOTDATA(IF($J305=1,"Count of ACTIVE     CED, FARM GATE (MJ/kg)","Count of CED, processor gate (MJ/kg)"),'Pivot Table_CED'!$A$3,"SUB TYPE","chicken"))</f>
        <v>15</v>
      </c>
      <c r="N305" s="119">
        <f ca="1">IF($L305="PROXY",DAVERAGE('literature entries'!$D:$AI,IF($J305=1,"ACTIVE     CED, FARM GATE (MJ/kg)","CED, processor gate (MJ/kg)"),INDIRECT($K305)),GETPIVOTDATA(IF($J305=1,"Average of ACTIVE     CED, FARM GATE (MJ/kg)","Average of CED, processor gate (MJ/kg)"),'Pivot Table_CED'!$A$3,"SUB TYPE","chicken"))</f>
        <v>27.337984848484844</v>
      </c>
      <c r="O305" s="119">
        <f ca="1">IF($L305="PROXY",DSTDEV('literature entries'!D:AI,IF($J305=1,"ACTIVE     CED, FARM GATE (MJ/kg)","CED, processor gate (MJ/kg)"),INDIRECT($K305)),GETPIVOTDATA(IF($J305=1,"StdDev of ACTIVE     CED, FARM GATE (MJ/kg)","StdDev of CED, processor gate (MJ/kg)"),'Pivot Table_CED'!$A$3,"SUB TYPE","chicken"))</f>
        <v>11.446373044126648</v>
      </c>
      <c r="P305" s="135" t="str">
        <f>IF(ISERROR(GETPIVOTDATA(IF($J305=1,"Count of ACTIVE     GHGE, FARM GATE (kg CO2e/kg)","Count of GHGE, processor gate (kg CO2e/kg)"),'Pivot Table_GHG'!$A$3,"SUB TYPE","chicken")),"PROXY",IF(GETPIVOTDATA(IF($J305=1,"Count of ACTIVE     GHGE, FARM GATE (kg CO2e/kg)","Count of GHGE, processor gate (kg CO2e/kg)"),'Pivot Table_GHG'!$A$3,"SUB TYPE","chicken")=0,"PROXY","DB value"))</f>
        <v>DB value</v>
      </c>
      <c r="Q305" s="125">
        <f ca="1">IF($P305="PROXY",DCOUNT('literature entries'!$D:$AI,IF($J305=1,"ACTIVE     GHGE, FARM GATE (kg CO2e/kg)","GHGE, processor gate (kg CO2e/kg)"),INDIRECT($K305)),GETPIVOTDATA(IF($J305=1,"ACTIVE     GHGE, FARM GATE (kg CO2e/kg)","Count of GHGE, processor gate (kg CO2e/kg)"),'Pivot Table_GHG'!$A$3,"SUB TYPE","chicken"))</f>
        <v>32</v>
      </c>
      <c r="R305" s="190">
        <f ca="1">IF($P305="PROXY",DAVERAGE('literature entries'!$D:$AI,IF($J305=1,"ACTIVE     GHGE, FARM GATE (kg CO2e/kg)","GHGE, processor gate (kg CO2e/kg)"),INDIRECT($K305)),GETPIVOTDATA(IF($J305=1,"Average of ACTIVE     GHGE, FARM GATE (kg CO2e/kg)","Average of GHGE, processor gate (kg CO2e/kg)"),'Pivot Table_GHG'!$A$3,"SUB TYPE","chicken"))</f>
        <v>4.1878483887317701</v>
      </c>
      <c r="S305" s="190">
        <f ca="1">IF($P305="PROXY",DSTDEV('literature entries'!$D:$AI,IF($J305=1,"ACTIVE     GHGE, FARM GATE (kg CO2e/kg)","GHGE, processor gate (kg CO2e/kg)"),INDIRECT($K305)),GETPIVOTDATA(IF($J305=1,"StdDev of ACTIVE     GHGE, FARM GATE (kg CO2e/kg)","StdDev of GHGE, processor gate (kg CO2e/kg)"),'Pivot Table_GHG'!$A$3,"SUB TYPE","chicken"))</f>
        <v>2.3000746274481916</v>
      </c>
      <c r="T305" s="88"/>
      <c r="U305" s="89"/>
      <c r="W305" s="213" t="str">
        <f t="shared" ca="1" si="43"/>
        <v>DIRECT</v>
      </c>
      <c r="X305" s="211">
        <f ca="1">IF($W305="DIRECT",M305,DCOUNT('literature entries'!$D:$AI,IF($J305=1,"ACTIVE     CED, FARM GATE (MJ/kg)","CED, processor gate (MJ/kg)"),INDIRECT($W305)))</f>
        <v>15</v>
      </c>
      <c r="Y305" s="211" t="str">
        <f ca="1">IF($W305="DIRECT","",DAVERAGE('literature entries'!$D:$AI,IF($J305=1,"ACTIVE     CED, FARM GATE (MJ/kg)","CED, processor gate (MJ/kg)"),INDIRECT($W305)))</f>
        <v/>
      </c>
      <c r="Z305" s="211">
        <f ca="1">IF($W305="DIRECT",$O305,DSTDEV('literature entries'!$D:$AI,IF($J305=1,"ACTIVE     CED, FARM GATE (MJ/kg)","CED, processor gate (MJ/kg)"),INDIRECT($W305)))</f>
        <v>11.446373044126648</v>
      </c>
      <c r="AA305" s="211">
        <f t="shared" ca="1" si="41"/>
        <v>11.446373044126648</v>
      </c>
      <c r="AB305" s="219" t="str">
        <f ca="1">IF(P305="PROXY",IF(Q305&gt;=5,K305,"need group"),IF(Q305&gt;=5,"DIRECT","need group"))</f>
        <v>DIRECT</v>
      </c>
      <c r="AC305" s="212">
        <f ca="1">IF($AB305="DIRECT",Q305,DCOUNT('literature entries'!$D:$AI,IF($J305=1,"ACTIVE     GHGE, FARM GATE (kg CO2e/kg)","GHGE, processor gate (kg CO2e/kg)"),INDIRECT($AB305)))</f>
        <v>32</v>
      </c>
      <c r="AD305" s="212" t="str">
        <f ca="1">IF($AB305="DIRECT","",DAVERAGE('literature entries'!$D:$AI,IF($J305=1,"ACTIVE     GHGE, FARM GATE (kg CO2e/kg)","GHGE, processor gate (kg CO2e/kg)"),INDIRECT($AB305)))</f>
        <v/>
      </c>
      <c r="AE305" s="212">
        <f ca="1">IF($AB305="DIRECT",$S305,DSTDEV('literature entries'!$D:$AI,IF($J305=1,"ACTIVE     GHGE, FARM GATE (kg CO2e/kg)","GHGE, processor gate (kg CO2e/kg)"),INDIRECT($AB305)))</f>
        <v>2.3000746274481916</v>
      </c>
      <c r="AF305" s="212">
        <f t="shared" ca="1" si="42"/>
        <v>2.3000746274481916</v>
      </c>
    </row>
    <row r="306" spans="1:32" s="19" customFormat="1" ht="17" thickBot="1" x14ac:dyDescent="0.25">
      <c r="A306" s="114">
        <v>4000095000</v>
      </c>
      <c r="B306" s="115" t="s">
        <v>1891</v>
      </c>
      <c r="C306" s="115" t="s">
        <v>1892</v>
      </c>
      <c r="D306" s="115" t="s">
        <v>1893</v>
      </c>
      <c r="E306" s="115">
        <v>13122</v>
      </c>
      <c r="F306" s="111">
        <f t="shared" ca="1" si="34"/>
        <v>27.337984848484844</v>
      </c>
      <c r="G306" s="112">
        <f t="shared" ca="1" si="35"/>
        <v>4.1878483887317701</v>
      </c>
      <c r="H306" s="116">
        <v>1</v>
      </c>
      <c r="I306" s="117" t="s">
        <v>594</v>
      </c>
      <c r="J306" s="79">
        <v>1</v>
      </c>
      <c r="K306" s="188"/>
      <c r="L306" s="135" t="str">
        <f>IF(ISERROR(GETPIVOTDATA(IF($J306=1,"Count of ACTIVE     CED, FARM GATE (MJ/kg)","Count of CED, processor gate (MJ/kg)"),'Pivot Table_CED'!$A$3,"SUB TYPE","chicken")),"PROXY",IF(GETPIVOTDATA(IF($J306=1,"Count of ACTIVE     CED, FARM GATE (MJ/kg)","Count of CED, processor gate (MJ/kg)"),'Pivot Table_CED'!$A$3,"SUB TYPE","chicken")=0,"PROXY","DB value"))</f>
        <v>DB value</v>
      </c>
      <c r="M306" s="118">
        <f ca="1">IF($L306="PROXY",DCOUNT('literature entries'!$D:$AI,IF($J306=1,"ACTIVE     CED, FARM GATE (MJ/kg)","CED, processor gate (MJ/kg)"),INDIRECT($K306)),GETPIVOTDATA(IF($J306=1,"Count of ACTIVE     CED, FARM GATE (MJ/kg)","Count of CED, processor gate (MJ/kg)"),'Pivot Table_CED'!$A$3,"SUB TYPE","chicken"))</f>
        <v>15</v>
      </c>
      <c r="N306" s="119">
        <f ca="1">IF($L306="PROXY",DAVERAGE('literature entries'!$D:$AI,IF($J306=1,"ACTIVE     CED, FARM GATE (MJ/kg)","CED, processor gate (MJ/kg)"),INDIRECT($K306)),GETPIVOTDATA(IF($J306=1,"Average of ACTIVE     CED, FARM GATE (MJ/kg)","Average of CED, processor gate (MJ/kg)"),'Pivot Table_CED'!$A$3,"SUB TYPE","chicken"))</f>
        <v>27.337984848484844</v>
      </c>
      <c r="O306" s="119">
        <f ca="1">IF($L306="PROXY",DSTDEV('literature entries'!D:AI,IF($J306=1,"ACTIVE     CED, FARM GATE (MJ/kg)","CED, processor gate (MJ/kg)"),INDIRECT($K306)),GETPIVOTDATA(IF($J306=1,"StdDev of ACTIVE     CED, FARM GATE (MJ/kg)","StdDev of CED, processor gate (MJ/kg)"),'Pivot Table_CED'!$A$3,"SUB TYPE","chicken"))</f>
        <v>11.446373044126648</v>
      </c>
      <c r="P306" s="135" t="str">
        <f>IF(ISERROR(GETPIVOTDATA(IF($J306=1,"Count of ACTIVE     GHGE, FARM GATE (kg CO2e/kg)","Count of GHGE, processor gate (kg CO2e/kg)"),'Pivot Table_GHG'!$A$3,"SUB TYPE","chicken")),"PROXY",IF(GETPIVOTDATA(IF($J306=1,"Count of ACTIVE     GHGE, FARM GATE (kg CO2e/kg)","Count of GHGE, processor gate (kg CO2e/kg)"),'Pivot Table_GHG'!$A$3,"SUB TYPE","chicken")=0,"PROXY","DB value"))</f>
        <v>DB value</v>
      </c>
      <c r="Q306" s="125">
        <f ca="1">IF($P306="PROXY",DCOUNT('literature entries'!$D:$AI,IF($J306=1,"ACTIVE     GHGE, FARM GATE (kg CO2e/kg)","GHGE, processor gate (kg CO2e/kg)"),INDIRECT($K306)),GETPIVOTDATA(IF($J306=1,"ACTIVE     GHGE, FARM GATE (kg CO2e/kg)","Count of GHGE, processor gate (kg CO2e/kg)"),'Pivot Table_GHG'!$A$3,"SUB TYPE","chicken"))</f>
        <v>32</v>
      </c>
      <c r="R306" s="190">
        <f ca="1">IF($P306="PROXY",DAVERAGE('literature entries'!$D:$AI,IF($J306=1,"ACTIVE     GHGE, FARM GATE (kg CO2e/kg)","GHGE, processor gate (kg CO2e/kg)"),INDIRECT($K306)),GETPIVOTDATA(IF($J306=1,"Average of ACTIVE     GHGE, FARM GATE (kg CO2e/kg)","Average of GHGE, processor gate (kg CO2e/kg)"),'Pivot Table_GHG'!$A$3,"SUB TYPE","chicken"))</f>
        <v>4.1878483887317701</v>
      </c>
      <c r="S306" s="190">
        <f ca="1">IF($P306="PROXY",DSTDEV('literature entries'!$D:$AI,IF($J306=1,"ACTIVE     GHGE, FARM GATE (kg CO2e/kg)","GHGE, processor gate (kg CO2e/kg)"),INDIRECT($K306)),GETPIVOTDATA(IF($J306=1,"StdDev of ACTIVE     GHGE, FARM GATE (kg CO2e/kg)","StdDev of GHGE, processor gate (kg CO2e/kg)"),'Pivot Table_GHG'!$A$3,"SUB TYPE","chicken"))</f>
        <v>2.3000746274481916</v>
      </c>
      <c r="T306" s="88"/>
      <c r="U306" s="89"/>
      <c r="W306" s="213" t="str">
        <f t="shared" ca="1" si="43"/>
        <v>DIRECT</v>
      </c>
      <c r="X306" s="211">
        <f ca="1">IF($W306="DIRECT",M306,DCOUNT('literature entries'!$D:$AI,IF($J306=1,"ACTIVE     CED, FARM GATE (MJ/kg)","CED, processor gate (MJ/kg)"),INDIRECT($W306)))</f>
        <v>15</v>
      </c>
      <c r="Y306" s="211" t="str">
        <f ca="1">IF($W306="DIRECT","",DAVERAGE('literature entries'!$D:$AI,IF($J306=1,"ACTIVE     CED, FARM GATE (MJ/kg)","CED, processor gate (MJ/kg)"),INDIRECT($W306)))</f>
        <v/>
      </c>
      <c r="Z306" s="211">
        <f ca="1">IF($W306="DIRECT",$O306,DSTDEV('literature entries'!$D:$AI,IF($J306=1,"ACTIVE     CED, FARM GATE (MJ/kg)","CED, processor gate (MJ/kg)"),INDIRECT($W306)))</f>
        <v>11.446373044126648</v>
      </c>
      <c r="AA306" s="211">
        <f t="shared" ca="1" si="41"/>
        <v>11.446373044126648</v>
      </c>
      <c r="AB306" s="219" t="str">
        <f ca="1">IF(P306="PROXY",IF(Q306&gt;=5,K306,"need group"),IF(Q306&gt;=5,"DIRECT","need group"))</f>
        <v>DIRECT</v>
      </c>
      <c r="AC306" s="212">
        <f ca="1">IF($AB306="DIRECT",Q306,DCOUNT('literature entries'!$D:$AI,IF($J306=1,"ACTIVE     GHGE, FARM GATE (kg CO2e/kg)","GHGE, processor gate (kg CO2e/kg)"),INDIRECT($AB306)))</f>
        <v>32</v>
      </c>
      <c r="AD306" s="212" t="str">
        <f ca="1">IF($AB306="DIRECT","",DAVERAGE('literature entries'!$D:$AI,IF($J306=1,"ACTIVE     GHGE, FARM GATE (kg CO2e/kg)","GHGE, processor gate (kg CO2e/kg)"),INDIRECT($AB306)))</f>
        <v/>
      </c>
      <c r="AE306" s="212">
        <f ca="1">IF($AB306="DIRECT",$S306,DSTDEV('literature entries'!$D:$AI,IF($J306=1,"ACTIVE     GHGE, FARM GATE (kg CO2e/kg)","GHGE, processor gate (kg CO2e/kg)"),INDIRECT($AB306)))</f>
        <v>2.3000746274481916</v>
      </c>
      <c r="AF306" s="212">
        <f t="shared" ca="1" si="42"/>
        <v>2.3000746274481916</v>
      </c>
    </row>
    <row r="307" spans="1:32" s="19" customFormat="1" ht="17" thickBot="1" x14ac:dyDescent="0.25">
      <c r="A307" s="114">
        <v>4000096000</v>
      </c>
      <c r="B307" s="115" t="s">
        <v>1885</v>
      </c>
      <c r="C307" s="115" t="s">
        <v>1886</v>
      </c>
      <c r="D307" s="115"/>
      <c r="E307" s="115">
        <v>26710</v>
      </c>
      <c r="F307" s="111">
        <f t="shared" ca="1" si="34"/>
        <v>27.337984848484844</v>
      </c>
      <c r="G307" s="112">
        <f t="shared" ca="1" si="35"/>
        <v>4.1878483887317701</v>
      </c>
      <c r="H307" s="116">
        <v>1</v>
      </c>
      <c r="I307" s="117" t="s">
        <v>594</v>
      </c>
      <c r="J307" s="79">
        <v>1</v>
      </c>
      <c r="K307" s="188"/>
      <c r="L307" s="135" t="str">
        <f>IF(ISERROR(GETPIVOTDATA(IF($J307=1,"Count of ACTIVE     CED, FARM GATE (MJ/kg)","Count of CED, processor gate (MJ/kg)"),'Pivot Table_CED'!$A$3,"SUB TYPE","chicken")),"PROXY",IF(GETPIVOTDATA(IF($J307=1,"Count of ACTIVE     CED, FARM GATE (MJ/kg)","Count of CED, processor gate (MJ/kg)"),'Pivot Table_CED'!$A$3,"SUB TYPE","chicken")=0,"PROXY","DB value"))</f>
        <v>DB value</v>
      </c>
      <c r="M307" s="118">
        <f ca="1">IF($L307="PROXY",DCOUNT('literature entries'!$D:$AI,IF($J307=1,"ACTIVE     CED, FARM GATE (MJ/kg)","CED, processor gate (MJ/kg)"),INDIRECT($K307)),GETPIVOTDATA(IF($J307=1,"Count of ACTIVE     CED, FARM GATE (MJ/kg)","Count of CED, processor gate (MJ/kg)"),'Pivot Table_CED'!$A$3,"SUB TYPE","chicken"))</f>
        <v>15</v>
      </c>
      <c r="N307" s="119">
        <f ca="1">IF($L307="PROXY",DAVERAGE('literature entries'!$D:$AI,IF($J307=1,"ACTIVE     CED, FARM GATE (MJ/kg)","CED, processor gate (MJ/kg)"),INDIRECT($K307)),GETPIVOTDATA(IF($J307=1,"Average of ACTIVE     CED, FARM GATE (MJ/kg)","Average of CED, processor gate (MJ/kg)"),'Pivot Table_CED'!$A$3,"SUB TYPE","chicken"))</f>
        <v>27.337984848484844</v>
      </c>
      <c r="O307" s="119">
        <f ca="1">IF($L307="PROXY",DSTDEV('literature entries'!D:AI,IF($J307=1,"ACTIVE     CED, FARM GATE (MJ/kg)","CED, processor gate (MJ/kg)"),INDIRECT($K307)),GETPIVOTDATA(IF($J307=1,"StdDev of ACTIVE     CED, FARM GATE (MJ/kg)","StdDev of CED, processor gate (MJ/kg)"),'Pivot Table_CED'!$A$3,"SUB TYPE","chicken"))</f>
        <v>11.446373044126648</v>
      </c>
      <c r="P307" s="135" t="str">
        <f>IF(ISERROR(GETPIVOTDATA(IF($J307=1,"Count of ACTIVE     GHGE, FARM GATE (kg CO2e/kg)","Count of GHGE, processor gate (kg CO2e/kg)"),'Pivot Table_GHG'!$A$3,"SUB TYPE","chicken")),"PROXY",IF(GETPIVOTDATA(IF($J307=1,"Count of ACTIVE     GHGE, FARM GATE (kg CO2e/kg)","Count of GHGE, processor gate (kg CO2e/kg)"),'Pivot Table_GHG'!$A$3,"SUB TYPE","chicken")=0,"PROXY","DB value"))</f>
        <v>DB value</v>
      </c>
      <c r="Q307" s="125">
        <f ca="1">IF($P307="PROXY",DCOUNT('literature entries'!$D:$AI,IF($J307=1,"ACTIVE     GHGE, FARM GATE (kg CO2e/kg)","GHGE, processor gate (kg CO2e/kg)"),INDIRECT($K307)),GETPIVOTDATA(IF($J307=1,"ACTIVE     GHGE, FARM GATE (kg CO2e/kg)","Count of GHGE, processor gate (kg CO2e/kg)"),'Pivot Table_GHG'!$A$3,"SUB TYPE","chicken"))</f>
        <v>32</v>
      </c>
      <c r="R307" s="190">
        <f ca="1">IF($P307="PROXY",DAVERAGE('literature entries'!$D:$AI,IF($J307=1,"ACTIVE     GHGE, FARM GATE (kg CO2e/kg)","GHGE, processor gate (kg CO2e/kg)"),INDIRECT($K307)),GETPIVOTDATA(IF($J307=1,"Average of ACTIVE     GHGE, FARM GATE (kg CO2e/kg)","Average of GHGE, processor gate (kg CO2e/kg)"),'Pivot Table_GHG'!$A$3,"SUB TYPE","chicken"))</f>
        <v>4.1878483887317701</v>
      </c>
      <c r="S307" s="190">
        <f ca="1">IF($P307="PROXY",DSTDEV('literature entries'!$D:$AI,IF($J307=1,"ACTIVE     GHGE, FARM GATE (kg CO2e/kg)","GHGE, processor gate (kg CO2e/kg)"),INDIRECT($K307)),GETPIVOTDATA(IF($J307=1,"StdDev of ACTIVE     GHGE, FARM GATE (kg CO2e/kg)","StdDev of GHGE, processor gate (kg CO2e/kg)"),'Pivot Table_GHG'!$A$3,"SUB TYPE","chicken"))</f>
        <v>2.3000746274481916</v>
      </c>
      <c r="T307" s="88"/>
      <c r="U307" s="89"/>
      <c r="W307" s="213" t="str">
        <f t="shared" ca="1" si="43"/>
        <v>DIRECT</v>
      </c>
      <c r="X307" s="211">
        <f ca="1">IF($W307="DIRECT",M307,DCOUNT('literature entries'!$D:$AI,IF($J307=1,"ACTIVE     CED, FARM GATE (MJ/kg)","CED, processor gate (MJ/kg)"),INDIRECT($W307)))</f>
        <v>15</v>
      </c>
      <c r="Y307" s="211" t="str">
        <f ca="1">IF($W307="DIRECT","",DAVERAGE('literature entries'!$D:$AI,IF($J307=1,"ACTIVE     CED, FARM GATE (MJ/kg)","CED, processor gate (MJ/kg)"),INDIRECT($W307)))</f>
        <v/>
      </c>
      <c r="Z307" s="211">
        <f ca="1">IF($W307="DIRECT",$O307,DSTDEV('literature entries'!$D:$AI,IF($J307=1,"ACTIVE     CED, FARM GATE (MJ/kg)","CED, processor gate (MJ/kg)"),INDIRECT($W307)))</f>
        <v>11.446373044126648</v>
      </c>
      <c r="AA307" s="211">
        <f t="shared" ca="1" si="41"/>
        <v>11.446373044126648</v>
      </c>
      <c r="AB307" s="219" t="str">
        <f ca="1">IF(P307="PROXY",IF(Q307&gt;=5,K307,"need group"),IF(Q307&gt;=5,"DIRECT","need group"))</f>
        <v>DIRECT</v>
      </c>
      <c r="AC307" s="212">
        <f ca="1">IF($AB307="DIRECT",Q307,DCOUNT('literature entries'!$D:$AI,IF($J307=1,"ACTIVE     GHGE, FARM GATE (kg CO2e/kg)","GHGE, processor gate (kg CO2e/kg)"),INDIRECT($AB307)))</f>
        <v>32</v>
      </c>
      <c r="AD307" s="212" t="str">
        <f ca="1">IF($AB307="DIRECT","",DAVERAGE('literature entries'!$D:$AI,IF($J307=1,"ACTIVE     GHGE, FARM GATE (kg CO2e/kg)","GHGE, processor gate (kg CO2e/kg)"),INDIRECT($AB307)))</f>
        <v/>
      </c>
      <c r="AE307" s="212">
        <f ca="1">IF($AB307="DIRECT",$S307,DSTDEV('literature entries'!$D:$AI,IF($J307=1,"ACTIVE     GHGE, FARM GATE (kg CO2e/kg)","GHGE, processor gate (kg CO2e/kg)"),INDIRECT($AB307)))</f>
        <v>2.3000746274481916</v>
      </c>
      <c r="AF307" s="212">
        <f t="shared" ca="1" si="42"/>
        <v>2.3000746274481916</v>
      </c>
    </row>
    <row r="308" spans="1:32" s="19" customFormat="1" ht="17" thickBot="1" x14ac:dyDescent="0.25">
      <c r="A308" s="114">
        <v>4000097000</v>
      </c>
      <c r="B308" s="115" t="s">
        <v>1894</v>
      </c>
      <c r="C308" s="115" t="s">
        <v>1895</v>
      </c>
      <c r="D308" s="115"/>
      <c r="E308" s="115">
        <v>12543</v>
      </c>
      <c r="F308" s="111">
        <f t="shared" ca="1" si="34"/>
        <v>27.337984848484844</v>
      </c>
      <c r="G308" s="112">
        <f t="shared" ca="1" si="35"/>
        <v>4.1878483887317701</v>
      </c>
      <c r="H308" s="116">
        <v>1</v>
      </c>
      <c r="I308" s="117" t="s">
        <v>594</v>
      </c>
      <c r="J308" s="79">
        <v>1</v>
      </c>
      <c r="K308" s="188"/>
      <c r="L308" s="135" t="str">
        <f>IF(ISERROR(GETPIVOTDATA(IF($J308=1,"Count of ACTIVE     CED, FARM GATE (MJ/kg)","Count of CED, processor gate (MJ/kg)"),'Pivot Table_CED'!$A$3,"SUB TYPE","chicken")),"PROXY",IF(GETPIVOTDATA(IF($J308=1,"Count of ACTIVE     CED, FARM GATE (MJ/kg)","Count of CED, processor gate (MJ/kg)"),'Pivot Table_CED'!$A$3,"SUB TYPE","chicken")=0,"PROXY","DB value"))</f>
        <v>DB value</v>
      </c>
      <c r="M308" s="118">
        <f ca="1">IF($L308="PROXY",DCOUNT('literature entries'!$D:$AI,IF($J308=1,"ACTIVE     CED, FARM GATE (MJ/kg)","CED, processor gate (MJ/kg)"),INDIRECT($K308)),GETPIVOTDATA(IF($J308=1,"Count of ACTIVE     CED, FARM GATE (MJ/kg)","Count of CED, processor gate (MJ/kg)"),'Pivot Table_CED'!$A$3,"SUB TYPE","chicken"))</f>
        <v>15</v>
      </c>
      <c r="N308" s="119">
        <f ca="1">IF($L308="PROXY",DAVERAGE('literature entries'!$D:$AI,IF($J308=1,"ACTIVE     CED, FARM GATE (MJ/kg)","CED, processor gate (MJ/kg)"),INDIRECT($K308)),GETPIVOTDATA(IF($J308=1,"Average of ACTIVE     CED, FARM GATE (MJ/kg)","Average of CED, processor gate (MJ/kg)"),'Pivot Table_CED'!$A$3,"SUB TYPE","chicken"))</f>
        <v>27.337984848484844</v>
      </c>
      <c r="O308" s="119">
        <f ca="1">IF($L308="PROXY",DSTDEV('literature entries'!D:AI,IF($J308=1,"ACTIVE     CED, FARM GATE (MJ/kg)","CED, processor gate (MJ/kg)"),INDIRECT($K308)),GETPIVOTDATA(IF($J308=1,"StdDev of ACTIVE     CED, FARM GATE (MJ/kg)","StdDev of CED, processor gate (MJ/kg)"),'Pivot Table_CED'!$A$3,"SUB TYPE","chicken"))</f>
        <v>11.446373044126648</v>
      </c>
      <c r="P308" s="135" t="str">
        <f>IF(ISERROR(GETPIVOTDATA(IF($J308=1,"Count of ACTIVE     GHGE, FARM GATE (kg CO2e/kg)","Count of GHGE, processor gate (kg CO2e/kg)"),'Pivot Table_GHG'!$A$3,"SUB TYPE","chicken")),"PROXY",IF(GETPIVOTDATA(IF($J308=1,"Count of ACTIVE     GHGE, FARM GATE (kg CO2e/kg)","Count of GHGE, processor gate (kg CO2e/kg)"),'Pivot Table_GHG'!$A$3,"SUB TYPE","chicken")=0,"PROXY","DB value"))</f>
        <v>DB value</v>
      </c>
      <c r="Q308" s="125">
        <f ca="1">IF($P308="PROXY",DCOUNT('literature entries'!$D:$AI,IF($J308=1,"ACTIVE     GHGE, FARM GATE (kg CO2e/kg)","GHGE, processor gate (kg CO2e/kg)"),INDIRECT($K308)),GETPIVOTDATA(IF($J308=1,"ACTIVE     GHGE, FARM GATE (kg CO2e/kg)","Count of GHGE, processor gate (kg CO2e/kg)"),'Pivot Table_GHG'!$A$3,"SUB TYPE","chicken"))</f>
        <v>32</v>
      </c>
      <c r="R308" s="190">
        <f ca="1">IF($P308="PROXY",DAVERAGE('literature entries'!$D:$AI,IF($J308=1,"ACTIVE     GHGE, FARM GATE (kg CO2e/kg)","GHGE, processor gate (kg CO2e/kg)"),INDIRECT($K308)),GETPIVOTDATA(IF($J308=1,"Average of ACTIVE     GHGE, FARM GATE (kg CO2e/kg)","Average of GHGE, processor gate (kg CO2e/kg)"),'Pivot Table_GHG'!$A$3,"SUB TYPE","chicken"))</f>
        <v>4.1878483887317701</v>
      </c>
      <c r="S308" s="190">
        <f ca="1">IF($P308="PROXY",DSTDEV('literature entries'!$D:$AI,IF($J308=1,"ACTIVE     GHGE, FARM GATE (kg CO2e/kg)","GHGE, processor gate (kg CO2e/kg)"),INDIRECT($K308)),GETPIVOTDATA(IF($J308=1,"StdDev of ACTIVE     GHGE, FARM GATE (kg CO2e/kg)","StdDev of GHGE, processor gate (kg CO2e/kg)"),'Pivot Table_GHG'!$A$3,"SUB TYPE","chicken"))</f>
        <v>2.3000746274481916</v>
      </c>
      <c r="T308" s="88"/>
      <c r="U308" s="89"/>
      <c r="W308" s="213" t="str">
        <f t="shared" ca="1" si="43"/>
        <v>DIRECT</v>
      </c>
      <c r="X308" s="211">
        <f ca="1">IF($W308="DIRECT",M308,DCOUNT('literature entries'!$D:$AI,IF($J308=1,"ACTIVE     CED, FARM GATE (MJ/kg)","CED, processor gate (MJ/kg)"),INDIRECT($W308)))</f>
        <v>15</v>
      </c>
      <c r="Y308" s="211" t="str">
        <f ca="1">IF($W308="DIRECT","",DAVERAGE('literature entries'!$D:$AI,IF($J308=1,"ACTIVE     CED, FARM GATE (MJ/kg)","CED, processor gate (MJ/kg)"),INDIRECT($W308)))</f>
        <v/>
      </c>
      <c r="Z308" s="211">
        <f ca="1">IF($W308="DIRECT",$O308,DSTDEV('literature entries'!$D:$AI,IF($J308=1,"ACTIVE     CED, FARM GATE (MJ/kg)","CED, processor gate (MJ/kg)"),INDIRECT($W308)))</f>
        <v>11.446373044126648</v>
      </c>
      <c r="AA308" s="211">
        <f t="shared" ca="1" si="41"/>
        <v>11.446373044126648</v>
      </c>
      <c r="AB308" s="219" t="str">
        <f ca="1">IF(P308="PROXY",IF(Q308&gt;=5,K308,"need group"),IF(Q308&gt;=5,"DIRECT","need group"))</f>
        <v>DIRECT</v>
      </c>
      <c r="AC308" s="212">
        <f ca="1">IF($AB308="DIRECT",Q308,DCOUNT('literature entries'!$D:$AI,IF($J308=1,"ACTIVE     GHGE, FARM GATE (kg CO2e/kg)","GHGE, processor gate (kg CO2e/kg)"),INDIRECT($AB308)))</f>
        <v>32</v>
      </c>
      <c r="AD308" s="212" t="str">
        <f ca="1">IF($AB308="DIRECT","",DAVERAGE('literature entries'!$D:$AI,IF($J308=1,"ACTIVE     GHGE, FARM GATE (kg CO2e/kg)","GHGE, processor gate (kg CO2e/kg)"),INDIRECT($AB308)))</f>
        <v/>
      </c>
      <c r="AE308" s="212">
        <f ca="1">IF($AB308="DIRECT",$S308,DSTDEV('literature entries'!$D:$AI,IF($J308=1,"ACTIVE     GHGE, FARM GATE (kg CO2e/kg)","GHGE, processor gate (kg CO2e/kg)"),INDIRECT($AB308)))</f>
        <v>2.3000746274481916</v>
      </c>
      <c r="AF308" s="212">
        <f t="shared" ca="1" si="42"/>
        <v>2.3000746274481916</v>
      </c>
    </row>
    <row r="309" spans="1:32" s="19" customFormat="1" ht="17" thickBot="1" x14ac:dyDescent="0.25">
      <c r="A309" s="114">
        <v>5000382000</v>
      </c>
      <c r="B309" s="115" t="s">
        <v>2324</v>
      </c>
      <c r="C309" s="115" t="s">
        <v>2325</v>
      </c>
      <c r="D309" s="115"/>
      <c r="E309" s="115">
        <v>12047</v>
      </c>
      <c r="F309" s="111">
        <f t="shared" ca="1" si="34"/>
        <v>27.337984848484844</v>
      </c>
      <c r="G309" s="112">
        <f t="shared" ca="1" si="35"/>
        <v>2.5714285714285712</v>
      </c>
      <c r="H309" s="116">
        <v>1</v>
      </c>
      <c r="I309" s="117" t="s">
        <v>594</v>
      </c>
      <c r="J309" s="79">
        <v>1</v>
      </c>
      <c r="K309" s="188" t="s">
        <v>2448</v>
      </c>
      <c r="L309" s="135" t="str">
        <f>IF(ISERROR(GETPIVOTDATA(IF($J309=1,"Count of ACTIVE     CED, FARM GATE (MJ/kg)","Count of CED, processor gate (MJ/kg)"),'Pivot Table_CED'!$A$3,"SUB TYPE","Turkey")),"PROXY",IF(GETPIVOTDATA(IF($J309=1,"Count of ACTIVE     CED, FARM GATE (MJ/kg)","Count of CED, processor gate (MJ/kg)"),'Pivot Table_CED'!$A$3,"SUB TYPE","Turkey")=0,"PROXY","DB value"))</f>
        <v>PROXY</v>
      </c>
      <c r="M309" s="118">
        <f ca="1">IF($L309="PROXY",DCOUNT('literature entries'!$D:$AI,IF($J309=1,"ACTIVE     CED, FARM GATE (MJ/kg)","CED, processor gate (MJ/kg)"),INDIRECT($K309)),GETPIVOTDATA(IF($J309=1,"Count of ACTIVE     CED, FARM GATE (MJ/kg)","Count of CED, processor gate (MJ/kg)"),'Pivot Table_CED'!$A$3,"SUB TYPE","Turkey"))</f>
        <v>15</v>
      </c>
      <c r="N309" s="119">
        <f ca="1">IF($L309="PROXY",DAVERAGE('literature entries'!$D:$AI,IF($J309=1,"ACTIVE     CED, FARM GATE (MJ/kg)","CED, processor gate (MJ/kg)"),INDIRECT($K309)),GETPIVOTDATA(IF($J309=1,"Average of ACTIVE     CED, FARM GATE (MJ/kg)","Average of CED, processor gate (MJ/kg)"),'Pivot Table_CED'!$A$3,"SUB TYPE","Turkey"))</f>
        <v>27.337984848484844</v>
      </c>
      <c r="O309" s="119">
        <f ca="1">IF($L309="PROXY",DSTDEV('literature entries'!D:AI,IF($J309=1,"ACTIVE     CED, FARM GATE (MJ/kg)","CED, processor gate (MJ/kg)"),INDIRECT($K309)),GETPIVOTDATA(IF($J309=1,"StdDev of ACTIVE     CED, FARM GATE (MJ/kg)","StdDev of CED, processor gate (MJ/kg)"),'Pivot Table_CED'!$A$3,"SUB TYPE","Turkey"))</f>
        <v>11.446373044126648</v>
      </c>
      <c r="P309" s="135" t="str">
        <f>IF(ISERROR(GETPIVOTDATA(IF($J309=1,"Count of ACTIVE     GHGE, FARM GATE (kg CO2e/kg)","Count of GHGE, processor gate (kg CO2e/kg)"),'Pivot Table_GHG'!$A$3,"SUB TYPE","Turkey")),"PROXY",IF(GETPIVOTDATA(IF($J309=1,"Count of ACTIVE     GHGE, FARM GATE (kg CO2e/kg)","Count of GHGE, processor gate (kg CO2e/kg)"),'Pivot Table_GHG'!$A$3,"SUB TYPE","Turkey")=0,"PROXY","DB value"))</f>
        <v>DB value</v>
      </c>
      <c r="Q309" s="125">
        <f ca="1">IF($P309="PROXY",DCOUNT('literature entries'!$D:$AI,IF($J309=1,"ACTIVE     GHGE, FARM GATE (kg CO2e/kg)","GHGE, processor gate (kg CO2e/kg)"),INDIRECT($K309)),GETPIVOTDATA(IF($J309=1,"ACTIVE     GHGE, FARM GATE (kg CO2e/kg)","Count of GHGE, processor gate (kg CO2e/kg)"),'Pivot Table_GHG'!$A$3,"SUB TYPE","Turkey"))</f>
        <v>1</v>
      </c>
      <c r="R309" s="190">
        <f ca="1">IF($P309="PROXY",DAVERAGE('literature entries'!$D:$AI,IF($J309=1,"ACTIVE     GHGE, FARM GATE (kg CO2e/kg)","GHGE, processor gate (kg CO2e/kg)"),INDIRECT($K309)),GETPIVOTDATA(IF($J309=1,"Average of ACTIVE     GHGE, FARM GATE (kg CO2e/kg)","Average of GHGE, processor gate (kg CO2e/kg)"),'Pivot Table_GHG'!$A$3,"SUB TYPE","Turkey"))</f>
        <v>2.5714285714285712</v>
      </c>
      <c r="S309" s="190" t="e">
        <f ca="1">IF($P309="PROXY",DSTDEV('literature entries'!$D:$AI,IF($J309=1,"ACTIVE     GHGE, FARM GATE (kg CO2e/kg)","GHGE, processor gate (kg CO2e/kg)"),INDIRECT($K309)),GETPIVOTDATA(IF($J309=1,"StdDev of ACTIVE     GHGE, FARM GATE (kg CO2e/kg)","StdDev of GHGE, processor gate (kg CO2e/kg)"),'Pivot Table_GHG'!$A$3,"SUB TYPE","Turkey"))</f>
        <v>#DIV/0!</v>
      </c>
      <c r="T309" s="88"/>
      <c r="U309" s="89"/>
      <c r="W309" s="213" t="str">
        <f t="shared" ca="1" si="43"/>
        <v>chicken</v>
      </c>
      <c r="X309" s="211">
        <f ca="1">IF($W309="DIRECT",M309,DCOUNT('literature entries'!$D:$AI,IF($J309=1,"ACTIVE     CED, FARM GATE (MJ/kg)","CED, processor gate (MJ/kg)"),INDIRECT($W309)))</f>
        <v>15</v>
      </c>
      <c r="Y309" s="211">
        <f ca="1">IF($W309="DIRECT","",DAVERAGE('literature entries'!$D:$AI,IF($J309=1,"ACTIVE     CED, FARM GATE (MJ/kg)","CED, processor gate (MJ/kg)"),INDIRECT($W309)))</f>
        <v>27.337984848484844</v>
      </c>
      <c r="Z309" s="211">
        <f ca="1">IF($W309="DIRECT",$O309,DSTDEV('literature entries'!$D:$AI,IF($J309=1,"ACTIVE     CED, FARM GATE (MJ/kg)","CED, processor gate (MJ/kg)"),INDIRECT($W309)))</f>
        <v>11.446373044126648</v>
      </c>
      <c r="AA309" s="211">
        <f t="shared" ca="1" si="41"/>
        <v>11.446373044126648</v>
      </c>
      <c r="AB309" s="219" t="s">
        <v>2448</v>
      </c>
      <c r="AC309" s="212">
        <f ca="1">IF($AB309="DIRECT",Q309,DCOUNT('literature entries'!$D:$AI,IF($J309=1,"ACTIVE     GHGE, FARM GATE (kg CO2e/kg)","GHGE, processor gate (kg CO2e/kg)"),INDIRECT($AB309)))</f>
        <v>32</v>
      </c>
      <c r="AD309" s="212">
        <f ca="1">IF($AB309="DIRECT","",DAVERAGE('literature entries'!$D:$AI,IF($J309=1,"ACTIVE     GHGE, FARM GATE (kg CO2e/kg)","GHGE, processor gate (kg CO2e/kg)"),INDIRECT($AB309)))</f>
        <v>4.1878483887317701</v>
      </c>
      <c r="AE309" s="212">
        <f ca="1">IF($AB309="DIRECT",$S309,DSTDEV('literature entries'!$D:$AI,IF($J309=1,"ACTIVE     GHGE, FARM GATE (kg CO2e/kg)","GHGE, processor gate (kg CO2e/kg)"),INDIRECT($AB309)))</f>
        <v>2.3000746274481916</v>
      </c>
      <c r="AF309" s="212">
        <f t="shared" ca="1" si="42"/>
        <v>1.4122950652540984</v>
      </c>
    </row>
    <row r="310" spans="1:32" s="19" customFormat="1" ht="17" thickBot="1" x14ac:dyDescent="0.25">
      <c r="A310" s="114">
        <v>5000383000</v>
      </c>
      <c r="B310" s="115" t="s">
        <v>2323</v>
      </c>
      <c r="C310" s="115" t="s">
        <v>2212</v>
      </c>
      <c r="D310" s="115"/>
      <c r="E310" s="115">
        <v>122</v>
      </c>
      <c r="F310" s="111">
        <f t="shared" ca="1" si="34"/>
        <v>27.337984848484844</v>
      </c>
      <c r="G310" s="112">
        <f t="shared" ca="1" si="35"/>
        <v>2.5714285714285712</v>
      </c>
      <c r="H310" s="116">
        <v>1</v>
      </c>
      <c r="I310" s="117" t="s">
        <v>594</v>
      </c>
      <c r="J310" s="79">
        <v>1</v>
      </c>
      <c r="K310" s="188" t="s">
        <v>2448</v>
      </c>
      <c r="L310" s="135" t="str">
        <f>IF(ISERROR(GETPIVOTDATA(IF($J310=1,"Count of ACTIVE     CED, FARM GATE (MJ/kg)","Count of CED, processor gate (MJ/kg)"),'Pivot Table_CED'!$A$3,"SUB TYPE","Turkey")),"PROXY",IF(GETPIVOTDATA(IF($J310=1,"Count of ACTIVE     CED, FARM GATE (MJ/kg)","Count of CED, processor gate (MJ/kg)"),'Pivot Table_CED'!$A$3,"SUB TYPE","Turkey")=0,"PROXY","DB value"))</f>
        <v>PROXY</v>
      </c>
      <c r="M310" s="118">
        <f ca="1">IF($L310="PROXY",DCOUNT('literature entries'!$D:$AI,IF($J310=1,"ACTIVE     CED, FARM GATE (MJ/kg)","CED, processor gate (MJ/kg)"),INDIRECT($K310)),GETPIVOTDATA(IF($J310=1,"Count of ACTIVE     CED, FARM GATE (MJ/kg)","Count of CED, processor gate (MJ/kg)"),'Pivot Table_CED'!$A$3,"SUB TYPE","Turkey"))</f>
        <v>15</v>
      </c>
      <c r="N310" s="119">
        <f ca="1">IF($L310="PROXY",DAVERAGE('literature entries'!$D:$AI,IF($J310=1,"ACTIVE     CED, FARM GATE (MJ/kg)","CED, processor gate (MJ/kg)"),INDIRECT($K310)),GETPIVOTDATA(IF($J310=1,"Average of ACTIVE     CED, FARM GATE (MJ/kg)","Average of CED, processor gate (MJ/kg)"),'Pivot Table_CED'!$A$3,"SUB TYPE","Turkey"))</f>
        <v>27.337984848484844</v>
      </c>
      <c r="O310" s="119">
        <f ca="1">IF($L310="PROXY",DSTDEV('literature entries'!D:AI,IF($J310=1,"ACTIVE     CED, FARM GATE (MJ/kg)","CED, processor gate (MJ/kg)"),INDIRECT($K310)),GETPIVOTDATA(IF($J310=1,"StdDev of ACTIVE     CED, FARM GATE (MJ/kg)","StdDev of CED, processor gate (MJ/kg)"),'Pivot Table_CED'!$A$3,"SUB TYPE","Turkey"))</f>
        <v>11.446373044126648</v>
      </c>
      <c r="P310" s="135" t="str">
        <f>IF(ISERROR(GETPIVOTDATA(IF($J310=1,"Count of ACTIVE     GHGE, FARM GATE (kg CO2e/kg)","Count of GHGE, processor gate (kg CO2e/kg)"),'Pivot Table_GHG'!$A$3,"SUB TYPE","Turkey")),"PROXY",IF(GETPIVOTDATA(IF($J310=1,"Count of ACTIVE     GHGE, FARM GATE (kg CO2e/kg)","Count of GHGE, processor gate (kg CO2e/kg)"),'Pivot Table_GHG'!$A$3,"SUB TYPE","Turkey")=0,"PROXY","DB value"))</f>
        <v>DB value</v>
      </c>
      <c r="Q310" s="125">
        <f ca="1">IF($P310="PROXY",DCOUNT('literature entries'!$D:$AI,IF($J310=1,"ACTIVE     GHGE, FARM GATE (kg CO2e/kg)","GHGE, processor gate (kg CO2e/kg)"),INDIRECT($K310)),GETPIVOTDATA(IF($J310=1,"ACTIVE     GHGE, FARM GATE (kg CO2e/kg)","Count of GHGE, processor gate (kg CO2e/kg)"),'Pivot Table_GHG'!$A$3,"SUB TYPE","Turkey"))</f>
        <v>1</v>
      </c>
      <c r="R310" s="190">
        <f ca="1">IF($P310="PROXY",DAVERAGE('literature entries'!$D:$AI,IF($J310=1,"ACTIVE     GHGE, FARM GATE (kg CO2e/kg)","GHGE, processor gate (kg CO2e/kg)"),INDIRECT($K310)),GETPIVOTDATA(IF($J310=1,"Average of ACTIVE     GHGE, FARM GATE (kg CO2e/kg)","Average of GHGE, processor gate (kg CO2e/kg)"),'Pivot Table_GHG'!$A$3,"SUB TYPE","Turkey"))</f>
        <v>2.5714285714285712</v>
      </c>
      <c r="S310" s="190" t="e">
        <f ca="1">IF($P310="PROXY",DSTDEV('literature entries'!$D:$AI,IF($J310=1,"ACTIVE     GHGE, FARM GATE (kg CO2e/kg)","GHGE, processor gate (kg CO2e/kg)"),INDIRECT($K310)),GETPIVOTDATA(IF($J310=1,"StdDev of ACTIVE     GHGE, FARM GATE (kg CO2e/kg)","StdDev of GHGE, processor gate (kg CO2e/kg)"),'Pivot Table_GHG'!$A$3,"SUB TYPE","Turkey"))</f>
        <v>#DIV/0!</v>
      </c>
      <c r="T310" s="88"/>
      <c r="U310" s="89"/>
      <c r="W310" s="213" t="str">
        <f t="shared" ca="1" si="43"/>
        <v>chicken</v>
      </c>
      <c r="X310" s="211">
        <f ca="1">IF($W310="DIRECT",M310,DCOUNT('literature entries'!$D:$AI,IF($J310=1,"ACTIVE     CED, FARM GATE (MJ/kg)","CED, processor gate (MJ/kg)"),INDIRECT($W310)))</f>
        <v>15</v>
      </c>
      <c r="Y310" s="211">
        <f ca="1">IF($W310="DIRECT","",DAVERAGE('literature entries'!$D:$AI,IF($J310=1,"ACTIVE     CED, FARM GATE (MJ/kg)","CED, processor gate (MJ/kg)"),INDIRECT($W310)))</f>
        <v>27.337984848484844</v>
      </c>
      <c r="Z310" s="211">
        <f ca="1">IF($W310="DIRECT",$O310,DSTDEV('literature entries'!$D:$AI,IF($J310=1,"ACTIVE     CED, FARM GATE (MJ/kg)","CED, processor gate (MJ/kg)"),INDIRECT($W310)))</f>
        <v>11.446373044126648</v>
      </c>
      <c r="AA310" s="211">
        <f t="shared" ca="1" si="41"/>
        <v>11.446373044126648</v>
      </c>
      <c r="AB310" s="219" t="s">
        <v>2448</v>
      </c>
      <c r="AC310" s="212">
        <f ca="1">IF($AB310="DIRECT",Q310,DCOUNT('literature entries'!$D:$AI,IF($J310=1,"ACTIVE     GHGE, FARM GATE (kg CO2e/kg)","GHGE, processor gate (kg CO2e/kg)"),INDIRECT($AB310)))</f>
        <v>32</v>
      </c>
      <c r="AD310" s="212">
        <f ca="1">IF($AB310="DIRECT","",DAVERAGE('literature entries'!$D:$AI,IF($J310=1,"ACTIVE     GHGE, FARM GATE (kg CO2e/kg)","GHGE, processor gate (kg CO2e/kg)"),INDIRECT($AB310)))</f>
        <v>4.1878483887317701</v>
      </c>
      <c r="AE310" s="212">
        <f ca="1">IF($AB310="DIRECT",$S310,DSTDEV('literature entries'!$D:$AI,IF($J310=1,"ACTIVE     GHGE, FARM GATE (kg CO2e/kg)","GHGE, processor gate (kg CO2e/kg)"),INDIRECT($AB310)))</f>
        <v>2.3000746274481916</v>
      </c>
      <c r="AF310" s="212">
        <f t="shared" ca="1" si="42"/>
        <v>1.4122950652540984</v>
      </c>
    </row>
    <row r="311" spans="1:32" s="19" customFormat="1" ht="17" thickBot="1" x14ac:dyDescent="0.25">
      <c r="A311" s="114">
        <v>5000384000</v>
      </c>
      <c r="B311" s="115" t="s">
        <v>2326</v>
      </c>
      <c r="C311" s="115" t="s">
        <v>2327</v>
      </c>
      <c r="D311" s="115" t="s">
        <v>2328</v>
      </c>
      <c r="E311" s="115">
        <v>10762</v>
      </c>
      <c r="F311" s="111">
        <f t="shared" ca="1" si="34"/>
        <v>27.337984848484844</v>
      </c>
      <c r="G311" s="112">
        <f t="shared" ca="1" si="35"/>
        <v>2.5714285714285712</v>
      </c>
      <c r="H311" s="116">
        <v>1</v>
      </c>
      <c r="I311" s="117" t="s">
        <v>594</v>
      </c>
      <c r="J311" s="79">
        <v>1</v>
      </c>
      <c r="K311" s="188" t="s">
        <v>2448</v>
      </c>
      <c r="L311" s="135" t="str">
        <f>IF(ISERROR(GETPIVOTDATA(IF($J311=1,"Count of ACTIVE     CED, FARM GATE (MJ/kg)","Count of CED, processor gate (MJ/kg)"),'Pivot Table_CED'!$A$3,"SUB TYPE","Turkey")),"PROXY",IF(GETPIVOTDATA(IF($J311=1,"Count of ACTIVE     CED, FARM GATE (MJ/kg)","Count of CED, processor gate (MJ/kg)"),'Pivot Table_CED'!$A$3,"SUB TYPE","Turkey")=0,"PROXY","DB value"))</f>
        <v>PROXY</v>
      </c>
      <c r="M311" s="118">
        <f ca="1">IF($L311="PROXY",DCOUNT('literature entries'!$D:$AI,IF($J311=1,"ACTIVE     CED, FARM GATE (MJ/kg)","CED, processor gate (MJ/kg)"),INDIRECT($K311)),GETPIVOTDATA(IF($J311=1,"Count of ACTIVE     CED, FARM GATE (MJ/kg)","Count of CED, processor gate (MJ/kg)"),'Pivot Table_CED'!$A$3,"SUB TYPE","Turkey"))</f>
        <v>15</v>
      </c>
      <c r="N311" s="119">
        <f ca="1">IF($L311="PROXY",DAVERAGE('literature entries'!$D:$AI,IF($J311=1,"ACTIVE     CED, FARM GATE (MJ/kg)","CED, processor gate (MJ/kg)"),INDIRECT($K311)),GETPIVOTDATA(IF($J311=1,"Average of ACTIVE     CED, FARM GATE (MJ/kg)","Average of CED, processor gate (MJ/kg)"),'Pivot Table_CED'!$A$3,"SUB TYPE","Turkey"))</f>
        <v>27.337984848484844</v>
      </c>
      <c r="O311" s="119">
        <f ca="1">IF($L311="PROXY",DSTDEV('literature entries'!D:AI,IF($J311=1,"ACTIVE     CED, FARM GATE (MJ/kg)","CED, processor gate (MJ/kg)"),INDIRECT($K311)),GETPIVOTDATA(IF($J311=1,"StdDev of ACTIVE     CED, FARM GATE (MJ/kg)","StdDev of CED, processor gate (MJ/kg)"),'Pivot Table_CED'!$A$3,"SUB TYPE","Turkey"))</f>
        <v>11.446373044126648</v>
      </c>
      <c r="P311" s="135" t="str">
        <f>IF(ISERROR(GETPIVOTDATA(IF($J311=1,"Count of ACTIVE     GHGE, FARM GATE (kg CO2e/kg)","Count of GHGE, processor gate (kg CO2e/kg)"),'Pivot Table_GHG'!$A$3,"SUB TYPE","Turkey")),"PROXY",IF(GETPIVOTDATA(IF($J311=1,"Count of ACTIVE     GHGE, FARM GATE (kg CO2e/kg)","Count of GHGE, processor gate (kg CO2e/kg)"),'Pivot Table_GHG'!$A$3,"SUB TYPE","Turkey")=0,"PROXY","DB value"))</f>
        <v>DB value</v>
      </c>
      <c r="Q311" s="125">
        <f ca="1">IF($P311="PROXY",DCOUNT('literature entries'!$D:$AI,IF($J311=1,"ACTIVE     GHGE, FARM GATE (kg CO2e/kg)","GHGE, processor gate (kg CO2e/kg)"),INDIRECT($K311)),GETPIVOTDATA(IF($J311=1,"ACTIVE     GHGE, FARM GATE (kg CO2e/kg)","Count of GHGE, processor gate (kg CO2e/kg)"),'Pivot Table_GHG'!$A$3,"SUB TYPE","Turkey"))</f>
        <v>1</v>
      </c>
      <c r="R311" s="190">
        <f ca="1">IF($P311="PROXY",DAVERAGE('literature entries'!$D:$AI,IF($J311=1,"ACTIVE     GHGE, FARM GATE (kg CO2e/kg)","GHGE, processor gate (kg CO2e/kg)"),INDIRECT($K311)),GETPIVOTDATA(IF($J311=1,"Average of ACTIVE     GHGE, FARM GATE (kg CO2e/kg)","Average of GHGE, processor gate (kg CO2e/kg)"),'Pivot Table_GHG'!$A$3,"SUB TYPE","Turkey"))</f>
        <v>2.5714285714285712</v>
      </c>
      <c r="S311" s="190" t="e">
        <f ca="1">IF($P311="PROXY",DSTDEV('literature entries'!$D:$AI,IF($J311=1,"ACTIVE     GHGE, FARM GATE (kg CO2e/kg)","GHGE, processor gate (kg CO2e/kg)"),INDIRECT($K311)),GETPIVOTDATA(IF($J311=1,"StdDev of ACTIVE     GHGE, FARM GATE (kg CO2e/kg)","StdDev of GHGE, processor gate (kg CO2e/kg)"),'Pivot Table_GHG'!$A$3,"SUB TYPE","Turkey"))</f>
        <v>#DIV/0!</v>
      </c>
      <c r="T311" s="88"/>
      <c r="U311" s="89"/>
      <c r="W311" s="213" t="str">
        <f t="shared" ca="1" si="43"/>
        <v>chicken</v>
      </c>
      <c r="X311" s="211">
        <f ca="1">IF($W311="DIRECT",M311,DCOUNT('literature entries'!$D:$AI,IF($J311=1,"ACTIVE     CED, FARM GATE (MJ/kg)","CED, processor gate (MJ/kg)"),INDIRECT($W311)))</f>
        <v>15</v>
      </c>
      <c r="Y311" s="211">
        <f ca="1">IF($W311="DIRECT","",DAVERAGE('literature entries'!$D:$AI,IF($J311=1,"ACTIVE     CED, FARM GATE (MJ/kg)","CED, processor gate (MJ/kg)"),INDIRECT($W311)))</f>
        <v>27.337984848484844</v>
      </c>
      <c r="Z311" s="211">
        <f ca="1">IF($W311="DIRECT",$O311,DSTDEV('literature entries'!$D:$AI,IF($J311=1,"ACTIVE     CED, FARM GATE (MJ/kg)","CED, processor gate (MJ/kg)"),INDIRECT($W311)))</f>
        <v>11.446373044126648</v>
      </c>
      <c r="AA311" s="211">
        <f t="shared" ca="1" si="41"/>
        <v>11.446373044126648</v>
      </c>
      <c r="AB311" s="219" t="s">
        <v>2448</v>
      </c>
      <c r="AC311" s="212">
        <f ca="1">IF($AB311="DIRECT",Q311,DCOUNT('literature entries'!$D:$AI,IF($J311=1,"ACTIVE     GHGE, FARM GATE (kg CO2e/kg)","GHGE, processor gate (kg CO2e/kg)"),INDIRECT($AB311)))</f>
        <v>32</v>
      </c>
      <c r="AD311" s="212">
        <f ca="1">IF($AB311="DIRECT","",DAVERAGE('literature entries'!$D:$AI,IF($J311=1,"ACTIVE     GHGE, FARM GATE (kg CO2e/kg)","GHGE, processor gate (kg CO2e/kg)"),INDIRECT($AB311)))</f>
        <v>4.1878483887317701</v>
      </c>
      <c r="AE311" s="212">
        <f ca="1">IF($AB311="DIRECT",$S311,DSTDEV('literature entries'!$D:$AI,IF($J311=1,"ACTIVE     GHGE, FARM GATE (kg CO2e/kg)","GHGE, processor gate (kg CO2e/kg)"),INDIRECT($AB311)))</f>
        <v>2.3000746274481916</v>
      </c>
      <c r="AF311" s="212">
        <f t="shared" ca="1" si="42"/>
        <v>1.4122950652540984</v>
      </c>
    </row>
    <row r="312" spans="1:32" s="19" customFormat="1" ht="17" thickBot="1" x14ac:dyDescent="0.25">
      <c r="A312" s="114">
        <v>5000385000</v>
      </c>
      <c r="B312" s="115" t="s">
        <v>2321</v>
      </c>
      <c r="C312" s="115" t="s">
        <v>2322</v>
      </c>
      <c r="D312" s="115"/>
      <c r="E312" s="115">
        <v>12144</v>
      </c>
      <c r="F312" s="111">
        <f t="shared" ca="1" si="34"/>
        <v>27.337984848484844</v>
      </c>
      <c r="G312" s="112">
        <f t="shared" ca="1" si="35"/>
        <v>2.5714285714285712</v>
      </c>
      <c r="H312" s="116">
        <v>1</v>
      </c>
      <c r="I312" s="117" t="s">
        <v>594</v>
      </c>
      <c r="J312" s="79">
        <v>1</v>
      </c>
      <c r="K312" s="188" t="s">
        <v>2448</v>
      </c>
      <c r="L312" s="135" t="str">
        <f>IF(ISERROR(GETPIVOTDATA(IF($J312=1,"Count of ACTIVE     CED, FARM GATE (MJ/kg)","Count of CED, processor gate (MJ/kg)"),'Pivot Table_CED'!$A$3,"SUB TYPE","Turkey")),"PROXY",IF(GETPIVOTDATA(IF($J312=1,"Count of ACTIVE     CED, FARM GATE (MJ/kg)","Count of CED, processor gate (MJ/kg)"),'Pivot Table_CED'!$A$3,"SUB TYPE","Turkey")=0,"PROXY","DB value"))</f>
        <v>PROXY</v>
      </c>
      <c r="M312" s="118">
        <f ca="1">IF($L312="PROXY",DCOUNT('literature entries'!$D:$AI,IF($J312=1,"ACTIVE     CED, FARM GATE (MJ/kg)","CED, processor gate (MJ/kg)"),INDIRECT($K312)),GETPIVOTDATA(IF($J312=1,"Count of ACTIVE     CED, FARM GATE (MJ/kg)","Count of CED, processor gate (MJ/kg)"),'Pivot Table_CED'!$A$3,"SUB TYPE","Turkey"))</f>
        <v>15</v>
      </c>
      <c r="N312" s="119">
        <f ca="1">IF($L312="PROXY",DAVERAGE('literature entries'!$D:$AI,IF($J312=1,"ACTIVE     CED, FARM GATE (MJ/kg)","CED, processor gate (MJ/kg)"),INDIRECT($K312)),GETPIVOTDATA(IF($J312=1,"Average of ACTIVE     CED, FARM GATE (MJ/kg)","Average of CED, processor gate (MJ/kg)"),'Pivot Table_CED'!$A$3,"SUB TYPE","Turkey"))</f>
        <v>27.337984848484844</v>
      </c>
      <c r="O312" s="119">
        <f ca="1">IF($L312="PROXY",DSTDEV('literature entries'!D:AI,IF($J312=1,"ACTIVE     CED, FARM GATE (MJ/kg)","CED, processor gate (MJ/kg)"),INDIRECT($K312)),GETPIVOTDATA(IF($J312=1,"StdDev of ACTIVE     CED, FARM GATE (MJ/kg)","StdDev of CED, processor gate (MJ/kg)"),'Pivot Table_CED'!$A$3,"SUB TYPE","Turkey"))</f>
        <v>11.446373044126648</v>
      </c>
      <c r="P312" s="135" t="str">
        <f>IF(ISERROR(GETPIVOTDATA(IF($J312=1,"Count of ACTIVE     GHGE, FARM GATE (kg CO2e/kg)","Count of GHGE, processor gate (kg CO2e/kg)"),'Pivot Table_GHG'!$A$3,"SUB TYPE","Turkey")),"PROXY",IF(GETPIVOTDATA(IF($J312=1,"Count of ACTIVE     GHGE, FARM GATE (kg CO2e/kg)","Count of GHGE, processor gate (kg CO2e/kg)"),'Pivot Table_GHG'!$A$3,"SUB TYPE","Turkey")=0,"PROXY","DB value"))</f>
        <v>DB value</v>
      </c>
      <c r="Q312" s="125">
        <f ca="1">IF($P312="PROXY",DCOUNT('literature entries'!$D:$AI,IF($J312=1,"ACTIVE     GHGE, FARM GATE (kg CO2e/kg)","GHGE, processor gate (kg CO2e/kg)"),INDIRECT($K312)),GETPIVOTDATA(IF($J312=1,"ACTIVE     GHGE, FARM GATE (kg CO2e/kg)","Count of GHGE, processor gate (kg CO2e/kg)"),'Pivot Table_GHG'!$A$3,"SUB TYPE","Turkey"))</f>
        <v>1</v>
      </c>
      <c r="R312" s="190">
        <f ca="1">IF($P312="PROXY",DAVERAGE('literature entries'!$D:$AI,IF($J312=1,"ACTIVE     GHGE, FARM GATE (kg CO2e/kg)","GHGE, processor gate (kg CO2e/kg)"),INDIRECT($K312)),GETPIVOTDATA(IF($J312=1,"Average of ACTIVE     GHGE, FARM GATE (kg CO2e/kg)","Average of GHGE, processor gate (kg CO2e/kg)"),'Pivot Table_GHG'!$A$3,"SUB TYPE","Turkey"))</f>
        <v>2.5714285714285712</v>
      </c>
      <c r="S312" s="190" t="e">
        <f ca="1">IF($P312="PROXY",DSTDEV('literature entries'!$D:$AI,IF($J312=1,"ACTIVE     GHGE, FARM GATE (kg CO2e/kg)","GHGE, processor gate (kg CO2e/kg)"),INDIRECT($K312)),GETPIVOTDATA(IF($J312=1,"StdDev of ACTIVE     GHGE, FARM GATE (kg CO2e/kg)","StdDev of GHGE, processor gate (kg CO2e/kg)"),'Pivot Table_GHG'!$A$3,"SUB TYPE","Turkey"))</f>
        <v>#DIV/0!</v>
      </c>
      <c r="T312" s="88"/>
      <c r="U312" s="89"/>
      <c r="W312" s="213" t="str">
        <f t="shared" ca="1" si="43"/>
        <v>chicken</v>
      </c>
      <c r="X312" s="211">
        <f ca="1">IF($W312="DIRECT",M312,DCOUNT('literature entries'!$D:$AI,IF($J312=1,"ACTIVE     CED, FARM GATE (MJ/kg)","CED, processor gate (MJ/kg)"),INDIRECT($W312)))</f>
        <v>15</v>
      </c>
      <c r="Y312" s="211">
        <f ca="1">IF($W312="DIRECT","",DAVERAGE('literature entries'!$D:$AI,IF($J312=1,"ACTIVE     CED, FARM GATE (MJ/kg)","CED, processor gate (MJ/kg)"),INDIRECT($W312)))</f>
        <v>27.337984848484844</v>
      </c>
      <c r="Z312" s="211">
        <f ca="1">IF($W312="DIRECT",$O312,DSTDEV('literature entries'!$D:$AI,IF($J312=1,"ACTIVE     CED, FARM GATE (MJ/kg)","CED, processor gate (MJ/kg)"),INDIRECT($W312)))</f>
        <v>11.446373044126648</v>
      </c>
      <c r="AA312" s="211">
        <f t="shared" ca="1" si="41"/>
        <v>11.446373044126648</v>
      </c>
      <c r="AB312" s="219" t="s">
        <v>2448</v>
      </c>
      <c r="AC312" s="212">
        <f ca="1">IF($AB312="DIRECT",Q312,DCOUNT('literature entries'!$D:$AI,IF($J312=1,"ACTIVE     GHGE, FARM GATE (kg CO2e/kg)","GHGE, processor gate (kg CO2e/kg)"),INDIRECT($AB312)))</f>
        <v>32</v>
      </c>
      <c r="AD312" s="212">
        <f ca="1">IF($AB312="DIRECT","",DAVERAGE('literature entries'!$D:$AI,IF($J312=1,"ACTIVE     GHGE, FARM GATE (kg CO2e/kg)","GHGE, processor gate (kg CO2e/kg)"),INDIRECT($AB312)))</f>
        <v>4.1878483887317701</v>
      </c>
      <c r="AE312" s="212">
        <f ca="1">IF($AB312="DIRECT",$S312,DSTDEV('literature entries'!$D:$AI,IF($J312=1,"ACTIVE     GHGE, FARM GATE (kg CO2e/kg)","GHGE, processor gate (kg CO2e/kg)"),INDIRECT($AB312)))</f>
        <v>2.3000746274481916</v>
      </c>
      <c r="AF312" s="212">
        <f t="shared" ca="1" si="42"/>
        <v>1.4122950652540984</v>
      </c>
    </row>
    <row r="313" spans="1:32" s="19" customFormat="1" ht="17" thickBot="1" x14ac:dyDescent="0.25">
      <c r="A313" s="114">
        <v>5000386000</v>
      </c>
      <c r="B313" s="115" t="s">
        <v>2329</v>
      </c>
      <c r="C313" s="115" t="s">
        <v>1895</v>
      </c>
      <c r="D313" s="115"/>
      <c r="E313" s="115">
        <v>7683</v>
      </c>
      <c r="F313" s="111">
        <f t="shared" ca="1" si="34"/>
        <v>27.337984848484844</v>
      </c>
      <c r="G313" s="112">
        <f t="shared" ca="1" si="35"/>
        <v>2.5714285714285712</v>
      </c>
      <c r="H313" s="116">
        <v>1</v>
      </c>
      <c r="I313" s="117" t="s">
        <v>594</v>
      </c>
      <c r="J313" s="79">
        <v>1</v>
      </c>
      <c r="K313" s="188" t="s">
        <v>2448</v>
      </c>
      <c r="L313" s="135" t="str">
        <f>IF(ISERROR(GETPIVOTDATA(IF($J313=1,"Count of ACTIVE     CED, FARM GATE (MJ/kg)","Count of CED, processor gate (MJ/kg)"),'Pivot Table_CED'!$A$3,"SUB TYPE","Turkey")),"PROXY",IF(GETPIVOTDATA(IF($J313=1,"Count of ACTIVE     CED, FARM GATE (MJ/kg)","Count of CED, processor gate (MJ/kg)"),'Pivot Table_CED'!$A$3,"SUB TYPE","Turkey")=0,"PROXY","DB value"))</f>
        <v>PROXY</v>
      </c>
      <c r="M313" s="118">
        <f ca="1">IF($L313="PROXY",DCOUNT('literature entries'!$D:$AI,IF($J313=1,"ACTIVE     CED, FARM GATE (MJ/kg)","CED, processor gate (MJ/kg)"),INDIRECT($K313)),GETPIVOTDATA(IF($J313=1,"Count of ACTIVE     CED, FARM GATE (MJ/kg)","Count of CED, processor gate (MJ/kg)"),'Pivot Table_CED'!$A$3,"SUB TYPE","Turkey"))</f>
        <v>15</v>
      </c>
      <c r="N313" s="119">
        <f ca="1">IF($L313="PROXY",DAVERAGE('literature entries'!$D:$AI,IF($J313=1,"ACTIVE     CED, FARM GATE (MJ/kg)","CED, processor gate (MJ/kg)"),INDIRECT($K313)),GETPIVOTDATA(IF($J313=1,"Average of ACTIVE     CED, FARM GATE (MJ/kg)","Average of CED, processor gate (MJ/kg)"),'Pivot Table_CED'!$A$3,"SUB TYPE","Turkey"))</f>
        <v>27.337984848484844</v>
      </c>
      <c r="O313" s="119">
        <f ca="1">IF($L313="PROXY",DSTDEV('literature entries'!D:AI,IF($J313=1,"ACTIVE     CED, FARM GATE (MJ/kg)","CED, processor gate (MJ/kg)"),INDIRECT($K313)),GETPIVOTDATA(IF($J313=1,"StdDev of ACTIVE     CED, FARM GATE (MJ/kg)","StdDev of CED, processor gate (MJ/kg)"),'Pivot Table_CED'!$A$3,"SUB TYPE","Turkey"))</f>
        <v>11.446373044126648</v>
      </c>
      <c r="P313" s="135" t="str">
        <f>IF(ISERROR(GETPIVOTDATA(IF($J313=1,"Count of ACTIVE     GHGE, FARM GATE (kg CO2e/kg)","Count of GHGE, processor gate (kg CO2e/kg)"),'Pivot Table_GHG'!$A$3,"SUB TYPE","Turkey")),"PROXY",IF(GETPIVOTDATA(IF($J313=1,"Count of ACTIVE     GHGE, FARM GATE (kg CO2e/kg)","Count of GHGE, processor gate (kg CO2e/kg)"),'Pivot Table_GHG'!$A$3,"SUB TYPE","Turkey")=0,"PROXY","DB value"))</f>
        <v>DB value</v>
      </c>
      <c r="Q313" s="125">
        <f ca="1">IF($P313="PROXY",DCOUNT('literature entries'!$D:$AI,IF($J313=1,"ACTIVE     GHGE, FARM GATE (kg CO2e/kg)","GHGE, processor gate (kg CO2e/kg)"),INDIRECT($K313)),GETPIVOTDATA(IF($J313=1,"ACTIVE     GHGE, FARM GATE (kg CO2e/kg)","Count of GHGE, processor gate (kg CO2e/kg)"),'Pivot Table_GHG'!$A$3,"SUB TYPE","Turkey"))</f>
        <v>1</v>
      </c>
      <c r="R313" s="190">
        <f ca="1">IF($P313="PROXY",DAVERAGE('literature entries'!$D:$AI,IF($J313=1,"ACTIVE     GHGE, FARM GATE (kg CO2e/kg)","GHGE, processor gate (kg CO2e/kg)"),INDIRECT($K313)),GETPIVOTDATA(IF($J313=1,"Average of ACTIVE     GHGE, FARM GATE (kg CO2e/kg)","Average of GHGE, processor gate (kg CO2e/kg)"),'Pivot Table_GHG'!$A$3,"SUB TYPE","Turkey"))</f>
        <v>2.5714285714285712</v>
      </c>
      <c r="S313" s="190" t="e">
        <f ca="1">IF($P313="PROXY",DSTDEV('literature entries'!$D:$AI,IF($J313=1,"ACTIVE     GHGE, FARM GATE (kg CO2e/kg)","GHGE, processor gate (kg CO2e/kg)"),INDIRECT($K313)),GETPIVOTDATA(IF($J313=1,"StdDev of ACTIVE     GHGE, FARM GATE (kg CO2e/kg)","StdDev of GHGE, processor gate (kg CO2e/kg)"),'Pivot Table_GHG'!$A$3,"SUB TYPE","Turkey"))</f>
        <v>#DIV/0!</v>
      </c>
      <c r="T313" s="88"/>
      <c r="U313" s="89"/>
      <c r="W313" s="213" t="str">
        <f t="shared" ca="1" si="43"/>
        <v>chicken</v>
      </c>
      <c r="X313" s="211">
        <f ca="1">IF($W313="DIRECT",M313,DCOUNT('literature entries'!$D:$AI,IF($J313=1,"ACTIVE     CED, FARM GATE (MJ/kg)","CED, processor gate (MJ/kg)"),INDIRECT($W313)))</f>
        <v>15</v>
      </c>
      <c r="Y313" s="211">
        <f ca="1">IF($W313="DIRECT","",DAVERAGE('literature entries'!$D:$AI,IF($J313=1,"ACTIVE     CED, FARM GATE (MJ/kg)","CED, processor gate (MJ/kg)"),INDIRECT($W313)))</f>
        <v>27.337984848484844</v>
      </c>
      <c r="Z313" s="211">
        <f ca="1">IF($W313="DIRECT",$O313,DSTDEV('literature entries'!$D:$AI,IF($J313=1,"ACTIVE     CED, FARM GATE (MJ/kg)","CED, processor gate (MJ/kg)"),INDIRECT($W313)))</f>
        <v>11.446373044126648</v>
      </c>
      <c r="AA313" s="211">
        <f t="shared" ca="1" si="41"/>
        <v>11.446373044126648</v>
      </c>
      <c r="AB313" s="219" t="s">
        <v>2448</v>
      </c>
      <c r="AC313" s="212">
        <f ca="1">IF($AB313="DIRECT",Q313,DCOUNT('literature entries'!$D:$AI,IF($J313=1,"ACTIVE     GHGE, FARM GATE (kg CO2e/kg)","GHGE, processor gate (kg CO2e/kg)"),INDIRECT($AB313)))</f>
        <v>32</v>
      </c>
      <c r="AD313" s="212">
        <f ca="1">IF($AB313="DIRECT","",DAVERAGE('literature entries'!$D:$AI,IF($J313=1,"ACTIVE     GHGE, FARM GATE (kg CO2e/kg)","GHGE, processor gate (kg CO2e/kg)"),INDIRECT($AB313)))</f>
        <v>4.1878483887317701</v>
      </c>
      <c r="AE313" s="212">
        <f ca="1">IF($AB313="DIRECT",$S313,DSTDEV('literature entries'!$D:$AI,IF($J313=1,"ACTIVE     GHGE, FARM GATE (kg CO2e/kg)","GHGE, processor gate (kg CO2e/kg)"),INDIRECT($AB313)))</f>
        <v>2.3000746274481916</v>
      </c>
      <c r="AF313" s="212">
        <f t="shared" ca="1" si="42"/>
        <v>1.4122950652540984</v>
      </c>
    </row>
    <row r="314" spans="1:32" s="19" customFormat="1" ht="17" thickBot="1" x14ac:dyDescent="0.25">
      <c r="A314" s="114">
        <v>6000301000</v>
      </c>
      <c r="B314" s="115" t="s">
        <v>2213</v>
      </c>
      <c r="C314" s="115" t="s">
        <v>2214</v>
      </c>
      <c r="D314" s="115" t="s">
        <v>2210</v>
      </c>
      <c r="E314" s="115">
        <v>107</v>
      </c>
      <c r="F314" s="111">
        <f t="shared" ca="1" si="34"/>
        <v>24.475427350427349</v>
      </c>
      <c r="G314" s="112">
        <f t="shared" ca="1" si="35"/>
        <v>2.8307692307692305</v>
      </c>
      <c r="H314" s="116">
        <v>1</v>
      </c>
      <c r="I314" s="117" t="s">
        <v>594</v>
      </c>
      <c r="J314" s="79">
        <v>1</v>
      </c>
      <c r="K314" s="188"/>
      <c r="L314" s="135" t="str">
        <f>IF(ISERROR(GETPIVOTDATA(IF($J314=1,"Count of ACTIVE     CED, FARM GATE (MJ/kg)","Count of CED, processor gate (MJ/kg)"),'Pivot Table_CED'!$A$3,"SUB TYPE","Poultry, other")),"PROXY",IF(GETPIVOTDATA(IF($J314=1,"Count of ACTIVE     CED, FARM GATE (MJ/kg)","Count of CED, processor gate (MJ/kg)"),'Pivot Table_CED'!$A$3,"SUB TYPE","Poultry, other")=0,"PROXY","DB value"))</f>
        <v>DB value</v>
      </c>
      <c r="M314" s="118">
        <f ca="1">IF($L314="PROXY",DCOUNT('literature entries'!$D:$AI,IF($J314=1,"ACTIVE     CED, FARM GATE (MJ/kg)","CED, processor gate (MJ/kg)"),INDIRECT($K314)),GETPIVOTDATA(IF($J314=1,"Count of ACTIVE     CED, FARM GATE (MJ/kg)","Count of CED, processor gate (MJ/kg)"),'Pivot Table_CED'!$A$3,"SUB TYPE","Poultry, other"))</f>
        <v>4</v>
      </c>
      <c r="N314" s="119">
        <f ca="1">IF($L314="PROXY",DAVERAGE('literature entries'!$D:$AI,IF($J314=1,"ACTIVE     CED, FARM GATE (MJ/kg)","CED, processor gate (MJ/kg)"),INDIRECT($K314)),GETPIVOTDATA(IF($J314=1,"Average of ACTIVE     CED, FARM GATE (MJ/kg)","Average of CED, processor gate (MJ/kg)"),'Pivot Table_CED'!$A$3,"SUB TYPE","Poultry, other"))</f>
        <v>24.475427350427349</v>
      </c>
      <c r="O314" s="119">
        <f ca="1">IF($L314="PROXY",DSTDEV('literature entries'!D:AI,IF($J314=1,"ACTIVE     CED, FARM GATE (MJ/kg)","CED, processor gate (MJ/kg)"),INDIRECT($K314)),GETPIVOTDATA(IF($J314=1,"StdDev of ACTIVE     CED, FARM GATE (MJ/kg)","StdDev of CED, processor gate (MJ/kg)"),'Pivot Table_CED'!$A$3,"SUB TYPE","Poultry, other"))</f>
        <v>14.332624486190154</v>
      </c>
      <c r="P314" s="135" t="str">
        <f>IF(ISERROR(GETPIVOTDATA(IF($J314=1,"Count of ACTIVE     GHGE, FARM GATE (kg CO2e/kg)","Count of GHGE, processor gate (kg CO2e/kg)"),'Pivot Table_GHG'!$A$3,"SUB TYPE","Poultry, other")),"PROXY",IF(GETPIVOTDATA(IF($J314=1,"Count of ACTIVE     GHGE, FARM GATE (kg CO2e/kg)","Count of GHGE, processor gate (kg CO2e/kg)"),'Pivot Table_GHG'!$A$3,"SUB TYPE","Poultry, other")=0,"PROXY","DB value"))</f>
        <v>DB value</v>
      </c>
      <c r="Q314" s="125">
        <f ca="1">IF($P314="PROXY",DCOUNT('literature entries'!$D:$AI,IF($J314=1,"ACTIVE     GHGE, FARM GATE (kg CO2e/kg)","GHGE, processor gate (kg CO2e/kg)"),INDIRECT($K314)),GETPIVOTDATA(IF($J314=1,"ACTIVE     GHGE, FARM GATE (kg CO2e/kg)","Count of GHGE, processor gate (kg CO2e/kg)"),'Pivot Table_GHG'!$A$3,"SUB TYPE","Poultry, other"))</f>
        <v>5</v>
      </c>
      <c r="R314" s="190">
        <f ca="1">IF($P314="PROXY",DAVERAGE('literature entries'!$D:$AI,IF($J314=1,"ACTIVE     GHGE, FARM GATE (kg CO2e/kg)","GHGE, processor gate (kg CO2e/kg)"),INDIRECT($K314)),GETPIVOTDATA(IF($J314=1,"Average of ACTIVE     GHGE, FARM GATE (kg CO2e/kg)","Average of GHGE, processor gate (kg CO2e/kg)"),'Pivot Table_GHG'!$A$3,"SUB TYPE","Poultry, other"))</f>
        <v>2.8307692307692305</v>
      </c>
      <c r="S314" s="190">
        <f ca="1">IF($P314="PROXY",DSTDEV('literature entries'!$D:$AI,IF($J314=1,"ACTIVE     GHGE, FARM GATE (kg CO2e/kg)","GHGE, processor gate (kg CO2e/kg)"),INDIRECT($K314)),GETPIVOTDATA(IF($J314=1,"StdDev of ACTIVE     GHGE, FARM GATE (kg CO2e/kg)","StdDev of GHGE, processor gate (kg CO2e/kg)"),'Pivot Table_GHG'!$A$3,"SUB TYPE","Poultry, other"))</f>
        <v>1.1258001756541696</v>
      </c>
      <c r="T314" s="88"/>
      <c r="U314" s="89"/>
      <c r="W314" s="213" t="s">
        <v>2448</v>
      </c>
      <c r="X314" s="211">
        <f ca="1">IF($W314="DIRECT",M314,DCOUNT('literature entries'!$D:$AI,IF($J314=1,"ACTIVE     CED, FARM GATE (MJ/kg)","CED, processor gate (MJ/kg)"),INDIRECT($W314)))</f>
        <v>15</v>
      </c>
      <c r="Y314" s="211">
        <f ca="1">IF($W314="DIRECT","",DAVERAGE('literature entries'!$D:$AI,IF($J314=1,"ACTIVE     CED, FARM GATE (MJ/kg)","CED, processor gate (MJ/kg)"),INDIRECT($W314)))</f>
        <v>27.337984848484844</v>
      </c>
      <c r="Z314" s="211">
        <f ca="1">IF($W314="DIRECT",$O314,DSTDEV('literature entries'!$D:$AI,IF($J314=1,"ACTIVE     CED, FARM GATE (MJ/kg)","CED, processor gate (MJ/kg)"),INDIRECT($W314)))</f>
        <v>11.446373044126648</v>
      </c>
      <c r="AA314" s="211">
        <f t="shared" ca="1" si="41"/>
        <v>10.247824534987215</v>
      </c>
      <c r="AB314" s="219" t="s">
        <v>2448</v>
      </c>
      <c r="AC314" s="212">
        <f ca="1">IF($AB314="DIRECT",Q314,DCOUNT('literature entries'!$D:$AI,IF($J314=1,"ACTIVE     GHGE, FARM GATE (kg CO2e/kg)","GHGE, processor gate (kg CO2e/kg)"),INDIRECT($AB314)))</f>
        <v>32</v>
      </c>
      <c r="AD314" s="212">
        <f ca="1">IF($AB314="DIRECT","",DAVERAGE('literature entries'!$D:$AI,IF($J314=1,"ACTIVE     GHGE, FARM GATE (kg CO2e/kg)","GHGE, processor gate (kg CO2e/kg)"),INDIRECT($AB314)))</f>
        <v>4.1878483887317701</v>
      </c>
      <c r="AE314" s="212">
        <f ca="1">IF($AB314="DIRECT",$S314,DSTDEV('literature entries'!$D:$AI,IF($J314=1,"ACTIVE     GHGE, FARM GATE (kg CO2e/kg)","GHGE, processor gate (kg CO2e/kg)"),INDIRECT($AB314)))</f>
        <v>2.3000746274481916</v>
      </c>
      <c r="AF314" s="212">
        <f t="shared" ca="1" si="42"/>
        <v>1.5547316615788709</v>
      </c>
    </row>
    <row r="315" spans="1:32" s="19" customFormat="1" ht="17" thickBot="1" x14ac:dyDescent="0.25">
      <c r="A315" s="114">
        <v>6000302000</v>
      </c>
      <c r="B315" s="115" t="s">
        <v>2211</v>
      </c>
      <c r="C315" s="115" t="s">
        <v>2212</v>
      </c>
      <c r="D315" s="115" t="s">
        <v>2210</v>
      </c>
      <c r="E315" s="115">
        <v>66</v>
      </c>
      <c r="F315" s="111">
        <f t="shared" ca="1" si="34"/>
        <v>24.475427350427349</v>
      </c>
      <c r="G315" s="112">
        <f t="shared" ca="1" si="35"/>
        <v>2.8307692307692305</v>
      </c>
      <c r="H315" s="116">
        <v>1</v>
      </c>
      <c r="I315" s="117" t="s">
        <v>594</v>
      </c>
      <c r="J315" s="79">
        <v>1</v>
      </c>
      <c r="K315" s="188"/>
      <c r="L315" s="135" t="str">
        <f>IF(ISERROR(GETPIVOTDATA(IF($J315=1,"Count of ACTIVE     CED, FARM GATE (MJ/kg)","Count of CED, processor gate (MJ/kg)"),'Pivot Table_CED'!$A$3,"SUB TYPE","Poultry, other")),"PROXY",IF(GETPIVOTDATA(IF($J315=1,"Count of ACTIVE     CED, FARM GATE (MJ/kg)","Count of CED, processor gate (MJ/kg)"),'Pivot Table_CED'!$A$3,"SUB TYPE","Poultry, other")=0,"PROXY","DB value"))</f>
        <v>DB value</v>
      </c>
      <c r="M315" s="118">
        <f ca="1">IF($L315="PROXY",DCOUNT('literature entries'!$D:$AI,IF($J315=1,"ACTIVE     CED, FARM GATE (MJ/kg)","CED, processor gate (MJ/kg)"),INDIRECT($K315)),GETPIVOTDATA(IF($J315=1,"Count of ACTIVE     CED, FARM GATE (MJ/kg)","Count of CED, processor gate (MJ/kg)"),'Pivot Table_CED'!$A$3,"SUB TYPE","Poultry, other"))</f>
        <v>4</v>
      </c>
      <c r="N315" s="119">
        <f ca="1">IF($L315="PROXY",DAVERAGE('literature entries'!$D:$AI,IF($J315=1,"ACTIVE     CED, FARM GATE (MJ/kg)","CED, processor gate (MJ/kg)"),INDIRECT($K315)),GETPIVOTDATA(IF($J315=1,"Average of ACTIVE     CED, FARM GATE (MJ/kg)","Average of CED, processor gate (MJ/kg)"),'Pivot Table_CED'!$A$3,"SUB TYPE","Poultry, other"))</f>
        <v>24.475427350427349</v>
      </c>
      <c r="O315" s="119">
        <f ca="1">IF($L315="PROXY",DSTDEV('literature entries'!D:AI,IF($J315=1,"ACTIVE     CED, FARM GATE (MJ/kg)","CED, processor gate (MJ/kg)"),INDIRECT($K315)),GETPIVOTDATA(IF($J315=1,"StdDev of ACTIVE     CED, FARM GATE (MJ/kg)","StdDev of CED, processor gate (MJ/kg)"),'Pivot Table_CED'!$A$3,"SUB TYPE","Poultry, other"))</f>
        <v>14.332624486190154</v>
      </c>
      <c r="P315" s="135" t="str">
        <f>IF(ISERROR(GETPIVOTDATA(IF($J315=1,"Count of ACTIVE     GHGE, FARM GATE (kg CO2e/kg)","Count of GHGE, processor gate (kg CO2e/kg)"),'Pivot Table_GHG'!$A$3,"SUB TYPE","Poultry, other")),"PROXY",IF(GETPIVOTDATA(IF($J315=1,"Count of ACTIVE     GHGE, FARM GATE (kg CO2e/kg)","Count of GHGE, processor gate (kg CO2e/kg)"),'Pivot Table_GHG'!$A$3,"SUB TYPE","Poultry, other")=0,"PROXY","DB value"))</f>
        <v>DB value</v>
      </c>
      <c r="Q315" s="125">
        <f ca="1">IF($P315="PROXY",DCOUNT('literature entries'!$D:$AI,IF($J315=1,"ACTIVE     GHGE, FARM GATE (kg CO2e/kg)","GHGE, processor gate (kg CO2e/kg)"),INDIRECT($K315)),GETPIVOTDATA(IF($J315=1,"ACTIVE     GHGE, FARM GATE (kg CO2e/kg)","Count of GHGE, processor gate (kg CO2e/kg)"),'Pivot Table_GHG'!$A$3,"SUB TYPE","Poultry, other"))</f>
        <v>5</v>
      </c>
      <c r="R315" s="190">
        <f ca="1">IF($P315="PROXY",DAVERAGE('literature entries'!$D:$AI,IF($J315=1,"ACTIVE     GHGE, FARM GATE (kg CO2e/kg)","GHGE, processor gate (kg CO2e/kg)"),INDIRECT($K315)),GETPIVOTDATA(IF($J315=1,"Average of ACTIVE     GHGE, FARM GATE (kg CO2e/kg)","Average of GHGE, processor gate (kg CO2e/kg)"),'Pivot Table_GHG'!$A$3,"SUB TYPE","Poultry, other"))</f>
        <v>2.8307692307692305</v>
      </c>
      <c r="S315" s="190">
        <f ca="1">IF($P315="PROXY",DSTDEV('literature entries'!$D:$AI,IF($J315=1,"ACTIVE     GHGE, FARM GATE (kg CO2e/kg)","GHGE, processor gate (kg CO2e/kg)"),INDIRECT($K315)),GETPIVOTDATA(IF($J315=1,"StdDev of ACTIVE     GHGE, FARM GATE (kg CO2e/kg)","StdDev of GHGE, processor gate (kg CO2e/kg)"),'Pivot Table_GHG'!$A$3,"SUB TYPE","Poultry, other"))</f>
        <v>1.1258001756541696</v>
      </c>
      <c r="T315" s="88"/>
      <c r="U315" s="89"/>
      <c r="W315" s="213" t="s">
        <v>2448</v>
      </c>
      <c r="X315" s="211">
        <f ca="1">IF($W315="DIRECT",M315,DCOUNT('literature entries'!$D:$AI,IF($J315=1,"ACTIVE     CED, FARM GATE (MJ/kg)","CED, processor gate (MJ/kg)"),INDIRECT($W315)))</f>
        <v>15</v>
      </c>
      <c r="Y315" s="211">
        <f ca="1">IF($W315="DIRECT","",DAVERAGE('literature entries'!$D:$AI,IF($J315=1,"ACTIVE     CED, FARM GATE (MJ/kg)","CED, processor gate (MJ/kg)"),INDIRECT($W315)))</f>
        <v>27.337984848484844</v>
      </c>
      <c r="Z315" s="211">
        <f ca="1">IF($W315="DIRECT",$O315,DSTDEV('literature entries'!$D:$AI,IF($J315=1,"ACTIVE     CED, FARM GATE (MJ/kg)","CED, processor gate (MJ/kg)"),INDIRECT($W315)))</f>
        <v>11.446373044126648</v>
      </c>
      <c r="AA315" s="211">
        <f t="shared" ca="1" si="41"/>
        <v>10.247824534987215</v>
      </c>
      <c r="AB315" s="219" t="s">
        <v>2448</v>
      </c>
      <c r="AC315" s="212">
        <f ca="1">IF($AB315="DIRECT",Q315,DCOUNT('literature entries'!$D:$AI,IF($J315=1,"ACTIVE     GHGE, FARM GATE (kg CO2e/kg)","GHGE, processor gate (kg CO2e/kg)"),INDIRECT($AB315)))</f>
        <v>32</v>
      </c>
      <c r="AD315" s="212">
        <f ca="1">IF($AB315="DIRECT","",DAVERAGE('literature entries'!$D:$AI,IF($J315=1,"ACTIVE     GHGE, FARM GATE (kg CO2e/kg)","GHGE, processor gate (kg CO2e/kg)"),INDIRECT($AB315)))</f>
        <v>4.1878483887317701</v>
      </c>
      <c r="AE315" s="212">
        <f ca="1">IF($AB315="DIRECT",$S315,DSTDEV('literature entries'!$D:$AI,IF($J315=1,"ACTIVE     GHGE, FARM GATE (kg CO2e/kg)","GHGE, processor gate (kg CO2e/kg)"),INDIRECT($AB315)))</f>
        <v>2.3000746274481916</v>
      </c>
      <c r="AF315" s="212">
        <f t="shared" ca="1" si="42"/>
        <v>1.5547316615788709</v>
      </c>
    </row>
    <row r="316" spans="1:32" s="19" customFormat="1" ht="17" thickBot="1" x14ac:dyDescent="0.25">
      <c r="A316" s="114">
        <v>6000303000</v>
      </c>
      <c r="B316" s="115" t="s">
        <v>2215</v>
      </c>
      <c r="C316" s="115" t="s">
        <v>2216</v>
      </c>
      <c r="D316" s="115" t="s">
        <v>2217</v>
      </c>
      <c r="E316" s="115">
        <v>27</v>
      </c>
      <c r="F316" s="111">
        <f t="shared" ca="1" si="34"/>
        <v>24.475427350427349</v>
      </c>
      <c r="G316" s="112">
        <f t="shared" ca="1" si="35"/>
        <v>2.8307692307692305</v>
      </c>
      <c r="H316" s="116">
        <v>1</v>
      </c>
      <c r="I316" s="117" t="s">
        <v>594</v>
      </c>
      <c r="J316" s="79">
        <v>1</v>
      </c>
      <c r="K316" s="188"/>
      <c r="L316" s="135" t="str">
        <f>IF(ISERROR(GETPIVOTDATA(IF($J316=1,"Count of ACTIVE     CED, FARM GATE (MJ/kg)","Count of CED, processor gate (MJ/kg)"),'Pivot Table_CED'!$A$3,"SUB TYPE","Poultry, other")),"PROXY",IF(GETPIVOTDATA(IF($J316=1,"Count of ACTIVE     CED, FARM GATE (MJ/kg)","Count of CED, processor gate (MJ/kg)"),'Pivot Table_CED'!$A$3,"SUB TYPE","Poultry, other")=0,"PROXY","DB value"))</f>
        <v>DB value</v>
      </c>
      <c r="M316" s="118">
        <f ca="1">IF($L316="PROXY",DCOUNT('literature entries'!$D:$AI,IF($J316=1,"ACTIVE     CED, FARM GATE (MJ/kg)","CED, processor gate (MJ/kg)"),INDIRECT($K316)),GETPIVOTDATA(IF($J316=1,"Count of ACTIVE     CED, FARM GATE (MJ/kg)","Count of CED, processor gate (MJ/kg)"),'Pivot Table_CED'!$A$3,"SUB TYPE","Poultry, other"))</f>
        <v>4</v>
      </c>
      <c r="N316" s="119">
        <f ca="1">IF($L316="PROXY",DAVERAGE('literature entries'!$D:$AI,IF($J316=1,"ACTIVE     CED, FARM GATE (MJ/kg)","CED, processor gate (MJ/kg)"),INDIRECT($K316)),GETPIVOTDATA(IF($J316=1,"Average of ACTIVE     CED, FARM GATE (MJ/kg)","Average of CED, processor gate (MJ/kg)"),'Pivot Table_CED'!$A$3,"SUB TYPE","Poultry, other"))</f>
        <v>24.475427350427349</v>
      </c>
      <c r="O316" s="119">
        <f ca="1">IF($L316="PROXY",DSTDEV('literature entries'!D:AI,IF($J316=1,"ACTIVE     CED, FARM GATE (MJ/kg)","CED, processor gate (MJ/kg)"),INDIRECT($K316)),GETPIVOTDATA(IF($J316=1,"StdDev of ACTIVE     CED, FARM GATE (MJ/kg)","StdDev of CED, processor gate (MJ/kg)"),'Pivot Table_CED'!$A$3,"SUB TYPE","Poultry, other"))</f>
        <v>14.332624486190154</v>
      </c>
      <c r="P316" s="135" t="str">
        <f>IF(ISERROR(GETPIVOTDATA(IF($J316=1,"Count of ACTIVE     GHGE, FARM GATE (kg CO2e/kg)","Count of GHGE, processor gate (kg CO2e/kg)"),'Pivot Table_GHG'!$A$3,"SUB TYPE","Poultry, other")),"PROXY",IF(GETPIVOTDATA(IF($J316=1,"Count of ACTIVE     GHGE, FARM GATE (kg CO2e/kg)","Count of GHGE, processor gate (kg CO2e/kg)"),'Pivot Table_GHG'!$A$3,"SUB TYPE","Poultry, other")=0,"PROXY","DB value"))</f>
        <v>DB value</v>
      </c>
      <c r="Q316" s="125">
        <f ca="1">IF($P316="PROXY",DCOUNT('literature entries'!$D:$AI,IF($J316=1,"ACTIVE     GHGE, FARM GATE (kg CO2e/kg)","GHGE, processor gate (kg CO2e/kg)"),INDIRECT($K316)),GETPIVOTDATA(IF($J316=1,"ACTIVE     GHGE, FARM GATE (kg CO2e/kg)","Count of GHGE, processor gate (kg CO2e/kg)"),'Pivot Table_GHG'!$A$3,"SUB TYPE","Poultry, other"))</f>
        <v>5</v>
      </c>
      <c r="R316" s="190">
        <f ca="1">IF($P316="PROXY",DAVERAGE('literature entries'!$D:$AI,IF($J316=1,"ACTIVE     GHGE, FARM GATE (kg CO2e/kg)","GHGE, processor gate (kg CO2e/kg)"),INDIRECT($K316)),GETPIVOTDATA(IF($J316=1,"Average of ACTIVE     GHGE, FARM GATE (kg CO2e/kg)","Average of GHGE, processor gate (kg CO2e/kg)"),'Pivot Table_GHG'!$A$3,"SUB TYPE","Poultry, other"))</f>
        <v>2.8307692307692305</v>
      </c>
      <c r="S316" s="190">
        <f ca="1">IF($P316="PROXY",DSTDEV('literature entries'!$D:$AI,IF($J316=1,"ACTIVE     GHGE, FARM GATE (kg CO2e/kg)","GHGE, processor gate (kg CO2e/kg)"),INDIRECT($K316)),GETPIVOTDATA(IF($J316=1,"StdDev of ACTIVE     GHGE, FARM GATE (kg CO2e/kg)","StdDev of GHGE, processor gate (kg CO2e/kg)"),'Pivot Table_GHG'!$A$3,"SUB TYPE","Poultry, other"))</f>
        <v>1.1258001756541696</v>
      </c>
      <c r="T316" s="88"/>
      <c r="U316" s="89"/>
      <c r="W316" s="213" t="s">
        <v>2448</v>
      </c>
      <c r="X316" s="211">
        <f ca="1">IF($W316="DIRECT",M316,DCOUNT('literature entries'!$D:$AI,IF($J316=1,"ACTIVE     CED, FARM GATE (MJ/kg)","CED, processor gate (MJ/kg)"),INDIRECT($W316)))</f>
        <v>15</v>
      </c>
      <c r="Y316" s="211">
        <f ca="1">IF($W316="DIRECT","",DAVERAGE('literature entries'!$D:$AI,IF($J316=1,"ACTIVE     CED, FARM GATE (MJ/kg)","CED, processor gate (MJ/kg)"),INDIRECT($W316)))</f>
        <v>27.337984848484844</v>
      </c>
      <c r="Z316" s="211">
        <f ca="1">IF($W316="DIRECT",$O316,DSTDEV('literature entries'!$D:$AI,IF($J316=1,"ACTIVE     CED, FARM GATE (MJ/kg)","CED, processor gate (MJ/kg)"),INDIRECT($W316)))</f>
        <v>11.446373044126648</v>
      </c>
      <c r="AA316" s="211">
        <f t="shared" ca="1" si="41"/>
        <v>10.247824534987215</v>
      </c>
      <c r="AB316" s="219" t="s">
        <v>2448</v>
      </c>
      <c r="AC316" s="212">
        <f ca="1">IF($AB316="DIRECT",Q316,DCOUNT('literature entries'!$D:$AI,IF($J316=1,"ACTIVE     GHGE, FARM GATE (kg CO2e/kg)","GHGE, processor gate (kg CO2e/kg)"),INDIRECT($AB316)))</f>
        <v>32</v>
      </c>
      <c r="AD316" s="212">
        <f ca="1">IF($AB316="DIRECT","",DAVERAGE('literature entries'!$D:$AI,IF($J316=1,"ACTIVE     GHGE, FARM GATE (kg CO2e/kg)","GHGE, processor gate (kg CO2e/kg)"),INDIRECT($AB316)))</f>
        <v>4.1878483887317701</v>
      </c>
      <c r="AE316" s="212">
        <f ca="1">IF($AB316="DIRECT",$S316,DSTDEV('literature entries'!$D:$AI,IF($J316=1,"ACTIVE     GHGE, FARM GATE (kg CO2e/kg)","GHGE, processor gate (kg CO2e/kg)"),INDIRECT($AB316)))</f>
        <v>2.3000746274481916</v>
      </c>
      <c r="AF316" s="212">
        <f t="shared" ca="1" si="42"/>
        <v>1.5547316615788709</v>
      </c>
    </row>
    <row r="317" spans="1:32" s="19" customFormat="1" ht="17" thickBot="1" x14ac:dyDescent="0.25">
      <c r="A317" s="114">
        <v>6000304000</v>
      </c>
      <c r="B317" s="115" t="s">
        <v>2208</v>
      </c>
      <c r="C317" s="115" t="s">
        <v>2209</v>
      </c>
      <c r="D317" s="115" t="s">
        <v>2210</v>
      </c>
      <c r="E317" s="115">
        <v>107</v>
      </c>
      <c r="F317" s="111">
        <f t="shared" ca="1" si="34"/>
        <v>24.475427350427349</v>
      </c>
      <c r="G317" s="112">
        <f t="shared" ca="1" si="35"/>
        <v>2.8307692307692305</v>
      </c>
      <c r="H317" s="116">
        <v>1</v>
      </c>
      <c r="I317" s="117" t="s">
        <v>594</v>
      </c>
      <c r="J317" s="79">
        <v>1</v>
      </c>
      <c r="K317" s="188"/>
      <c r="L317" s="135" t="str">
        <f>IF(ISERROR(GETPIVOTDATA(IF($J317=1,"Count of ACTIVE     CED, FARM GATE (MJ/kg)","Count of CED, processor gate (MJ/kg)"),'Pivot Table_CED'!$A$3,"SUB TYPE","Poultry, other")),"PROXY",IF(GETPIVOTDATA(IF($J317=1,"Count of ACTIVE     CED, FARM GATE (MJ/kg)","Count of CED, processor gate (MJ/kg)"),'Pivot Table_CED'!$A$3,"SUB TYPE","Poultry, other")=0,"PROXY","DB value"))</f>
        <v>DB value</v>
      </c>
      <c r="M317" s="118">
        <f ca="1">IF($L317="PROXY",DCOUNT('literature entries'!$D:$AI,IF($J317=1,"ACTIVE     CED, FARM GATE (MJ/kg)","CED, processor gate (MJ/kg)"),INDIRECT($K317)),GETPIVOTDATA(IF($J317=1,"Count of ACTIVE     CED, FARM GATE (MJ/kg)","Count of CED, processor gate (MJ/kg)"),'Pivot Table_CED'!$A$3,"SUB TYPE","Poultry, other"))</f>
        <v>4</v>
      </c>
      <c r="N317" s="119">
        <f ca="1">IF($L317="PROXY",DAVERAGE('literature entries'!$D:$AI,IF($J317=1,"ACTIVE     CED, FARM GATE (MJ/kg)","CED, processor gate (MJ/kg)"),INDIRECT($K317)),GETPIVOTDATA(IF($J317=1,"Average of ACTIVE     CED, FARM GATE (MJ/kg)","Average of CED, processor gate (MJ/kg)"),'Pivot Table_CED'!$A$3,"SUB TYPE","Poultry, other"))</f>
        <v>24.475427350427349</v>
      </c>
      <c r="O317" s="119">
        <f ca="1">IF($L317="PROXY",DSTDEV('literature entries'!D:AI,IF($J317=1,"ACTIVE     CED, FARM GATE (MJ/kg)","CED, processor gate (MJ/kg)"),INDIRECT($K317)),GETPIVOTDATA(IF($J317=1,"StdDev of ACTIVE     CED, FARM GATE (MJ/kg)","StdDev of CED, processor gate (MJ/kg)"),'Pivot Table_CED'!$A$3,"SUB TYPE","Poultry, other"))</f>
        <v>14.332624486190154</v>
      </c>
      <c r="P317" s="135" t="str">
        <f>IF(ISERROR(GETPIVOTDATA(IF($J317=1,"Count of ACTIVE     GHGE, FARM GATE (kg CO2e/kg)","Count of GHGE, processor gate (kg CO2e/kg)"),'Pivot Table_GHG'!$A$3,"SUB TYPE","Poultry, other")),"PROXY",IF(GETPIVOTDATA(IF($J317=1,"Count of ACTIVE     GHGE, FARM GATE (kg CO2e/kg)","Count of GHGE, processor gate (kg CO2e/kg)"),'Pivot Table_GHG'!$A$3,"SUB TYPE","Poultry, other")=0,"PROXY","DB value"))</f>
        <v>DB value</v>
      </c>
      <c r="Q317" s="125">
        <f ca="1">IF($P317="PROXY",DCOUNT('literature entries'!$D:$AI,IF($J317=1,"ACTIVE     GHGE, FARM GATE (kg CO2e/kg)","GHGE, processor gate (kg CO2e/kg)"),INDIRECT($K317)),GETPIVOTDATA(IF($J317=1,"ACTIVE     GHGE, FARM GATE (kg CO2e/kg)","Count of GHGE, processor gate (kg CO2e/kg)"),'Pivot Table_GHG'!$A$3,"SUB TYPE","Poultry, other"))</f>
        <v>5</v>
      </c>
      <c r="R317" s="190">
        <f ca="1">IF($P317="PROXY",DAVERAGE('literature entries'!$D:$AI,IF($J317=1,"ACTIVE     GHGE, FARM GATE (kg CO2e/kg)","GHGE, processor gate (kg CO2e/kg)"),INDIRECT($K317)),GETPIVOTDATA(IF($J317=1,"Average of ACTIVE     GHGE, FARM GATE (kg CO2e/kg)","Average of GHGE, processor gate (kg CO2e/kg)"),'Pivot Table_GHG'!$A$3,"SUB TYPE","Poultry, other"))</f>
        <v>2.8307692307692305</v>
      </c>
      <c r="S317" s="190">
        <f ca="1">IF($P317="PROXY",DSTDEV('literature entries'!$D:$AI,IF($J317=1,"ACTIVE     GHGE, FARM GATE (kg CO2e/kg)","GHGE, processor gate (kg CO2e/kg)"),INDIRECT($K317)),GETPIVOTDATA(IF($J317=1,"StdDev of ACTIVE     GHGE, FARM GATE (kg CO2e/kg)","StdDev of GHGE, processor gate (kg CO2e/kg)"),'Pivot Table_GHG'!$A$3,"SUB TYPE","Poultry, other"))</f>
        <v>1.1258001756541696</v>
      </c>
      <c r="T317" s="88"/>
      <c r="U317" s="89"/>
      <c r="W317" s="213" t="s">
        <v>2448</v>
      </c>
      <c r="X317" s="211">
        <f ca="1">IF($W317="DIRECT",M317,DCOUNT('literature entries'!$D:$AI,IF($J317=1,"ACTIVE     CED, FARM GATE (MJ/kg)","CED, processor gate (MJ/kg)"),INDIRECT($W317)))</f>
        <v>15</v>
      </c>
      <c r="Y317" s="211">
        <f ca="1">IF($W317="DIRECT","",DAVERAGE('literature entries'!$D:$AI,IF($J317=1,"ACTIVE     CED, FARM GATE (MJ/kg)","CED, processor gate (MJ/kg)"),INDIRECT($W317)))</f>
        <v>27.337984848484844</v>
      </c>
      <c r="Z317" s="211">
        <f ca="1">IF($W317="DIRECT",$O317,DSTDEV('literature entries'!$D:$AI,IF($J317=1,"ACTIVE     CED, FARM GATE (MJ/kg)","CED, processor gate (MJ/kg)"),INDIRECT($W317)))</f>
        <v>11.446373044126648</v>
      </c>
      <c r="AA317" s="211">
        <f t="shared" ca="1" si="41"/>
        <v>10.247824534987215</v>
      </c>
      <c r="AB317" s="219" t="s">
        <v>2448</v>
      </c>
      <c r="AC317" s="212">
        <f ca="1">IF($AB317="DIRECT",Q317,DCOUNT('literature entries'!$D:$AI,IF($J317=1,"ACTIVE     GHGE, FARM GATE (kg CO2e/kg)","GHGE, processor gate (kg CO2e/kg)"),INDIRECT($AB317)))</f>
        <v>32</v>
      </c>
      <c r="AD317" s="212">
        <f ca="1">IF($AB317="DIRECT","",DAVERAGE('literature entries'!$D:$AI,IF($J317=1,"ACTIVE     GHGE, FARM GATE (kg CO2e/kg)","GHGE, processor gate (kg CO2e/kg)"),INDIRECT($AB317)))</f>
        <v>4.1878483887317701</v>
      </c>
      <c r="AE317" s="212">
        <f ca="1">IF($AB317="DIRECT",$S317,DSTDEV('literature entries'!$D:$AI,IF($J317=1,"ACTIVE     GHGE, FARM GATE (kg CO2e/kg)","GHGE, processor gate (kg CO2e/kg)"),INDIRECT($AB317)))</f>
        <v>2.3000746274481916</v>
      </c>
      <c r="AF317" s="212">
        <f t="shared" ca="1" si="42"/>
        <v>1.5547316615788709</v>
      </c>
    </row>
    <row r="318" spans="1:32" s="19" customFormat="1" ht="17" thickBot="1" x14ac:dyDescent="0.25">
      <c r="A318" s="114">
        <v>6000305000</v>
      </c>
      <c r="B318" s="115" t="s">
        <v>2218</v>
      </c>
      <c r="C318" s="115" t="s">
        <v>2209</v>
      </c>
      <c r="D318" s="115" t="s">
        <v>2210</v>
      </c>
      <c r="E318" s="115">
        <v>16</v>
      </c>
      <c r="F318" s="111">
        <f t="shared" ca="1" si="34"/>
        <v>24.475427350427349</v>
      </c>
      <c r="G318" s="112">
        <f t="shared" ca="1" si="35"/>
        <v>2.8307692307692305</v>
      </c>
      <c r="H318" s="116">
        <v>1</v>
      </c>
      <c r="I318" s="117" t="s">
        <v>594</v>
      </c>
      <c r="J318" s="79">
        <v>1</v>
      </c>
      <c r="K318" s="188"/>
      <c r="L318" s="135" t="str">
        <f>IF(ISERROR(GETPIVOTDATA(IF($J318=1,"Count of ACTIVE     CED, FARM GATE (MJ/kg)","Count of CED, processor gate (MJ/kg)"),'Pivot Table_CED'!$A$3,"SUB TYPE","Poultry, other")),"PROXY",IF(GETPIVOTDATA(IF($J318=1,"Count of ACTIVE     CED, FARM GATE (MJ/kg)","Count of CED, processor gate (MJ/kg)"),'Pivot Table_CED'!$A$3,"SUB TYPE","Poultry, other")=0,"PROXY","DB value"))</f>
        <v>DB value</v>
      </c>
      <c r="M318" s="118">
        <f ca="1">IF($L318="PROXY",DCOUNT('literature entries'!$D:$AI,IF($J318=1,"ACTIVE     CED, FARM GATE (MJ/kg)","CED, processor gate (MJ/kg)"),INDIRECT($K318)),GETPIVOTDATA(IF($J318=1,"Count of ACTIVE     CED, FARM GATE (MJ/kg)","Count of CED, processor gate (MJ/kg)"),'Pivot Table_CED'!$A$3,"SUB TYPE","Poultry, other"))</f>
        <v>4</v>
      </c>
      <c r="N318" s="119">
        <f ca="1">IF($L318="PROXY",DAVERAGE('literature entries'!$D:$AI,IF($J318=1,"ACTIVE     CED, FARM GATE (MJ/kg)","CED, processor gate (MJ/kg)"),INDIRECT($K318)),GETPIVOTDATA(IF($J318=1,"Average of ACTIVE     CED, FARM GATE (MJ/kg)","Average of CED, processor gate (MJ/kg)"),'Pivot Table_CED'!$A$3,"SUB TYPE","Poultry, other"))</f>
        <v>24.475427350427349</v>
      </c>
      <c r="O318" s="119">
        <f ca="1">IF($L318="PROXY",DSTDEV('literature entries'!D:AI,IF($J318=1,"ACTIVE     CED, FARM GATE (MJ/kg)","CED, processor gate (MJ/kg)"),INDIRECT($K318)),GETPIVOTDATA(IF($J318=1,"StdDev of ACTIVE     CED, FARM GATE (MJ/kg)","StdDev of CED, processor gate (MJ/kg)"),'Pivot Table_CED'!$A$3,"SUB TYPE","Poultry, other"))</f>
        <v>14.332624486190154</v>
      </c>
      <c r="P318" s="135" t="str">
        <f>IF(ISERROR(GETPIVOTDATA(IF($J318=1,"Count of ACTIVE     GHGE, FARM GATE (kg CO2e/kg)","Count of GHGE, processor gate (kg CO2e/kg)"),'Pivot Table_GHG'!$A$3,"SUB TYPE","Poultry, other")),"PROXY",IF(GETPIVOTDATA(IF($J318=1,"Count of ACTIVE     GHGE, FARM GATE (kg CO2e/kg)","Count of GHGE, processor gate (kg CO2e/kg)"),'Pivot Table_GHG'!$A$3,"SUB TYPE","Poultry, other")=0,"PROXY","DB value"))</f>
        <v>DB value</v>
      </c>
      <c r="Q318" s="125">
        <f ca="1">IF($P318="PROXY",DCOUNT('literature entries'!$D:$AI,IF($J318=1,"ACTIVE     GHGE, FARM GATE (kg CO2e/kg)","GHGE, processor gate (kg CO2e/kg)"),INDIRECT($K318)),GETPIVOTDATA(IF($J318=1,"ACTIVE     GHGE, FARM GATE (kg CO2e/kg)","Count of GHGE, processor gate (kg CO2e/kg)"),'Pivot Table_GHG'!$A$3,"SUB TYPE","Poultry, other"))</f>
        <v>5</v>
      </c>
      <c r="R318" s="190">
        <f ca="1">IF($P318="PROXY",DAVERAGE('literature entries'!$D:$AI,IF($J318=1,"ACTIVE     GHGE, FARM GATE (kg CO2e/kg)","GHGE, processor gate (kg CO2e/kg)"),INDIRECT($K318)),GETPIVOTDATA(IF($J318=1,"Average of ACTIVE     GHGE, FARM GATE (kg CO2e/kg)","Average of GHGE, processor gate (kg CO2e/kg)"),'Pivot Table_GHG'!$A$3,"SUB TYPE","Poultry, other"))</f>
        <v>2.8307692307692305</v>
      </c>
      <c r="S318" s="190">
        <f ca="1">IF($P318="PROXY",DSTDEV('literature entries'!$D:$AI,IF($J318=1,"ACTIVE     GHGE, FARM GATE (kg CO2e/kg)","GHGE, processor gate (kg CO2e/kg)"),INDIRECT($K318)),GETPIVOTDATA(IF($J318=1,"StdDev of ACTIVE     GHGE, FARM GATE (kg CO2e/kg)","StdDev of GHGE, processor gate (kg CO2e/kg)"),'Pivot Table_GHG'!$A$3,"SUB TYPE","Poultry, other"))</f>
        <v>1.1258001756541696</v>
      </c>
      <c r="T318" s="88"/>
      <c r="U318" s="89"/>
      <c r="W318" s="213" t="s">
        <v>2448</v>
      </c>
      <c r="X318" s="211">
        <f ca="1">IF($W318="DIRECT",M318,DCOUNT('literature entries'!$D:$AI,IF($J318=1,"ACTIVE     CED, FARM GATE (MJ/kg)","CED, processor gate (MJ/kg)"),INDIRECT($W318)))</f>
        <v>15</v>
      </c>
      <c r="Y318" s="211">
        <f ca="1">IF($W318="DIRECT","",DAVERAGE('literature entries'!$D:$AI,IF($J318=1,"ACTIVE     CED, FARM GATE (MJ/kg)","CED, processor gate (MJ/kg)"),INDIRECT($W318)))</f>
        <v>27.337984848484844</v>
      </c>
      <c r="Z318" s="211">
        <f ca="1">IF($W318="DIRECT",$O318,DSTDEV('literature entries'!$D:$AI,IF($J318=1,"ACTIVE     CED, FARM GATE (MJ/kg)","CED, processor gate (MJ/kg)"),INDIRECT($W318)))</f>
        <v>11.446373044126648</v>
      </c>
      <c r="AA318" s="211">
        <f t="shared" ca="1" si="41"/>
        <v>10.247824534987215</v>
      </c>
      <c r="AB318" s="219" t="s">
        <v>2448</v>
      </c>
      <c r="AC318" s="212">
        <f ca="1">IF($AB318="DIRECT",Q318,DCOUNT('literature entries'!$D:$AI,IF($J318=1,"ACTIVE     GHGE, FARM GATE (kg CO2e/kg)","GHGE, processor gate (kg CO2e/kg)"),INDIRECT($AB318)))</f>
        <v>32</v>
      </c>
      <c r="AD318" s="212">
        <f ca="1">IF($AB318="DIRECT","",DAVERAGE('literature entries'!$D:$AI,IF($J318=1,"ACTIVE     GHGE, FARM GATE (kg CO2e/kg)","GHGE, processor gate (kg CO2e/kg)"),INDIRECT($AB318)))</f>
        <v>4.1878483887317701</v>
      </c>
      <c r="AE318" s="212">
        <f ca="1">IF($AB318="DIRECT",$S318,DSTDEV('literature entries'!$D:$AI,IF($J318=1,"ACTIVE     GHGE, FARM GATE (kg CO2e/kg)","GHGE, processor gate (kg CO2e/kg)"),INDIRECT($AB318)))</f>
        <v>2.3000746274481916</v>
      </c>
      <c r="AF318" s="212">
        <f t="shared" ca="1" si="42"/>
        <v>1.5547316615788709</v>
      </c>
    </row>
    <row r="319" spans="1:32" s="19" customFormat="1" thickBot="1" x14ac:dyDescent="0.25">
      <c r="A319" s="114">
        <v>7000145000</v>
      </c>
      <c r="B319" s="115" t="s">
        <v>1969</v>
      </c>
      <c r="C319" s="115" t="s">
        <v>1970</v>
      </c>
      <c r="D319" s="115"/>
      <c r="E319" s="115">
        <v>33670</v>
      </c>
      <c r="F319" s="111">
        <f t="shared" ca="1" si="34"/>
        <v>23.001779999999997</v>
      </c>
      <c r="G319" s="112">
        <f t="shared" ca="1" si="35"/>
        <v>3.7540655999999992</v>
      </c>
      <c r="H319" s="116">
        <v>1.1399999999999999</v>
      </c>
      <c r="I319" s="116" t="s">
        <v>2724</v>
      </c>
      <c r="J319" s="79">
        <v>1</v>
      </c>
      <c r="K319" s="188"/>
      <c r="L319" s="135" t="str">
        <f>IF(ISERROR(GETPIVOTDATA(IF($J319=1,"Count of ACTIVE     CED, FARM GATE (MJ/kg)","Count of CED, processor gate (MJ/kg)"),'Pivot Table_CED'!$A$3,"SUB TYPE","Eggs, chicken")),"PROXY",IF(GETPIVOTDATA(IF($J319=1,"Count of ACTIVE     CED, FARM GATE (MJ/kg)","Count of CED, processor gate (MJ/kg)"),'Pivot Table_CED'!$A$3,"SUB TYPE","Eggs, chicken")=0,"PROXY","DB value"))</f>
        <v>DB value</v>
      </c>
      <c r="M319" s="118">
        <f ca="1">IF($L319="PROXY",DCOUNT('literature entries'!$D:$AI,IF($J319=1,"ACTIVE     CED, FARM GATE (MJ/kg)","CED, processor gate (MJ/kg)"),INDIRECT($K319)),GETPIVOTDATA(IF($J319=1,"Count of ACTIVE     CED, FARM GATE (MJ/kg)","Count of CED, processor gate (MJ/kg)"),'Pivot Table_CED'!$A$3,"SUB TYPE","Eggs, chicken"))</f>
        <v>10</v>
      </c>
      <c r="N319" s="119">
        <f ca="1">IF($L319="PROXY",DAVERAGE('literature entries'!$D:$AI,IF($J319=1,"ACTIVE     CED, FARM GATE (MJ/kg)","CED, processor gate (MJ/kg)"),INDIRECT($K319)),GETPIVOTDATA(IF($J319=1,"Average of ACTIVE     CED, FARM GATE (MJ/kg)","Average of CED, processor gate (MJ/kg)"),'Pivot Table_CED'!$A$3,"SUB TYPE","Eggs, chicken"))</f>
        <v>20.177</v>
      </c>
      <c r="O319" s="119">
        <f ca="1">IF($L319="PROXY",DSTDEV('literature entries'!D:AI,IF($J319=1,"ACTIVE     CED, FARM GATE (MJ/kg)","CED, processor gate (MJ/kg)"),INDIRECT($K319)),GETPIVOTDATA(IF($J319=1,"StdDev of ACTIVE     CED, FARM GATE (MJ/kg)","StdDev of CED, processor gate (MJ/kg)"),'Pivot Table_CED'!$A$3,"SUB TYPE","Eggs, chicken"))</f>
        <v>4.1586270437355752</v>
      </c>
      <c r="P319" s="135" t="str">
        <f>IF(ISERROR(GETPIVOTDATA(IF($J319=1,"Count of ACTIVE     GHGE, FARM GATE (kg CO2e/kg)","Count of GHGE, processor gate (kg CO2e/kg)"),'Pivot Table_GHG'!$A$3,"SUB TYPE","Eggs, chicken")),"PROXY",IF(GETPIVOTDATA(IF($J319=1,"Count of ACTIVE     GHGE, FARM GATE (kg CO2e/kg)","Count of GHGE, processor gate (kg CO2e/kg)"),'Pivot Table_GHG'!$A$3,"SUB TYPE","Eggs, chicken")=0,"PROXY","DB value"))</f>
        <v>DB value</v>
      </c>
      <c r="Q319" s="125">
        <f ca="1">IF($P319="PROXY",DCOUNT('literature entries'!$D:$AI,IF($J319=1,"ACTIVE     GHGE, FARM GATE (kg CO2e/kg)","GHGE, processor gate (kg CO2e/kg)"),INDIRECT($K319)),GETPIVOTDATA(IF($J319=1,"ACTIVE     GHGE, FARM GATE (kg CO2e/kg)","Count of GHGE, processor gate (kg CO2e/kg)"),'Pivot Table_GHG'!$A$3,"SUB TYPE","Eggs, chicken"))</f>
        <v>25</v>
      </c>
      <c r="R319" s="190">
        <f ca="1">IF($P319="PROXY",DAVERAGE('literature entries'!$D:$AI,IF($J319=1,"ACTIVE     GHGE, FARM GATE (kg CO2e/kg)","GHGE, processor gate (kg CO2e/kg)"),INDIRECT($K319)),GETPIVOTDATA(IF($J319=1,"Average of ACTIVE     GHGE, FARM GATE (kg CO2e/kg)","Average of GHGE, processor gate (kg CO2e/kg)"),'Pivot Table_GHG'!$A$3,"SUB TYPE","Eggs, chicken"))</f>
        <v>3.2930399999999995</v>
      </c>
      <c r="S319" s="190">
        <f ca="1">IF($P319="PROXY",DSTDEV('literature entries'!$D:$AI,IF($J319=1,"ACTIVE     GHGE, FARM GATE (kg CO2e/kg)","GHGE, processor gate (kg CO2e/kg)"),INDIRECT($K319)),GETPIVOTDATA(IF($J319=1,"StdDev of ACTIVE     GHGE, FARM GATE (kg CO2e/kg)","StdDev of GHGE, processor gate (kg CO2e/kg)"),'Pivot Table_GHG'!$A$3,"SUB TYPE","Eggs, chicken"))</f>
        <v>1.6360912128199545</v>
      </c>
      <c r="T319" s="88"/>
      <c r="U319" s="89"/>
      <c r="W319" s="213" t="str">
        <f ca="1">IF(L319="PROXY",IF(M319&gt;=5,K319,"need group"),IF(M319&gt;=5,"DIRECT","need group"))</f>
        <v>DIRECT</v>
      </c>
      <c r="X319" s="211">
        <f ca="1">IF($W319="DIRECT",M319,DCOUNT('literature entries'!$D:$AI,IF($J319=1,"ACTIVE     CED, FARM GATE (MJ/kg)","CED, processor gate (MJ/kg)"),INDIRECT($W319)))</f>
        <v>10</v>
      </c>
      <c r="Y319" s="211" t="str">
        <f ca="1">IF($W319="DIRECT","",DAVERAGE('literature entries'!$D:$AI,IF($J319=1,"ACTIVE     CED, FARM GATE (MJ/kg)","CED, processor gate (MJ/kg)"),INDIRECT($W319)))</f>
        <v/>
      </c>
      <c r="Z319" s="211">
        <f ca="1">IF($W319="DIRECT",$O319,DSTDEV('literature entries'!$D:$AI,IF($J319=1,"ACTIVE     CED, FARM GATE (MJ/kg)","CED, processor gate (MJ/kg)"),INDIRECT($W319)))</f>
        <v>4.1586270437355752</v>
      </c>
      <c r="AA319" s="211">
        <f t="shared" ca="1" si="41"/>
        <v>4.1586270437355752</v>
      </c>
      <c r="AB319" s="219" t="str">
        <f ca="1">IF(P319="PROXY",IF(Q319&gt;=5,K319,"need group"),IF(Q319&gt;=5,"DIRECT","need group"))</f>
        <v>DIRECT</v>
      </c>
      <c r="AC319" s="212">
        <f ca="1">IF($AB319="DIRECT",Q319,DCOUNT('literature entries'!$D:$AI,IF($J319=1,"ACTIVE     GHGE, FARM GATE (kg CO2e/kg)","GHGE, processor gate (kg CO2e/kg)"),INDIRECT($AB319)))</f>
        <v>25</v>
      </c>
      <c r="AD319" s="212" t="str">
        <f ca="1">IF($AB319="DIRECT","",DAVERAGE('literature entries'!$D:$AI,IF($J319=1,"ACTIVE     GHGE, FARM GATE (kg CO2e/kg)","GHGE, processor gate (kg CO2e/kg)"),INDIRECT($AB319)))</f>
        <v/>
      </c>
      <c r="AE319" s="212">
        <f ca="1">IF($AB319="DIRECT",$S319,DSTDEV('literature entries'!$D:$AI,IF($J319=1,"ACTIVE     GHGE, FARM GATE (kg CO2e/kg)","GHGE, processor gate (kg CO2e/kg)"),INDIRECT($AB319)))</f>
        <v>1.6360912128199545</v>
      </c>
      <c r="AF319" s="212">
        <f t="shared" ca="1" si="42"/>
        <v>1.6360912128199545</v>
      </c>
    </row>
    <row r="320" spans="1:32" s="19" customFormat="1" ht="17" thickBot="1" x14ac:dyDescent="0.25">
      <c r="A320" s="114">
        <v>7000146000</v>
      </c>
      <c r="B320" s="115" t="s">
        <v>1967</v>
      </c>
      <c r="C320" s="115" t="s">
        <v>1968</v>
      </c>
      <c r="D320" s="115"/>
      <c r="E320" s="115">
        <v>19255</v>
      </c>
      <c r="F320" s="111">
        <f t="shared" ca="1" si="34"/>
        <v>23.001779999999997</v>
      </c>
      <c r="G320" s="112">
        <f t="shared" ca="1" si="35"/>
        <v>3.7540655999999992</v>
      </c>
      <c r="H320" s="116">
        <v>1.1399999999999999</v>
      </c>
      <c r="I320" s="117" t="s">
        <v>2724</v>
      </c>
      <c r="J320" s="79">
        <v>1</v>
      </c>
      <c r="K320" s="188"/>
      <c r="L320" s="135" t="str">
        <f>IF(ISERROR(GETPIVOTDATA(IF($J320=1,"Count of ACTIVE     CED, FARM GATE (MJ/kg)","Count of CED, processor gate (MJ/kg)"),'Pivot Table_CED'!$A$3,"SUB TYPE","Eggs, chicken")),"PROXY",IF(GETPIVOTDATA(IF($J320=1,"Count of ACTIVE     CED, FARM GATE (MJ/kg)","Count of CED, processor gate (MJ/kg)"),'Pivot Table_CED'!$A$3,"SUB TYPE","Eggs, chicken")=0,"PROXY","DB value"))</f>
        <v>DB value</v>
      </c>
      <c r="M320" s="118">
        <f ca="1">IF($L320="PROXY",DCOUNT('literature entries'!$D:$AI,IF($J320=1,"ACTIVE     CED, FARM GATE (MJ/kg)","CED, processor gate (MJ/kg)"),INDIRECT($K320)),GETPIVOTDATA(IF($J320=1,"Count of ACTIVE     CED, FARM GATE (MJ/kg)","Count of CED, processor gate (MJ/kg)"),'Pivot Table_CED'!$A$3,"SUB TYPE","Eggs, chicken"))</f>
        <v>10</v>
      </c>
      <c r="N320" s="119">
        <f ca="1">IF($L320="PROXY",DAVERAGE('literature entries'!$D:$AI,IF($J320=1,"ACTIVE     CED, FARM GATE (MJ/kg)","CED, processor gate (MJ/kg)"),INDIRECT($K320)),GETPIVOTDATA(IF($J320=1,"Average of ACTIVE     CED, FARM GATE (MJ/kg)","Average of CED, processor gate (MJ/kg)"),'Pivot Table_CED'!$A$3,"SUB TYPE","Eggs, chicken"))</f>
        <v>20.177</v>
      </c>
      <c r="O320" s="119">
        <f ca="1">IF($L320="PROXY",DSTDEV('literature entries'!D:AI,IF($J320=1,"ACTIVE     CED, FARM GATE (MJ/kg)","CED, processor gate (MJ/kg)"),INDIRECT($K320)),GETPIVOTDATA(IF($J320=1,"StdDev of ACTIVE     CED, FARM GATE (MJ/kg)","StdDev of CED, processor gate (MJ/kg)"),'Pivot Table_CED'!$A$3,"SUB TYPE","Eggs, chicken"))</f>
        <v>4.1586270437355752</v>
      </c>
      <c r="P320" s="135" t="str">
        <f>IF(ISERROR(GETPIVOTDATA(IF($J320=1,"Count of ACTIVE     GHGE, FARM GATE (kg CO2e/kg)","Count of GHGE, processor gate (kg CO2e/kg)"),'Pivot Table_GHG'!$A$3,"SUB TYPE","Eggs, chicken")),"PROXY",IF(GETPIVOTDATA(IF($J320=1,"Count of ACTIVE     GHGE, FARM GATE (kg CO2e/kg)","Count of GHGE, processor gate (kg CO2e/kg)"),'Pivot Table_GHG'!$A$3,"SUB TYPE","Eggs, chicken")=0,"PROXY","DB value"))</f>
        <v>DB value</v>
      </c>
      <c r="Q320" s="125">
        <f ca="1">IF($P320="PROXY",DCOUNT('literature entries'!$D:$AI,IF($J320=1,"ACTIVE     GHGE, FARM GATE (kg CO2e/kg)","GHGE, processor gate (kg CO2e/kg)"),INDIRECT($K320)),GETPIVOTDATA(IF($J320=1,"ACTIVE     GHGE, FARM GATE (kg CO2e/kg)","Count of GHGE, processor gate (kg CO2e/kg)"),'Pivot Table_GHG'!$A$3,"SUB TYPE","Eggs, chicken"))</f>
        <v>25</v>
      </c>
      <c r="R320" s="190">
        <f ca="1">IF($P320="PROXY",DAVERAGE('literature entries'!$D:$AI,IF($J320=1,"ACTIVE     GHGE, FARM GATE (kg CO2e/kg)","GHGE, processor gate (kg CO2e/kg)"),INDIRECT($K320)),GETPIVOTDATA(IF($J320=1,"Average of ACTIVE     GHGE, FARM GATE (kg CO2e/kg)","Average of GHGE, processor gate (kg CO2e/kg)"),'Pivot Table_GHG'!$A$3,"SUB TYPE","Eggs, chicken"))</f>
        <v>3.2930399999999995</v>
      </c>
      <c r="S320" s="190">
        <f ca="1">IF($P320="PROXY",DSTDEV('literature entries'!$D:$AI,IF($J320=1,"ACTIVE     GHGE, FARM GATE (kg CO2e/kg)","GHGE, processor gate (kg CO2e/kg)"),INDIRECT($K320)),GETPIVOTDATA(IF($J320=1,"StdDev of ACTIVE     GHGE, FARM GATE (kg CO2e/kg)","StdDev of GHGE, processor gate (kg CO2e/kg)"),'Pivot Table_GHG'!$A$3,"SUB TYPE","Eggs, chicken"))</f>
        <v>1.6360912128199545</v>
      </c>
      <c r="T320" s="88"/>
      <c r="U320" s="89"/>
      <c r="W320" s="213" t="str">
        <f ca="1">IF(L320="PROXY",IF(M320&gt;=5,K320,"need group"),IF(M320&gt;=5,"DIRECT","need group"))</f>
        <v>DIRECT</v>
      </c>
      <c r="X320" s="211">
        <f ca="1">IF($W320="DIRECT",M320,DCOUNT('literature entries'!$D:$AI,IF($J320=1,"ACTIVE     CED, FARM GATE (MJ/kg)","CED, processor gate (MJ/kg)"),INDIRECT($W320)))</f>
        <v>10</v>
      </c>
      <c r="Y320" s="211" t="str">
        <f ca="1">IF($W320="DIRECT","",DAVERAGE('literature entries'!$D:$AI,IF($J320=1,"ACTIVE     CED, FARM GATE (MJ/kg)","CED, processor gate (MJ/kg)"),INDIRECT($W320)))</f>
        <v/>
      </c>
      <c r="Z320" s="211">
        <f ca="1">IF($W320="DIRECT",$O320,DSTDEV('literature entries'!$D:$AI,IF($J320=1,"ACTIVE     CED, FARM GATE (MJ/kg)","CED, processor gate (MJ/kg)"),INDIRECT($W320)))</f>
        <v>4.1586270437355752</v>
      </c>
      <c r="AA320" s="211">
        <f t="shared" ca="1" si="41"/>
        <v>4.1586270437355752</v>
      </c>
      <c r="AB320" s="219" t="str">
        <f ca="1">IF(P320="PROXY",IF(Q320&gt;=5,K320,"need group"),IF(Q320&gt;=5,"DIRECT","need group"))</f>
        <v>DIRECT</v>
      </c>
      <c r="AC320" s="212">
        <f ca="1">IF($AB320="DIRECT",Q320,DCOUNT('literature entries'!$D:$AI,IF($J320=1,"ACTIVE     GHGE, FARM GATE (kg CO2e/kg)","GHGE, processor gate (kg CO2e/kg)"),INDIRECT($AB320)))</f>
        <v>25</v>
      </c>
      <c r="AD320" s="212" t="str">
        <f ca="1">IF($AB320="DIRECT","",DAVERAGE('literature entries'!$D:$AI,IF($J320=1,"ACTIVE     GHGE, FARM GATE (kg CO2e/kg)","GHGE, processor gate (kg CO2e/kg)"),INDIRECT($AB320)))</f>
        <v/>
      </c>
      <c r="AE320" s="212">
        <f ca="1">IF($AB320="DIRECT",$S320,DSTDEV('literature entries'!$D:$AI,IF($J320=1,"ACTIVE     GHGE, FARM GATE (kg CO2e/kg)","GHGE, processor gate (kg CO2e/kg)"),INDIRECT($AB320)))</f>
        <v>1.6360912128199545</v>
      </c>
      <c r="AF320" s="212">
        <f t="shared" ca="1" si="42"/>
        <v>1.6360912128199545</v>
      </c>
    </row>
    <row r="321" spans="1:32" s="19" customFormat="1" ht="17" thickBot="1" x14ac:dyDescent="0.25">
      <c r="A321" s="114">
        <v>7000147000</v>
      </c>
      <c r="B321" s="115" t="s">
        <v>1971</v>
      </c>
      <c r="C321" s="115" t="s">
        <v>1972</v>
      </c>
      <c r="D321" s="115"/>
      <c r="E321" s="115">
        <v>17943</v>
      </c>
      <c r="F321" s="111">
        <f t="shared" ca="1" si="34"/>
        <v>23.001779999999997</v>
      </c>
      <c r="G321" s="112">
        <f t="shared" ca="1" si="35"/>
        <v>3.7540655999999992</v>
      </c>
      <c r="H321" s="116">
        <v>1.1399999999999999</v>
      </c>
      <c r="I321" s="117" t="s">
        <v>2724</v>
      </c>
      <c r="J321" s="79">
        <v>1</v>
      </c>
      <c r="K321" s="188"/>
      <c r="L321" s="135" t="str">
        <f>IF(ISERROR(GETPIVOTDATA(IF($J321=1,"Count of ACTIVE     CED, FARM GATE (MJ/kg)","Count of CED, processor gate (MJ/kg)"),'Pivot Table_CED'!$A$3,"SUB TYPE","Eggs, chicken")),"PROXY",IF(GETPIVOTDATA(IF($J321=1,"Count of ACTIVE     CED, FARM GATE (MJ/kg)","Count of CED, processor gate (MJ/kg)"),'Pivot Table_CED'!$A$3,"SUB TYPE","Eggs, chicken")=0,"PROXY","DB value"))</f>
        <v>DB value</v>
      </c>
      <c r="M321" s="118">
        <f ca="1">IF($L321="PROXY",DCOUNT('literature entries'!$D:$AI,IF($J321=1,"ACTIVE     CED, FARM GATE (MJ/kg)","CED, processor gate (MJ/kg)"),INDIRECT($K321)),GETPIVOTDATA(IF($J321=1,"Count of ACTIVE     CED, FARM GATE (MJ/kg)","Count of CED, processor gate (MJ/kg)"),'Pivot Table_CED'!$A$3,"SUB TYPE","Eggs, chicken"))</f>
        <v>10</v>
      </c>
      <c r="N321" s="119">
        <f ca="1">IF($L321="PROXY",DAVERAGE('literature entries'!$D:$AI,IF($J321=1,"ACTIVE     CED, FARM GATE (MJ/kg)","CED, processor gate (MJ/kg)"),INDIRECT($K321)),GETPIVOTDATA(IF($J321=1,"Average of ACTIVE     CED, FARM GATE (MJ/kg)","Average of CED, processor gate (MJ/kg)"),'Pivot Table_CED'!$A$3,"SUB TYPE","Eggs, chicken"))</f>
        <v>20.177</v>
      </c>
      <c r="O321" s="119">
        <f ca="1">IF($L321="PROXY",DSTDEV('literature entries'!D:AI,IF($J321=1,"ACTIVE     CED, FARM GATE (MJ/kg)","CED, processor gate (MJ/kg)"),INDIRECT($K321)),GETPIVOTDATA(IF($J321=1,"StdDev of ACTIVE     CED, FARM GATE (MJ/kg)","StdDev of CED, processor gate (MJ/kg)"),'Pivot Table_CED'!$A$3,"SUB TYPE","Eggs, chicken"))</f>
        <v>4.1586270437355752</v>
      </c>
      <c r="P321" s="135" t="str">
        <f>IF(ISERROR(GETPIVOTDATA(IF($J321=1,"Count of ACTIVE     GHGE, FARM GATE (kg CO2e/kg)","Count of GHGE, processor gate (kg CO2e/kg)"),'Pivot Table_GHG'!$A$3,"SUB TYPE","Eggs, chicken")),"PROXY",IF(GETPIVOTDATA(IF($J321=1,"Count of ACTIVE     GHGE, FARM GATE (kg CO2e/kg)","Count of GHGE, processor gate (kg CO2e/kg)"),'Pivot Table_GHG'!$A$3,"SUB TYPE","Eggs, chicken")=0,"PROXY","DB value"))</f>
        <v>DB value</v>
      </c>
      <c r="Q321" s="125">
        <f ca="1">IF($P321="PROXY",DCOUNT('literature entries'!$D:$AI,IF($J321=1,"ACTIVE     GHGE, FARM GATE (kg CO2e/kg)","GHGE, processor gate (kg CO2e/kg)"),INDIRECT($K321)),GETPIVOTDATA(IF($J321=1,"ACTIVE     GHGE, FARM GATE (kg CO2e/kg)","Count of GHGE, processor gate (kg CO2e/kg)"),'Pivot Table_GHG'!$A$3,"SUB TYPE","Eggs, chicken"))</f>
        <v>25</v>
      </c>
      <c r="R321" s="190">
        <f ca="1">IF($P321="PROXY",DAVERAGE('literature entries'!$D:$AI,IF($J321=1,"ACTIVE     GHGE, FARM GATE (kg CO2e/kg)","GHGE, processor gate (kg CO2e/kg)"),INDIRECT($K321)),GETPIVOTDATA(IF($J321=1,"Average of ACTIVE     GHGE, FARM GATE (kg CO2e/kg)","Average of GHGE, processor gate (kg CO2e/kg)"),'Pivot Table_GHG'!$A$3,"SUB TYPE","Eggs, chicken"))</f>
        <v>3.2930399999999995</v>
      </c>
      <c r="S321" s="190">
        <f ca="1">IF($P321="PROXY",DSTDEV('literature entries'!$D:$AI,IF($J321=1,"ACTIVE     GHGE, FARM GATE (kg CO2e/kg)","GHGE, processor gate (kg CO2e/kg)"),INDIRECT($K321)),GETPIVOTDATA(IF($J321=1,"StdDev of ACTIVE     GHGE, FARM GATE (kg CO2e/kg)","StdDev of GHGE, processor gate (kg CO2e/kg)"),'Pivot Table_GHG'!$A$3,"SUB TYPE","Eggs, chicken"))</f>
        <v>1.6360912128199545</v>
      </c>
      <c r="T321" s="88"/>
      <c r="U321" s="89"/>
      <c r="W321" s="213" t="str">
        <f ca="1">IF(L321="PROXY",IF(M321&gt;=5,K321,"need group"),IF(M321&gt;=5,"DIRECT","need group"))</f>
        <v>DIRECT</v>
      </c>
      <c r="X321" s="211">
        <f ca="1">IF($W321="DIRECT",M321,DCOUNT('literature entries'!$D:$AI,IF($J321=1,"ACTIVE     CED, FARM GATE (MJ/kg)","CED, processor gate (MJ/kg)"),INDIRECT($W321)))</f>
        <v>10</v>
      </c>
      <c r="Y321" s="211" t="str">
        <f ca="1">IF($W321="DIRECT","",DAVERAGE('literature entries'!$D:$AI,IF($J321=1,"ACTIVE     CED, FARM GATE (MJ/kg)","CED, processor gate (MJ/kg)"),INDIRECT($W321)))</f>
        <v/>
      </c>
      <c r="Z321" s="211">
        <f ca="1">IF($W321="DIRECT",$O321,DSTDEV('literature entries'!$D:$AI,IF($J321=1,"ACTIVE     CED, FARM GATE (MJ/kg)","CED, processor gate (MJ/kg)"),INDIRECT($W321)))</f>
        <v>4.1586270437355752</v>
      </c>
      <c r="AA321" s="211">
        <f t="shared" ca="1" si="41"/>
        <v>4.1586270437355752</v>
      </c>
      <c r="AB321" s="219" t="str">
        <f ca="1">IF(P321="PROXY",IF(Q321&gt;=5,K321,"need group"),IF(Q321&gt;=5,"DIRECT","need group"))</f>
        <v>DIRECT</v>
      </c>
      <c r="AC321" s="212">
        <f ca="1">IF($AB321="DIRECT",Q321,DCOUNT('literature entries'!$D:$AI,IF($J321=1,"ACTIVE     GHGE, FARM GATE (kg CO2e/kg)","GHGE, processor gate (kg CO2e/kg)"),INDIRECT($AB321)))</f>
        <v>25</v>
      </c>
      <c r="AD321" s="212" t="str">
        <f ca="1">IF($AB321="DIRECT","",DAVERAGE('literature entries'!$D:$AI,IF($J321=1,"ACTIVE     GHGE, FARM GATE (kg CO2e/kg)","GHGE, processor gate (kg CO2e/kg)"),INDIRECT($AB321)))</f>
        <v/>
      </c>
      <c r="AE321" s="212">
        <f ca="1">IF($AB321="DIRECT",$S321,DSTDEV('literature entries'!$D:$AI,IF($J321=1,"ACTIVE     GHGE, FARM GATE (kg CO2e/kg)","GHGE, processor gate (kg CO2e/kg)"),INDIRECT($AB321)))</f>
        <v>1.6360912128199545</v>
      </c>
      <c r="AF321" s="212">
        <f t="shared" ca="1" si="42"/>
        <v>1.6360912128199545</v>
      </c>
    </row>
    <row r="322" spans="1:32" s="19" customFormat="1" ht="17" thickBot="1" x14ac:dyDescent="0.25">
      <c r="A322" s="114">
        <v>8000157000</v>
      </c>
      <c r="B322" s="115" t="s">
        <v>1981</v>
      </c>
      <c r="C322" s="115" t="s">
        <v>1982</v>
      </c>
      <c r="D322" s="115" t="s">
        <v>1983</v>
      </c>
      <c r="E322" s="115">
        <v>1138</v>
      </c>
      <c r="F322" s="111">
        <f t="shared" ca="1" si="34"/>
        <v>22.35</v>
      </c>
      <c r="G322" s="112">
        <f t="shared" ca="1" si="35"/>
        <v>1.5708</v>
      </c>
      <c r="H322" s="116">
        <v>1</v>
      </c>
      <c r="I322" s="117" t="s">
        <v>594</v>
      </c>
      <c r="J322" s="79">
        <v>1</v>
      </c>
      <c r="K322" s="78"/>
      <c r="L322" s="135" t="str">
        <f>IF(ISERROR(GETPIVOTDATA(IF($J322=1,"Count of ACTIVE     CED, FARM GATE (MJ/kg)","Count of CED, processor gate (MJ/kg)"),'Pivot Table_CED'!$A$3,"SUB TYPE",$B322)),"PROXY",IF(GETPIVOTDATA(IF($J322=1,"Count of ACTIVE     CED, FARM GATE (MJ/kg)","Count of CED, processor gate (MJ/kg)"),'Pivot Table_CED'!$A$3,"SUB TYPE",$B322)=0,"PROXY","DB value"))</f>
        <v>DB value</v>
      </c>
      <c r="M322" s="118">
        <f ca="1">IF($L322="PROXY",DCOUNT('literature entries'!$D:$AI,IF($J322=1,"ACTIVE     CED, FARM GATE (MJ/kg)","CED, processor gate (MJ/kg)"),INDIRECT($K322)),GETPIVOTDATA(IF($J322=1,"Count of ACTIVE     CED, FARM GATE (MJ/kg)","Count of CED, processor gate (MJ/kg)"),'Pivot Table_CED'!$A$3,"SUB TYPE",$B322))</f>
        <v>2</v>
      </c>
      <c r="N322" s="119">
        <f ca="1">IF($L322="PROXY",DAVERAGE('literature entries'!$D:$AI,IF($J322=1,"ACTIVE     CED, FARM GATE (MJ/kg)","CED, processor gate (MJ/kg)"),INDIRECT($K322)),GETPIVOTDATA(IF($J322=1,"Average of ACTIVE     CED, FARM GATE (MJ/kg)","Average of CED, processor gate (MJ/kg)"),'Pivot Table_CED'!$A$3,"SUB TYPE",$B322))</f>
        <v>22.35</v>
      </c>
      <c r="O322" s="119">
        <f ca="1">IF($L322="PROXY",DSTDEV('literature entries'!D:AI,IF($J322=1,"ACTIVE     CED, FARM GATE (MJ/kg)","CED, processor gate (MJ/kg)"),INDIRECT($K322)),GETPIVOTDATA(IF($J322=1,"StdDev of ACTIVE     CED, FARM GATE (MJ/kg)","StdDev of CED, processor gate (MJ/kg)"),'Pivot Table_CED'!$A$3,"SUB TYPE",$B322))</f>
        <v>0</v>
      </c>
      <c r="P322" s="135" t="str">
        <f>IF(ISERROR(GETPIVOTDATA(IF($J322=1,"Count of ACTIVE     GHGE, FARM GATE (kg CO2e/kg)","Count of GHGE, processor gate (kg CO2e/kg)"),'Pivot Table_GHG'!$A$3,"SUB TYPE",$B322)),"PROXY",IF(GETPIVOTDATA(IF($J322=1,"Count of ACTIVE     GHGE, FARM GATE (kg CO2e/kg)","Count of GHGE, processor gate (kg CO2e/kg)"),'Pivot Table_GHG'!$A$3,"SUB TYPE",$B322)=0,"PROXY","DB value"))</f>
        <v>DB value</v>
      </c>
      <c r="Q322" s="125">
        <f ca="1">IF($P322="PROXY",DCOUNT('literature entries'!$D:$AI,IF($J322=1,"ACTIVE     GHGE, FARM GATE (kg CO2e/kg)","GHGE, processor gate (kg CO2e/kg)"),INDIRECT($K322)),GETPIVOTDATA(IF($J322=1,"ACTIVE     GHGE, FARM GATE (kg CO2e/kg)","Count of GHGE, processor gate (kg CO2e/kg)"),'Pivot Table_GHG'!$A$3,"SUB TYPE",$B322))</f>
        <v>2</v>
      </c>
      <c r="R322" s="190">
        <f ca="1">IF($P322="PROXY",DAVERAGE('literature entries'!$D:$AI,IF($J322=1,"ACTIVE     GHGE, FARM GATE (kg CO2e/kg)","GHGE, processor gate (kg CO2e/kg)"),INDIRECT($K322)),GETPIVOTDATA(IF($J322=1,"Average of ACTIVE     GHGE, FARM GATE (kg CO2e/kg)","Average of GHGE, processor gate (kg CO2e/kg)"),'Pivot Table_GHG'!$A$3,"SUB TYPE",$B322))</f>
        <v>1.5708</v>
      </c>
      <c r="S322" s="190">
        <f ca="1">IF($P322="PROXY",DSTDEV('literature entries'!$D:$AI,IF($J322=1,"ACTIVE     GHGE, FARM GATE (kg CO2e/kg)","GHGE, processor gate (kg CO2e/kg)"),INDIRECT($K322)),GETPIVOTDATA(IF($J322=1,"StdDev of ACTIVE     GHGE, FARM GATE (kg CO2e/kg)","StdDev of GHGE, processor gate (kg CO2e/kg)"),'Pivot Table_GHG'!$A$3,"SUB TYPE",$B322))</f>
        <v>0</v>
      </c>
      <c r="T322" s="88"/>
      <c r="U322" s="89"/>
      <c r="W322" s="213" t="s">
        <v>3285</v>
      </c>
      <c r="X322" s="211">
        <f ca="1">IF($W322="DIRECT",M322,DCOUNT('literature entries'!$D:$AI,IF($J322=1,"ACTIVE     CED, FARM GATE (MJ/kg)","CED, processor gate (MJ/kg)"),INDIRECT($W322)))</f>
        <v>54</v>
      </c>
      <c r="Y322" s="211">
        <f ca="1">IF($W322="DIRECT","",DAVERAGE('literature entries'!$D:$AI,IF($J322=1,"ACTIVE     CED, FARM GATE (MJ/kg)","CED, processor gate (MJ/kg)"),INDIRECT($W322)))</f>
        <v>172.82197669332314</v>
      </c>
      <c r="Z322" s="211">
        <f ca="1">IF($W322="DIRECT",$O322,DSTDEV('literature entries'!$D:$AI,IF($J322=1,"ACTIVE     CED, FARM GATE (MJ/kg)","CED, processor gate (MJ/kg)"),INDIRECT($W322)))</f>
        <v>229.32958832205563</v>
      </c>
      <c r="AA322" s="211">
        <f t="shared" ca="1" si="41"/>
        <v>29.657780781510784</v>
      </c>
      <c r="AB322" s="219" t="s">
        <v>3285</v>
      </c>
      <c r="AC322" s="212">
        <f ca="1">IF($AB322="DIRECT",Q322,DCOUNT('literature entries'!$D:$AI,IF($J322=1,"ACTIVE     GHGE, FARM GATE (kg CO2e/kg)","GHGE, processor gate (kg CO2e/kg)"),INDIRECT($AB322)))</f>
        <v>122</v>
      </c>
      <c r="AD322" s="212">
        <f ca="1">IF($AB322="DIRECT","",DAVERAGE('literature entries'!$D:$AI,IF($J322=1,"ACTIVE     GHGE, FARM GATE (kg CO2e/kg)","GHGE, processor gate (kg CO2e/kg)"),INDIRECT($AB322)))</f>
        <v>7.3009808971969452</v>
      </c>
      <c r="AE322" s="212">
        <f ca="1">IF($AB322="DIRECT",$S322,DSTDEV('literature entries'!$D:$AI,IF($J322=1,"ACTIVE     GHGE, FARM GATE (kg CO2e/kg)","GHGE, processor gate (kg CO2e/kg)"),INDIRECT($AB322)))</f>
        <v>14.003812762278329</v>
      </c>
      <c r="AF322" s="212">
        <f t="shared" ca="1" si="42"/>
        <v>3.0129087305833311</v>
      </c>
    </row>
    <row r="323" spans="1:32" s="19" customFormat="1" ht="17" thickBot="1" x14ac:dyDescent="0.25">
      <c r="A323" s="114">
        <v>8000158000</v>
      </c>
      <c r="B323" s="115" t="s">
        <v>1984</v>
      </c>
      <c r="C323" s="115" t="s">
        <v>1982</v>
      </c>
      <c r="D323" s="115" t="s">
        <v>1985</v>
      </c>
      <c r="E323" s="115">
        <v>338</v>
      </c>
      <c r="F323" s="111">
        <f t="shared" ca="1" si="34"/>
        <v>157.43202321950599</v>
      </c>
      <c r="G323" s="112">
        <f t="shared" ca="1" si="35"/>
        <v>5.7173231238780273</v>
      </c>
      <c r="H323" s="116">
        <v>1</v>
      </c>
      <c r="I323" s="117" t="s">
        <v>594</v>
      </c>
      <c r="J323" s="79">
        <v>1</v>
      </c>
      <c r="K323" s="78"/>
      <c r="L323" s="135" t="str">
        <f>IF(ISERROR(GETPIVOTDATA(IF($J323=1,"Count of ACTIVE     CED, FARM GATE (MJ/kg)","Count of CED, processor gate (MJ/kg)"),'Pivot Table_CED'!$A$3,"SUB TYPE",$B323)),"PROXY",IF(GETPIVOTDATA(IF($J323=1,"Count of ACTIVE     CED, FARM GATE (MJ/kg)","Count of CED, processor gate (MJ/kg)"),'Pivot Table_CED'!$A$3,"SUB TYPE",$B323)=0,"PROXY","DB value"))</f>
        <v>DB value</v>
      </c>
      <c r="M323" s="118">
        <f ca="1">IF($L323="PROXY",DCOUNT('literature entries'!$D:$AI,IF($J323=1,"ACTIVE     CED, FARM GATE (MJ/kg)","CED, processor gate (MJ/kg)"),INDIRECT($K323)),GETPIVOTDATA(IF($J323=1,"Count of ACTIVE     CED, FARM GATE (MJ/kg)","Count of CED, processor gate (MJ/kg)"),'Pivot Table_CED'!$A$3,"SUB TYPE",$B323))</f>
        <v>29</v>
      </c>
      <c r="N323" s="119">
        <f ca="1">IF($L323="PROXY",DAVERAGE('literature entries'!$D:$AI,IF($J323=1,"ACTIVE     CED, FARM GATE (MJ/kg)","CED, processor gate (MJ/kg)"),INDIRECT($K323)),GETPIVOTDATA(IF($J323=1,"Average of ACTIVE     CED, FARM GATE (MJ/kg)","Average of CED, processor gate (MJ/kg)"),'Pivot Table_CED'!$A$3,"SUB TYPE",$B323))</f>
        <v>157.43202321950599</v>
      </c>
      <c r="O323" s="119">
        <f ca="1">IF($L323="PROXY",DSTDEV('literature entries'!D:AI,IF($J323=1,"ACTIVE     CED, FARM GATE (MJ/kg)","CED, processor gate (MJ/kg)"),INDIRECT($K323)),GETPIVOTDATA(IF($J323=1,"StdDev of ACTIVE     CED, FARM GATE (MJ/kg)","StdDev of CED, processor gate (MJ/kg)"),'Pivot Table_CED'!$A$3,"SUB TYPE",$B323))</f>
        <v>186.79273651503158</v>
      </c>
      <c r="P323" s="135" t="str">
        <f>IF(ISERROR(GETPIVOTDATA(IF($J323=1,"Count of ACTIVE     GHGE, FARM GATE (kg CO2e/kg)","Count of GHGE, processor gate (kg CO2e/kg)"),'Pivot Table_GHG'!$A$3,"SUB TYPE",$B323)),"PROXY",IF(GETPIVOTDATA(IF($J323=1,"Count of ACTIVE     GHGE, FARM GATE (kg CO2e/kg)","Count of GHGE, processor gate (kg CO2e/kg)"),'Pivot Table_GHG'!$A$3,"SUB TYPE",$B323)=0,"PROXY","DB value"))</f>
        <v>DB value</v>
      </c>
      <c r="Q323" s="125">
        <f ca="1">IF($P323="PROXY",DCOUNT('literature entries'!$D:$AI,IF($J323=1,"ACTIVE     GHGE, FARM GATE (kg CO2e/kg)","GHGE, processor gate (kg CO2e/kg)"),INDIRECT($K323)),GETPIVOTDATA(IF($J323=1,"ACTIVE     GHGE, FARM GATE (kg CO2e/kg)","Count of GHGE, processor gate (kg CO2e/kg)"),'Pivot Table_GHG'!$A$3,"SUB TYPE",$B323))</f>
        <v>51</v>
      </c>
      <c r="R323" s="190">
        <f ca="1">IF($P323="PROXY",DAVERAGE('literature entries'!$D:$AI,IF($J323=1,"ACTIVE     GHGE, FARM GATE (kg CO2e/kg)","GHGE, processor gate (kg CO2e/kg)"),INDIRECT($K323)),GETPIVOTDATA(IF($J323=1,"Average of ACTIVE     GHGE, FARM GATE (kg CO2e/kg)","Average of GHGE, processor gate (kg CO2e/kg)"),'Pivot Table_GHG'!$A$3,"SUB TYPE",$B323))</f>
        <v>5.7173231238780273</v>
      </c>
      <c r="S323" s="190">
        <f ca="1">IF($P323="PROXY",DSTDEV('literature entries'!$D:$AI,IF($J323=1,"ACTIVE     GHGE, FARM GATE (kg CO2e/kg)","GHGE, processor gate (kg CO2e/kg)"),INDIRECT($K323)),GETPIVOTDATA(IF($J323=1,"StdDev of ACTIVE     GHGE, FARM GATE (kg CO2e/kg)","StdDev of GHGE, processor gate (kg CO2e/kg)"),'Pivot Table_GHG'!$A$3,"SUB TYPE",$B323))</f>
        <v>6.7983880096389653</v>
      </c>
      <c r="T323" s="88"/>
      <c r="U323" s="89"/>
      <c r="W323" s="213" t="str">
        <f t="shared" ref="W323:W329" ca="1" si="44">IF(L323="PROXY",IF(M323&gt;=5,K323,"need group"),IF(M323&gt;=5,"DIRECT","need group"))</f>
        <v>DIRECT</v>
      </c>
      <c r="X323" s="211">
        <f ca="1">IF($W323="DIRECT",M323,DCOUNT('literature entries'!$D:$AI,IF($J323=1,"ACTIVE     CED, FARM GATE (MJ/kg)","CED, processor gate (MJ/kg)"),INDIRECT($W323)))</f>
        <v>29</v>
      </c>
      <c r="Y323" s="211" t="str">
        <f ca="1">IF($W323="DIRECT","",DAVERAGE('literature entries'!$D:$AI,IF($J323=1,"ACTIVE     CED, FARM GATE (MJ/kg)","CED, processor gate (MJ/kg)"),INDIRECT($W323)))</f>
        <v/>
      </c>
      <c r="Z323" s="211">
        <f ca="1">IF($W323="DIRECT",$O323,DSTDEV('literature entries'!$D:$AI,IF($J323=1,"ACTIVE     CED, FARM GATE (MJ/kg)","CED, processor gate (MJ/kg)"),INDIRECT($W323)))</f>
        <v>186.79273651503158</v>
      </c>
      <c r="AA323" s="211">
        <f t="shared" ca="1" si="41"/>
        <v>186.79273651503158</v>
      </c>
      <c r="AB323" s="219" t="str">
        <f t="shared" ref="AB323:AB329" ca="1" si="45">IF(P323="PROXY",IF(Q323&gt;=5,K323,"need group"),IF(Q323&gt;=5,"DIRECT","need group"))</f>
        <v>DIRECT</v>
      </c>
      <c r="AC323" s="212">
        <f ca="1">IF($AB323="DIRECT",Q323,DCOUNT('literature entries'!$D:$AI,IF($J323=1,"ACTIVE     GHGE, FARM GATE (kg CO2e/kg)","GHGE, processor gate (kg CO2e/kg)"),INDIRECT($AB323)))</f>
        <v>51</v>
      </c>
      <c r="AD323" s="212" t="str">
        <f ca="1">IF($AB323="DIRECT","",DAVERAGE('literature entries'!$D:$AI,IF($J323=1,"ACTIVE     GHGE, FARM GATE (kg CO2e/kg)","GHGE, processor gate (kg CO2e/kg)"),INDIRECT($AB323)))</f>
        <v/>
      </c>
      <c r="AE323" s="212">
        <f ca="1">IF($AB323="DIRECT",$S323,DSTDEV('literature entries'!$D:$AI,IF($J323=1,"ACTIVE     GHGE, FARM GATE (kg CO2e/kg)","GHGE, processor gate (kg CO2e/kg)"),INDIRECT($AB323)))</f>
        <v>6.7983880096389653</v>
      </c>
      <c r="AF323" s="212">
        <f t="shared" ca="1" si="42"/>
        <v>6.7983880096389653</v>
      </c>
    </row>
    <row r="324" spans="1:32" s="19" customFormat="1" ht="17" thickBot="1" x14ac:dyDescent="0.25">
      <c r="A324" s="114">
        <v>8000159000</v>
      </c>
      <c r="B324" s="115" t="s">
        <v>3437</v>
      </c>
      <c r="C324" s="115" t="s">
        <v>1982</v>
      </c>
      <c r="D324" s="115" t="s">
        <v>1985</v>
      </c>
      <c r="E324" s="115">
        <v>1416</v>
      </c>
      <c r="F324" s="111">
        <f t="shared" ref="F324:F355" ca="1" si="46">N324*H324+T324</f>
        <v>32.179921839080464</v>
      </c>
      <c r="G324" s="112">
        <f t="shared" ref="G324:G355" ca="1" si="47">R324*H324+U324</f>
        <v>2.1477298850574713</v>
      </c>
      <c r="H324" s="116">
        <v>1</v>
      </c>
      <c r="I324" s="117" t="s">
        <v>594</v>
      </c>
      <c r="J324" s="79">
        <v>1</v>
      </c>
      <c r="K324" s="78"/>
      <c r="L324" s="135" t="str">
        <f>IF(ISERROR(GETPIVOTDATA(IF($J324=1,"Count of ACTIVE     CED, FARM GATE (MJ/kg)","Count of CED, processor gate (MJ/kg)"),'Pivot Table_CED'!$A$3,"SUB TYPE",$B324)),"PROXY",IF(GETPIVOTDATA(IF($J324=1,"Count of ACTIVE     CED, FARM GATE (MJ/kg)","Count of CED, processor gate (MJ/kg)"),'Pivot Table_CED'!$A$3,"SUB TYPE",$B324)=0,"PROXY","DB value"))</f>
        <v>DB value</v>
      </c>
      <c r="M324" s="118">
        <f ca="1">IF($L324="PROXY",DCOUNT('literature entries'!$D:$AI,IF($J324=1,"ACTIVE     CED, FARM GATE (MJ/kg)","CED, processor gate (MJ/kg)"),INDIRECT($K324)),GETPIVOTDATA(IF($J324=1,"Count of ACTIVE     CED, FARM GATE (MJ/kg)","Count of CED, processor gate (MJ/kg)"),'Pivot Table_CED'!$A$3,"SUB TYPE",$B324))</f>
        <v>12</v>
      </c>
      <c r="N324" s="119">
        <f ca="1">IF($L324="PROXY",DAVERAGE('literature entries'!$D:$AI,IF($J324=1,"ACTIVE     CED, FARM GATE (MJ/kg)","CED, processor gate (MJ/kg)"),INDIRECT($K324)),GETPIVOTDATA(IF($J324=1,"Average of ACTIVE     CED, FARM GATE (MJ/kg)","Average of CED, processor gate (MJ/kg)"),'Pivot Table_CED'!$A$3,"SUB TYPE",$B324))</f>
        <v>32.179921839080464</v>
      </c>
      <c r="O324" s="119">
        <f ca="1">IF($L324="PROXY",DSTDEV('literature entries'!D:AI,IF($J324=1,"ACTIVE     CED, FARM GATE (MJ/kg)","CED, processor gate (MJ/kg)"),INDIRECT($K324)),GETPIVOTDATA(IF($J324=1,"StdDev of ACTIVE     CED, FARM GATE (MJ/kg)","StdDev of CED, processor gate (MJ/kg)"),'Pivot Table_CED'!$A$3,"SUB TYPE",$B324))</f>
        <v>4.9375578262682183</v>
      </c>
      <c r="P324" s="135" t="str">
        <f>IF(ISERROR(GETPIVOTDATA(IF($J324=1,"Count of ACTIVE     GHGE, FARM GATE (kg CO2e/kg)","Count of GHGE, processor gate (kg CO2e/kg)"),'Pivot Table_GHG'!$A$3,"SUB TYPE",$B324)),"PROXY",IF(GETPIVOTDATA(IF($J324=1,"Count of ACTIVE     GHGE, FARM GATE (kg CO2e/kg)","Count of GHGE, processor gate (kg CO2e/kg)"),'Pivot Table_GHG'!$A$3,"SUB TYPE",$B324)=0,"PROXY","DB value"))</f>
        <v>DB value</v>
      </c>
      <c r="Q324" s="125">
        <f ca="1">IF($P324="PROXY",DCOUNT('literature entries'!$D:$AI,IF($J324=1,"ACTIVE     GHGE, FARM GATE (kg CO2e/kg)","GHGE, processor gate (kg CO2e/kg)"),INDIRECT($K324)),GETPIVOTDATA(IF($J324=1,"ACTIVE     GHGE, FARM GATE (kg CO2e/kg)","Count of GHGE, processor gate (kg CO2e/kg)"),'Pivot Table_GHG'!$A$3,"SUB TYPE",$B324))</f>
        <v>12</v>
      </c>
      <c r="R324" s="190">
        <f ca="1">IF($P324="PROXY",DAVERAGE('literature entries'!$D:$AI,IF($J324=1,"ACTIVE     GHGE, FARM GATE (kg CO2e/kg)","GHGE, processor gate (kg CO2e/kg)"),INDIRECT($K324)),GETPIVOTDATA(IF($J324=1,"Average of ACTIVE     GHGE, FARM GATE (kg CO2e/kg)","Average of GHGE, processor gate (kg CO2e/kg)"),'Pivot Table_GHG'!$A$3,"SUB TYPE",$B324))</f>
        <v>2.1477298850574713</v>
      </c>
      <c r="S324" s="190">
        <f ca="1">IF($P324="PROXY",DSTDEV('literature entries'!$D:$AI,IF($J324=1,"ACTIVE     GHGE, FARM GATE (kg CO2e/kg)","GHGE, processor gate (kg CO2e/kg)"),INDIRECT($K324)),GETPIVOTDATA(IF($J324=1,"StdDev of ACTIVE     GHGE, FARM GATE (kg CO2e/kg)","StdDev of GHGE, processor gate (kg CO2e/kg)"),'Pivot Table_GHG'!$A$3,"SUB TYPE",$B324))</f>
        <v>0.32953903852547989</v>
      </c>
      <c r="T324" s="88"/>
      <c r="U324" s="89"/>
      <c r="W324" s="213" t="str">
        <f t="shared" ca="1" si="44"/>
        <v>DIRECT</v>
      </c>
      <c r="X324" s="211">
        <f ca="1">IF($W324="DIRECT",M324,DCOUNT('literature entries'!$D:$AI,IF($J324=1,"ACTIVE     CED, FARM GATE (MJ/kg)","CED, processor gate (MJ/kg)"),INDIRECT($W324)))</f>
        <v>12</v>
      </c>
      <c r="Y324" s="211" t="str">
        <f ca="1">IF($W324="DIRECT","",DAVERAGE('literature entries'!$D:$AI,IF($J324=1,"ACTIVE     CED, FARM GATE (MJ/kg)","CED, processor gate (MJ/kg)"),INDIRECT($W324)))</f>
        <v/>
      </c>
      <c r="Z324" s="211">
        <f ca="1">IF($W324="DIRECT",$O324,DSTDEV('literature entries'!$D:$AI,IF($J324=1,"ACTIVE     CED, FARM GATE (MJ/kg)","CED, processor gate (MJ/kg)"),INDIRECT($W324)))</f>
        <v>4.9375578262682183</v>
      </c>
      <c r="AA324" s="211">
        <f t="shared" ca="1" si="41"/>
        <v>4.9375578262682183</v>
      </c>
      <c r="AB324" s="219" t="str">
        <f t="shared" ca="1" si="45"/>
        <v>DIRECT</v>
      </c>
      <c r="AC324" s="212">
        <f ca="1">IF($AB324="DIRECT",Q324,DCOUNT('literature entries'!$D:$AI,IF($J324=1,"ACTIVE     GHGE, FARM GATE (kg CO2e/kg)","GHGE, processor gate (kg CO2e/kg)"),INDIRECT($AB324)))</f>
        <v>12</v>
      </c>
      <c r="AD324" s="212" t="str">
        <f ca="1">IF($AB324="DIRECT","",DAVERAGE('literature entries'!$D:$AI,IF($J324=1,"ACTIVE     GHGE, FARM GATE (kg CO2e/kg)","GHGE, processor gate (kg CO2e/kg)"),INDIRECT($AB324)))</f>
        <v/>
      </c>
      <c r="AE324" s="212">
        <f ca="1">IF($AB324="DIRECT",$S324,DSTDEV('literature entries'!$D:$AI,IF($J324=1,"ACTIVE     GHGE, FARM GATE (kg CO2e/kg)","GHGE, processor gate (kg CO2e/kg)"),INDIRECT($AB324)))</f>
        <v>0.32953903852547989</v>
      </c>
      <c r="AF324" s="212">
        <f t="shared" ca="1" si="42"/>
        <v>0.32953903852547989</v>
      </c>
    </row>
    <row r="325" spans="1:32" s="19" customFormat="1" ht="17" thickBot="1" x14ac:dyDescent="0.25">
      <c r="A325" s="114">
        <v>8000160000</v>
      </c>
      <c r="B325" s="115" t="s">
        <v>1986</v>
      </c>
      <c r="C325" s="115" t="s">
        <v>1982</v>
      </c>
      <c r="D325" s="115" t="s">
        <v>1985</v>
      </c>
      <c r="E325" s="115">
        <v>3266</v>
      </c>
      <c r="F325" s="111">
        <f t="shared" ca="1" si="46"/>
        <v>130.89395530303031</v>
      </c>
      <c r="G325" s="112">
        <f t="shared" ca="1" si="47"/>
        <v>3.0214281754447705</v>
      </c>
      <c r="H325" s="116">
        <v>1</v>
      </c>
      <c r="I325" s="117" t="s">
        <v>594</v>
      </c>
      <c r="J325" s="79">
        <v>1</v>
      </c>
      <c r="K325" s="78"/>
      <c r="L325" s="135" t="str">
        <f>IF(ISERROR(GETPIVOTDATA(IF($J325=1,"Count of ACTIVE     CED, FARM GATE (MJ/kg)","Count of CED, processor gate (MJ/kg)"),'Pivot Table_CED'!$A$3,"SUB TYPE",$B325)),"PROXY",IF(GETPIVOTDATA(IF($J325=1,"Count of ACTIVE     CED, FARM GATE (MJ/kg)","Count of CED, processor gate (MJ/kg)"),'Pivot Table_CED'!$A$3,"SUB TYPE",$B325)=0,"PROXY","DB value"))</f>
        <v>DB value</v>
      </c>
      <c r="M325" s="118">
        <f ca="1">IF($L325="PROXY",DCOUNT('literature entries'!$D:$AI,IF($J325=1,"ACTIVE     CED, FARM GATE (MJ/kg)","CED, processor gate (MJ/kg)"),INDIRECT($K325)),GETPIVOTDATA(IF($J325=1,"Count of ACTIVE     CED, FARM GATE (MJ/kg)","Count of CED, processor gate (MJ/kg)"),'Pivot Table_CED'!$A$3,"SUB TYPE",$B325))</f>
        <v>14</v>
      </c>
      <c r="N325" s="119">
        <f ca="1">IF($L325="PROXY",DAVERAGE('literature entries'!$D:$AI,IF($J325=1,"ACTIVE     CED, FARM GATE (MJ/kg)","CED, processor gate (MJ/kg)"),INDIRECT($K325)),GETPIVOTDATA(IF($J325=1,"Average of ACTIVE     CED, FARM GATE (MJ/kg)","Average of CED, processor gate (MJ/kg)"),'Pivot Table_CED'!$A$3,"SUB TYPE",$B325))</f>
        <v>130.89395530303031</v>
      </c>
      <c r="O325" s="119">
        <f ca="1">IF($L325="PROXY",DSTDEV('literature entries'!D:AI,IF($J325=1,"ACTIVE     CED, FARM GATE (MJ/kg)","CED, processor gate (MJ/kg)"),INDIRECT($K325)),GETPIVOTDATA(IF($J325=1,"StdDev of ACTIVE     CED, FARM GATE (MJ/kg)","StdDev of CED, processor gate (MJ/kg)"),'Pivot Table_CED'!$A$3,"SUB TYPE",$B325))</f>
        <v>233.19558932677532</v>
      </c>
      <c r="P325" s="135" t="str">
        <f>IF(ISERROR(GETPIVOTDATA(IF($J325=1,"Count of ACTIVE     GHGE, FARM GATE (kg CO2e/kg)","Count of GHGE, processor gate (kg CO2e/kg)"),'Pivot Table_GHG'!$A$3,"SUB TYPE",$B325)),"PROXY",IF(GETPIVOTDATA(IF($J325=1,"Count of ACTIVE     GHGE, FARM GATE (kg CO2e/kg)","Count of GHGE, processor gate (kg CO2e/kg)"),'Pivot Table_GHG'!$A$3,"SUB TYPE",$B325)=0,"PROXY","DB value"))</f>
        <v>DB value</v>
      </c>
      <c r="Q325" s="125">
        <f ca="1">IF($P325="PROXY",DCOUNT('literature entries'!$D:$AI,IF($J325=1,"ACTIVE     GHGE, FARM GATE (kg CO2e/kg)","GHGE, processor gate (kg CO2e/kg)"),INDIRECT($K325)),GETPIVOTDATA(IF($J325=1,"ACTIVE     GHGE, FARM GATE (kg CO2e/kg)","Count of GHGE, processor gate (kg CO2e/kg)"),'Pivot Table_GHG'!$A$3,"SUB TYPE",$B325))</f>
        <v>50</v>
      </c>
      <c r="R325" s="190">
        <f ca="1">IF($P325="PROXY",DAVERAGE('literature entries'!$D:$AI,IF($J325=1,"ACTIVE     GHGE, FARM GATE (kg CO2e/kg)","GHGE, processor gate (kg CO2e/kg)"),INDIRECT($K325)),GETPIVOTDATA(IF($J325=1,"Average of ACTIVE     GHGE, FARM GATE (kg CO2e/kg)","Average of GHGE, processor gate (kg CO2e/kg)"),'Pivot Table_GHG'!$A$3,"SUB TYPE",$B325))</f>
        <v>3.0214281754447705</v>
      </c>
      <c r="S325" s="190">
        <f ca="1">IF($P325="PROXY",DSTDEV('literature entries'!$D:$AI,IF($J325=1,"ACTIVE     GHGE, FARM GATE (kg CO2e/kg)","GHGE, processor gate (kg CO2e/kg)"),INDIRECT($K325)),GETPIVOTDATA(IF($J325=1,"StdDev of ACTIVE     GHGE, FARM GATE (kg CO2e/kg)","StdDev of GHGE, processor gate (kg CO2e/kg)"),'Pivot Table_GHG'!$A$3,"SUB TYPE",$B325))</f>
        <v>6.6703451293251312</v>
      </c>
      <c r="T325" s="88"/>
      <c r="U325" s="89"/>
      <c r="W325" s="213" t="str">
        <f t="shared" ca="1" si="44"/>
        <v>DIRECT</v>
      </c>
      <c r="X325" s="211">
        <f ca="1">IF($W325="DIRECT",M325,DCOUNT('literature entries'!$D:$AI,IF($J325=1,"ACTIVE     CED, FARM GATE (MJ/kg)","CED, processor gate (MJ/kg)"),INDIRECT($W325)))</f>
        <v>14</v>
      </c>
      <c r="Y325" s="211" t="str">
        <f ca="1">IF($W325="DIRECT","",DAVERAGE('literature entries'!$D:$AI,IF($J325=1,"ACTIVE     CED, FARM GATE (MJ/kg)","CED, processor gate (MJ/kg)"),INDIRECT($W325)))</f>
        <v/>
      </c>
      <c r="Z325" s="211">
        <f ca="1">IF($W325="DIRECT",$O325,DSTDEV('literature entries'!$D:$AI,IF($J325=1,"ACTIVE     CED, FARM GATE (MJ/kg)","CED, processor gate (MJ/kg)"),INDIRECT($W325)))</f>
        <v>233.19558932677532</v>
      </c>
      <c r="AA325" s="211">
        <f t="shared" ca="1" si="41"/>
        <v>233.19558932677532</v>
      </c>
      <c r="AB325" s="219" t="str">
        <f t="shared" ca="1" si="45"/>
        <v>DIRECT</v>
      </c>
      <c r="AC325" s="212">
        <f ca="1">IF($AB325="DIRECT",Q325,DCOUNT('literature entries'!$D:$AI,IF($J325=1,"ACTIVE     GHGE, FARM GATE (kg CO2e/kg)","GHGE, processor gate (kg CO2e/kg)"),INDIRECT($AB325)))</f>
        <v>50</v>
      </c>
      <c r="AD325" s="212" t="str">
        <f ca="1">IF($AB325="DIRECT","",DAVERAGE('literature entries'!$D:$AI,IF($J325=1,"ACTIVE     GHGE, FARM GATE (kg CO2e/kg)","GHGE, processor gate (kg CO2e/kg)"),INDIRECT($AB325)))</f>
        <v/>
      </c>
      <c r="AE325" s="212">
        <f ca="1">IF($AB325="DIRECT",$S325,DSTDEV('literature entries'!$D:$AI,IF($J325=1,"ACTIVE     GHGE, FARM GATE (kg CO2e/kg)","GHGE, processor gate (kg CO2e/kg)"),INDIRECT($AB325)))</f>
        <v>6.6703451293251312</v>
      </c>
      <c r="AF325" s="212">
        <f t="shared" ca="1" si="42"/>
        <v>6.6703451293251312</v>
      </c>
    </row>
    <row r="326" spans="1:32" s="19" customFormat="1" ht="17" thickBot="1" x14ac:dyDescent="0.25">
      <c r="A326" s="114">
        <v>8000161000</v>
      </c>
      <c r="B326" s="115" t="s">
        <v>1987</v>
      </c>
      <c r="C326" s="115" t="s">
        <v>1988</v>
      </c>
      <c r="D326" s="115" t="s">
        <v>1985</v>
      </c>
      <c r="E326" s="115">
        <v>2372</v>
      </c>
      <c r="F326" s="111">
        <f t="shared" ca="1" si="46"/>
        <v>321.07141042570584</v>
      </c>
      <c r="G326" s="112">
        <f t="shared" ca="1" si="47"/>
        <v>30.657762954857823</v>
      </c>
      <c r="H326" s="116">
        <v>1</v>
      </c>
      <c r="I326" s="117" t="s">
        <v>594</v>
      </c>
      <c r="J326" s="79">
        <v>1</v>
      </c>
      <c r="K326" s="78"/>
      <c r="L326" s="135" t="str">
        <f>IF(ISERROR(GETPIVOTDATA(IF($J326=1,"Count of ACTIVE     CED, FARM GATE (MJ/kg)","Count of CED, processor gate (MJ/kg)"),'Pivot Table_CED'!$A$3,"SUB TYPE",$B326)),"PROXY",IF(GETPIVOTDATA(IF($J326=1,"Count of ACTIVE     CED, FARM GATE (MJ/kg)","Count of CED, processor gate (MJ/kg)"),'Pivot Table_CED'!$A$3,"SUB TYPE",$B326)=0,"PROXY","DB value"))</f>
        <v>DB value</v>
      </c>
      <c r="M326" s="118">
        <f ca="1">IF($L326="PROXY",DCOUNT('literature entries'!$D:$AI,IF($J326=1,"ACTIVE     CED, FARM GATE (MJ/kg)","CED, processor gate (MJ/kg)"),INDIRECT($K326)),GETPIVOTDATA(IF($J326=1,"Count of ACTIVE     CED, FARM GATE (MJ/kg)","Count of CED, processor gate (MJ/kg)"),'Pivot Table_CED'!$A$3,"SUB TYPE",$B326))</f>
        <v>9</v>
      </c>
      <c r="N326" s="119">
        <f ca="1">IF($L326="PROXY",DAVERAGE('literature entries'!$D:$AI,IF($J326=1,"ACTIVE     CED, FARM GATE (MJ/kg)","CED, processor gate (MJ/kg)"),INDIRECT($K326)),GETPIVOTDATA(IF($J326=1,"Average of ACTIVE     CED, FARM GATE (MJ/kg)","Average of CED, processor gate (MJ/kg)"),'Pivot Table_CED'!$A$3,"SUB TYPE",$B326))</f>
        <v>321.07141042570584</v>
      </c>
      <c r="O326" s="119">
        <f ca="1">IF($L326="PROXY",DSTDEV('literature entries'!D:AI,IF($J326=1,"ACTIVE     CED, FARM GATE (MJ/kg)","CED, processor gate (MJ/kg)"),INDIRECT($K326)),GETPIVOTDATA(IF($J326=1,"StdDev of ACTIVE     CED, FARM GATE (MJ/kg)","StdDev of CED, processor gate (MJ/kg)"),'Pivot Table_CED'!$A$3,"SUB TYPE",$B326))</f>
        <v>321.89075964329794</v>
      </c>
      <c r="P326" s="135" t="str">
        <f>IF(ISERROR(GETPIVOTDATA(IF($J326=1,"Count of ACTIVE     GHGE, FARM GATE (kg CO2e/kg)","Count of GHGE, processor gate (kg CO2e/kg)"),'Pivot Table_GHG'!$A$3,"SUB TYPE",$B326)),"PROXY",IF(GETPIVOTDATA(IF($J326=1,"Count of ACTIVE     GHGE, FARM GATE (kg CO2e/kg)","Count of GHGE, processor gate (kg CO2e/kg)"),'Pivot Table_GHG'!$A$3,"SUB TYPE",$B326)=0,"PROXY","DB value"))</f>
        <v>DB value</v>
      </c>
      <c r="Q326" s="125">
        <f ca="1">IF($P326="PROXY",DCOUNT('literature entries'!$D:$AI,IF($J326=1,"ACTIVE     GHGE, FARM GATE (kg CO2e/kg)","GHGE, processor gate (kg CO2e/kg)"),INDIRECT($K326)),GETPIVOTDATA(IF($J326=1,"ACTIVE     GHGE, FARM GATE (kg CO2e/kg)","Count of GHGE, processor gate (kg CO2e/kg)"),'Pivot Table_GHG'!$A$3,"SUB TYPE",$B326))</f>
        <v>14</v>
      </c>
      <c r="R326" s="190">
        <f ca="1">IF($P326="PROXY",DAVERAGE('literature entries'!$D:$AI,IF($J326=1,"ACTIVE     GHGE, FARM GATE (kg CO2e/kg)","GHGE, processor gate (kg CO2e/kg)"),INDIRECT($K326)),GETPIVOTDATA(IF($J326=1,"Average of ACTIVE     GHGE, FARM GATE (kg CO2e/kg)","Average of GHGE, processor gate (kg CO2e/kg)"),'Pivot Table_GHG'!$A$3,"SUB TYPE",$B326))</f>
        <v>30.657762954857823</v>
      </c>
      <c r="S326" s="190">
        <f ca="1">IF($P326="PROXY",DSTDEV('literature entries'!$D:$AI,IF($J326=1,"ACTIVE     GHGE, FARM GATE (kg CO2e/kg)","GHGE, processor gate (kg CO2e/kg)"),INDIRECT($K326)),GETPIVOTDATA(IF($J326=1,"StdDev of ACTIVE     GHGE, FARM GATE (kg CO2e/kg)","StdDev of GHGE, processor gate (kg CO2e/kg)"),'Pivot Table_GHG'!$A$3,"SUB TYPE",$B326))</f>
        <v>28.252177670870516</v>
      </c>
      <c r="T326" s="88"/>
      <c r="U326" s="89"/>
      <c r="W326" s="213" t="str">
        <f t="shared" ca="1" si="44"/>
        <v>DIRECT</v>
      </c>
      <c r="X326" s="211">
        <f ca="1">IF($W326="DIRECT",M326,DCOUNT('literature entries'!$D:$AI,IF($J326=1,"ACTIVE     CED, FARM GATE (MJ/kg)","CED, processor gate (MJ/kg)"),INDIRECT($W326)))</f>
        <v>9</v>
      </c>
      <c r="Y326" s="211" t="str">
        <f ca="1">IF($W326="DIRECT","",DAVERAGE('literature entries'!$D:$AI,IF($J326=1,"ACTIVE     CED, FARM GATE (MJ/kg)","CED, processor gate (MJ/kg)"),INDIRECT($W326)))</f>
        <v/>
      </c>
      <c r="Z326" s="211">
        <f ca="1">IF($W326="DIRECT",$O326,DSTDEV('literature entries'!$D:$AI,IF($J326=1,"ACTIVE     CED, FARM GATE (MJ/kg)","CED, processor gate (MJ/kg)"),INDIRECT($W326)))</f>
        <v>321.89075964329794</v>
      </c>
      <c r="AA326" s="211">
        <f t="shared" ca="1" si="41"/>
        <v>321.89075964329794</v>
      </c>
      <c r="AB326" s="219" t="str">
        <f t="shared" ca="1" si="45"/>
        <v>DIRECT</v>
      </c>
      <c r="AC326" s="212">
        <f ca="1">IF($AB326="DIRECT",Q326,DCOUNT('literature entries'!$D:$AI,IF($J326=1,"ACTIVE     GHGE, FARM GATE (kg CO2e/kg)","GHGE, processor gate (kg CO2e/kg)"),INDIRECT($AB326)))</f>
        <v>14</v>
      </c>
      <c r="AD326" s="212" t="str">
        <f ca="1">IF($AB326="DIRECT","",DAVERAGE('literature entries'!$D:$AI,IF($J326=1,"ACTIVE     GHGE, FARM GATE (kg CO2e/kg)","GHGE, processor gate (kg CO2e/kg)"),INDIRECT($AB326)))</f>
        <v/>
      </c>
      <c r="AE326" s="212">
        <f ca="1">IF($AB326="DIRECT",$S326,DSTDEV('literature entries'!$D:$AI,IF($J326=1,"ACTIVE     GHGE, FARM GATE (kg CO2e/kg)","GHGE, processor gate (kg CO2e/kg)"),INDIRECT($AB326)))</f>
        <v>28.252177670870516</v>
      </c>
      <c r="AF326" s="212">
        <f t="shared" ca="1" si="42"/>
        <v>28.252177670870516</v>
      </c>
    </row>
    <row r="327" spans="1:32" s="19" customFormat="1" ht="17" thickBot="1" x14ac:dyDescent="0.25">
      <c r="A327" s="114">
        <v>8000162000</v>
      </c>
      <c r="B327" s="115" t="s">
        <v>1989</v>
      </c>
      <c r="C327" s="115" t="s">
        <v>1990</v>
      </c>
      <c r="D327" s="115" t="s">
        <v>1985</v>
      </c>
      <c r="E327" s="115">
        <v>834</v>
      </c>
      <c r="F327" s="111">
        <f t="shared" ca="1" si="46"/>
        <v>172.82197669332314</v>
      </c>
      <c r="G327" s="112">
        <f t="shared" ca="1" si="47"/>
        <v>3.1429</v>
      </c>
      <c r="H327" s="116">
        <v>1</v>
      </c>
      <c r="I327" s="117" t="s">
        <v>594</v>
      </c>
      <c r="J327" s="79">
        <v>1</v>
      </c>
      <c r="K327" s="78" t="s">
        <v>3285</v>
      </c>
      <c r="L327" s="135" t="str">
        <f>IF(ISERROR(GETPIVOTDATA(IF($J327=1,"Count of ACTIVE     CED, FARM GATE (MJ/kg)","Count of CED, processor gate (MJ/kg)"),'Pivot Table_CED'!$A$3,"SUB TYPE",$B327)),"PROXY",IF(GETPIVOTDATA(IF($J327=1,"Count of ACTIVE     CED, FARM GATE (MJ/kg)","Count of CED, processor gate (MJ/kg)"),'Pivot Table_CED'!$A$3,"SUB TYPE",$B327)=0,"PROXY","DB value"))</f>
        <v>PROXY</v>
      </c>
      <c r="M327" s="118">
        <f ca="1">IF($L327="PROXY",DCOUNT('literature entries'!$D:$AI,IF($J327=1,"ACTIVE     CED, FARM GATE (MJ/kg)","CED, processor gate (MJ/kg)"),INDIRECT($K327)),GETPIVOTDATA(IF($J327=1,"Count of ACTIVE     CED, FARM GATE (MJ/kg)","Count of CED, processor gate (MJ/kg)"),'Pivot Table_CED'!$A$3,"SUB TYPE",$B327))</f>
        <v>54</v>
      </c>
      <c r="N327" s="119">
        <f ca="1">IF($L327="PROXY",DAVERAGE('literature entries'!$D:$AI,IF($J327=1,"ACTIVE     CED, FARM GATE (MJ/kg)","CED, processor gate (MJ/kg)"),INDIRECT($K327)),GETPIVOTDATA(IF($J327=1,"Average of ACTIVE     CED, FARM GATE (MJ/kg)","Average of CED, processor gate (MJ/kg)"),'Pivot Table_CED'!$A$3,"SUB TYPE",$B327))</f>
        <v>172.82197669332314</v>
      </c>
      <c r="O327" s="119">
        <f ca="1">IF($L327="PROXY",DSTDEV('literature entries'!D:AI,IF($J327=1,"ACTIVE     CED, FARM GATE (MJ/kg)","CED, processor gate (MJ/kg)"),INDIRECT($K327)),GETPIVOTDATA(IF($J327=1,"StdDev of ACTIVE     CED, FARM GATE (MJ/kg)","StdDev of CED, processor gate (MJ/kg)"),'Pivot Table_CED'!$A$3,"SUB TYPE",$B327))</f>
        <v>229.32958832205563</v>
      </c>
      <c r="P327" s="135" t="str">
        <f>IF(ISERROR(GETPIVOTDATA(IF($J327=1,"Count of ACTIVE     GHGE, FARM GATE (kg CO2e/kg)","Count of GHGE, processor gate (kg CO2e/kg)"),'Pivot Table_GHG'!$A$3,"SUB TYPE",$B327)),"PROXY",IF(GETPIVOTDATA(IF($J327=1,"Count of ACTIVE     GHGE, FARM GATE (kg CO2e/kg)","Count of GHGE, processor gate (kg CO2e/kg)"),'Pivot Table_GHG'!$A$3,"SUB TYPE",$B327)=0,"PROXY","DB value"))</f>
        <v>DB value</v>
      </c>
      <c r="Q327" s="125">
        <f ca="1">IF($P327="PROXY",DCOUNT('literature entries'!$D:$AI,IF($J327=1,"ACTIVE     GHGE, FARM GATE (kg CO2e/kg)","GHGE, processor gate (kg CO2e/kg)"),INDIRECT($K327)),GETPIVOTDATA(IF($J327=1,"ACTIVE     GHGE, FARM GATE (kg CO2e/kg)","Count of GHGE, processor gate (kg CO2e/kg)"),'Pivot Table_GHG'!$A$3,"SUB TYPE",$B327))</f>
        <v>5</v>
      </c>
      <c r="R327" s="190">
        <f ca="1">IF($P327="PROXY",DAVERAGE('literature entries'!$D:$AI,IF($J327=1,"ACTIVE     GHGE, FARM GATE (kg CO2e/kg)","GHGE, processor gate (kg CO2e/kg)"),INDIRECT($K327)),GETPIVOTDATA(IF($J327=1,"Average of ACTIVE     GHGE, FARM GATE (kg CO2e/kg)","Average of GHGE, processor gate (kg CO2e/kg)"),'Pivot Table_GHG'!$A$3,"SUB TYPE",$B327))</f>
        <v>3.1429</v>
      </c>
      <c r="S327" s="190">
        <f ca="1">IF($P327="PROXY",DSTDEV('literature entries'!$D:$AI,IF($J327=1,"ACTIVE     GHGE, FARM GATE (kg CO2e/kg)","GHGE, processor gate (kg CO2e/kg)"),INDIRECT($K327)),GETPIVOTDATA(IF($J327=1,"StdDev of ACTIVE     GHGE, FARM GATE (kg CO2e/kg)","StdDev of GHGE, processor gate (kg CO2e/kg)"),'Pivot Table_GHG'!$A$3,"SUB TYPE",$B327))</f>
        <v>2.6513501239934332</v>
      </c>
      <c r="T327" s="88"/>
      <c r="U327" s="89"/>
      <c r="W327" s="213" t="str">
        <f t="shared" ca="1" si="44"/>
        <v>all_fish</v>
      </c>
      <c r="X327" s="211">
        <f ca="1">IF($W327="DIRECT",M327,DCOUNT('literature entries'!$D:$AI,IF($J327=1,"ACTIVE     CED, FARM GATE (MJ/kg)","CED, processor gate (MJ/kg)"),INDIRECT($W327)))</f>
        <v>54</v>
      </c>
      <c r="Y327" s="211">
        <f ca="1">IF($W327="DIRECT","",DAVERAGE('literature entries'!$D:$AI,IF($J327=1,"ACTIVE     CED, FARM GATE (MJ/kg)","CED, processor gate (MJ/kg)"),INDIRECT($W327)))</f>
        <v>172.82197669332314</v>
      </c>
      <c r="Z327" s="211">
        <f ca="1">IF($W327="DIRECT",$O327,DSTDEV('literature entries'!$D:$AI,IF($J327=1,"ACTIVE     CED, FARM GATE (MJ/kg)","CED, processor gate (MJ/kg)"),INDIRECT($W327)))</f>
        <v>229.32958832205563</v>
      </c>
      <c r="AA327" s="211">
        <f t="shared" ca="1" si="41"/>
        <v>229.32958832205563</v>
      </c>
      <c r="AB327" s="219" t="str">
        <f t="shared" ca="1" si="45"/>
        <v>DIRECT</v>
      </c>
      <c r="AC327" s="212">
        <f ca="1">IF($AB327="DIRECT",Q327,DCOUNT('literature entries'!$D:$AI,IF($J327=1,"ACTIVE     GHGE, FARM GATE (kg CO2e/kg)","GHGE, processor gate (kg CO2e/kg)"),INDIRECT($AB327)))</f>
        <v>5</v>
      </c>
      <c r="AD327" s="212" t="str">
        <f ca="1">IF($AB327="DIRECT","",DAVERAGE('literature entries'!$D:$AI,IF($J327=1,"ACTIVE     GHGE, FARM GATE (kg CO2e/kg)","GHGE, processor gate (kg CO2e/kg)"),INDIRECT($AB327)))</f>
        <v/>
      </c>
      <c r="AE327" s="212">
        <f ca="1">IF($AB327="DIRECT",$S327,DSTDEV('literature entries'!$D:$AI,IF($J327=1,"ACTIVE     GHGE, FARM GATE (kg CO2e/kg)","GHGE, processor gate (kg CO2e/kg)"),INDIRECT($AB327)))</f>
        <v>2.6513501239934332</v>
      </c>
      <c r="AF327" s="212">
        <f t="shared" ca="1" si="42"/>
        <v>2.6513501239934332</v>
      </c>
    </row>
    <row r="328" spans="1:32" s="19" customFormat="1" ht="17" thickBot="1" x14ac:dyDescent="0.25">
      <c r="A328" s="114">
        <v>8601100000</v>
      </c>
      <c r="B328" s="115" t="s">
        <v>2339</v>
      </c>
      <c r="C328" s="115">
        <v>0</v>
      </c>
      <c r="D328" s="115"/>
      <c r="E328" s="115">
        <v>23667</v>
      </c>
      <c r="F328" s="111">
        <f t="shared" ca="1" si="46"/>
        <v>7.2234348031658029E-3</v>
      </c>
      <c r="G328" s="112">
        <f t="shared" ca="1" si="47"/>
        <v>4.6652447256372763E-4</v>
      </c>
      <c r="H328" s="116">
        <v>1</v>
      </c>
      <c r="I328" s="117" t="s">
        <v>594</v>
      </c>
      <c r="J328" s="79">
        <v>2</v>
      </c>
      <c r="K328" s="78"/>
      <c r="L328" s="135" t="str">
        <f>IF(ISERROR(GETPIVOTDATA(IF($J328=1,"Count of ACTIVE     CED, FARM GATE (MJ/kg)","Count of CED, processor gate (MJ/kg)"),'Pivot Table_CED'!$A$3,"SUB TYPE",$B328)),"PROXY",IF(GETPIVOTDATA(IF($J328=1,"Count of ACTIVE     CED, FARM GATE (MJ/kg)","Count of CED, processor gate (MJ/kg)"),'Pivot Table_CED'!$A$3,"SUB TYPE",$B328)=0,"PROXY","DB value"))</f>
        <v>DB value</v>
      </c>
      <c r="M328" s="118">
        <f ca="1">IF($L328="PROXY",DCOUNT('literature entries'!$D:$AI,IF($J328=1,"ACTIVE     CED, FARM GATE (MJ/kg)","CED, processor gate (MJ/kg)"),INDIRECT($K328)),GETPIVOTDATA(IF($J328=1,"Count of ACTIVE     CED, FARM GATE (MJ/kg)","Count of CED, processor gate (MJ/kg)"),'Pivot Table_CED'!$A$3,"SUB TYPE",$B328))</f>
        <v>12</v>
      </c>
      <c r="N328" s="119">
        <f ca="1">IF($L328="PROXY",DAVERAGE('literature entries'!$D:$AI,IF($J328=1,"ACTIVE     CED, FARM GATE (MJ/kg)","CED, processor gate (MJ/kg)"),INDIRECT($K328)),GETPIVOTDATA(IF($J328=1,"Average of ACTIVE     CED, FARM GATE (MJ/kg)","Average of CED, processor gate (MJ/kg)"),'Pivot Table_CED'!$A$3,"SUB TYPE",$B328))</f>
        <v>7.2234348031658029E-3</v>
      </c>
      <c r="O328" s="119">
        <f ca="1">IF($L328="PROXY",DSTDEV('literature entries'!D:AI,IF($J328=1,"ACTIVE     CED, FARM GATE (MJ/kg)","CED, processor gate (MJ/kg)"),INDIRECT($K328)),GETPIVOTDATA(IF($J328=1,"StdDev of ACTIVE     CED, FARM GATE (MJ/kg)","StdDev of CED, processor gate (MJ/kg)"),'Pivot Table_CED'!$A$3,"SUB TYPE",$B328))</f>
        <v>2.0428260692884307E-3</v>
      </c>
      <c r="P328" s="135" t="str">
        <f>IF(ISERROR(GETPIVOTDATA(IF($J328=1,"Count of ACTIVE     GHGE, FARM GATE (kg CO2e/kg)","Count of GHGE, processor gate (kg CO2e/kg)"),'Pivot Table_GHG'!$A$3,"SUB TYPE",$B328)),"PROXY",IF(GETPIVOTDATA(IF($J328=1,"Count of ACTIVE     GHGE, FARM GATE (kg CO2e/kg)","Count of GHGE, processor gate (kg CO2e/kg)"),'Pivot Table_GHG'!$A$3,"SUB TYPE",$B328)=0,"PROXY","DB value"))</f>
        <v>DB value</v>
      </c>
      <c r="Q328" s="125">
        <f ca="1">IF($P328="PROXY",DCOUNT('literature entries'!$D:$AI,IF($J328=1,"ACTIVE     GHGE, FARM GATE (kg CO2e/kg)","GHGE, processor gate (kg CO2e/kg)"),INDIRECT($K328)),GETPIVOTDATA(IF($J328=1,"ACTIVE     GHGE, FARM GATE (kg CO2e/kg)","Count of GHGE, processor gate (kg CO2e/kg)"),'Pivot Table_GHG'!$A$3,"SUB TYPE",$B328))</f>
        <v>12</v>
      </c>
      <c r="R328" s="190">
        <f ca="1">IF($P328="PROXY",DAVERAGE('literature entries'!$D:$AI,IF($J328=1,"ACTIVE     GHGE, FARM GATE (kg CO2e/kg)","GHGE, processor gate (kg CO2e/kg)"),INDIRECT($K328)),GETPIVOTDATA(IF($J328=1,"Average of ACTIVE     GHGE, FARM GATE (kg CO2e/kg)","Average of GHGE, processor gate (kg CO2e/kg)"),'Pivot Table_GHG'!$A$3,"SUB TYPE",$B328))</f>
        <v>4.6652447256372763E-4</v>
      </c>
      <c r="S328" s="190">
        <f ca="1">IF($P328="PROXY",DSTDEV('literature entries'!$D:$AI,IF($J328=1,"ACTIVE     GHGE, FARM GATE (kg CO2e/kg)","GHGE, processor gate (kg CO2e/kg)"),INDIRECT($K328)),GETPIVOTDATA(IF($J328=1,"StdDev of ACTIVE     GHGE, FARM GATE (kg CO2e/kg)","StdDev of GHGE, processor gate (kg CO2e/kg)"),'Pivot Table_GHG'!$A$3,"SUB TYPE",$B328))</f>
        <v>1.3263871323363659E-4</v>
      </c>
      <c r="T328" s="88"/>
      <c r="U328" s="89"/>
      <c r="W328" s="213" t="str">
        <f t="shared" ca="1" si="44"/>
        <v>DIRECT</v>
      </c>
      <c r="X328" s="211">
        <f ca="1">IF($W328="DIRECT",M328,DCOUNT('literature entries'!$D:$AI,IF($J328=1,"ACTIVE     CED, FARM GATE (MJ/kg)","CED, processor gate (MJ/kg)"),INDIRECT($W328)))</f>
        <v>12</v>
      </c>
      <c r="Y328" s="211" t="str">
        <f ca="1">IF($W328="DIRECT","",DAVERAGE('literature entries'!$D:$AI,IF($J328=1,"ACTIVE     CED, FARM GATE (MJ/kg)","CED, processor gate (MJ/kg)"),INDIRECT($W328)))</f>
        <v/>
      </c>
      <c r="Z328" s="211">
        <f ca="1">IF($W328="DIRECT",$O328,DSTDEV('literature entries'!$D:$AI,IF($J328=1,"ACTIVE     CED, FARM GATE (MJ/kg)","CED, processor gate (MJ/kg)"),INDIRECT($W328)))</f>
        <v>2.0428260692884307E-3</v>
      </c>
      <c r="AA328" s="211">
        <f t="shared" ca="1" si="41"/>
        <v>2.0428260692884307E-3</v>
      </c>
      <c r="AB328" s="219" t="str">
        <f t="shared" ca="1" si="45"/>
        <v>DIRECT</v>
      </c>
      <c r="AC328" s="212">
        <f ca="1">IF($AB328="DIRECT",Q328,DCOUNT('literature entries'!$D:$AI,IF($J328=1,"ACTIVE     GHGE, FARM GATE (kg CO2e/kg)","GHGE, processor gate (kg CO2e/kg)"),INDIRECT($AB328)))</f>
        <v>12</v>
      </c>
      <c r="AD328" s="212" t="str">
        <f ca="1">IF($AB328="DIRECT","",DAVERAGE('literature entries'!$D:$AI,IF($J328=1,"ACTIVE     GHGE, FARM GATE (kg CO2e/kg)","GHGE, processor gate (kg CO2e/kg)"),INDIRECT($AB328)))</f>
        <v/>
      </c>
      <c r="AE328" s="212">
        <f ca="1">IF($AB328="DIRECT",$S328,DSTDEV('literature entries'!$D:$AI,IF($J328=1,"ACTIVE     GHGE, FARM GATE (kg CO2e/kg)","GHGE, processor gate (kg CO2e/kg)"),INDIRECT($AB328)))</f>
        <v>1.3263871323363659E-4</v>
      </c>
      <c r="AF328" s="212">
        <f t="shared" ca="1" si="42"/>
        <v>1.3263871323363659E-4</v>
      </c>
    </row>
    <row r="329" spans="1:32" s="19" customFormat="1" ht="17" thickBot="1" x14ac:dyDescent="0.25">
      <c r="A329" s="114">
        <v>8601200000</v>
      </c>
      <c r="B329" s="115" t="s">
        <v>2338</v>
      </c>
      <c r="C329" s="115">
        <v>0</v>
      </c>
      <c r="D329" s="115"/>
      <c r="E329" s="115">
        <v>18473</v>
      </c>
      <c r="F329" s="111">
        <f t="shared" ca="1" si="46"/>
        <v>0.1330633338122082</v>
      </c>
      <c r="G329" s="112">
        <f t="shared" ca="1" si="47"/>
        <v>8.8904616115864227E-3</v>
      </c>
      <c r="H329" s="116">
        <v>1</v>
      </c>
      <c r="I329" s="117" t="s">
        <v>594</v>
      </c>
      <c r="J329" s="79">
        <v>2</v>
      </c>
      <c r="K329" s="78"/>
      <c r="L329" s="135" t="str">
        <f>IF(ISERROR(GETPIVOTDATA(IF($J329=1,"Count of ACTIVE     CED, FARM GATE (MJ/kg)","Count of CED, processor gate (MJ/kg)"),'Pivot Table_CED'!$A$3,"SUB TYPE",$B329)),"PROXY",IF(GETPIVOTDATA(IF($J329=1,"Count of ACTIVE     CED, FARM GATE (MJ/kg)","Count of CED, processor gate (MJ/kg)"),'Pivot Table_CED'!$A$3,"SUB TYPE",$B329)=0,"PROXY","DB value"))</f>
        <v>DB value</v>
      </c>
      <c r="M329" s="118">
        <f ca="1">IF($L329="PROXY",DCOUNT('literature entries'!$D:$AI,IF($J329=1,"ACTIVE     CED, FARM GATE (MJ/kg)","CED, processor gate (MJ/kg)"),INDIRECT($K329)),GETPIVOTDATA(IF($J329=1,"Count of ACTIVE     CED, FARM GATE (MJ/kg)","Count of CED, processor gate (MJ/kg)"),'Pivot Table_CED'!$A$3,"SUB TYPE",$B329))</f>
        <v>24</v>
      </c>
      <c r="N329" s="119">
        <f ca="1">IF($L329="PROXY",DAVERAGE('literature entries'!$D:$AI,IF($J329=1,"ACTIVE     CED, FARM GATE (MJ/kg)","CED, processor gate (MJ/kg)"),INDIRECT($K329)),GETPIVOTDATA(IF($J329=1,"Average of ACTIVE     CED, FARM GATE (MJ/kg)","Average of CED, processor gate (MJ/kg)"),'Pivot Table_CED'!$A$3,"SUB TYPE",$B329))</f>
        <v>0.1330633338122082</v>
      </c>
      <c r="O329" s="119">
        <f ca="1">IF($L329="PROXY",DSTDEV('literature entries'!D:AI,IF($J329=1,"ACTIVE     CED, FARM GATE (MJ/kg)","CED, processor gate (MJ/kg)"),INDIRECT($K329)),GETPIVOTDATA(IF($J329=1,"StdDev of ACTIVE     CED, FARM GATE (MJ/kg)","StdDev of CED, processor gate (MJ/kg)"),'Pivot Table_CED'!$A$3,"SUB TYPE",$B329))</f>
        <v>6.1505960514037068E-2</v>
      </c>
      <c r="P329" s="135" t="str">
        <f>IF(ISERROR(GETPIVOTDATA(IF($J329=1,"Count of ACTIVE     GHGE, FARM GATE (kg CO2e/kg)","Count of GHGE, processor gate (kg CO2e/kg)"),'Pivot Table_GHG'!$A$3,"SUB TYPE",$B329)),"PROXY",IF(GETPIVOTDATA(IF($J329=1,"Count of ACTIVE     GHGE, FARM GATE (kg CO2e/kg)","Count of GHGE, processor gate (kg CO2e/kg)"),'Pivot Table_GHG'!$A$3,"SUB TYPE",$B329)=0,"PROXY","DB value"))</f>
        <v>DB value</v>
      </c>
      <c r="Q329" s="125">
        <f ca="1">IF($P329="PROXY",DCOUNT('literature entries'!$D:$AI,IF($J329=1,"ACTIVE     GHGE, FARM GATE (kg CO2e/kg)","GHGE, processor gate (kg CO2e/kg)"),INDIRECT($K329)),GETPIVOTDATA(IF($J329=1,"ACTIVE     GHGE, FARM GATE (kg CO2e/kg)","Count of GHGE, processor gate (kg CO2e/kg)"),'Pivot Table_GHG'!$A$3,"SUB TYPE",$B329))</f>
        <v>24</v>
      </c>
      <c r="R329" s="190">
        <f ca="1">IF($P329="PROXY",DAVERAGE('literature entries'!$D:$AI,IF($J329=1,"ACTIVE     GHGE, FARM GATE (kg CO2e/kg)","GHGE, processor gate (kg CO2e/kg)"),INDIRECT($K329)),GETPIVOTDATA(IF($J329=1,"Average of ACTIVE     GHGE, FARM GATE (kg CO2e/kg)","Average of GHGE, processor gate (kg CO2e/kg)"),'Pivot Table_GHG'!$A$3,"SUB TYPE",$B329))</f>
        <v>8.8904616115864227E-3</v>
      </c>
      <c r="S329" s="190">
        <f ca="1">IF($P329="PROXY",DSTDEV('literature entries'!$D:$AI,IF($J329=1,"ACTIVE     GHGE, FARM GATE (kg CO2e/kg)","GHGE, processor gate (kg CO2e/kg)"),INDIRECT($K329)),GETPIVOTDATA(IF($J329=1,"StdDev of ACTIVE     GHGE, FARM GATE (kg CO2e/kg)","StdDev of GHGE, processor gate (kg CO2e/kg)"),'Pivot Table_GHG'!$A$3,"SUB TYPE",$B329))</f>
        <v>3.6804461408643384E-3</v>
      </c>
      <c r="T329" s="88"/>
      <c r="U329" s="89"/>
      <c r="W329" s="213" t="str">
        <f t="shared" ca="1" si="44"/>
        <v>DIRECT</v>
      </c>
      <c r="X329" s="211">
        <f ca="1">IF($W329="DIRECT",M329,DCOUNT('literature entries'!$D:$AI,IF($J329=1,"ACTIVE     CED, FARM GATE (MJ/kg)","CED, processor gate (MJ/kg)"),INDIRECT($W329)))</f>
        <v>24</v>
      </c>
      <c r="Y329" s="211" t="str">
        <f ca="1">IF($W329="DIRECT","",DAVERAGE('literature entries'!$D:$AI,IF($J329=1,"ACTIVE     CED, FARM GATE (MJ/kg)","CED, processor gate (MJ/kg)"),INDIRECT($W329)))</f>
        <v/>
      </c>
      <c r="Z329" s="211">
        <f ca="1">IF($W329="DIRECT",$O329,DSTDEV('literature entries'!$D:$AI,IF($J329=1,"ACTIVE     CED, FARM GATE (MJ/kg)","CED, processor gate (MJ/kg)"),INDIRECT($W329)))</f>
        <v>6.1505960514037068E-2</v>
      </c>
      <c r="AA329" s="211">
        <f t="shared" ca="1" si="41"/>
        <v>6.1505960514037068E-2</v>
      </c>
      <c r="AB329" s="219" t="str">
        <f t="shared" ca="1" si="45"/>
        <v>DIRECT</v>
      </c>
      <c r="AC329" s="212">
        <f ca="1">IF($AB329="DIRECT",Q329,DCOUNT('literature entries'!$D:$AI,IF($J329=1,"ACTIVE     GHGE, FARM GATE (kg CO2e/kg)","GHGE, processor gate (kg CO2e/kg)"),INDIRECT($AB329)))</f>
        <v>24</v>
      </c>
      <c r="AD329" s="212" t="str">
        <f ca="1">IF($AB329="DIRECT","",DAVERAGE('literature entries'!$D:$AI,IF($J329=1,"ACTIVE     GHGE, FARM GATE (kg CO2e/kg)","GHGE, processor gate (kg CO2e/kg)"),INDIRECT($AB329)))</f>
        <v/>
      </c>
      <c r="AE329" s="212">
        <f ca="1">IF($AB329="DIRECT",$S329,DSTDEV('literature entries'!$D:$AI,IF($J329=1,"ACTIVE     GHGE, FARM GATE (kg CO2e/kg)","GHGE, processor gate (kg CO2e/kg)"),INDIRECT($AB329)))</f>
        <v>3.6804461408643384E-3</v>
      </c>
      <c r="AF329" s="212">
        <f t="shared" ca="1" si="42"/>
        <v>3.6804461408643384E-3</v>
      </c>
    </row>
    <row r="330" spans="1:32" s="19" customFormat="1" ht="17" thickBot="1" x14ac:dyDescent="0.25">
      <c r="A330" s="114">
        <v>8602000000</v>
      </c>
      <c r="B330" s="115" t="s">
        <v>2340</v>
      </c>
      <c r="C330" s="115">
        <v>0</v>
      </c>
      <c r="D330" s="115"/>
      <c r="E330" s="115">
        <v>44148</v>
      </c>
      <c r="F330" s="111">
        <f t="shared" si="46"/>
        <v>0</v>
      </c>
      <c r="G330" s="112">
        <f t="shared" si="47"/>
        <v>0</v>
      </c>
      <c r="H330" s="116">
        <v>0</v>
      </c>
      <c r="I330" s="117" t="s">
        <v>594</v>
      </c>
      <c r="J330" s="79">
        <v>1</v>
      </c>
      <c r="K330" s="78"/>
      <c r="L330" s="135" t="str">
        <f>IF(ISERROR(GETPIVOTDATA(IF($J330=1,"Count of ACTIVE     CED, FARM GATE (MJ/kg)","Count of CED, processor gate (MJ/kg)"),'Pivot Table_CED'!$A$3,"SUB TYPE",$B330)),"PROXY",IF(GETPIVOTDATA(IF($J330=1,"Count of ACTIVE     CED, FARM GATE (MJ/kg)","Count of CED, processor gate (MJ/kg)"),'Pivot Table_CED'!$A$3,"SUB TYPE",$B330)=0,"PROXY","DB value"))</f>
        <v>PROXY</v>
      </c>
      <c r="M330" s="118">
        <v>0</v>
      </c>
      <c r="N330" s="119">
        <v>0</v>
      </c>
      <c r="O330" s="119">
        <v>0</v>
      </c>
      <c r="P330" s="135" t="str">
        <f>IF(ISERROR(GETPIVOTDATA(IF($J330=1,"Count of ACTIVE     GHGE, FARM GATE (kg CO2e/kg)","Count of GHGE, processor gate (kg CO2e/kg)"),'Pivot Table_GHG'!$A$3,"SUB TYPE",$B330)),"PROXY",IF(GETPIVOTDATA(IF($J330=1,"Count of ACTIVE     GHGE, FARM GATE (kg CO2e/kg)","Count of GHGE, processor gate (kg CO2e/kg)"),'Pivot Table_GHG'!$A$3,"SUB TYPE",$B330)=0,"PROXY","DB value"))</f>
        <v>PROXY</v>
      </c>
      <c r="Q330" s="125">
        <v>0</v>
      </c>
      <c r="R330" s="191">
        <v>0</v>
      </c>
      <c r="S330" s="190">
        <v>0</v>
      </c>
      <c r="T330" s="88"/>
      <c r="U330" s="89"/>
      <c r="W330" s="213" t="s">
        <v>3367</v>
      </c>
      <c r="X330" s="211"/>
      <c r="Y330" s="211"/>
      <c r="Z330" s="211"/>
      <c r="AA330" s="211"/>
      <c r="AB330" s="219" t="s">
        <v>3367</v>
      </c>
      <c r="AC330" s="212"/>
      <c r="AD330" s="212"/>
      <c r="AE330" s="212"/>
      <c r="AF330" s="212"/>
    </row>
    <row r="331" spans="1:32" s="19" customFormat="1" ht="17" thickBot="1" x14ac:dyDescent="0.25">
      <c r="A331" s="114">
        <v>9500006000</v>
      </c>
      <c r="B331" s="115" t="s">
        <v>1732</v>
      </c>
      <c r="C331" s="115" t="s">
        <v>1733</v>
      </c>
      <c r="D331" s="115"/>
      <c r="E331" s="115">
        <v>17</v>
      </c>
      <c r="F331" s="111">
        <f t="shared" ca="1" si="46"/>
        <v>2.5841213096774194</v>
      </c>
      <c r="G331" s="112">
        <f t="shared" ca="1" si="47"/>
        <v>0.39349345733333324</v>
      </c>
      <c r="H331" s="117">
        <v>1</v>
      </c>
      <c r="I331" s="117" t="s">
        <v>594</v>
      </c>
      <c r="J331" s="79">
        <v>1</v>
      </c>
      <c r="K331" s="78" t="s">
        <v>2702</v>
      </c>
      <c r="L331" s="135" t="str">
        <f>IF(ISERROR(GETPIVOTDATA(IF($J331=1,"Count of ACTIVE     CED, FARM GATE (MJ/kg)","Count of CED, processor gate (MJ/kg)"),'Pivot Table_CED'!$A$3,"SUB TYPE",$B331)),"PROXY",IF(GETPIVOTDATA(IF($J331=1,"Count of ACTIVE     CED, FARM GATE (MJ/kg)","Count of CED, processor gate (MJ/kg)"),'Pivot Table_CED'!$A$3,"SUB TYPE",$B331)=0,"PROXY","DB value"))</f>
        <v>PROXY</v>
      </c>
      <c r="M331" s="118">
        <f ca="1">IF($L331="PROXY",DCOUNT('literature entries'!$D:$AI,IF($J331=1,"ACTIVE     CED, FARM GATE (MJ/kg)","CED, processor gate (MJ/kg)"),INDIRECT($K331)),GETPIVOTDATA(IF($J331=1,"Count of ACTIVE     CED, FARM GATE (MJ/kg)","Count of CED, processor gate (MJ/kg)"),'Pivot Table_CED'!$A$3,"SUB TYPE",$B331))</f>
        <v>31</v>
      </c>
      <c r="N331" s="119">
        <f ca="1">IF($L331="PROXY",DAVERAGE('literature entries'!$D:$AI,IF($J331=1,"ACTIVE     CED, FARM GATE (MJ/kg)","CED, processor gate (MJ/kg)"),INDIRECT($K331)),GETPIVOTDATA(IF($J331=1,"Average of ACTIVE     CED, FARM GATE (MJ/kg)","Average of CED, processor gate (MJ/kg)"),'Pivot Table_CED'!$A$3,"SUB TYPE",$B331))</f>
        <v>2.5841213096774194</v>
      </c>
      <c r="O331" s="119">
        <f ca="1">IF($L331="PROXY",DSTDEV('literature entries'!D:AI,IF($J331=1,"ACTIVE     CED, FARM GATE (MJ/kg)","CED, processor gate (MJ/kg)"),INDIRECT($K331)),GETPIVOTDATA(IF($J331=1,"StdDev of ACTIVE     CED, FARM GATE (MJ/kg)","StdDev of CED, processor gate (MJ/kg)"),'Pivot Table_CED'!$A$3,"SUB TYPE",$B331))</f>
        <v>1.1854190703188778</v>
      </c>
      <c r="P331" s="135" t="str">
        <f>IF(ISERROR(GETPIVOTDATA(IF($J331=1,"Count of ACTIVE     GHGE, FARM GATE (kg CO2e/kg)","Count of GHGE, processor gate (kg CO2e/kg)"),'Pivot Table_GHG'!$A$3,"SUB TYPE",$B331)),"PROXY",IF(GETPIVOTDATA(IF($J331=1,"Count of ACTIVE     GHGE, FARM GATE (kg CO2e/kg)","Count of GHGE, processor gate (kg CO2e/kg)"),'Pivot Table_GHG'!$A$3,"SUB TYPE",$B331)=0,"PROXY","DB value"))</f>
        <v>PROXY</v>
      </c>
      <c r="Q331" s="125">
        <f ca="1">IF($P331="PROXY",DCOUNT('literature entries'!$D:$AI,IF($J331=1,"ACTIVE     GHGE, FARM GATE (kg CO2e/kg)","GHGE, processor gate (kg CO2e/kg)"),INDIRECT($K331)),GETPIVOTDATA(IF($J331=1,"ACTIVE     GHGE, FARM GATE (kg CO2e/kg)","Count of GHGE, processor gate (kg CO2e/kg)"),'Pivot Table_GHG'!$A$3,"SUB TYPE",$B331))</f>
        <v>45</v>
      </c>
      <c r="R331" s="190">
        <f ca="1">IF($P331="PROXY",DAVERAGE('literature entries'!$D:$AI,IF($J331=1,"ACTIVE     GHGE, FARM GATE (kg CO2e/kg)","GHGE, processor gate (kg CO2e/kg)"),INDIRECT($K331)),GETPIVOTDATA(IF($J331=1,"Average of ACTIVE     GHGE, FARM GATE (kg CO2e/kg)","Average of GHGE, processor gate (kg CO2e/kg)"),'Pivot Table_GHG'!$A$3,"SUB TYPE",$B331))</f>
        <v>0.39349345733333324</v>
      </c>
      <c r="S331" s="190">
        <f ca="1">IF($P331="PROXY",DSTDEV('literature entries'!$D:$AI,IF($J331=1,"ACTIVE     GHGE, FARM GATE (kg CO2e/kg)","GHGE, processor gate (kg CO2e/kg)"),INDIRECT($K331)),GETPIVOTDATA(IF($J331=1,"StdDev of ACTIVE     GHGE, FARM GATE (kg CO2e/kg)","StdDev of GHGE, processor gate (kg CO2e/kg)"),'Pivot Table_GHG'!$A$3,"SUB TYPE",$B331))</f>
        <v>0.20361467618492471</v>
      </c>
      <c r="T331" s="80"/>
      <c r="U331" s="81"/>
      <c r="W331" s="213" t="str">
        <f ca="1">IF(L331="PROXY",IF(M331&gt;=5,K331,"need group"),IF(M331&gt;=5,"DIRECT","need group"))</f>
        <v>grains</v>
      </c>
      <c r="X331" s="211">
        <f ca="1">IF($W331="DIRECT",M331,DCOUNT('literature entries'!$D:$AI,IF($J331=1,"ACTIVE     CED, FARM GATE (MJ/kg)","CED, processor gate (MJ/kg)"),INDIRECT($W331)))</f>
        <v>31</v>
      </c>
      <c r="Y331" s="211">
        <f ca="1">IF($W331="DIRECT","",DAVERAGE('literature entries'!$D:$AI,IF($J331=1,"ACTIVE     CED, FARM GATE (MJ/kg)","CED, processor gate (MJ/kg)"),INDIRECT($W331)))</f>
        <v>2.5841213096774194</v>
      </c>
      <c r="Z331" s="211">
        <f ca="1">IF($W331="DIRECT",$O331,DSTDEV('literature entries'!$D:$AI,IF($J331=1,"ACTIVE     CED, FARM GATE (MJ/kg)","CED, processor gate (MJ/kg)"),INDIRECT($W331)))</f>
        <v>1.1854190703188778</v>
      </c>
      <c r="AA331" s="211">
        <f t="shared" ref="AA331:AA357" ca="1" si="48">IF($W331="DIRECT",$O331,$Z331/$Y331*$N331)</f>
        <v>1.1854190703188778</v>
      </c>
      <c r="AB331" s="219" t="str">
        <f ca="1">IF(P331="PROXY",IF(Q331&gt;=5,K331,"need group"),IF(Q331&gt;=5,"DIRECT","need group"))</f>
        <v>grains</v>
      </c>
      <c r="AC331" s="212">
        <f ca="1">IF($AB331="DIRECT",Q331,DCOUNT('literature entries'!$D:$AI,IF($J331=1,"ACTIVE     GHGE, FARM GATE (kg CO2e/kg)","GHGE, processor gate (kg CO2e/kg)"),INDIRECT($AB331)))</f>
        <v>45</v>
      </c>
      <c r="AD331" s="212">
        <f ca="1">IF($AB331="DIRECT","",DAVERAGE('literature entries'!$D:$AI,IF($J331=1,"ACTIVE     GHGE, FARM GATE (kg CO2e/kg)","GHGE, processor gate (kg CO2e/kg)"),INDIRECT($AB331)))</f>
        <v>0.39349345733333324</v>
      </c>
      <c r="AE331" s="212">
        <f ca="1">IF($AB331="DIRECT",$S331,DSTDEV('literature entries'!$D:$AI,IF($J331=1,"ACTIVE     GHGE, FARM GATE (kg CO2e/kg)","GHGE, processor gate (kg CO2e/kg)"),INDIRECT($AB331)))</f>
        <v>0.20361467618492471</v>
      </c>
      <c r="AF331" s="212">
        <f t="shared" ref="AF331:AF357" ca="1" si="49">IF($AB331="DIRECT",$S331,$AE331/$AD331*$R331)</f>
        <v>0.20361467618492474</v>
      </c>
    </row>
    <row r="332" spans="1:32" s="19" customFormat="1" ht="17" thickBot="1" x14ac:dyDescent="0.25">
      <c r="A332" s="114">
        <v>9500016000</v>
      </c>
      <c r="B332" s="115" t="s">
        <v>1755</v>
      </c>
      <c r="C332" s="115" t="s">
        <v>1756</v>
      </c>
      <c r="D332" s="115"/>
      <c r="E332" s="115">
        <v>75</v>
      </c>
      <c r="F332" s="111">
        <f t="shared" ca="1" si="46"/>
        <v>16.924999999999997</v>
      </c>
      <c r="G332" s="112">
        <f t="shared" ca="1" si="47"/>
        <v>0.84599999999999997</v>
      </c>
      <c r="H332" s="116">
        <v>2.5</v>
      </c>
      <c r="I332" s="117" t="s">
        <v>2735</v>
      </c>
      <c r="J332" s="79">
        <v>1</v>
      </c>
      <c r="K332" s="78"/>
      <c r="L332" s="135" t="str">
        <f>IF(ISERROR(GETPIVOTDATA(IF($J332=1,"Count of ACTIVE     CED, FARM GATE (MJ/kg)","Count of CED, processor gate (MJ/kg)"),'Pivot Table_CED'!$A$3,"SUB TYPE",$B332)),"PROXY",IF(GETPIVOTDATA(IF($J332=1,"Count of ACTIVE     CED, FARM GATE (MJ/kg)","Count of CED, processor gate (MJ/kg)"),'Pivot Table_CED'!$A$3,"SUB TYPE",$B332)=0,"PROXY","DB value"))</f>
        <v>DB value</v>
      </c>
      <c r="M332" s="118">
        <f ca="1">IF($L332="PROXY",DCOUNT('literature entries'!$D:$AI,IF($J332=1,"ACTIVE     CED, FARM GATE (MJ/kg)","CED, processor gate (MJ/kg)"),INDIRECT($K332)),GETPIVOTDATA(IF($J332=1,"Count of ACTIVE     CED, FARM GATE (MJ/kg)","Count of CED, processor gate (MJ/kg)"),'Pivot Table_CED'!$A$3,"SUB TYPE",$B332))</f>
        <v>1</v>
      </c>
      <c r="N332" s="119">
        <f ca="1">IF($L332="PROXY",DAVERAGE('literature entries'!$D:$AI,IF($J332=1,"ACTIVE     CED, FARM GATE (MJ/kg)","CED, processor gate (MJ/kg)"),INDIRECT($K332)),GETPIVOTDATA(IF($J332=1,"Average of ACTIVE     CED, FARM GATE (MJ/kg)","Average of CED, processor gate (MJ/kg)"),'Pivot Table_CED'!$A$3,"SUB TYPE",$B332))</f>
        <v>6.77</v>
      </c>
      <c r="O332" s="119">
        <f ca="1">IF($L332="PROXY",DSTDEV('literature entries'!D:AI,IF($J332=1,"ACTIVE     CED, FARM GATE (MJ/kg)","CED, processor gate (MJ/kg)"),INDIRECT($K332)),GETPIVOTDATA(IF($J332=1,"StdDev of ACTIVE     CED, FARM GATE (MJ/kg)","StdDev of CED, processor gate (MJ/kg)"),'Pivot Table_CED'!$A$3,"SUB TYPE",$B332))</f>
        <v>0</v>
      </c>
      <c r="P332" s="135" t="str">
        <f>IF(ISERROR(GETPIVOTDATA(IF($J332=1,"Count of ACTIVE     GHGE, FARM GATE (kg CO2e/kg)","Count of GHGE, processor gate (kg CO2e/kg)"),'Pivot Table_GHG'!$A$3,"SUB TYPE",$B332)),"PROXY",IF(GETPIVOTDATA(IF($J332=1,"Count of ACTIVE     GHGE, FARM GATE (kg CO2e/kg)","Count of GHGE, processor gate (kg CO2e/kg)"),'Pivot Table_GHG'!$A$3,"SUB TYPE",$B332)=0,"PROXY","DB value"))</f>
        <v>DB value</v>
      </c>
      <c r="Q332" s="125">
        <f ca="1">IF($P332="PROXY",DCOUNT('literature entries'!$D:$AI,IF($J332=1,"ACTIVE     GHGE, FARM GATE (kg CO2e/kg)","GHGE, processor gate (kg CO2e/kg)"),INDIRECT($K332)),GETPIVOTDATA(IF($J332=1,"ACTIVE     GHGE, FARM GATE (kg CO2e/kg)","Count of GHGE, processor gate (kg CO2e/kg)"),'Pivot Table_GHG'!$A$3,"SUB TYPE",$B332))</f>
        <v>2</v>
      </c>
      <c r="R332" s="190">
        <f ca="1">IF($P332="PROXY",DAVERAGE('literature entries'!$D:$AI,IF($J332=1,"ACTIVE     GHGE, FARM GATE (kg CO2e/kg)","GHGE, processor gate (kg CO2e/kg)"),INDIRECT($K332)),GETPIVOTDATA(IF($J332=1,"Average of ACTIVE     GHGE, FARM GATE (kg CO2e/kg)","Average of GHGE, processor gate (kg CO2e/kg)"),'Pivot Table_GHG'!$A$3,"SUB TYPE",$B332))</f>
        <v>0.33839999999999998</v>
      </c>
      <c r="S332" s="190">
        <f ca="1">IF($P332="PROXY",DSTDEV('literature entries'!$D:$AI,IF($J332=1,"ACTIVE     GHGE, FARM GATE (kg CO2e/kg)","GHGE, processor gate (kg CO2e/kg)"),INDIRECT($K332)),GETPIVOTDATA(IF($J332=1,"StdDev of ACTIVE     GHGE, FARM GATE (kg CO2e/kg)","StdDev of GHGE, processor gate (kg CO2e/kg)"),'Pivot Table_GHG'!$A$3,"SUB TYPE",$B332))</f>
        <v>0.20025264043203023</v>
      </c>
      <c r="T332" s="88"/>
      <c r="U332" s="89"/>
      <c r="W332" s="213" t="s">
        <v>3361</v>
      </c>
      <c r="X332" s="211">
        <f ca="1">IF($W332="DIRECT",M332,DCOUNT('literature entries'!$D:$AI,IF($J332=1,"ACTIVE     CED, FARM GATE (MJ/kg)","CED, processor gate (MJ/kg)"),INDIRECT($W332)))</f>
        <v>60</v>
      </c>
      <c r="Y332" s="211">
        <f ca="1">IF($W332="DIRECT","",DAVERAGE('literature entries'!$D:$AI,IF($J332=1,"ACTIVE     CED, FARM GATE (MJ/kg)","CED, processor gate (MJ/kg)"),INDIRECT($W332)))</f>
        <v>3.4907536756076811</v>
      </c>
      <c r="Z332" s="211">
        <f ca="1">IF($W332="DIRECT",$O332,DSTDEV('literature entries'!$D:$AI,IF($J332=1,"ACTIVE     CED, FARM GATE (MJ/kg)","CED, processor gate (MJ/kg)"),INDIRECT($W332)))</f>
        <v>2.8914615487691551</v>
      </c>
      <c r="AA332" s="211">
        <f t="shared" ca="1" si="48"/>
        <v>5.6077273002539965</v>
      </c>
      <c r="AB332" s="219" t="s">
        <v>3361</v>
      </c>
      <c r="AC332" s="212">
        <f ca="1">IF($AB332="DIRECT",Q332,DCOUNT('literature entries'!$D:$AI,IF($J332=1,"ACTIVE     GHGE, FARM GATE (kg CO2e/kg)","GHGE, processor gate (kg CO2e/kg)"),INDIRECT($AB332)))</f>
        <v>130</v>
      </c>
      <c r="AD332" s="212">
        <f ca="1">IF($AB332="DIRECT","",DAVERAGE('literature entries'!$D:$AI,IF($J332=1,"ACTIVE     GHGE, FARM GATE (kg CO2e/kg)","GHGE, processor gate (kg CO2e/kg)"),INDIRECT($AB332)))</f>
        <v>0.57143231537198591</v>
      </c>
      <c r="AE332" s="212">
        <f ca="1">IF($AB332="DIRECT",$S332,DSTDEV('literature entries'!$D:$AI,IF($J332=1,"ACTIVE     GHGE, FARM GATE (kg CO2e/kg)","GHGE, processor gate (kg CO2e/kg)"),INDIRECT($AB332)))</f>
        <v>0.97567296151555694</v>
      </c>
      <c r="AF332" s="212">
        <f t="shared" ca="1" si="49"/>
        <v>0.57778974218833745</v>
      </c>
    </row>
    <row r="333" spans="1:32" s="19" customFormat="1" ht="17" thickBot="1" x14ac:dyDescent="0.25">
      <c r="A333" s="114">
        <v>9500054000</v>
      </c>
      <c r="B333" s="115" t="s">
        <v>1831</v>
      </c>
      <c r="C333" s="115" t="s">
        <v>1760</v>
      </c>
      <c r="D333" s="115" t="s">
        <v>1832</v>
      </c>
      <c r="E333" s="115">
        <v>1557</v>
      </c>
      <c r="F333" s="111">
        <f t="shared" ca="1" si="46"/>
        <v>1.2147600000000001</v>
      </c>
      <c r="G333" s="112">
        <f t="shared" ca="1" si="47"/>
        <v>6.379399999999999E-2</v>
      </c>
      <c r="H333" s="116">
        <v>1.1459999999999999</v>
      </c>
      <c r="I333" s="117" t="s">
        <v>2724</v>
      </c>
      <c r="J333" s="79">
        <v>1</v>
      </c>
      <c r="K333" s="78" t="s">
        <v>659</v>
      </c>
      <c r="L333" s="135" t="str">
        <f>IF(ISERROR(GETPIVOTDATA(IF($J333=1,"Count of ACTIVE     CED, FARM GATE (MJ/kg)","Count of CED, processor gate (MJ/kg)"),'Pivot Table_CED'!$A$3,"SUB TYPE",$B333)),"PROXY",IF(GETPIVOTDATA(IF($J333=1,"Count of ACTIVE     CED, FARM GATE (MJ/kg)","Count of CED, processor gate (MJ/kg)"),'Pivot Table_CED'!$A$3,"SUB TYPE",$B333)=0,"PROXY","DB value"))</f>
        <v>PROXY</v>
      </c>
      <c r="M333" s="118">
        <f ca="1">IF($L333="PROXY",DCOUNT('literature entries'!$D:$AI,IF($J333=1,"ACTIVE     CED, FARM GATE (MJ/kg)","CED, processor gate (MJ/kg)"),INDIRECT($K333)),GETPIVOTDATA(IF($J333=1,"Count of ACTIVE     CED, FARM GATE (MJ/kg)","Count of CED, processor gate (MJ/kg)"),'Pivot Table_CED'!$A$3,"SUB TYPE",$B333))</f>
        <v>3</v>
      </c>
      <c r="N333" s="119">
        <f ca="1">IF($L333="PROXY",DAVERAGE('literature entries'!$D:$AI,IF($J333=1,"ACTIVE     CED, FARM GATE (MJ/kg)","CED, processor gate (MJ/kg)"),INDIRECT($K333)),GETPIVOTDATA(IF($J333=1,"Average of ACTIVE     CED, FARM GATE (MJ/kg)","Average of CED, processor gate (MJ/kg)"),'Pivot Table_CED'!$A$3,"SUB TYPE",$B333))</f>
        <v>1.06</v>
      </c>
      <c r="O333" s="119">
        <f ca="1">IF($L333="PROXY",DSTDEV('literature entries'!D:AI,IF($J333=1,"ACTIVE     CED, FARM GATE (MJ/kg)","CED, processor gate (MJ/kg)"),INDIRECT($K333)),GETPIVOTDATA(IF($J333=1,"StdDev of ACTIVE     CED, FARM GATE (MJ/kg)","StdDev of CED, processor gate (MJ/kg)"),'Pivot Table_CED'!$A$3,"SUB TYPE",$B333))</f>
        <v>0.28583211855912843</v>
      </c>
      <c r="P333" s="135" t="str">
        <f>IF(ISERROR(GETPIVOTDATA(IF($J333=1,"Count of ACTIVE     GHGE, FARM GATE (kg CO2e/kg)","Count of GHGE, processor gate (kg CO2e/kg)"),'Pivot Table_GHG'!$A$3,"SUB TYPE",$B333)),"PROXY",IF(GETPIVOTDATA(IF($J333=1,"Count of ACTIVE     GHGE, FARM GATE (kg CO2e/kg)","Count of GHGE, processor gate (kg CO2e/kg)"),'Pivot Table_GHG'!$A$3,"SUB TYPE",$B333)=0,"PROXY","DB value"))</f>
        <v>PROXY</v>
      </c>
      <c r="Q333" s="125">
        <f ca="1">IF($P333="PROXY",DCOUNT('literature entries'!$D:$AI,IF($J333=1,"ACTIVE     GHGE, FARM GATE (kg CO2e/kg)","GHGE, processor gate (kg CO2e/kg)"),INDIRECT($K333)),GETPIVOTDATA(IF($J333=1,"ACTIVE     GHGE, FARM GATE (kg CO2e/kg)","Count of GHGE, processor gate (kg CO2e/kg)"),'Pivot Table_GHG'!$A$3,"SUB TYPE",$B333))</f>
        <v>3</v>
      </c>
      <c r="R333" s="190">
        <f ca="1">IF($P333="PROXY",DAVERAGE('literature entries'!$D:$AI,IF($J333=1,"ACTIVE     GHGE, FARM GATE (kg CO2e/kg)","GHGE, processor gate (kg CO2e/kg)"),INDIRECT($K333)),GETPIVOTDATA(IF($J333=1,"Average of ACTIVE     GHGE, FARM GATE (kg CO2e/kg)","Average of GHGE, processor gate (kg CO2e/kg)"),'Pivot Table_GHG'!$A$3,"SUB TYPE",$B333))</f>
        <v>5.5666666666666663E-2</v>
      </c>
      <c r="S333" s="190">
        <f ca="1">IF($P333="PROXY",DSTDEV('literature entries'!$D:$AI,IF($J333=1,"ACTIVE     GHGE, FARM GATE (kg CO2e/kg)","GHGE, processor gate (kg CO2e/kg)"),INDIRECT($K333)),GETPIVOTDATA(IF($J333=1,"StdDev of ACTIVE     GHGE, FARM GATE (kg CO2e/kg)","StdDev of GHGE, processor gate (kg CO2e/kg)"),'Pivot Table_GHG'!$A$3,"SUB TYPE",$B333))</f>
        <v>3.7287173844813334E-3</v>
      </c>
      <c r="T333" s="88"/>
      <c r="U333" s="89"/>
      <c r="W333" s="213" t="s">
        <v>2457</v>
      </c>
      <c r="X333" s="211">
        <f ca="1">IF($W333="DIRECT",M333,DCOUNT('literature entries'!$D:$AI,IF($J333=1,"ACTIVE     CED, FARM GATE (MJ/kg)","CED, processor gate (MJ/kg)"),INDIRECT($W333)))</f>
        <v>10</v>
      </c>
      <c r="Y333" s="211">
        <f ca="1">IF($W333="DIRECT","",DAVERAGE('literature entries'!$D:$AI,IF($J333=1,"ACTIVE     CED, FARM GATE (MJ/kg)","CED, processor gate (MJ/kg)"),INDIRECT($W333)))</f>
        <v>2.5657274700000001</v>
      </c>
      <c r="Z333" s="211">
        <f ca="1">IF($W333="DIRECT",$O333,DSTDEV('literature entries'!$D:$AI,IF($J333=1,"ACTIVE     CED, FARM GATE (MJ/kg)","CED, processor gate (MJ/kg)"),INDIRECT($W333)))</f>
        <v>1.5197673074222315</v>
      </c>
      <c r="AA333" s="211">
        <f t="shared" ca="1" si="48"/>
        <v>0.62787391283906135</v>
      </c>
      <c r="AB333" s="219" t="s">
        <v>2457</v>
      </c>
      <c r="AC333" s="212">
        <f ca="1">IF($AB333="DIRECT",Q333,DCOUNT('literature entries'!$D:$AI,IF($J333=1,"ACTIVE     GHGE, FARM GATE (kg CO2e/kg)","GHGE, processor gate (kg CO2e/kg)"),INDIRECT($AB333)))</f>
        <v>22</v>
      </c>
      <c r="AD333" s="212">
        <f ca="1">IF($AB333="DIRECT","",DAVERAGE('literature entries'!$D:$AI,IF($J333=1,"ACTIVE     GHGE, FARM GATE (kg CO2e/kg)","GHGE, processor gate (kg CO2e/kg)"),INDIRECT($AB333)))</f>
        <v>0.18561974136363635</v>
      </c>
      <c r="AE333" s="212">
        <f ca="1">IF($AB333="DIRECT",$S333,DSTDEV('literature entries'!$D:$AI,IF($J333=1,"ACTIVE     GHGE, FARM GATE (kg CO2e/kg)","GHGE, processor gate (kg CO2e/kg)"),INDIRECT($AB333)))</f>
        <v>9.7833632177637575E-2</v>
      </c>
      <c r="AF333" s="212">
        <f t="shared" ca="1" si="49"/>
        <v>2.9339940629228418E-2</v>
      </c>
    </row>
    <row r="334" spans="1:32" s="19" customFormat="1" ht="17" thickBot="1" x14ac:dyDescent="0.25">
      <c r="A334" s="114">
        <v>9500109000</v>
      </c>
      <c r="B334" s="115" t="s">
        <v>1914</v>
      </c>
      <c r="C334" s="115" t="s">
        <v>1915</v>
      </c>
      <c r="D334" s="115"/>
      <c r="E334" s="115">
        <v>11588</v>
      </c>
      <c r="F334" s="111">
        <f t="shared" ca="1" si="46"/>
        <v>86.121886109000002</v>
      </c>
      <c r="G334" s="112">
        <f t="shared" ca="1" si="47"/>
        <v>11.250181571428572</v>
      </c>
      <c r="H334" s="116">
        <v>1</v>
      </c>
      <c r="I334" s="117" t="s">
        <v>594</v>
      </c>
      <c r="J334" s="79">
        <v>1</v>
      </c>
      <c r="K334" s="78"/>
      <c r="L334" s="135" t="str">
        <f>IF(ISERROR(GETPIVOTDATA(IF($J334=1,"Count of ACTIVE     CED, FARM GATE (MJ/kg)","Count of CED, processor gate (MJ/kg)"),'Pivot Table_CED'!$A$3,"SUB TYPE",$B334)),"PROXY",IF(GETPIVOTDATA(IF($J334=1,"Count of ACTIVE     CED, FARM GATE (MJ/kg)","Count of CED, processor gate (MJ/kg)"),'Pivot Table_CED'!$A$3,"SUB TYPE",$B334)=0,"PROXY","DB value"))</f>
        <v>DB value</v>
      </c>
      <c r="M334" s="118">
        <f ca="1">IF($L334="PROXY",DCOUNT('literature entries'!$D:$AI,IF($J334=1,"ACTIVE     CED, FARM GATE (MJ/kg)","CED, processor gate (MJ/kg)"),INDIRECT($K334)),GETPIVOTDATA(IF($J334=1,"Count of ACTIVE     CED, FARM GATE (MJ/kg)","Count of CED, processor gate (MJ/kg)"),'Pivot Table_CED'!$A$3,"SUB TYPE",$B334))</f>
        <v>4</v>
      </c>
      <c r="N334" s="119">
        <f ca="1">IF($L334="PROXY",DAVERAGE('literature entries'!$D:$AI,IF($J334=1,"ACTIVE     CED, FARM GATE (MJ/kg)","CED, processor gate (MJ/kg)"),INDIRECT($K334)),GETPIVOTDATA(IF($J334=1,"Average of ACTIVE     CED, FARM GATE (MJ/kg)","Average of CED, processor gate (MJ/kg)"),'Pivot Table_CED'!$A$3,"SUB TYPE",$B334))</f>
        <v>86.121886109000002</v>
      </c>
      <c r="O334" s="119">
        <f ca="1">IF($L334="PROXY",DSTDEV('literature entries'!D:AI,IF($J334=1,"ACTIVE     CED, FARM GATE (MJ/kg)","CED, processor gate (MJ/kg)"),INDIRECT($K334)),GETPIVOTDATA(IF($J334=1,"StdDev of ACTIVE     CED, FARM GATE (MJ/kg)","StdDev of CED, processor gate (MJ/kg)"),'Pivot Table_CED'!$A$3,"SUB TYPE",$B334))</f>
        <v>107.36616934726111</v>
      </c>
      <c r="P334" s="135" t="str">
        <f>IF(ISERROR(GETPIVOTDATA(IF($J334=1,"Count of ACTIVE     GHGE, FARM GATE (kg CO2e/kg)","Count of GHGE, processor gate (kg CO2e/kg)"),'Pivot Table_GHG'!$A$3,"SUB TYPE",$B334)),"PROXY",IF(GETPIVOTDATA(IF($J334=1,"Count of ACTIVE     GHGE, FARM GATE (kg CO2e/kg)","Count of GHGE, processor gate (kg CO2e/kg)"),'Pivot Table_GHG'!$A$3,"SUB TYPE",$B334)=0,"PROXY","DB value"))</f>
        <v>DB value</v>
      </c>
      <c r="Q334" s="125">
        <f ca="1">IF($P334="PROXY",DCOUNT('literature entries'!$D:$AI,IF($J334=1,"ACTIVE     GHGE, FARM GATE (kg CO2e/kg)","GHGE, processor gate (kg CO2e/kg)"),INDIRECT($K334)),GETPIVOTDATA(IF($J334=1,"ACTIVE     GHGE, FARM GATE (kg CO2e/kg)","Count of GHGE, processor gate (kg CO2e/kg)"),'Pivot Table_GHG'!$A$3,"SUB TYPE",$B334))</f>
        <v>7</v>
      </c>
      <c r="R334" s="190">
        <f ca="1">IF($P334="PROXY",DAVERAGE('literature entries'!$D:$AI,IF($J334=1,"ACTIVE     GHGE, FARM GATE (kg CO2e/kg)","GHGE, processor gate (kg CO2e/kg)"),INDIRECT($K334)),GETPIVOTDATA(IF($J334=1,"Average of ACTIVE     GHGE, FARM GATE (kg CO2e/kg)","Average of GHGE, processor gate (kg CO2e/kg)"),'Pivot Table_GHG'!$A$3,"SUB TYPE",$B334))</f>
        <v>11.250181571428572</v>
      </c>
      <c r="S334" s="190">
        <f ca="1">IF($P334="PROXY",DSTDEV('literature entries'!$D:$AI,IF($J334=1,"ACTIVE     GHGE, FARM GATE (kg CO2e/kg)","GHGE, processor gate (kg CO2e/kg)"),INDIRECT($K334)),GETPIVOTDATA(IF($J334=1,"StdDev of ACTIVE     GHGE, FARM GATE (kg CO2e/kg)","StdDev of GHGE, processor gate (kg CO2e/kg)"),'Pivot Table_GHG'!$A$3,"SUB TYPE",$B334))</f>
        <v>14.144379387981161</v>
      </c>
      <c r="T334" s="88"/>
      <c r="U334" s="89"/>
      <c r="W334" s="213" t="s">
        <v>3365</v>
      </c>
      <c r="X334" s="211">
        <f ca="1">IF($W334="DIRECT",M334,DCOUNT('literature entries'!$D:$AI,IF($J334=1,"ACTIVE     CED, FARM GATE (MJ/kg)","CED, processor gate (MJ/kg)"),INDIRECT($W334)))</f>
        <v>8</v>
      </c>
      <c r="Y334" s="211">
        <f ca="1">IF($W334="DIRECT","",DAVERAGE('literature entries'!$D:$AI,IF($J334=1,"ACTIVE     CED, FARM GATE (MJ/kg)","CED, processor gate (MJ/kg)"),INDIRECT($W334)))</f>
        <v>71.418696412253354</v>
      </c>
      <c r="Z334" s="211">
        <f ca="1">IF($W334="DIRECT",$O334,DSTDEV('literature entries'!$D:$AI,IF($J334=1,"ACTIVE     CED, FARM GATE (MJ/kg)","CED, processor gate (MJ/kg)"),INDIRECT($W334)))</f>
        <v>72.490517224642574</v>
      </c>
      <c r="AA334" s="211">
        <f t="shared" ca="1" si="48"/>
        <v>87.414366013715863</v>
      </c>
      <c r="AB334" s="219" t="str">
        <f ca="1">IF(P334="PROXY",IF(Q334&gt;=5,K334,"need group"),IF(Q334&gt;=5,"DIRECT","need group"))</f>
        <v>DIRECT</v>
      </c>
      <c r="AC334" s="212">
        <f ca="1">IF($AB334="DIRECT",Q334,DCOUNT('literature entries'!$D:$AI,IF($J334=1,"ACTIVE     GHGE, FARM GATE (kg CO2e/kg)","GHGE, processor gate (kg CO2e/kg)"),INDIRECT($AB334)))</f>
        <v>7</v>
      </c>
      <c r="AD334" s="212" t="str">
        <f ca="1">IF($AB334="DIRECT","",DAVERAGE('literature entries'!$D:$AI,IF($J334=1,"ACTIVE     GHGE, FARM GATE (kg CO2e/kg)","GHGE, processor gate (kg CO2e/kg)"),INDIRECT($AB334)))</f>
        <v/>
      </c>
      <c r="AE334" s="212">
        <f ca="1">IF($AB334="DIRECT",$S334,DSTDEV('literature entries'!$D:$AI,IF($J334=1,"ACTIVE     GHGE, FARM GATE (kg CO2e/kg)","GHGE, processor gate (kg CO2e/kg)"),INDIRECT($AB334)))</f>
        <v>14.144379387981161</v>
      </c>
      <c r="AF334" s="212">
        <f t="shared" ca="1" si="49"/>
        <v>14.144379387981161</v>
      </c>
    </row>
    <row r="335" spans="1:32" s="19" customFormat="1" ht="17" thickBot="1" x14ac:dyDescent="0.25">
      <c r="A335" s="114">
        <v>9500110000</v>
      </c>
      <c r="B335" s="115" t="s">
        <v>1916</v>
      </c>
      <c r="C335" s="115" t="s">
        <v>1917</v>
      </c>
      <c r="D335" s="115"/>
      <c r="E335" s="115">
        <v>16565</v>
      </c>
      <c r="F335" s="111">
        <f t="shared" ca="1" si="46"/>
        <v>3.7453566333333335</v>
      </c>
      <c r="G335" s="112">
        <f t="shared" ca="1" si="47"/>
        <v>33.647091000000003</v>
      </c>
      <c r="H335" s="116">
        <v>1</v>
      </c>
      <c r="I335" s="117" t="s">
        <v>594</v>
      </c>
      <c r="J335" s="79">
        <v>2</v>
      </c>
      <c r="K335" s="78"/>
      <c r="L335" s="135" t="str">
        <f>IF(ISERROR(GETPIVOTDATA(IF($J335=1,"Count of ACTIVE     CED, FARM GATE (MJ/kg)","Count of CED, processor gate (MJ/kg)"),'Pivot Table_CED'!$A$3,"SUB TYPE",$B335)),"PROXY",IF(GETPIVOTDATA(IF($J335=1,"Count of ACTIVE     CED, FARM GATE (MJ/kg)","Count of CED, processor gate (MJ/kg)"),'Pivot Table_CED'!$A$3,"SUB TYPE",$B335)=0,"PROXY","DB value"))</f>
        <v>DB value</v>
      </c>
      <c r="M335" s="118">
        <f ca="1">IF($L335="PROXY",DCOUNT('literature entries'!$D:$AI,IF($J335=1,"ACTIVE     CED, FARM GATE (MJ/kg)","CED, processor gate (MJ/kg)"),INDIRECT($K335)),GETPIVOTDATA(IF($J335=1,"Count of ACTIVE     CED, FARM GATE (MJ/kg)","Count of CED, processor gate (MJ/kg)"),'Pivot Table_CED'!$A$3,"SUB TYPE",$B335))</f>
        <v>3</v>
      </c>
      <c r="N335" s="119">
        <f ca="1">IF($L335="PROXY",DAVERAGE('literature entries'!$D:$AI,IF($J335=1,"ACTIVE     CED, FARM GATE (MJ/kg)","CED, processor gate (MJ/kg)"),INDIRECT($K335)),GETPIVOTDATA(IF($J335=1,"Average of ACTIVE     CED, FARM GATE (MJ/kg)","Average of CED, processor gate (MJ/kg)"),'Pivot Table_CED'!$A$3,"SUB TYPE",$B335))</f>
        <v>3.7453566333333335</v>
      </c>
      <c r="O335" s="119">
        <f ca="1">IF($L335="PROXY",DSTDEV('literature entries'!D:AI,IF($J335=1,"ACTIVE     CED, FARM GATE (MJ/kg)","CED, processor gate (MJ/kg)"),INDIRECT($K335)),GETPIVOTDATA(IF($J335=1,"StdDev of ACTIVE     CED, FARM GATE (MJ/kg)","StdDev of CED, processor gate (MJ/kg)"),'Pivot Table_CED'!$A$3,"SUB TYPE",$B335))</f>
        <v>0.21151079717178042</v>
      </c>
      <c r="P335" s="135" t="str">
        <f>IF(ISERROR(GETPIVOTDATA(IF($J335=1,"Count of ACTIVE     GHGE, FARM GATE (kg CO2e/kg)","Count of GHGE, processor gate (kg CO2e/kg)"),'Pivot Table_GHG'!$A$3,"SUB TYPE",$B335)),"PROXY",IF(GETPIVOTDATA(IF($J335=1,"Count of ACTIVE     GHGE, FARM GATE (kg CO2e/kg)","Count of GHGE, processor gate (kg CO2e/kg)"),'Pivot Table_GHG'!$A$3,"SUB TYPE",$B335)=0,"PROXY","DB value"))</f>
        <v>DB value</v>
      </c>
      <c r="Q335" s="125">
        <f ca="1">IF($P335="PROXY",DCOUNT('literature entries'!$D:$AI,IF($J335=1,"ACTIVE     GHGE, FARM GATE (kg CO2e/kg)","GHGE, processor gate (kg CO2e/kg)"),INDIRECT($K335)),GETPIVOTDATA(IF($J335=1,"ACTIVE     GHGE, FARM GATE (kg CO2e/kg)","Count of GHGE, processor gate (kg CO2e/kg)"),'Pivot Table_GHG'!$A$3,"SUB TYPE",$B335))</f>
        <v>3</v>
      </c>
      <c r="R335" s="190">
        <f ca="1">IF($P335="PROXY",DAVERAGE('literature entries'!$D:$AI,IF($J335=1,"ACTIVE     GHGE, FARM GATE (kg CO2e/kg)","GHGE, processor gate (kg CO2e/kg)"),INDIRECT($K335)),GETPIVOTDATA(IF($J335=1,"Average of ACTIVE     GHGE, FARM GATE (kg CO2e/kg)","Average of GHGE, processor gate (kg CO2e/kg)"),'Pivot Table_GHG'!$A$3,"SUB TYPE",$B335))</f>
        <v>33.647091000000003</v>
      </c>
      <c r="S335" s="190">
        <f ca="1">IF($P335="PROXY",DSTDEV('literature entries'!$D:$AI,IF($J335=1,"ACTIVE     GHGE, FARM GATE (kg CO2e/kg)","GHGE, processor gate (kg CO2e/kg)"),INDIRECT($K335)),GETPIVOTDATA(IF($J335=1,"StdDev of ACTIVE     GHGE, FARM GATE (kg CO2e/kg)","StdDev of GHGE, processor gate (kg CO2e/kg)"),'Pivot Table_GHG'!$A$3,"SUB TYPE",$B335))</f>
        <v>14.543723820780452</v>
      </c>
      <c r="T335" s="88"/>
      <c r="U335" s="89"/>
      <c r="W335" s="213" t="s">
        <v>3365</v>
      </c>
      <c r="X335" s="211">
        <f ca="1">IF($W335="DIRECT",M335,DCOUNT('literature entries'!$D:$AI,IF($J335=1,"ACTIVE     CED, FARM GATE (MJ/kg)","CED, processor gate (MJ/kg)"),INDIRECT($W335)))</f>
        <v>9</v>
      </c>
      <c r="Y335" s="211">
        <f ca="1">IF($W335="DIRECT","",DAVERAGE('literature entries'!$D:$AI,IF($J335=1,"ACTIVE     CED, FARM GATE (MJ/kg)","CED, processor gate (MJ/kg)"),INDIRECT($W335)))</f>
        <v>40.585858261850497</v>
      </c>
      <c r="Z335" s="211">
        <f ca="1">IF($W335="DIRECT",$O335,DSTDEV('literature entries'!$D:$AI,IF($J335=1,"ACTIVE     CED, FARM GATE (MJ/kg)","CED, processor gate (MJ/kg)"),INDIRECT($W335)))</f>
        <v>29.424950608067736</v>
      </c>
      <c r="AA335" s="211">
        <f t="shared" ca="1" si="48"/>
        <v>2.7154023264557505</v>
      </c>
      <c r="AB335" s="219" t="s">
        <v>3365</v>
      </c>
      <c r="AC335" s="212">
        <f ca="1">IF($AB335="DIRECT",Q335,DCOUNT('literature entries'!$D:$AI,IF($J335=1,"ACTIVE     GHGE, FARM GATE (kg CO2e/kg)","GHGE, processor gate (kg CO2e/kg)"),INDIRECT($AB335)))</f>
        <v>11</v>
      </c>
      <c r="AD335" s="212">
        <f ca="1">IF($AB335="DIRECT","",DAVERAGE('literature entries'!$D:$AI,IF($J335=1,"ACTIVE     GHGE, FARM GATE (kg CO2e/kg)","GHGE, processor gate (kg CO2e/kg)"),INDIRECT($AB335)))</f>
        <v>12.625449282606285</v>
      </c>
      <c r="AE335" s="212">
        <f ca="1">IF($AB335="DIRECT",$S335,DSTDEV('literature entries'!$D:$AI,IF($J335=1,"ACTIVE     GHGE, FARM GATE (kg CO2e/kg)","GHGE, processor gate (kg CO2e/kg)"),INDIRECT($AB335)))</f>
        <v>15.203290536210559</v>
      </c>
      <c r="AF335" s="212">
        <f t="shared" ca="1" si="49"/>
        <v>40.517092795743771</v>
      </c>
    </row>
    <row r="336" spans="1:32" s="19" customFormat="1" ht="17" thickBot="1" x14ac:dyDescent="0.25">
      <c r="A336" s="114">
        <v>9500115000</v>
      </c>
      <c r="B336" s="115" t="s">
        <v>1928</v>
      </c>
      <c r="C336" s="115" t="s">
        <v>1784</v>
      </c>
      <c r="D336" s="115"/>
      <c r="E336" s="115">
        <v>15557</v>
      </c>
      <c r="F336" s="111">
        <f t="shared" ca="1" si="46"/>
        <v>64.580789580789585</v>
      </c>
      <c r="G336" s="112">
        <f t="shared" ca="1" si="47"/>
        <v>6.2790801790801787</v>
      </c>
      <c r="H336" s="120">
        <v>1</v>
      </c>
      <c r="I336" s="117" t="s">
        <v>628</v>
      </c>
      <c r="J336" s="79">
        <v>2</v>
      </c>
      <c r="K336" s="78"/>
      <c r="L336" s="135" t="str">
        <f>IF(ISERROR(GETPIVOTDATA(IF($J336=1,"Count of ACTIVE     CED, FARM GATE (MJ/kg)","Count of CED, processor gate (MJ/kg)"),'Pivot Table_CED'!$A$3,"SUB TYPE",$B336)),"PROXY",IF(GETPIVOTDATA(IF($J336=1,"Count of ACTIVE     CED, FARM GATE (MJ/kg)","Count of CED, processor gate (MJ/kg)"),'Pivot Table_CED'!$A$3,"SUB TYPE",$B336)=0,"PROXY","DB value"))</f>
        <v>DB value</v>
      </c>
      <c r="M336" s="118">
        <f ca="1">IF($L336="PROXY",DCOUNT('literature entries'!$D:$AI,IF($J336=1,"ACTIVE     CED, FARM GATE (MJ/kg)","CED, processor gate (MJ/kg)"),INDIRECT($K336)),GETPIVOTDATA(IF($J336=1,"Count of ACTIVE     CED, FARM GATE (MJ/kg)","Count of CED, processor gate (MJ/kg)"),'Pivot Table_CED'!$A$3,"SUB TYPE",$B336))</f>
        <v>3</v>
      </c>
      <c r="N336" s="119">
        <f ca="1">IF($L336="PROXY",DAVERAGE('literature entries'!$D:$AI,IF($J336=1,"ACTIVE     CED, FARM GATE (MJ/kg)","CED, processor gate (MJ/kg)"),INDIRECT($K336)),GETPIVOTDATA(IF($J336=1,"Average of ACTIVE     CED, FARM GATE (MJ/kg)","Average of CED, processor gate (MJ/kg)"),'Pivot Table_CED'!$A$3,"SUB TYPE",$B336))</f>
        <v>64.580789580789585</v>
      </c>
      <c r="O336" s="119">
        <f ca="1">IF($L336="PROXY",DSTDEV('literature entries'!D:AI,IF($J336=1,"ACTIVE     CED, FARM GATE (MJ/kg)","CED, processor gate (MJ/kg)"),INDIRECT($K336)),GETPIVOTDATA(IF($J336=1,"StdDev of ACTIVE     CED, FARM GATE (MJ/kg)","StdDev of CED, processor gate (MJ/kg)"),'Pivot Table_CED'!$A$3,"SUB TYPE",$B336))</f>
        <v>17.37880716914858</v>
      </c>
      <c r="P336" s="135" t="str">
        <f>IF(ISERROR(GETPIVOTDATA(IF($J336=1,"Count of ACTIVE     GHGE, FARM GATE (kg CO2e/kg)","Count of GHGE, processor gate (kg CO2e/kg)"),'Pivot Table_GHG'!$A$3,"SUB TYPE",$B336)),"PROXY",IF(GETPIVOTDATA(IF($J336=1,"Count of ACTIVE     GHGE, FARM GATE (kg CO2e/kg)","Count of GHGE, processor gate (kg CO2e/kg)"),'Pivot Table_GHG'!$A$3,"SUB TYPE",$B336)=0,"PROXY","DB value"))</f>
        <v>DB value</v>
      </c>
      <c r="Q336" s="125">
        <f ca="1">IF($P336="PROXY",DCOUNT('literature entries'!$D:$AI,IF($J336=1,"ACTIVE     GHGE, FARM GATE (kg CO2e/kg)","GHGE, processor gate (kg CO2e/kg)"),INDIRECT($K336)),GETPIVOTDATA(IF($J336=1,"ACTIVE     GHGE, FARM GATE (kg CO2e/kg)","Count of GHGE, processor gate (kg CO2e/kg)"),'Pivot Table_GHG'!$A$3,"SUB TYPE",$B336))</f>
        <v>3</v>
      </c>
      <c r="R336" s="190">
        <f ca="1">IF($P336="PROXY",DAVERAGE('literature entries'!$D:$AI,IF($J336=1,"ACTIVE     GHGE, FARM GATE (kg CO2e/kg)","GHGE, processor gate (kg CO2e/kg)"),INDIRECT($K336)),GETPIVOTDATA(IF($J336=1,"Average of ACTIVE     GHGE, FARM GATE (kg CO2e/kg)","Average of GHGE, processor gate (kg CO2e/kg)"),'Pivot Table_GHG'!$A$3,"SUB TYPE",$B336))</f>
        <v>6.2790801790801787</v>
      </c>
      <c r="S336" s="190">
        <f ca="1">IF($P336="PROXY",DSTDEV('literature entries'!$D:$AI,IF($J336=1,"ACTIVE     GHGE, FARM GATE (kg CO2e/kg)","GHGE, processor gate (kg CO2e/kg)"),INDIRECT($K336)),GETPIVOTDATA(IF($J336=1,"StdDev of ACTIVE     GHGE, FARM GATE (kg CO2e/kg)","StdDev of GHGE, processor gate (kg CO2e/kg)"),'Pivot Table_GHG'!$A$3,"SUB TYPE",$B336))</f>
        <v>3.8858726748846881</v>
      </c>
      <c r="T336" s="88"/>
      <c r="U336" s="89"/>
      <c r="W336" s="213" t="s">
        <v>3365</v>
      </c>
      <c r="X336" s="211">
        <f ca="1">IF($W336="DIRECT",M336,DCOUNT('literature entries'!$D:$AI,IF($J336=1,"ACTIVE     CED, FARM GATE (MJ/kg)","CED, processor gate (MJ/kg)"),INDIRECT($W336)))</f>
        <v>9</v>
      </c>
      <c r="Y336" s="211">
        <f ca="1">IF($W336="DIRECT","",DAVERAGE('literature entries'!$D:$AI,IF($J336=1,"ACTIVE     CED, FARM GATE (MJ/kg)","CED, processor gate (MJ/kg)"),INDIRECT($W336)))</f>
        <v>40.585858261850497</v>
      </c>
      <c r="Z336" s="211">
        <f ca="1">IF($W336="DIRECT",$O336,DSTDEV('literature entries'!$D:$AI,IF($J336=1,"ACTIVE     CED, FARM GATE (MJ/kg)","CED, processor gate (MJ/kg)"),INDIRECT($W336)))</f>
        <v>29.424950608067736</v>
      </c>
      <c r="AA336" s="211">
        <f t="shared" ca="1" si="48"/>
        <v>46.821396048459611</v>
      </c>
      <c r="AB336" s="219" t="s">
        <v>3365</v>
      </c>
      <c r="AC336" s="212">
        <f ca="1">IF($AB336="DIRECT",Q336,DCOUNT('literature entries'!$D:$AI,IF($J336=1,"ACTIVE     GHGE, FARM GATE (kg CO2e/kg)","GHGE, processor gate (kg CO2e/kg)"),INDIRECT($AB336)))</f>
        <v>11</v>
      </c>
      <c r="AD336" s="212">
        <f ca="1">IF($AB336="DIRECT","",DAVERAGE('literature entries'!$D:$AI,IF($J336=1,"ACTIVE     GHGE, FARM GATE (kg CO2e/kg)","GHGE, processor gate (kg CO2e/kg)"),INDIRECT($AB336)))</f>
        <v>12.625449282606285</v>
      </c>
      <c r="AE336" s="212">
        <f ca="1">IF($AB336="DIRECT",$S336,DSTDEV('literature entries'!$D:$AI,IF($J336=1,"ACTIVE     GHGE, FARM GATE (kg CO2e/kg)","GHGE, processor gate (kg CO2e/kg)"),INDIRECT($AB336)))</f>
        <v>15.203290536210559</v>
      </c>
      <c r="AF336" s="212">
        <f t="shared" ca="1" si="49"/>
        <v>7.5611313408254821</v>
      </c>
    </row>
    <row r="337" spans="1:32" s="19" customFormat="1" ht="17" thickBot="1" x14ac:dyDescent="0.25">
      <c r="A337" s="114">
        <v>9500116000</v>
      </c>
      <c r="B337" s="115" t="s">
        <v>1926</v>
      </c>
      <c r="C337" s="115" t="s">
        <v>1927</v>
      </c>
      <c r="D337" s="115"/>
      <c r="E337" s="115">
        <v>9445</v>
      </c>
      <c r="F337" s="111">
        <f t="shared" ca="1" si="46"/>
        <v>181.25</v>
      </c>
      <c r="G337" s="112">
        <f t="shared" ca="1" si="47"/>
        <v>19.2</v>
      </c>
      <c r="H337" s="120">
        <v>1</v>
      </c>
      <c r="I337" s="117" t="s">
        <v>628</v>
      </c>
      <c r="J337" s="79">
        <v>2</v>
      </c>
      <c r="K337" s="78"/>
      <c r="L337" s="135" t="str">
        <f>IF(ISERROR(GETPIVOTDATA(IF($J337=1,"Count of ACTIVE     CED, FARM GATE (MJ/kg)","Count of CED, processor gate (MJ/kg)"),'Pivot Table_CED'!$A$3,"SUB TYPE",$B337)),"PROXY",IF(GETPIVOTDATA(IF($J337=1,"Count of ACTIVE     CED, FARM GATE (MJ/kg)","Count of CED, processor gate (MJ/kg)"),'Pivot Table_CED'!$A$3,"SUB TYPE",$B337)=0,"PROXY","DB value"))</f>
        <v>DB value</v>
      </c>
      <c r="M337" s="118">
        <f ca="1">IF($L337="PROXY",DCOUNT('literature entries'!$D:$AI,IF($J337=1,"ACTIVE     CED, FARM GATE (MJ/kg)","CED, processor gate (MJ/kg)"),INDIRECT($K337)),GETPIVOTDATA(IF($J337=1,"Count of ACTIVE     CED, FARM GATE (MJ/kg)","Count of CED, processor gate (MJ/kg)"),'Pivot Table_CED'!$A$3,"SUB TYPE",$B337))</f>
        <v>2</v>
      </c>
      <c r="N337" s="119">
        <f ca="1">IF($L337="PROXY",DAVERAGE('literature entries'!$D:$AI,IF($J337=1,"ACTIVE     CED, FARM GATE (MJ/kg)","CED, processor gate (MJ/kg)"),INDIRECT($K337)),GETPIVOTDATA(IF($J337=1,"Average of ACTIVE     CED, FARM GATE (MJ/kg)","Average of CED, processor gate (MJ/kg)"),'Pivot Table_CED'!$A$3,"SUB TYPE",$B337))</f>
        <v>181.25</v>
      </c>
      <c r="O337" s="119">
        <f ca="1">IF($L337="PROXY",DSTDEV('literature entries'!D:AI,IF($J337=1,"ACTIVE     CED, FARM GATE (MJ/kg)","CED, processor gate (MJ/kg)"),INDIRECT($K337)),GETPIVOTDATA(IF($J337=1,"StdDev of ACTIVE     CED, FARM GATE (MJ/kg)","StdDev of CED, processor gate (MJ/kg)"),'Pivot Table_CED'!$A$3,"SUB TYPE",$B337))</f>
        <v>8.8388347648318444</v>
      </c>
      <c r="P337" s="135" t="str">
        <f>IF(ISERROR(GETPIVOTDATA(IF($J337=1,"Count of ACTIVE     GHGE, FARM GATE (kg CO2e/kg)","Count of GHGE, processor gate (kg CO2e/kg)"),'Pivot Table_GHG'!$A$3,"SUB TYPE",$B337)),"PROXY",IF(GETPIVOTDATA(IF($J337=1,"Count of ACTIVE     GHGE, FARM GATE (kg CO2e/kg)","Count of GHGE, processor gate (kg CO2e/kg)"),'Pivot Table_GHG'!$A$3,"SUB TYPE",$B337)=0,"PROXY","DB value"))</f>
        <v>DB value</v>
      </c>
      <c r="Q337" s="125">
        <f ca="1">IF($P337="PROXY",DCOUNT('literature entries'!$D:$AI,IF($J337=1,"ACTIVE     GHGE, FARM GATE (kg CO2e/kg)","GHGE, processor gate (kg CO2e/kg)"),INDIRECT($K337)),GETPIVOTDATA(IF($J337=1,"ACTIVE     GHGE, FARM GATE (kg CO2e/kg)","Count of GHGE, processor gate (kg CO2e/kg)"),'Pivot Table_GHG'!$A$3,"SUB TYPE",$B337))</f>
        <v>2</v>
      </c>
      <c r="R337" s="190">
        <f ca="1">IF($P337="PROXY",DAVERAGE('literature entries'!$D:$AI,IF($J337=1,"ACTIVE     GHGE, FARM GATE (kg CO2e/kg)","GHGE, processor gate (kg CO2e/kg)"),INDIRECT($K337)),GETPIVOTDATA(IF($J337=1,"Average of ACTIVE     GHGE, FARM GATE (kg CO2e/kg)","Average of GHGE, processor gate (kg CO2e/kg)"),'Pivot Table_GHG'!$A$3,"SUB TYPE",$B337))</f>
        <v>19.2</v>
      </c>
      <c r="S337" s="190">
        <f ca="1">IF($P337="PROXY",DSTDEV('literature entries'!$D:$AI,IF($J337=1,"ACTIVE     GHGE, FARM GATE (kg CO2e/kg)","GHGE, processor gate (kg CO2e/kg)"),INDIRECT($K337)),GETPIVOTDATA(IF($J337=1,"StdDev of ACTIVE     GHGE, FARM GATE (kg CO2e/kg)","StdDev of GHGE, processor gate (kg CO2e/kg)"),'Pivot Table_GHG'!$A$3,"SUB TYPE",$B337))</f>
        <v>11.101576464628796</v>
      </c>
      <c r="T337" s="88"/>
      <c r="U337" s="89"/>
      <c r="W337" s="213" t="s">
        <v>3365</v>
      </c>
      <c r="X337" s="211">
        <f ca="1">IF($W337="DIRECT",M337,DCOUNT('literature entries'!$D:$AI,IF($J337=1,"ACTIVE     CED, FARM GATE (MJ/kg)","CED, processor gate (MJ/kg)"),INDIRECT($W337)))</f>
        <v>9</v>
      </c>
      <c r="Y337" s="211">
        <f ca="1">IF($W337="DIRECT","",DAVERAGE('literature entries'!$D:$AI,IF($J337=1,"ACTIVE     CED, FARM GATE (MJ/kg)","CED, processor gate (MJ/kg)"),INDIRECT($W337)))</f>
        <v>40.585858261850497</v>
      </c>
      <c r="Z337" s="211">
        <f ca="1">IF($W337="DIRECT",$O337,DSTDEV('literature entries'!$D:$AI,IF($J337=1,"ACTIVE     CED, FARM GATE (MJ/kg)","CED, processor gate (MJ/kg)"),INDIRECT($W337)))</f>
        <v>29.424950608067736</v>
      </c>
      <c r="AA337" s="211">
        <f t="shared" ca="1" si="48"/>
        <v>131.4071582102132</v>
      </c>
      <c r="AB337" s="219" t="s">
        <v>3365</v>
      </c>
      <c r="AC337" s="212">
        <f ca="1">IF($AB337="DIRECT",Q337,DCOUNT('literature entries'!$D:$AI,IF($J337=1,"ACTIVE     GHGE, FARM GATE (kg CO2e/kg)","GHGE, processor gate (kg CO2e/kg)"),INDIRECT($AB337)))</f>
        <v>11</v>
      </c>
      <c r="AD337" s="212">
        <f ca="1">IF($AB337="DIRECT","",DAVERAGE('literature entries'!$D:$AI,IF($J337=1,"ACTIVE     GHGE, FARM GATE (kg CO2e/kg)","GHGE, processor gate (kg CO2e/kg)"),INDIRECT($AB337)))</f>
        <v>12.625449282606285</v>
      </c>
      <c r="AE337" s="212">
        <f ca="1">IF($AB337="DIRECT",$S337,DSTDEV('literature entries'!$D:$AI,IF($J337=1,"ACTIVE     GHGE, FARM GATE (kg CO2e/kg)","GHGE, processor gate (kg CO2e/kg)"),INDIRECT($AB337)))</f>
        <v>15.203290536210559</v>
      </c>
      <c r="AF337" s="212">
        <f t="shared" ca="1" si="49"/>
        <v>23.120221052045192</v>
      </c>
    </row>
    <row r="338" spans="1:32" s="19" customFormat="1" ht="17" thickBot="1" x14ac:dyDescent="0.25">
      <c r="A338" s="114">
        <v>9500177000</v>
      </c>
      <c r="B338" s="115" t="s">
        <v>2016</v>
      </c>
      <c r="C338" s="115" t="s">
        <v>1760</v>
      </c>
      <c r="D338" s="115"/>
      <c r="E338" s="115">
        <v>5</v>
      </c>
      <c r="F338" s="111">
        <f t="shared" ca="1" si="46"/>
        <v>2.5657274700000001</v>
      </c>
      <c r="G338" s="112">
        <f t="shared" ca="1" si="47"/>
        <v>0.18561974136363635</v>
      </c>
      <c r="H338" s="116">
        <v>1</v>
      </c>
      <c r="I338" s="117" t="s">
        <v>594</v>
      </c>
      <c r="J338" s="79">
        <v>1</v>
      </c>
      <c r="K338" s="78" t="s">
        <v>2457</v>
      </c>
      <c r="L338" s="135" t="str">
        <f>IF(ISERROR(GETPIVOTDATA(IF($J338=1,"Count of ACTIVE     CED, FARM GATE (MJ/kg)","Count of CED, processor gate (MJ/kg)"),'Pivot Table_CED'!$A$3,"SUB TYPE",$B338)),"PROXY",IF(GETPIVOTDATA(IF($J338=1,"Count of ACTIVE     CED, FARM GATE (MJ/kg)","Count of CED, processor gate (MJ/kg)"),'Pivot Table_CED'!$A$3,"SUB TYPE",$B338)=0,"PROXY","DB value"))</f>
        <v>PROXY</v>
      </c>
      <c r="M338" s="118">
        <f ca="1">IF($L338="PROXY",DCOUNT('literature entries'!$D:$AI,IF($J338=1,"ACTIVE     CED, FARM GATE (MJ/kg)","CED, processor gate (MJ/kg)"),INDIRECT($K338)),GETPIVOTDATA(IF($J338=1,"Count of ACTIVE     CED, FARM GATE (MJ/kg)","Count of CED, processor gate (MJ/kg)"),'Pivot Table_CED'!$A$3,"SUB TYPE",$B338))</f>
        <v>10</v>
      </c>
      <c r="N338" s="119">
        <f ca="1">IF($L338="PROXY",DAVERAGE('literature entries'!$D:$AI,IF($J338=1,"ACTIVE     CED, FARM GATE (MJ/kg)","CED, processor gate (MJ/kg)"),INDIRECT($K338)),GETPIVOTDATA(IF($J338=1,"Average of ACTIVE     CED, FARM GATE (MJ/kg)","Average of CED, processor gate (MJ/kg)"),'Pivot Table_CED'!$A$3,"SUB TYPE",$B338))</f>
        <v>2.5657274700000001</v>
      </c>
      <c r="O338" s="119">
        <f ca="1">IF($L338="PROXY",DSTDEV('literature entries'!D:AI,IF($J338=1,"ACTIVE     CED, FARM GATE (MJ/kg)","CED, processor gate (MJ/kg)"),INDIRECT($K338)),GETPIVOTDATA(IF($J338=1,"StdDev of ACTIVE     CED, FARM GATE (MJ/kg)","StdDev of CED, processor gate (MJ/kg)"),'Pivot Table_CED'!$A$3,"SUB TYPE",$B338))</f>
        <v>1.5197673074222315</v>
      </c>
      <c r="P338" s="135" t="str">
        <f>IF(ISERROR(GETPIVOTDATA(IF($J338=1,"Count of ACTIVE     GHGE, FARM GATE (kg CO2e/kg)","Count of GHGE, processor gate (kg CO2e/kg)"),'Pivot Table_GHG'!$A$3,"SUB TYPE",$B338)),"PROXY",IF(GETPIVOTDATA(IF($J338=1,"Count of ACTIVE     GHGE, FARM GATE (kg CO2e/kg)","Count of GHGE, processor gate (kg CO2e/kg)"),'Pivot Table_GHG'!$A$3,"SUB TYPE",$B338)=0,"PROXY","DB value"))</f>
        <v>PROXY</v>
      </c>
      <c r="Q338" s="125">
        <f ca="1">IF($P338="PROXY",DCOUNT('literature entries'!$D:$AI,IF($J338=1,"ACTIVE     GHGE, FARM GATE (kg CO2e/kg)","GHGE, processor gate (kg CO2e/kg)"),INDIRECT($K338)),GETPIVOTDATA(IF($J338=1,"ACTIVE     GHGE, FARM GATE (kg CO2e/kg)","Count of GHGE, processor gate (kg CO2e/kg)"),'Pivot Table_GHG'!$A$3,"SUB TYPE",$B338))</f>
        <v>22</v>
      </c>
      <c r="R338" s="190">
        <f ca="1">IF($P338="PROXY",DAVERAGE('literature entries'!$D:$AI,IF($J338=1,"ACTIVE     GHGE, FARM GATE (kg CO2e/kg)","GHGE, processor gate (kg CO2e/kg)"),INDIRECT($K338)),GETPIVOTDATA(IF($J338=1,"Average of ACTIVE     GHGE, FARM GATE (kg CO2e/kg)","Average of GHGE, processor gate (kg CO2e/kg)"),'Pivot Table_GHG'!$A$3,"SUB TYPE",$B338))</f>
        <v>0.18561974136363635</v>
      </c>
      <c r="S338" s="190">
        <f ca="1">IF($P338="PROXY",DSTDEV('literature entries'!$D:$AI,IF($J338=1,"ACTIVE     GHGE, FARM GATE (kg CO2e/kg)","GHGE, processor gate (kg CO2e/kg)"),INDIRECT($K338)),GETPIVOTDATA(IF($J338=1,"StdDev of ACTIVE     GHGE, FARM GATE (kg CO2e/kg)","StdDev of GHGE, processor gate (kg CO2e/kg)"),'Pivot Table_GHG'!$A$3,"SUB TYPE",$B338))</f>
        <v>9.7833632177637575E-2</v>
      </c>
      <c r="T338" s="88"/>
      <c r="U338" s="89"/>
      <c r="W338" s="213" t="str">
        <f ca="1">IF(L338="PROXY",IF(M338&gt;=5,K338,"need group"),IF(M338&gt;=5,"DIRECT","need group"))</f>
        <v>greens</v>
      </c>
      <c r="X338" s="211">
        <f ca="1">IF($W338="DIRECT",M338,DCOUNT('literature entries'!$D:$AI,IF($J338=1,"ACTIVE     CED, FARM GATE (MJ/kg)","CED, processor gate (MJ/kg)"),INDIRECT($W338)))</f>
        <v>10</v>
      </c>
      <c r="Y338" s="211">
        <f ca="1">IF($W338="DIRECT","",DAVERAGE('literature entries'!$D:$AI,IF($J338=1,"ACTIVE     CED, FARM GATE (MJ/kg)","CED, processor gate (MJ/kg)"),INDIRECT($W338)))</f>
        <v>2.5657274700000001</v>
      </c>
      <c r="Z338" s="211">
        <f ca="1">IF($W338="DIRECT",$O338,DSTDEV('literature entries'!$D:$AI,IF($J338=1,"ACTIVE     CED, FARM GATE (MJ/kg)","CED, processor gate (MJ/kg)"),INDIRECT($W338)))</f>
        <v>1.5197673074222315</v>
      </c>
      <c r="AA338" s="211">
        <f t="shared" ca="1" si="48"/>
        <v>1.5197673074222315</v>
      </c>
      <c r="AB338" s="219" t="str">
        <f ca="1">IF(P338="PROXY",IF(Q338&gt;=5,K338,"need group"),IF(Q338&gt;=5,"DIRECT","need group"))</f>
        <v>greens</v>
      </c>
      <c r="AC338" s="212">
        <f ca="1">IF($AB338="DIRECT",Q338,DCOUNT('literature entries'!$D:$AI,IF($J338=1,"ACTIVE     GHGE, FARM GATE (kg CO2e/kg)","GHGE, processor gate (kg CO2e/kg)"),INDIRECT($AB338)))</f>
        <v>22</v>
      </c>
      <c r="AD338" s="212">
        <f ca="1">IF($AB338="DIRECT","",DAVERAGE('literature entries'!$D:$AI,IF($J338=1,"ACTIVE     GHGE, FARM GATE (kg CO2e/kg)","GHGE, processor gate (kg CO2e/kg)"),INDIRECT($AB338)))</f>
        <v>0.18561974136363635</v>
      </c>
      <c r="AE338" s="212">
        <f ca="1">IF($AB338="DIRECT",$S338,DSTDEV('literature entries'!$D:$AI,IF($J338=1,"ACTIVE     GHGE, FARM GATE (kg CO2e/kg)","GHGE, processor gate (kg CO2e/kg)"),INDIRECT($AB338)))</f>
        <v>9.7833632177637575E-2</v>
      </c>
      <c r="AF338" s="212">
        <f t="shared" ca="1" si="49"/>
        <v>9.7833632177637575E-2</v>
      </c>
    </row>
    <row r="339" spans="1:32" s="19" customFormat="1" ht="17" thickBot="1" x14ac:dyDescent="0.25">
      <c r="A339" s="114">
        <v>9500186000</v>
      </c>
      <c r="B339" s="115" t="s">
        <v>588</v>
      </c>
      <c r="C339" s="115" t="s">
        <v>2033</v>
      </c>
      <c r="D339" s="115"/>
      <c r="E339" s="115">
        <v>22697</v>
      </c>
      <c r="F339" s="111">
        <f t="shared" ca="1" si="46"/>
        <v>3.4499999999999997</v>
      </c>
      <c r="G339" s="112">
        <f t="shared" ca="1" si="47"/>
        <v>2.44</v>
      </c>
      <c r="H339" s="116">
        <v>1</v>
      </c>
      <c r="I339" s="117" t="s">
        <v>2724</v>
      </c>
      <c r="J339" s="79">
        <v>2</v>
      </c>
      <c r="K339" s="78"/>
      <c r="L339" s="135" t="str">
        <f>IF(ISERROR(GETPIVOTDATA(IF($J339=1,"Count of ACTIVE     CED, FARM GATE (MJ/kg)","Count of CED, processor gate (MJ/kg)"),'Pivot Table_CED'!$A$3,"SUB TYPE",$B339)),"PROXY",IF(GETPIVOTDATA(IF($J339=1,"Count of ACTIVE     CED, FARM GATE (MJ/kg)","Count of CED, processor gate (MJ/kg)"),'Pivot Table_CED'!$A$3,"SUB TYPE",$B339)=0,"PROXY","DB value"))</f>
        <v>DB value</v>
      </c>
      <c r="M339" s="118">
        <f ca="1">IF($L339="PROXY",DCOUNT('literature entries'!$D:$AI,IF($J339=1,"ACTIVE     CED, FARM GATE (MJ/kg)","CED, processor gate (MJ/kg)"),INDIRECT($K339)),GETPIVOTDATA(IF($J339=1,"Count of ACTIVE     CED, FARM GATE (MJ/kg)","Count of CED, processor gate (MJ/kg)"),'Pivot Table_CED'!$A$3,"SUB TYPE",$B339))</f>
        <v>2</v>
      </c>
      <c r="N339" s="119">
        <f ca="1">IF($L339="PROXY",DAVERAGE('literature entries'!$D:$AI,IF($J339=1,"ACTIVE     CED, FARM GATE (MJ/kg)","CED, processor gate (MJ/kg)"),INDIRECT($K339)),GETPIVOTDATA(IF($J339=1,"Average of ACTIVE     CED, FARM GATE (MJ/kg)","Average of CED, processor gate (MJ/kg)"),'Pivot Table_CED'!$A$3,"SUB TYPE",$B339))</f>
        <v>3.4499999999999997</v>
      </c>
      <c r="O339" s="119">
        <f ca="1">IF($L339="PROXY",DSTDEV('literature entries'!D:AI,IF($J339=1,"ACTIVE     CED, FARM GATE (MJ/kg)","CED, processor gate (MJ/kg)"),INDIRECT($K339)),GETPIVOTDATA(IF($J339=1,"StdDev of ACTIVE     CED, FARM GATE (MJ/kg)","StdDev of CED, processor gate (MJ/kg)"),'Pivot Table_CED'!$A$3,"SUB TYPE",$B339))</f>
        <v>3.0405591591021546</v>
      </c>
      <c r="P339" s="135" t="str">
        <f>IF(ISERROR(GETPIVOTDATA(IF($J339=1,"Count of ACTIVE     GHGE, FARM GATE (kg CO2e/kg)","Count of GHGE, processor gate (kg CO2e/kg)"),'Pivot Table_GHG'!$A$3,"SUB TYPE",$B339)),"PROXY",IF(GETPIVOTDATA(IF($J339=1,"Count of ACTIVE     GHGE, FARM GATE (kg CO2e/kg)","Count of GHGE, processor gate (kg CO2e/kg)"),'Pivot Table_GHG'!$A$3,"SUB TYPE",$B339)=0,"PROXY","DB value"))</f>
        <v>DB value</v>
      </c>
      <c r="Q339" s="125">
        <f ca="1">IF($P339="PROXY",DCOUNT('literature entries'!$D:$AI,IF($J339=1,"ACTIVE     GHGE, FARM GATE (kg CO2e/kg)","GHGE, processor gate (kg CO2e/kg)"),INDIRECT($K339)),GETPIVOTDATA(IF($J339=1,"ACTIVE     GHGE, FARM GATE (kg CO2e/kg)","Count of GHGE, processor gate (kg CO2e/kg)"),'Pivot Table_GHG'!$A$3,"SUB TYPE",$B339))</f>
        <v>1</v>
      </c>
      <c r="R339" s="190">
        <f ca="1">IF($P339="PROXY",DAVERAGE('literature entries'!$D:$AI,IF($J339=1,"ACTIVE     GHGE, FARM GATE (kg CO2e/kg)","GHGE, processor gate (kg CO2e/kg)"),INDIRECT($K339)),GETPIVOTDATA(IF($J339=1,"Average of ACTIVE     GHGE, FARM GATE (kg CO2e/kg)","Average of GHGE, processor gate (kg CO2e/kg)"),'Pivot Table_GHG'!$A$3,"SUB TYPE",$B339))</f>
        <v>2.44</v>
      </c>
      <c r="S339" s="190" t="e">
        <f ca="1">IF($P339="PROXY",DSTDEV('literature entries'!$D:$AI,IF($J339=1,"ACTIVE     GHGE, FARM GATE (kg CO2e/kg)","GHGE, processor gate (kg CO2e/kg)"),INDIRECT($K339)),GETPIVOTDATA(IF($J339=1,"StdDev of ACTIVE     GHGE, FARM GATE (kg CO2e/kg)","StdDev of GHGE, processor gate (kg CO2e/kg)"),'Pivot Table_GHG'!$A$3,"SUB TYPE",$B339))</f>
        <v>#DIV/0!</v>
      </c>
      <c r="T339" s="88"/>
      <c r="U339" s="89"/>
      <c r="W339" s="213" t="s">
        <v>3364</v>
      </c>
      <c r="X339" s="211">
        <f ca="1">IF($W339="DIRECT",M339,DCOUNT('literature entries'!$D:$AI,IF($J339=1,"ACTIVE     CED, FARM GATE (MJ/kg)","CED, processor gate (MJ/kg)"),INDIRECT($W339)))</f>
        <v>14</v>
      </c>
      <c r="Y339" s="211">
        <f ca="1">IF($W339="DIRECT","",DAVERAGE('literature entries'!$D:$AI,IF($J339=1,"ACTIVE     CED, FARM GATE (MJ/kg)","CED, processor gate (MJ/kg)"),INDIRECT($W339)))</f>
        <v>8.8453455837076262</v>
      </c>
      <c r="Z339" s="211">
        <f ca="1">IF($W339="DIRECT",$O339,DSTDEV('literature entries'!$D:$AI,IF($J339=1,"ACTIVE     CED, FARM GATE (MJ/kg)","CED, processor gate (MJ/kg)"),INDIRECT($W339)))</f>
        <v>17.468328408482019</v>
      </c>
      <c r="AA339" s="211">
        <f t="shared" ca="1" si="48"/>
        <v>6.8132705996549543</v>
      </c>
      <c r="AB339" s="219" t="s">
        <v>3364</v>
      </c>
      <c r="AC339" s="212">
        <f ca="1">IF($AB339="DIRECT",Q339,DCOUNT('literature entries'!$D:$AI,IF($J339=1,"ACTIVE     GHGE, FARM GATE (kg CO2e/kg)","GHGE, processor gate (kg CO2e/kg)"),INDIRECT($AB339)))</f>
        <v>13</v>
      </c>
      <c r="AD339" s="212">
        <f ca="1">IF($AB339="DIRECT","",DAVERAGE('literature entries'!$D:$AI,IF($J339=1,"ACTIVE     GHGE, FARM GATE (kg CO2e/kg)","GHGE, processor gate (kg CO2e/kg)"),INDIRECT($AB339)))</f>
        <v>1.0611859137782504</v>
      </c>
      <c r="AE339" s="212">
        <f ca="1">IF($AB339="DIRECT",$S339,DSTDEV('literature entries'!$D:$AI,IF($J339=1,"ACTIVE     GHGE, FARM GATE (kg CO2e/kg)","GHGE, processor gate (kg CO2e/kg)"),INDIRECT($AB339)))</f>
        <v>1.8055997061726943</v>
      </c>
      <c r="AF339" s="212">
        <f t="shared" ca="1" si="49"/>
        <v>4.1516413154933742</v>
      </c>
    </row>
    <row r="340" spans="1:32" s="19" customFormat="1" ht="17" thickBot="1" x14ac:dyDescent="0.25">
      <c r="A340" s="114">
        <v>9500186100</v>
      </c>
      <c r="B340" s="115" t="s">
        <v>1807</v>
      </c>
      <c r="C340" s="115" t="s">
        <v>1808</v>
      </c>
      <c r="D340" s="115" t="s">
        <v>1809</v>
      </c>
      <c r="E340" s="115">
        <v>1</v>
      </c>
      <c r="F340" s="111">
        <f t="shared" ca="1" si="46"/>
        <v>3.4499999999999997</v>
      </c>
      <c r="G340" s="112">
        <f t="shared" ca="1" si="47"/>
        <v>2.44</v>
      </c>
      <c r="H340" s="116">
        <v>1</v>
      </c>
      <c r="I340" s="117" t="s">
        <v>594</v>
      </c>
      <c r="J340" s="79">
        <v>2</v>
      </c>
      <c r="K340" s="78" t="s">
        <v>1339</v>
      </c>
      <c r="L340" s="135" t="str">
        <f>IF(ISERROR(GETPIVOTDATA(IF($J340=1,"Count of ACTIVE     CED, FARM GATE (MJ/kg)","Count of CED, processor gate (MJ/kg)"),'Pivot Table_CED'!$A$3,"SUB TYPE",$B340)),"PROXY",IF(GETPIVOTDATA(IF($J340=1,"Count of ACTIVE     CED, FARM GATE (MJ/kg)","Count of CED, processor gate (MJ/kg)"),'Pivot Table_CED'!$A$3,"SUB TYPE",$B340)=0,"PROXY","DB value"))</f>
        <v>PROXY</v>
      </c>
      <c r="M340" s="118">
        <f ca="1">IF($L340="PROXY",DCOUNT('literature entries'!$D:$AI,IF($J340=1,"ACTIVE     CED, FARM GATE (MJ/kg)","CED, processor gate (MJ/kg)"),INDIRECT($K340)),GETPIVOTDATA(IF($J340=1,"Count of ACTIVE     CED, FARM GATE (MJ/kg)","Count of CED, processor gate (MJ/kg)"),'Pivot Table_CED'!$A$3,"SUB TYPE",$B340))</f>
        <v>2</v>
      </c>
      <c r="N340" s="119">
        <f ca="1">IF($L340="PROXY",DAVERAGE('literature entries'!$D:$AI,IF($J340=1,"ACTIVE     CED, FARM GATE (MJ/kg)","CED, processor gate (MJ/kg)"),INDIRECT($K340)),GETPIVOTDATA(IF($J340=1,"Average of ACTIVE     CED, FARM GATE (MJ/kg)","Average of CED, processor gate (MJ/kg)"),'Pivot Table_CED'!$A$3,"SUB TYPE",$B340))</f>
        <v>3.4499999999999997</v>
      </c>
      <c r="O340" s="119">
        <f ca="1">IF($L340="PROXY",DSTDEV('literature entries'!D:AI,IF($J340=1,"ACTIVE     CED, FARM GATE (MJ/kg)","CED, processor gate (MJ/kg)"),INDIRECT($K340)),GETPIVOTDATA(IF($J340=1,"StdDev of ACTIVE     CED, FARM GATE (MJ/kg)","StdDev of CED, processor gate (MJ/kg)"),'Pivot Table_CED'!$A$3,"SUB TYPE",$B340))</f>
        <v>3.0405591591021546</v>
      </c>
      <c r="P340" s="135" t="str">
        <f>IF(ISERROR(GETPIVOTDATA(IF($J340=1,"Count of ACTIVE     GHGE, FARM GATE (kg CO2e/kg)","Count of GHGE, processor gate (kg CO2e/kg)"),'Pivot Table_GHG'!$A$3,"SUB TYPE",$B340)),"PROXY",IF(GETPIVOTDATA(IF($J340=1,"Count of ACTIVE     GHGE, FARM GATE (kg CO2e/kg)","Count of GHGE, processor gate (kg CO2e/kg)"),'Pivot Table_GHG'!$A$3,"SUB TYPE",$B340)=0,"PROXY","DB value"))</f>
        <v>PROXY</v>
      </c>
      <c r="Q340" s="125">
        <f ca="1">IF($P340="PROXY",DCOUNT('literature entries'!$D:$AI,IF($J340=1,"ACTIVE     GHGE, FARM GATE (kg CO2e/kg)","GHGE, processor gate (kg CO2e/kg)"),INDIRECT($K340)),GETPIVOTDATA(IF($J340=1,"ACTIVE     GHGE, FARM GATE (kg CO2e/kg)","Count of GHGE, processor gate (kg CO2e/kg)"),'Pivot Table_GHG'!$A$3,"SUB TYPE",$B340))</f>
        <v>1</v>
      </c>
      <c r="R340" s="190">
        <f ca="1">IF($P340="PROXY",DAVERAGE('literature entries'!$D:$AI,IF($J340=1,"ACTIVE     GHGE, FARM GATE (kg CO2e/kg)","GHGE, processor gate (kg CO2e/kg)"),INDIRECT($K340)),GETPIVOTDATA(IF($J340=1,"Average of ACTIVE     GHGE, FARM GATE (kg CO2e/kg)","Average of GHGE, processor gate (kg CO2e/kg)"),'Pivot Table_GHG'!$A$3,"SUB TYPE",$B340))</f>
        <v>2.44</v>
      </c>
      <c r="S340" s="190" t="e">
        <f ca="1">IF($P340="PROXY",DSTDEV('literature entries'!$D:$AI,IF($J340=1,"ACTIVE     GHGE, FARM GATE (kg CO2e/kg)","GHGE, processor gate (kg CO2e/kg)"),INDIRECT($K340)),GETPIVOTDATA(IF($J340=1,"StdDev of ACTIVE     GHGE, FARM GATE (kg CO2e/kg)","StdDev of GHGE, processor gate (kg CO2e/kg)"),'Pivot Table_GHG'!$A$3,"SUB TYPE",$B340))</f>
        <v>#DIV/0!</v>
      </c>
      <c r="T340" s="88"/>
      <c r="U340" s="89"/>
      <c r="W340" s="213" t="s">
        <v>3364</v>
      </c>
      <c r="X340" s="211">
        <f ca="1">IF($W340="DIRECT",M340,DCOUNT('literature entries'!$D:$AI,IF($J340=1,"ACTIVE     CED, FARM GATE (MJ/kg)","CED, processor gate (MJ/kg)"),INDIRECT($W340)))</f>
        <v>14</v>
      </c>
      <c r="Y340" s="211">
        <f ca="1">IF($W340="DIRECT","",DAVERAGE('literature entries'!$D:$AI,IF($J340=1,"ACTIVE     CED, FARM GATE (MJ/kg)","CED, processor gate (MJ/kg)"),INDIRECT($W340)))</f>
        <v>8.8453455837076262</v>
      </c>
      <c r="Z340" s="211">
        <f ca="1">IF($W340="DIRECT",$O340,DSTDEV('literature entries'!$D:$AI,IF($J340=1,"ACTIVE     CED, FARM GATE (MJ/kg)","CED, processor gate (MJ/kg)"),INDIRECT($W340)))</f>
        <v>17.468328408482019</v>
      </c>
      <c r="AA340" s="211">
        <f t="shared" ca="1" si="48"/>
        <v>6.8132705996549543</v>
      </c>
      <c r="AB340" s="219" t="s">
        <v>3364</v>
      </c>
      <c r="AC340" s="212">
        <f ca="1">IF($AB340="DIRECT",Q340,DCOUNT('literature entries'!$D:$AI,IF($J340=1,"ACTIVE     GHGE, FARM GATE (kg CO2e/kg)","GHGE, processor gate (kg CO2e/kg)"),INDIRECT($AB340)))</f>
        <v>13</v>
      </c>
      <c r="AD340" s="212">
        <f ca="1">IF($AB340="DIRECT","",DAVERAGE('literature entries'!$D:$AI,IF($J340=1,"ACTIVE     GHGE, FARM GATE (kg CO2e/kg)","GHGE, processor gate (kg CO2e/kg)"),INDIRECT($AB340)))</f>
        <v>1.0611859137782504</v>
      </c>
      <c r="AE340" s="212">
        <f ca="1">IF($AB340="DIRECT",$S340,DSTDEV('literature entries'!$D:$AI,IF($J340=1,"ACTIVE     GHGE, FARM GATE (kg CO2e/kg)","GHGE, processor gate (kg CO2e/kg)"),INDIRECT($AB340)))</f>
        <v>1.8055997061726943</v>
      </c>
      <c r="AF340" s="212">
        <f t="shared" ca="1" si="49"/>
        <v>4.1516413154933742</v>
      </c>
    </row>
    <row r="341" spans="1:32" s="19" customFormat="1" ht="17" thickBot="1" x14ac:dyDescent="0.25">
      <c r="A341" s="114">
        <v>9500188000</v>
      </c>
      <c r="B341" s="115" t="s">
        <v>2862</v>
      </c>
      <c r="C341" s="115" t="s">
        <v>2036</v>
      </c>
      <c r="D341" s="115"/>
      <c r="E341" s="115">
        <v>3551</v>
      </c>
      <c r="F341" s="111">
        <f t="shared" ca="1" si="46"/>
        <v>2.7020649299999997</v>
      </c>
      <c r="G341" s="112">
        <f t="shared" ca="1" si="47"/>
        <v>2.35</v>
      </c>
      <c r="H341" s="116">
        <v>1</v>
      </c>
      <c r="I341" s="117" t="s">
        <v>594</v>
      </c>
      <c r="J341" s="79">
        <v>1</v>
      </c>
      <c r="K341" s="78" t="s">
        <v>2011</v>
      </c>
      <c r="L341" s="135" t="str">
        <f>IF(ISERROR(GETPIVOTDATA(IF($J341=1,"Count of ACTIVE     CED, FARM GATE (MJ/kg)","Count of CED, processor gate (MJ/kg)"),'Pivot Table_CED'!$A$3,"SUB TYPE",$B341)),"PROXY",IF(GETPIVOTDATA(IF($J341=1,"Count of ACTIVE     CED, FARM GATE (MJ/kg)","Count of CED, processor gate (MJ/kg)"),'Pivot Table_CED'!$A$3,"SUB TYPE",$B341)=0,"PROXY","DB value"))</f>
        <v>PROXY</v>
      </c>
      <c r="M341" s="118">
        <f ca="1">IF($L341="PROXY",DCOUNT('literature entries'!$D:$AI,IF($J341=1,"ACTIVE     CED, FARM GATE (MJ/kg)","CED, processor gate (MJ/kg)"),INDIRECT($K341)),GETPIVOTDATA(IF($J341=1,"Count of ACTIVE     CED, FARM GATE (MJ/kg)","Count of CED, processor gate (MJ/kg)"),'Pivot Table_CED'!$A$3,"SUB TYPE",$B341))</f>
        <v>1</v>
      </c>
      <c r="N341" s="119">
        <f ca="1">IF($L341="PROXY",DAVERAGE('literature entries'!$D:$AI,IF($J341=1,"ACTIVE     CED, FARM GATE (MJ/kg)","CED, processor gate (MJ/kg)"),INDIRECT($K341)),GETPIVOTDATA(IF($J341=1,"Average of ACTIVE     CED, FARM GATE (MJ/kg)","Average of CED, processor gate (MJ/kg)"),'Pivot Table_CED'!$A$3,"SUB TYPE",$B341))</f>
        <v>2.7020649299999997</v>
      </c>
      <c r="O341" s="119" t="e">
        <f ca="1">IF($L341="PROXY",DSTDEV('literature entries'!D:AI,IF($J341=1,"ACTIVE     CED, FARM GATE (MJ/kg)","CED, processor gate (MJ/kg)"),INDIRECT($K341)),GETPIVOTDATA(IF($J341=1,"StdDev of ACTIVE     CED, FARM GATE (MJ/kg)","StdDev of CED, processor gate (MJ/kg)"),'Pivot Table_CED'!$A$3,"SUB TYPE",$B341))</f>
        <v>#DIV/0!</v>
      </c>
      <c r="P341" s="135" t="str">
        <f>IF(ISERROR(GETPIVOTDATA(IF($J341=1,"Count of ACTIVE     GHGE, FARM GATE (kg CO2e/kg)","Count of GHGE, processor gate (kg CO2e/kg)"),'Pivot Table_GHG'!$A$3,"SUB TYPE",$B341)),"PROXY",IF(GETPIVOTDATA(IF($J341=1,"Count of ACTIVE     GHGE, FARM GATE (kg CO2e/kg)","Count of GHGE, processor gate (kg CO2e/kg)"),'Pivot Table_GHG'!$A$3,"SUB TYPE",$B341)=0,"PROXY","DB value"))</f>
        <v>DB value</v>
      </c>
      <c r="Q341" s="125">
        <f ca="1">IF($P341="PROXY",DCOUNT('literature entries'!$D:$AI,IF($J341=1,"ACTIVE     GHGE, FARM GATE (kg CO2e/kg)","GHGE, processor gate (kg CO2e/kg)"),INDIRECT($K341)),GETPIVOTDATA(IF($J341=1,"ACTIVE     GHGE, FARM GATE (kg CO2e/kg)","Count of GHGE, processor gate (kg CO2e/kg)"),'Pivot Table_GHG'!$A$3,"SUB TYPE",$B341))</f>
        <v>1</v>
      </c>
      <c r="R341" s="190">
        <f ca="1">IF($P341="PROXY",DAVERAGE('literature entries'!$D:$AI,IF($J341=1,"ACTIVE     GHGE, FARM GATE (kg CO2e/kg)","GHGE, processor gate (kg CO2e/kg)"),INDIRECT($K341)),GETPIVOTDATA(IF($J341=1,"Average of ACTIVE     GHGE, FARM GATE (kg CO2e/kg)","Average of GHGE, processor gate (kg CO2e/kg)"),'Pivot Table_GHG'!$A$3,"SUB TYPE",$B341))</f>
        <v>2.35</v>
      </c>
      <c r="S341" s="190" t="e">
        <f ca="1">IF($P341="PROXY",DSTDEV('literature entries'!$D:$AI,IF($J341=1,"ACTIVE     GHGE, FARM GATE (kg CO2e/kg)","GHGE, processor gate (kg CO2e/kg)"),INDIRECT($K341)),GETPIVOTDATA(IF($J341=1,"StdDev of ACTIVE     GHGE, FARM GATE (kg CO2e/kg)","StdDev of GHGE, processor gate (kg CO2e/kg)"),'Pivot Table_GHG'!$A$3,"SUB TYPE",$B341))</f>
        <v>#DIV/0!</v>
      </c>
      <c r="T341" s="88"/>
      <c r="U341" s="89"/>
      <c r="W341" s="213" t="s">
        <v>2453</v>
      </c>
      <c r="X341" s="211">
        <f ca="1">IF($W341="DIRECT",M341,DCOUNT('literature entries'!$D:$AI,IF($J341=1,"ACTIVE     CED, FARM GATE (MJ/kg)","CED, processor gate (MJ/kg)"),INDIRECT($W341)))</f>
        <v>9</v>
      </c>
      <c r="Y341" s="211">
        <f ca="1">IF($W341="DIRECT","",DAVERAGE('literature entries'!$D:$AI,IF($J341=1,"ACTIVE     CED, FARM GATE (MJ/kg)","CED, processor gate (MJ/kg)"),INDIRECT($W341)))</f>
        <v>6.2256158484065454</v>
      </c>
      <c r="Z341" s="211">
        <f ca="1">IF($W341="DIRECT",$O341,DSTDEV('literature entries'!$D:$AI,IF($J341=1,"ACTIVE     CED, FARM GATE (MJ/kg)","CED, processor gate (MJ/kg)"),INDIRECT($W341)))</f>
        <v>3.4581080763456375</v>
      </c>
      <c r="AA341" s="211">
        <f t="shared" ca="1" si="48"/>
        <v>1.5009009204502919</v>
      </c>
      <c r="AB341" s="219" t="s">
        <v>2453</v>
      </c>
      <c r="AC341" s="212">
        <f ca="1">IF($AB341="DIRECT",Q341,DCOUNT('literature entries'!$D:$AI,IF($J341=1,"ACTIVE     GHGE, FARM GATE (kg CO2e/kg)","GHGE, processor gate (kg CO2e/kg)"),INDIRECT($AB341)))</f>
        <v>19</v>
      </c>
      <c r="AD341" s="212">
        <f ca="1">IF($AB341="DIRECT","",DAVERAGE('literature entries'!$D:$AI,IF($J341=1,"ACTIVE     GHGE, FARM GATE (kg CO2e/kg)","GHGE, processor gate (kg CO2e/kg)"),INDIRECT($AB341)))</f>
        <v>0.57597001083945576</v>
      </c>
      <c r="AE341" s="212">
        <f ca="1">IF($AB341="DIRECT",$S341,DSTDEV('literature entries'!$D:$AI,IF($J341=1,"ACTIVE     GHGE, FARM GATE (kg CO2e/kg)","GHGE, processor gate (kg CO2e/kg)"),INDIRECT($AB341)))</f>
        <v>0.40302432016659151</v>
      </c>
      <c r="AF341" s="212">
        <f t="shared" ca="1" si="49"/>
        <v>1.6443688639467793</v>
      </c>
    </row>
    <row r="342" spans="1:32" s="19" customFormat="1" ht="17" thickBot="1" x14ac:dyDescent="0.25">
      <c r="A342" s="114">
        <v>9500218000</v>
      </c>
      <c r="B342" s="115" t="s">
        <v>2069</v>
      </c>
      <c r="C342" s="115" t="s">
        <v>2070</v>
      </c>
      <c r="D342" s="115"/>
      <c r="E342" s="115">
        <v>1794</v>
      </c>
      <c r="F342" s="111">
        <f t="shared" ca="1" si="46"/>
        <v>94.33578496979321</v>
      </c>
      <c r="G342" s="112">
        <f t="shared" ca="1" si="47"/>
        <v>9.186061885999468</v>
      </c>
      <c r="H342" s="116">
        <v>1.36</v>
      </c>
      <c r="I342" s="117" t="s">
        <v>2737</v>
      </c>
      <c r="J342" s="79">
        <v>2</v>
      </c>
      <c r="K342" s="78" t="s">
        <v>3301</v>
      </c>
      <c r="L342" s="135" t="str">
        <f>IF(ISERROR(GETPIVOTDATA(IF($J342=1,"Count of ACTIVE     CED, FARM GATE (MJ/kg)","Count of CED, processor gate (MJ/kg)"),'Pivot Table_CED'!$A$3,"SUB TYPE",$B342)),"PROXY",IF(GETPIVOTDATA(IF($J342=1,"Count of ACTIVE     CED, FARM GATE (MJ/kg)","Count of CED, processor gate (MJ/kg)"),'Pivot Table_CED'!$A$3,"SUB TYPE",$B342)=0,"PROXY","DB value"))</f>
        <v>PROXY</v>
      </c>
      <c r="M342" s="118">
        <f ca="1">IF($L342="PROXY",DCOUNT('literature entries'!$D:$AI,IF($J342=1,"ACTIVE     CED, FARM GATE (MJ/kg)","CED, processor gate (MJ/kg)"),INDIRECT($K342)),GETPIVOTDATA(IF($J342=1,"Count of ACTIVE     CED, FARM GATE (MJ/kg)","Count of CED, processor gate (MJ/kg)"),'Pivot Table_CED'!$A$3,"SUB TYPE",$B342))</f>
        <v>1</v>
      </c>
      <c r="N342" s="119">
        <f ca="1">IF($L342="PROXY",DAVERAGE('literature entries'!$D:$AI,IF($J342=1,"ACTIVE     CED, FARM GATE (MJ/kg)","CED, processor gate (MJ/kg)"),INDIRECT($K342)),GETPIVOTDATA(IF($J342=1,"Average of ACTIVE     CED, FARM GATE (MJ/kg)","Average of CED, processor gate (MJ/kg)"),'Pivot Table_CED'!$A$3,"SUB TYPE",$B342))</f>
        <v>69.364547771906771</v>
      </c>
      <c r="O342" s="119" t="e">
        <f ca="1">IF($L342="PROXY",DSTDEV('literature entries'!D:AI,IF($J342=1,"ACTIVE     CED, FARM GATE (MJ/kg)","CED, processor gate (MJ/kg)"),INDIRECT($K342)),GETPIVOTDATA(IF($J342=1,"StdDev of ACTIVE     CED, FARM GATE (MJ/kg)","StdDev of CED, processor gate (MJ/kg)"),'Pivot Table_CED'!$A$3,"SUB TYPE",$B342))</f>
        <v>#DIV/0!</v>
      </c>
      <c r="P342" s="135" t="str">
        <f>IF(ISERROR(GETPIVOTDATA(IF($J342=1,"Count of ACTIVE     GHGE, FARM GATE (kg CO2e/kg)","Count of GHGE, processor gate (kg CO2e/kg)"),'Pivot Table_GHG'!$A$3,"SUB TYPE",$B342)),"PROXY",IF(GETPIVOTDATA(IF($J342=1,"Count of ACTIVE     GHGE, FARM GATE (kg CO2e/kg)","Count of GHGE, processor gate (kg CO2e/kg)"),'Pivot Table_GHG'!$A$3,"SUB TYPE",$B342)=0,"PROXY","DB value"))</f>
        <v>PROXY</v>
      </c>
      <c r="Q342" s="125">
        <f ca="1">IF($P342="PROXY",DCOUNT('literature entries'!$D:$AI,IF($J342=1,"ACTIVE     GHGE, FARM GATE (kg CO2e/kg)","GHGE, processor gate (kg CO2e/kg)"),INDIRECT($K342)),GETPIVOTDATA(IF($J342=1,"ACTIVE     GHGE, FARM GATE (kg CO2e/kg)","Count of GHGE, processor gate (kg CO2e/kg)"),'Pivot Table_GHG'!$A$3,"SUB TYPE",$B342))</f>
        <v>1</v>
      </c>
      <c r="R342" s="190">
        <f ca="1">IF($P342="PROXY",DAVERAGE('literature entries'!$D:$AI,IF($J342=1,"ACTIVE     GHGE, FARM GATE (kg CO2e/kg)","GHGE, processor gate (kg CO2e/kg)"),INDIRECT($K342)),GETPIVOTDATA(IF($J342=1,"Average of ACTIVE     GHGE, FARM GATE (kg CO2e/kg)","Average of GHGE, processor gate (kg CO2e/kg)"),'Pivot Table_GHG'!$A$3,"SUB TYPE",$B342))</f>
        <v>6.7544572691172551</v>
      </c>
      <c r="S342" s="190" t="e">
        <f ca="1">IF($P342="PROXY",DSTDEV('literature entries'!$D:$AI,IF($J342=1,"ACTIVE     GHGE, FARM GATE (kg CO2e/kg)","GHGE, processor gate (kg CO2e/kg)"),INDIRECT($K342)),GETPIVOTDATA(IF($J342=1,"StdDev of ACTIVE     GHGE, FARM GATE (kg CO2e/kg)","StdDev of GHGE, processor gate (kg CO2e/kg)"),'Pivot Table_GHG'!$A$3,"SUB TYPE",$B342))</f>
        <v>#DIV/0!</v>
      </c>
      <c r="T342" s="88"/>
      <c r="U342" s="89"/>
      <c r="W342" s="213" t="s">
        <v>3364</v>
      </c>
      <c r="X342" s="211">
        <f ca="1">IF($W342="DIRECT",M342,DCOUNT('literature entries'!$D:$AI,IF($J342=1,"ACTIVE     CED, FARM GATE (MJ/kg)","CED, processor gate (MJ/kg)"),INDIRECT($W342)))</f>
        <v>14</v>
      </c>
      <c r="Y342" s="211">
        <f ca="1">IF($W342="DIRECT","",DAVERAGE('literature entries'!$D:$AI,IF($J342=1,"ACTIVE     CED, FARM GATE (MJ/kg)","CED, processor gate (MJ/kg)"),INDIRECT($W342)))</f>
        <v>8.8453455837076262</v>
      </c>
      <c r="Z342" s="211">
        <f ca="1">IF($W342="DIRECT",$O342,DSTDEV('literature entries'!$D:$AI,IF($J342=1,"ACTIVE     CED, FARM GATE (MJ/kg)","CED, processor gate (MJ/kg)"),INDIRECT($W342)))</f>
        <v>17.468328408482019</v>
      </c>
      <c r="AA342" s="211">
        <f t="shared" ca="1" si="48"/>
        <v>136.98534318628813</v>
      </c>
      <c r="AB342" s="219" t="s">
        <v>3364</v>
      </c>
      <c r="AC342" s="212">
        <f ca="1">IF($AB342="DIRECT",Q342,DCOUNT('literature entries'!$D:$AI,IF($J342=1,"ACTIVE     GHGE, FARM GATE (kg CO2e/kg)","GHGE, processor gate (kg CO2e/kg)"),INDIRECT($AB342)))</f>
        <v>13</v>
      </c>
      <c r="AD342" s="212">
        <f ca="1">IF($AB342="DIRECT","",DAVERAGE('literature entries'!$D:$AI,IF($J342=1,"ACTIVE     GHGE, FARM GATE (kg CO2e/kg)","GHGE, processor gate (kg CO2e/kg)"),INDIRECT($AB342)))</f>
        <v>1.0611859137782504</v>
      </c>
      <c r="AE342" s="212">
        <f ca="1">IF($AB342="DIRECT",$S342,DSTDEV('literature entries'!$D:$AI,IF($J342=1,"ACTIVE     GHGE, FARM GATE (kg CO2e/kg)","GHGE, processor gate (kg CO2e/kg)"),INDIRECT($AB342)))</f>
        <v>1.8055997061726943</v>
      </c>
      <c r="AF342" s="212">
        <f t="shared" ca="1" si="49"/>
        <v>11.492657320574486</v>
      </c>
    </row>
    <row r="343" spans="1:32" s="19" customFormat="1" ht="17" thickBot="1" x14ac:dyDescent="0.25">
      <c r="A343" s="114">
        <v>9500219000</v>
      </c>
      <c r="B343" s="115" t="s">
        <v>2068</v>
      </c>
      <c r="C343" s="115" t="s">
        <v>1943</v>
      </c>
      <c r="D343" s="115"/>
      <c r="E343" s="115">
        <v>2293</v>
      </c>
      <c r="F343" s="111">
        <f t="shared" ca="1" si="46"/>
        <v>69.364547771906771</v>
      </c>
      <c r="G343" s="112">
        <f t="shared" ca="1" si="47"/>
        <v>6.7544572691172551</v>
      </c>
      <c r="H343" s="116">
        <v>1</v>
      </c>
      <c r="I343" s="117" t="s">
        <v>2724</v>
      </c>
      <c r="J343" s="79">
        <v>2</v>
      </c>
      <c r="K343" s="78"/>
      <c r="L343" s="135" t="str">
        <f>IF(ISERROR(GETPIVOTDATA(IF($J343=1,"Count of ACTIVE     CED, FARM GATE (MJ/kg)","Count of CED, processor gate (MJ/kg)"),'Pivot Table_CED'!$A$3,"SUB TYPE",$B343)),"PROXY",IF(GETPIVOTDATA(IF($J343=1,"Count of ACTIVE     CED, FARM GATE (MJ/kg)","Count of CED, processor gate (MJ/kg)"),'Pivot Table_CED'!$A$3,"SUB TYPE",$B343)=0,"PROXY","DB value"))</f>
        <v>DB value</v>
      </c>
      <c r="M343" s="118">
        <f ca="1">IF($L343="PROXY",DCOUNT('literature entries'!$D:$AI,IF($J343=1,"ACTIVE     CED, FARM GATE (MJ/kg)","CED, processor gate (MJ/kg)"),INDIRECT($K343)),GETPIVOTDATA(IF($J343=1,"Count of ACTIVE     CED, FARM GATE (MJ/kg)","Count of CED, processor gate (MJ/kg)"),'Pivot Table_CED'!$A$3,"SUB TYPE",$B343))</f>
        <v>1</v>
      </c>
      <c r="N343" s="119">
        <f ca="1">IF($L343="PROXY",DAVERAGE('literature entries'!$D:$AI,IF($J343=1,"ACTIVE     CED, FARM GATE (MJ/kg)","CED, processor gate (MJ/kg)"),INDIRECT($K343)),GETPIVOTDATA(IF($J343=1,"Average of ACTIVE     CED, FARM GATE (MJ/kg)","Average of CED, processor gate (MJ/kg)"),'Pivot Table_CED'!$A$3,"SUB TYPE",$B343))</f>
        <v>69.364547771906771</v>
      </c>
      <c r="O343" s="119">
        <f ca="1">IF($L343="PROXY",DSTDEV('literature entries'!D:AI,IF($J343=1,"ACTIVE     CED, FARM GATE (MJ/kg)","CED, processor gate (MJ/kg)"),INDIRECT($K343)),GETPIVOTDATA(IF($J343=1,"StdDev of ACTIVE     CED, FARM GATE (MJ/kg)","StdDev of CED, processor gate (MJ/kg)"),'Pivot Table_CED'!$A$3,"SUB TYPE",$B343))</f>
        <v>0</v>
      </c>
      <c r="P343" s="135" t="str">
        <f>IF(ISERROR(GETPIVOTDATA(IF($J343=1,"Count of ACTIVE     GHGE, FARM GATE (kg CO2e/kg)","Count of GHGE, processor gate (kg CO2e/kg)"),'Pivot Table_GHG'!$A$3,"SUB TYPE",$B343)),"PROXY",IF(GETPIVOTDATA(IF($J343=1,"Count of ACTIVE     GHGE, FARM GATE (kg CO2e/kg)","Count of GHGE, processor gate (kg CO2e/kg)"),'Pivot Table_GHG'!$A$3,"SUB TYPE",$B343)=0,"PROXY","DB value"))</f>
        <v>DB value</v>
      </c>
      <c r="Q343" s="125">
        <f ca="1">IF($P343="PROXY",DCOUNT('literature entries'!$D:$AI,IF($J343=1,"ACTIVE     GHGE, FARM GATE (kg CO2e/kg)","GHGE, processor gate (kg CO2e/kg)"),INDIRECT($K343)),GETPIVOTDATA(IF($J343=1,"ACTIVE     GHGE, FARM GATE (kg CO2e/kg)","Count of GHGE, processor gate (kg CO2e/kg)"),'Pivot Table_GHG'!$A$3,"SUB TYPE",$B343))</f>
        <v>1</v>
      </c>
      <c r="R343" s="190">
        <f ca="1">IF($P343="PROXY",DAVERAGE('literature entries'!$D:$AI,IF($J343=1,"ACTIVE     GHGE, FARM GATE (kg CO2e/kg)","GHGE, processor gate (kg CO2e/kg)"),INDIRECT($K343)),GETPIVOTDATA(IF($J343=1,"Average of ACTIVE     GHGE, FARM GATE (kg CO2e/kg)","Average of GHGE, processor gate (kg CO2e/kg)"),'Pivot Table_GHG'!$A$3,"SUB TYPE",$B343))</f>
        <v>6.7544572691172551</v>
      </c>
      <c r="S343" s="190" t="e">
        <f ca="1">IF($P343="PROXY",DSTDEV('literature entries'!$D:$AI,IF($J343=1,"ACTIVE     GHGE, FARM GATE (kg CO2e/kg)","GHGE, processor gate (kg CO2e/kg)"),INDIRECT($K343)),GETPIVOTDATA(IF($J343=1,"StdDev of ACTIVE     GHGE, FARM GATE (kg CO2e/kg)","StdDev of GHGE, processor gate (kg CO2e/kg)"),'Pivot Table_GHG'!$A$3,"SUB TYPE",$B343))</f>
        <v>#DIV/0!</v>
      </c>
      <c r="T343" s="204"/>
      <c r="U343" s="206"/>
      <c r="W343" s="213" t="s">
        <v>3364</v>
      </c>
      <c r="X343" s="211">
        <f ca="1">IF($W343="DIRECT",M343,DCOUNT('literature entries'!$D:$AI,IF($J343=1,"ACTIVE     CED, FARM GATE (MJ/kg)","CED, processor gate (MJ/kg)"),INDIRECT($W343)))</f>
        <v>14</v>
      </c>
      <c r="Y343" s="211">
        <f ca="1">IF($W343="DIRECT","",DAVERAGE('literature entries'!$D:$AI,IF($J343=1,"ACTIVE     CED, FARM GATE (MJ/kg)","CED, processor gate (MJ/kg)"),INDIRECT($W343)))</f>
        <v>8.8453455837076262</v>
      </c>
      <c r="Z343" s="211">
        <f ca="1">IF($W343="DIRECT",$O343,DSTDEV('literature entries'!$D:$AI,IF($J343=1,"ACTIVE     CED, FARM GATE (MJ/kg)","CED, processor gate (MJ/kg)"),INDIRECT($W343)))</f>
        <v>17.468328408482019</v>
      </c>
      <c r="AA343" s="211">
        <f t="shared" ca="1" si="48"/>
        <v>136.98534318628813</v>
      </c>
      <c r="AB343" s="219" t="s">
        <v>3364</v>
      </c>
      <c r="AC343" s="212">
        <f ca="1">IF($AB343="DIRECT",Q343,DCOUNT('literature entries'!$D:$AI,IF($J343=1,"ACTIVE     GHGE, FARM GATE (kg CO2e/kg)","GHGE, processor gate (kg CO2e/kg)"),INDIRECT($AB343)))</f>
        <v>13</v>
      </c>
      <c r="AD343" s="212">
        <f ca="1">IF($AB343="DIRECT","",DAVERAGE('literature entries'!$D:$AI,IF($J343=1,"ACTIVE     GHGE, FARM GATE (kg CO2e/kg)","GHGE, processor gate (kg CO2e/kg)"),INDIRECT($AB343)))</f>
        <v>1.0611859137782504</v>
      </c>
      <c r="AE343" s="212">
        <f ca="1">IF($AB343="DIRECT",$S343,DSTDEV('literature entries'!$D:$AI,IF($J343=1,"ACTIVE     GHGE, FARM GATE (kg CO2e/kg)","GHGE, processor gate (kg CO2e/kg)"),INDIRECT($AB343)))</f>
        <v>1.8055997061726943</v>
      </c>
      <c r="AF343" s="212">
        <f t="shared" ca="1" si="49"/>
        <v>11.492657320574486</v>
      </c>
    </row>
    <row r="344" spans="1:32" s="19" customFormat="1" ht="17" thickBot="1" x14ac:dyDescent="0.25">
      <c r="A344" s="114">
        <v>9500244000</v>
      </c>
      <c r="B344" s="115" t="s">
        <v>2114</v>
      </c>
      <c r="C344" s="115" t="s">
        <v>1731</v>
      </c>
      <c r="D344" s="115"/>
      <c r="E344" s="115">
        <v>3570</v>
      </c>
      <c r="F344" s="111">
        <f t="shared" ca="1" si="46"/>
        <v>10.070841533333335</v>
      </c>
      <c r="G344" s="112">
        <f t="shared" ca="1" si="47"/>
        <v>7.2205906750000004</v>
      </c>
      <c r="H344" s="116">
        <v>1</v>
      </c>
      <c r="I344" s="117" t="s">
        <v>594</v>
      </c>
      <c r="J344" s="79">
        <v>2</v>
      </c>
      <c r="K344" s="78"/>
      <c r="L344" s="135" t="str">
        <f>IF(ISERROR(GETPIVOTDATA(IF($J344=1,"Count of ACTIVE     CED, FARM GATE (MJ/kg)","Count of CED, processor gate (MJ/kg)"),'Pivot Table_CED'!$A$3,"SUB TYPE",$B344)),"PROXY",IF(GETPIVOTDATA(IF($J344=1,"Count of ACTIVE     CED, FARM GATE (MJ/kg)","Count of CED, processor gate (MJ/kg)"),'Pivot Table_CED'!$A$3,"SUB TYPE",$B344)=0,"PROXY","DB value"))</f>
        <v>DB value</v>
      </c>
      <c r="M344" s="118">
        <f ca="1">IF($L344="PROXY",DCOUNT('literature entries'!$D:$AI,IF($J344=1,"ACTIVE     CED, FARM GATE (MJ/kg)","CED, processor gate (MJ/kg)"),INDIRECT($K344)),GETPIVOTDATA(IF($J344=1,"Count of ACTIVE     CED, FARM GATE (MJ/kg)","Count of CED, processor gate (MJ/kg)"),'Pivot Table_CED'!$A$3,"SUB TYPE",$B344))</f>
        <v>3</v>
      </c>
      <c r="N344" s="119">
        <f ca="1">IF($L344="PROXY",DAVERAGE('literature entries'!$D:$AI,IF($J344=1,"ACTIVE     CED, FARM GATE (MJ/kg)","CED, processor gate (MJ/kg)"),INDIRECT($K344)),GETPIVOTDATA(IF($J344=1,"Average of ACTIVE     CED, FARM GATE (MJ/kg)","Average of CED, processor gate (MJ/kg)"),'Pivot Table_CED'!$A$3,"SUB TYPE",$B344))</f>
        <v>10.070841533333335</v>
      </c>
      <c r="O344" s="119">
        <f ca="1">IF($L344="PROXY",DSTDEV('literature entries'!D:AI,IF($J344=1,"ACTIVE     CED, FARM GATE (MJ/kg)","CED, processor gate (MJ/kg)"),INDIRECT($K344)),GETPIVOTDATA(IF($J344=1,"StdDev of ACTIVE     CED, FARM GATE (MJ/kg)","StdDev of CED, processor gate (MJ/kg)"),'Pivot Table_CED'!$A$3,"SUB TYPE",$B344))</f>
        <v>0.84357648566144217</v>
      </c>
      <c r="P344" s="135" t="str">
        <f>IF(ISERROR(GETPIVOTDATA(IF($J344=1,"Count of ACTIVE     GHGE, FARM GATE (kg CO2e/kg)","Count of GHGE, processor gate (kg CO2e/kg)"),'Pivot Table_GHG'!$A$3,"SUB TYPE",$B344)),"PROXY",IF(GETPIVOTDATA(IF($J344=1,"Count of ACTIVE     GHGE, FARM GATE (kg CO2e/kg)","Count of GHGE, processor gate (kg CO2e/kg)"),'Pivot Table_GHG'!$A$3,"SUB TYPE",$B344)=0,"PROXY","DB value"))</f>
        <v>DB value</v>
      </c>
      <c r="Q344" s="125">
        <f ca="1">IF($P344="PROXY",DCOUNT('literature entries'!$D:$AI,IF($J344=1,"ACTIVE     GHGE, FARM GATE (kg CO2e/kg)","GHGE, processor gate (kg CO2e/kg)"),INDIRECT($K344)),GETPIVOTDATA(IF($J344=1,"ACTIVE     GHGE, FARM GATE (kg CO2e/kg)","Count of GHGE, processor gate (kg CO2e/kg)"),'Pivot Table_GHG'!$A$3,"SUB TYPE",$B344))</f>
        <v>4</v>
      </c>
      <c r="R344" s="190">
        <f ca="1">IF($P344="PROXY",DAVERAGE('literature entries'!$D:$AI,IF($J344=1,"ACTIVE     GHGE, FARM GATE (kg CO2e/kg)","GHGE, processor gate (kg CO2e/kg)"),INDIRECT($K344)),GETPIVOTDATA(IF($J344=1,"Average of ACTIVE     GHGE, FARM GATE (kg CO2e/kg)","Average of GHGE, processor gate (kg CO2e/kg)"),'Pivot Table_GHG'!$A$3,"SUB TYPE",$B344))</f>
        <v>7.2205906750000004</v>
      </c>
      <c r="S344" s="190">
        <f ca="1">IF($P344="PROXY",DSTDEV('literature entries'!$D:$AI,IF($J344=1,"ACTIVE     GHGE, FARM GATE (kg CO2e/kg)","GHGE, processor gate (kg CO2e/kg)"),INDIRECT($K344)),GETPIVOTDATA(IF($J344=1,"StdDev of ACTIVE     GHGE, FARM GATE (kg CO2e/kg)","StdDev of GHGE, processor gate (kg CO2e/kg)"),'Pivot Table_GHG'!$A$3,"SUB TYPE",$B344))</f>
        <v>3.0679869566568918</v>
      </c>
      <c r="T344" s="88"/>
      <c r="U344" s="89"/>
      <c r="W344" s="213" t="s">
        <v>3354</v>
      </c>
      <c r="X344" s="211">
        <f ca="1">IF($W344="DIRECT",M344,DCOUNT('literature entries'!$D:$AI,IF($J344=1,"ACTIVE     CED, FARM GATE (MJ/kg)","CED, processor gate (MJ/kg)"),INDIRECT($W344)))</f>
        <v>16</v>
      </c>
      <c r="Y344" s="211">
        <f ca="1">IF($W344="DIRECT","",DAVERAGE('literature entries'!$D:$AI,IF($J344=1,"ACTIVE     CED, FARM GATE (MJ/kg)","CED, processor gate (MJ/kg)"),INDIRECT($W344)))</f>
        <v>11.873325197282607</v>
      </c>
      <c r="Z344" s="211">
        <f ca="1">IF($W344="DIRECT",$O344,DSTDEV('literature entries'!$D:$AI,IF($J344=1,"ACTIVE     CED, FARM GATE (MJ/kg)","CED, processor gate (MJ/kg)"),INDIRECT($W344)))</f>
        <v>5.663275464099641</v>
      </c>
      <c r="AA344" s="211">
        <f t="shared" ca="1" si="48"/>
        <v>4.8035363986842849</v>
      </c>
      <c r="AB344" s="219" t="s">
        <v>3354</v>
      </c>
      <c r="AC344" s="212">
        <f ca="1">IF($AB344="DIRECT",Q344,DCOUNT('literature entries'!$D:$AI,IF($J344=1,"ACTIVE     GHGE, FARM GATE (kg CO2e/kg)","GHGE, processor gate (kg CO2e/kg)"),INDIRECT($AB344)))</f>
        <v>19</v>
      </c>
      <c r="AD344" s="212">
        <f ca="1">IF($AB344="DIRECT","",DAVERAGE('literature entries'!$D:$AI,IF($J344=1,"ACTIVE     GHGE, FARM GATE (kg CO2e/kg)","GHGE, processor gate (kg CO2e/kg)"),INDIRECT($AB344)))</f>
        <v>3.6074757576297722</v>
      </c>
      <c r="AE344" s="212">
        <f ca="1">IF($AB344="DIRECT",$S344,DSTDEV('literature entries'!$D:$AI,IF($J344=1,"ACTIVE     GHGE, FARM GATE (kg CO2e/kg)","GHGE, processor gate (kg CO2e/kg)"),INDIRECT($AB344)))</f>
        <v>2.5306182127862726</v>
      </c>
      <c r="AF344" s="212">
        <f t="shared" ca="1" si="49"/>
        <v>5.065192255438852</v>
      </c>
    </row>
    <row r="345" spans="1:32" s="19" customFormat="1" ht="17" thickBot="1" x14ac:dyDescent="0.25">
      <c r="A345" s="114">
        <v>9500263000</v>
      </c>
      <c r="B345" s="115" t="s">
        <v>2140</v>
      </c>
      <c r="C345" s="115" t="s">
        <v>2141</v>
      </c>
      <c r="D345" s="115"/>
      <c r="E345" s="115">
        <v>5671</v>
      </c>
      <c r="F345" s="111">
        <f t="shared" ca="1" si="46"/>
        <v>1.0900000000000001</v>
      </c>
      <c r="G345" s="112">
        <f t="shared" ca="1" si="47"/>
        <v>0.374</v>
      </c>
      <c r="H345" s="116">
        <v>1</v>
      </c>
      <c r="I345" s="117" t="s">
        <v>2724</v>
      </c>
      <c r="J345" s="79">
        <v>1</v>
      </c>
      <c r="K345" s="78"/>
      <c r="L345" s="135" t="str">
        <f>IF(ISERROR(GETPIVOTDATA(IF($J345=1,"Count of ACTIVE     CED, FARM GATE (MJ/kg)","Count of CED, processor gate (MJ/kg)"),'Pivot Table_CED'!$A$3,"SUB TYPE",$B345)),"PROXY",IF(GETPIVOTDATA(IF($J345=1,"Count of ACTIVE     CED, FARM GATE (MJ/kg)","Count of CED, processor gate (MJ/kg)"),'Pivot Table_CED'!$A$3,"SUB TYPE",$B345)=0,"PROXY","DB value"))</f>
        <v>DB value</v>
      </c>
      <c r="M345" s="118">
        <f ca="1">IF($L345="PROXY",DCOUNT('literature entries'!$D:$AI,IF($J345=1,"ACTIVE     CED, FARM GATE (MJ/kg)","CED, processor gate (MJ/kg)"),INDIRECT($K345)),GETPIVOTDATA(IF($J345=1,"Count of ACTIVE     CED, FARM GATE (MJ/kg)","Count of CED, processor gate (MJ/kg)"),'Pivot Table_CED'!$A$3,"SUB TYPE",$B345))</f>
        <v>1</v>
      </c>
      <c r="N345" s="119">
        <f ca="1">IF($L345="PROXY",DAVERAGE('literature entries'!$D:$AI,IF($J345=1,"ACTIVE     CED, FARM GATE (MJ/kg)","CED, processor gate (MJ/kg)"),INDIRECT($K345)),GETPIVOTDATA(IF($J345=1,"Average of ACTIVE     CED, FARM GATE (MJ/kg)","Average of CED, processor gate (MJ/kg)"),'Pivot Table_CED'!$A$3,"SUB TYPE",$B345))</f>
        <v>1.0900000000000001</v>
      </c>
      <c r="O345" s="119">
        <f ca="1">IF($L345="PROXY",DSTDEV('literature entries'!D:AI,IF($J345=1,"ACTIVE     CED, FARM GATE (MJ/kg)","CED, processor gate (MJ/kg)"),INDIRECT($K345)),GETPIVOTDATA(IF($J345=1,"StdDev of ACTIVE     CED, FARM GATE (MJ/kg)","StdDev of CED, processor gate (MJ/kg)"),'Pivot Table_CED'!$A$3,"SUB TYPE",$B345))</f>
        <v>0</v>
      </c>
      <c r="P345" s="135" t="str">
        <f>IF(ISERROR(GETPIVOTDATA(IF($J345=1,"Count of ACTIVE     GHGE, FARM GATE (kg CO2e/kg)","Count of GHGE, processor gate (kg CO2e/kg)"),'Pivot Table_GHG'!$A$3,"SUB TYPE",$B345)),"PROXY",IF(GETPIVOTDATA(IF($J345=1,"Count of ACTIVE     GHGE, FARM GATE (kg CO2e/kg)","Count of GHGE, processor gate (kg CO2e/kg)"),'Pivot Table_GHG'!$A$3,"SUB TYPE",$B345)=0,"PROXY","DB value"))</f>
        <v>DB value</v>
      </c>
      <c r="Q345" s="125">
        <f ca="1">IF($P345="PROXY",DCOUNT('literature entries'!$D:$AI,IF($J345=1,"ACTIVE     GHGE, FARM GATE (kg CO2e/kg)","GHGE, processor gate (kg CO2e/kg)"),INDIRECT($K345)),GETPIVOTDATA(IF($J345=1,"ACTIVE     GHGE, FARM GATE (kg CO2e/kg)","Count of GHGE, processor gate (kg CO2e/kg)"),'Pivot Table_GHG'!$A$3,"SUB TYPE",$B345))</f>
        <v>5</v>
      </c>
      <c r="R345" s="190">
        <f ca="1">IF($P345="PROXY",DAVERAGE('literature entries'!$D:$AI,IF($J345=1,"ACTIVE     GHGE, FARM GATE (kg CO2e/kg)","GHGE, processor gate (kg CO2e/kg)"),INDIRECT($K345)),GETPIVOTDATA(IF($J345=1,"Average of ACTIVE     GHGE, FARM GATE (kg CO2e/kg)","Average of GHGE, processor gate (kg CO2e/kg)"),'Pivot Table_GHG'!$A$3,"SUB TYPE",$B345))</f>
        <v>0.374</v>
      </c>
      <c r="S345" s="190">
        <f ca="1">IF($P345="PROXY",DSTDEV('literature entries'!$D:$AI,IF($J345=1,"ACTIVE     GHGE, FARM GATE (kg CO2e/kg)","GHGE, processor gate (kg CO2e/kg)"),INDIRECT($K345)),GETPIVOTDATA(IF($J345=1,"StdDev of ACTIVE     GHGE, FARM GATE (kg CO2e/kg)","StdDev of GHGE, processor gate (kg CO2e/kg)"),'Pivot Table_GHG'!$A$3,"SUB TYPE",$B345))</f>
        <v>0.13798007102476806</v>
      </c>
      <c r="T345" s="88"/>
      <c r="U345" s="89"/>
      <c r="W345" s="213" t="s">
        <v>3355</v>
      </c>
      <c r="X345" s="211">
        <f ca="1">IF($W345="DIRECT",M345,DCOUNT('literature entries'!$D:$AI,IF($J345=1,"ACTIVE     CED, FARM GATE (MJ/kg)","CED, processor gate (MJ/kg)"),INDIRECT($W345)))</f>
        <v>19</v>
      </c>
      <c r="Y345" s="211">
        <f ca="1">IF($W345="DIRECT","",DAVERAGE('literature entries'!$D:$AI,IF($J345=1,"ACTIVE     CED, FARM GATE (MJ/kg)","CED, processor gate (MJ/kg)"),INDIRECT($W345)))</f>
        <v>3.1899535894736837</v>
      </c>
      <c r="Z345" s="211">
        <f ca="1">IF($W345="DIRECT",$O345,DSTDEV('literature entries'!$D:$AI,IF($J345=1,"ACTIVE     CED, FARM GATE (MJ/kg)","CED, processor gate (MJ/kg)"),INDIRECT($W345)))</f>
        <v>1.8390624775878359</v>
      </c>
      <c r="AA345" s="211">
        <f t="shared" ca="1" si="48"/>
        <v>0.62840353138224814</v>
      </c>
      <c r="AB345" s="219" t="str">
        <f ca="1">IF(P345="PROXY",IF(Q345&gt;=5,K345,"need group"),IF(Q345&gt;=5,"DIRECT","need group"))</f>
        <v>DIRECT</v>
      </c>
      <c r="AC345" s="212">
        <f ca="1">IF($AB345="DIRECT",Q345,DCOUNT('literature entries'!$D:$AI,IF($J345=1,"ACTIVE     GHGE, FARM GATE (kg CO2e/kg)","GHGE, processor gate (kg CO2e/kg)"),INDIRECT($AB345)))</f>
        <v>5</v>
      </c>
      <c r="AD345" s="212" t="str">
        <f ca="1">IF($AB345="DIRECT","",DAVERAGE('literature entries'!$D:$AI,IF($J345=1,"ACTIVE     GHGE, FARM GATE (kg CO2e/kg)","GHGE, processor gate (kg CO2e/kg)"),INDIRECT($AB345)))</f>
        <v/>
      </c>
      <c r="AE345" s="212">
        <f ca="1">IF($AB345="DIRECT",$S345,DSTDEV('literature entries'!$D:$AI,IF($J345=1,"ACTIVE     GHGE, FARM GATE (kg CO2e/kg)","GHGE, processor gate (kg CO2e/kg)"),INDIRECT($AB345)))</f>
        <v>0.13798007102476806</v>
      </c>
      <c r="AF345" s="212">
        <f t="shared" ca="1" si="49"/>
        <v>0.13798007102476806</v>
      </c>
    </row>
    <row r="346" spans="1:32" s="19" customFormat="1" ht="17" thickBot="1" x14ac:dyDescent="0.25">
      <c r="A346" s="114">
        <v>9500264000</v>
      </c>
      <c r="B346" s="115" t="s">
        <v>2142</v>
      </c>
      <c r="C346" s="115" t="s">
        <v>2143</v>
      </c>
      <c r="D346" s="115"/>
      <c r="E346" s="115">
        <v>6125</v>
      </c>
      <c r="F346" s="111">
        <f t="shared" ca="1" si="46"/>
        <v>2.9633449999999999</v>
      </c>
      <c r="G346" s="112">
        <f t="shared" ca="1" si="47"/>
        <v>1.1323333333333332</v>
      </c>
      <c r="H346" s="116">
        <v>1</v>
      </c>
      <c r="I346" s="117" t="s">
        <v>628</v>
      </c>
      <c r="J346" s="79">
        <v>2</v>
      </c>
      <c r="K346" s="78" t="s">
        <v>3286</v>
      </c>
      <c r="L346" s="135" t="str">
        <f>IF(ISERROR(GETPIVOTDATA(IF($J346=1,"Count of ACTIVE     CED, FARM GATE (MJ/kg)","Count of CED, processor gate (MJ/kg)"),'Pivot Table_CED'!$A$3,"SUB TYPE",$B346)),"PROXY",IF(GETPIVOTDATA(IF($J346=1,"Count of ACTIVE     CED, FARM GATE (MJ/kg)","Count of CED, processor gate (MJ/kg)"),'Pivot Table_CED'!$A$3,"SUB TYPE",$B346)=0,"PROXY","DB value"))</f>
        <v>PROXY</v>
      </c>
      <c r="M346" s="118">
        <f ca="1">IF($L346="PROXY",DCOUNT('literature entries'!$D:$AI,IF($J346=1,"ACTIVE     CED, FARM GATE (MJ/kg)","CED, processor gate (MJ/kg)"),INDIRECT($K346)),GETPIVOTDATA(IF($J346=1,"Count of ACTIVE     CED, FARM GATE (MJ/kg)","Count of CED, processor gate (MJ/kg)"),'Pivot Table_CED'!$A$3,"SUB TYPE",$B346))</f>
        <v>1</v>
      </c>
      <c r="N346" s="119">
        <f ca="1">IF($L346="PROXY",DAVERAGE('literature entries'!$D:$AI,IF($J346=1,"ACTIVE     CED, FARM GATE (MJ/kg)","CED, processor gate (MJ/kg)"),INDIRECT($K346)),GETPIVOTDATA(IF($J346=1,"Average of ACTIVE     CED, FARM GATE (MJ/kg)","Average of CED, processor gate (MJ/kg)"),'Pivot Table_CED'!$A$3,"SUB TYPE",$B346))</f>
        <v>2.9633449999999999</v>
      </c>
      <c r="O346" s="119" t="e">
        <f ca="1">IF($L346="PROXY",DSTDEV('literature entries'!D:AI,IF($J346=1,"ACTIVE     CED, FARM GATE (MJ/kg)","CED, processor gate (MJ/kg)"),INDIRECT($K346)),GETPIVOTDATA(IF($J346=1,"StdDev of ACTIVE     CED, FARM GATE (MJ/kg)","StdDev of CED, processor gate (MJ/kg)"),'Pivot Table_CED'!$A$3,"SUB TYPE",$B346))</f>
        <v>#DIV/0!</v>
      </c>
      <c r="P346" s="135" t="str">
        <f>IF(ISERROR(GETPIVOTDATA(IF($J346=1,"Count of ACTIVE     GHGE, FARM GATE (kg CO2e/kg)","Count of GHGE, processor gate (kg CO2e/kg)"),'Pivot Table_GHG'!$A$3,"SUB TYPE",$B346)),"PROXY",IF(GETPIVOTDATA(IF($J346=1,"Count of ACTIVE     GHGE, FARM GATE (kg CO2e/kg)","Count of GHGE, processor gate (kg CO2e/kg)"),'Pivot Table_GHG'!$A$3,"SUB TYPE",$B346)=0,"PROXY","DB value"))</f>
        <v>DB value</v>
      </c>
      <c r="Q346" s="125">
        <f ca="1">IF($P346="PROXY",DCOUNT('literature entries'!$D:$AI,IF($J346=1,"ACTIVE     GHGE, FARM GATE (kg CO2e/kg)","GHGE, processor gate (kg CO2e/kg)"),INDIRECT($K346)),GETPIVOTDATA(IF($J346=1,"ACTIVE     GHGE, FARM GATE (kg CO2e/kg)","Count of GHGE, processor gate (kg CO2e/kg)"),'Pivot Table_GHG'!$A$3,"SUB TYPE",$B346))</f>
        <v>3</v>
      </c>
      <c r="R346" s="190">
        <f ca="1">IF($P346="PROXY",DAVERAGE('literature entries'!$D:$AI,IF($J346=1,"ACTIVE     GHGE, FARM GATE (kg CO2e/kg)","GHGE, processor gate (kg CO2e/kg)"),INDIRECT($K346)),GETPIVOTDATA(IF($J346=1,"Average of ACTIVE     GHGE, FARM GATE (kg CO2e/kg)","Average of GHGE, processor gate (kg CO2e/kg)"),'Pivot Table_GHG'!$A$3,"SUB TYPE",$B346))</f>
        <v>1.1323333333333332</v>
      </c>
      <c r="S346" s="190">
        <f ca="1">IF($P346="PROXY",DSTDEV('literature entries'!$D:$AI,IF($J346=1,"ACTIVE     GHGE, FARM GATE (kg CO2e/kg)","GHGE, processor gate (kg CO2e/kg)"),INDIRECT($K346)),GETPIVOTDATA(IF($J346=1,"StdDev of ACTIVE     GHGE, FARM GATE (kg CO2e/kg)","StdDev of GHGE, processor gate (kg CO2e/kg)"),'Pivot Table_GHG'!$A$3,"SUB TYPE",$B346))</f>
        <v>0.40241313762516906</v>
      </c>
      <c r="T346" s="88"/>
      <c r="U346" s="89"/>
      <c r="W346" s="223" t="s">
        <v>3355</v>
      </c>
      <c r="X346" s="211">
        <f ca="1">IF($W346="DIRECT",M346,DCOUNT('literature entries'!$D:$AI,"ACTIVE     CED, FARM GATE (MJ/kg)",INDIRECT($W346)))</f>
        <v>19</v>
      </c>
      <c r="Y346" s="211">
        <f ca="1">IF($W346="DIRECT","",DAVERAGE('literature entries'!$D:$AI,"ACTIVE     CED, FARM GATE (MJ/kg)",INDIRECT($W346)))</f>
        <v>3.1899535894736837</v>
      </c>
      <c r="Z346" s="211">
        <f ca="1">IF($W346="DIRECT",$O346,DSTDEV('literature entries'!$D:$AI,"ACTIVE     CED, FARM GATE (MJ/kg)",INDIRECT($W346)))</f>
        <v>1.8390624775878359</v>
      </c>
      <c r="AA346" s="211">
        <f t="shared" ca="1" si="48"/>
        <v>1.7084187731228697</v>
      </c>
      <c r="AB346" s="223" t="s">
        <v>3355</v>
      </c>
      <c r="AC346" s="212">
        <f ca="1">IF($AB346="DIRECT",Q346,DCOUNT('literature entries'!$D:$AI,"ACTIVE     GHGE, FARM GATE (kg CO2e/kg)",INDIRECT($AB346)))</f>
        <v>29</v>
      </c>
      <c r="AD346" s="212">
        <f ca="1">IF($AB346="DIRECT","",DAVERAGE('literature entries'!$D:$AI,"ACTIVE     GHGE, FARM GATE (kg CO2e/kg)",INDIRECT($AB346)))</f>
        <v>0.73083219793103427</v>
      </c>
      <c r="AE346" s="212">
        <f ca="1">IF($AB346="DIRECT",$S346,DSTDEV('literature entries'!$D:$AI,"ACTIVE     GHGE, FARM GATE (kg CO2e/kg)",INDIRECT($AB346)))</f>
        <v>0.90386671550847975</v>
      </c>
      <c r="AF346" s="212">
        <f t="shared" ca="1" si="49"/>
        <v>1.4004287355677643</v>
      </c>
    </row>
    <row r="347" spans="1:32" s="19" customFormat="1" ht="17" thickBot="1" x14ac:dyDescent="0.25">
      <c r="A347" s="114">
        <v>9500265000</v>
      </c>
      <c r="B347" s="115" t="s">
        <v>2144</v>
      </c>
      <c r="C347" s="115" t="s">
        <v>1731</v>
      </c>
      <c r="D347" s="115"/>
      <c r="E347" s="115">
        <v>23737</v>
      </c>
      <c r="F347" s="111">
        <f t="shared" ca="1" si="46"/>
        <v>3.1583665999999999</v>
      </c>
      <c r="G347" s="112">
        <f t="shared" ca="1" si="47"/>
        <v>4.6559032</v>
      </c>
      <c r="H347" s="120">
        <v>1</v>
      </c>
      <c r="I347" s="117" t="s">
        <v>628</v>
      </c>
      <c r="J347" s="79">
        <v>2</v>
      </c>
      <c r="K347" s="78"/>
      <c r="L347" s="135" t="str">
        <f>IF(ISERROR(GETPIVOTDATA(IF($J347=1,"Count of ACTIVE     CED, FARM GATE (MJ/kg)","Count of CED, processor gate (MJ/kg)"),'Pivot Table_CED'!$A$3,"SUB TYPE",$B347)),"PROXY",IF(GETPIVOTDATA(IF($J347=1,"Count of ACTIVE     CED, FARM GATE (MJ/kg)","Count of CED, processor gate (MJ/kg)"),'Pivot Table_CED'!$A$3,"SUB TYPE",$B347)=0,"PROXY","DB value"))</f>
        <v>DB value</v>
      </c>
      <c r="M347" s="118">
        <f ca="1">IF($L347="PROXY",DCOUNT('literature entries'!$D:$AI,IF($J347=1,"ACTIVE     CED, FARM GATE (MJ/kg)","CED, processor gate (MJ/kg)"),INDIRECT($K347)),GETPIVOTDATA(IF($J347=1,"Count of ACTIVE     CED, FARM GATE (MJ/kg)","Count of CED, processor gate (MJ/kg)"),'Pivot Table_CED'!$A$3,"SUB TYPE",$B347))</f>
        <v>1</v>
      </c>
      <c r="N347" s="119">
        <f ca="1">IF($L347="PROXY",DAVERAGE('literature entries'!$D:$AI,IF($J347=1,"ACTIVE     CED, FARM GATE (MJ/kg)","CED, processor gate (MJ/kg)"),INDIRECT($K347)),GETPIVOTDATA(IF($J347=1,"Average of ACTIVE     CED, FARM GATE (MJ/kg)","Average of CED, processor gate (MJ/kg)"),'Pivot Table_CED'!$A$3,"SUB TYPE",$B347))</f>
        <v>3.1583665999999999</v>
      </c>
      <c r="O347" s="119">
        <f ca="1">IF($L347="PROXY",DSTDEV('literature entries'!D:AI,IF($J347=1,"ACTIVE     CED, FARM GATE (MJ/kg)","CED, processor gate (MJ/kg)"),INDIRECT($K347)),GETPIVOTDATA(IF($J347=1,"StdDev of ACTIVE     CED, FARM GATE (MJ/kg)","StdDev of CED, processor gate (MJ/kg)"),'Pivot Table_CED'!$A$3,"SUB TYPE",$B347))</f>
        <v>0</v>
      </c>
      <c r="P347" s="135" t="str">
        <f>IF(ISERROR(GETPIVOTDATA(IF($J347=1,"Count of ACTIVE     GHGE, FARM GATE (kg CO2e/kg)","Count of GHGE, processor gate (kg CO2e/kg)"),'Pivot Table_GHG'!$A$3,"SUB TYPE",$B347)),"PROXY",IF(GETPIVOTDATA(IF($J347=1,"Count of ACTIVE     GHGE, FARM GATE (kg CO2e/kg)","Count of GHGE, processor gate (kg CO2e/kg)"),'Pivot Table_GHG'!$A$3,"SUB TYPE",$B347)=0,"PROXY","DB value"))</f>
        <v>DB value</v>
      </c>
      <c r="Q347" s="125">
        <f ca="1">IF($P347="PROXY",DCOUNT('literature entries'!$D:$AI,IF($J347=1,"ACTIVE     GHGE, FARM GATE (kg CO2e/kg)","GHGE, processor gate (kg CO2e/kg)"),INDIRECT($K347)),GETPIVOTDATA(IF($J347=1,"ACTIVE     GHGE, FARM GATE (kg CO2e/kg)","Count of GHGE, processor gate (kg CO2e/kg)"),'Pivot Table_GHG'!$A$3,"SUB TYPE",$B347))</f>
        <v>2</v>
      </c>
      <c r="R347" s="190">
        <f ca="1">IF($P347="PROXY",DAVERAGE('literature entries'!$D:$AI,IF($J347=1,"ACTIVE     GHGE, FARM GATE (kg CO2e/kg)","GHGE, processor gate (kg CO2e/kg)"),INDIRECT($K347)),GETPIVOTDATA(IF($J347=1,"Average of ACTIVE     GHGE, FARM GATE (kg CO2e/kg)","Average of GHGE, processor gate (kg CO2e/kg)"),'Pivot Table_GHG'!$A$3,"SUB TYPE",$B347))</f>
        <v>4.6559032</v>
      </c>
      <c r="S347" s="190">
        <f ca="1">IF($P347="PROXY",DSTDEV('literature entries'!$D:$AI,IF($J347=1,"ACTIVE     GHGE, FARM GATE (kg CO2e/kg)","GHGE, processor gate (kg CO2e/kg)"),INDIRECT($K347)),GETPIVOTDATA(IF($J347=1,"StdDev of ACTIVE     GHGE, FARM GATE (kg CO2e/kg)","StdDev of GHGE, processor gate (kg CO2e/kg)"),'Pivot Table_GHG'!$A$3,"SUB TYPE",$B347))</f>
        <v>0.41421862693567491</v>
      </c>
      <c r="T347" s="88"/>
      <c r="U347" s="89"/>
      <c r="W347" s="213" t="s">
        <v>3354</v>
      </c>
      <c r="X347" s="211">
        <f ca="1">IF($W347="DIRECT",M347,DCOUNT('literature entries'!$D:$AI,IF($J347=1,"ACTIVE     CED, FARM GATE (MJ/kg)","CED, processor gate (MJ/kg)"),INDIRECT($W347)))</f>
        <v>16</v>
      </c>
      <c r="Y347" s="211">
        <f ca="1">IF($W347="DIRECT","",DAVERAGE('literature entries'!$D:$AI,IF($J347=1,"ACTIVE     CED, FARM GATE (MJ/kg)","CED, processor gate (MJ/kg)"),INDIRECT($W347)))</f>
        <v>11.873325197282607</v>
      </c>
      <c r="Z347" s="211">
        <f ca="1">IF($W347="DIRECT",$O347,DSTDEV('literature entries'!$D:$AI,IF($J347=1,"ACTIVE     CED, FARM GATE (MJ/kg)","CED, processor gate (MJ/kg)"),INDIRECT($W347)))</f>
        <v>5.663275464099641</v>
      </c>
      <c r="AA347" s="211">
        <f t="shared" ca="1" si="48"/>
        <v>1.5064608923964662</v>
      </c>
      <c r="AB347" s="219" t="s">
        <v>3354</v>
      </c>
      <c r="AC347" s="212">
        <f ca="1">IF($AB347="DIRECT",Q347,DCOUNT('literature entries'!$D:$AI,IF($J347=1,"ACTIVE     GHGE, FARM GATE (kg CO2e/kg)","GHGE, processor gate (kg CO2e/kg)"),INDIRECT($AB347)))</f>
        <v>19</v>
      </c>
      <c r="AD347" s="212">
        <f ca="1">IF($AB347="DIRECT","",DAVERAGE('literature entries'!$D:$AI,IF($J347=1,"ACTIVE     GHGE, FARM GATE (kg CO2e/kg)","GHGE, processor gate (kg CO2e/kg)"),INDIRECT($AB347)))</f>
        <v>3.6074757576297722</v>
      </c>
      <c r="AE347" s="212">
        <f ca="1">IF($AB347="DIRECT",$S347,DSTDEV('literature entries'!$D:$AI,IF($J347=1,"ACTIVE     GHGE, FARM GATE (kg CO2e/kg)","GHGE, processor gate (kg CO2e/kg)"),INDIRECT($AB347)))</f>
        <v>2.5306182127862726</v>
      </c>
      <c r="AF347" s="212">
        <f t="shared" ca="1" si="49"/>
        <v>3.2660824982594607</v>
      </c>
    </row>
    <row r="348" spans="1:32" s="19" customFormat="1" ht="17" thickBot="1" x14ac:dyDescent="0.25">
      <c r="A348" s="114">
        <v>9500275000</v>
      </c>
      <c r="B348" s="115" t="s">
        <v>2163</v>
      </c>
      <c r="C348" s="115" t="s">
        <v>1782</v>
      </c>
      <c r="D348" s="115" t="s">
        <v>2164</v>
      </c>
      <c r="E348" s="115">
        <v>3490</v>
      </c>
      <c r="F348" s="111">
        <f t="shared" ca="1" si="46"/>
        <v>1.5507451766666669</v>
      </c>
      <c r="G348" s="112">
        <f t="shared" ca="1" si="47"/>
        <v>0.22093143666666668</v>
      </c>
      <c r="H348" s="116">
        <v>1</v>
      </c>
      <c r="I348" s="117" t="s">
        <v>594</v>
      </c>
      <c r="J348" s="79">
        <v>1</v>
      </c>
      <c r="K348" s="78" t="s">
        <v>893</v>
      </c>
      <c r="L348" s="135" t="str">
        <f>IF(ISERROR(GETPIVOTDATA(IF($J348=1,"Count of ACTIVE     CED, FARM GATE (MJ/kg)","Count of CED, processor gate (MJ/kg)"),'Pivot Table_CED'!$A$3,"SUB TYPE",$B348)),"PROXY",IF(GETPIVOTDATA(IF($J348=1,"Count of ACTIVE     CED, FARM GATE (MJ/kg)","Count of CED, processor gate (MJ/kg)"),'Pivot Table_CED'!$A$3,"SUB TYPE",$B348)=0,"PROXY","DB value"))</f>
        <v>PROXY</v>
      </c>
      <c r="M348" s="118">
        <f ca="1">IF($L348="PROXY",DCOUNT('literature entries'!$D:$AI,IF($J348=1,"ACTIVE     CED, FARM GATE (MJ/kg)","CED, processor gate (MJ/kg)"),INDIRECT($K348)),GETPIVOTDATA(IF($J348=1,"Count of ACTIVE     CED, FARM GATE (MJ/kg)","Count of CED, processor gate (MJ/kg)"),'Pivot Table_CED'!$A$3,"SUB TYPE",$B348))</f>
        <v>3</v>
      </c>
      <c r="N348" s="119">
        <f ca="1">IF($L348="PROXY",DAVERAGE('literature entries'!$D:$AI,IF($J348=1,"ACTIVE     CED, FARM GATE (MJ/kg)","CED, processor gate (MJ/kg)"),INDIRECT($K348)),GETPIVOTDATA(IF($J348=1,"Average of ACTIVE     CED, FARM GATE (MJ/kg)","Average of CED, processor gate (MJ/kg)"),'Pivot Table_CED'!$A$3,"SUB TYPE",$B348))</f>
        <v>1.5507451766666669</v>
      </c>
      <c r="O348" s="119">
        <f ca="1">IF($L348="PROXY",DSTDEV('literature entries'!D:AI,IF($J348=1,"ACTIVE     CED, FARM GATE (MJ/kg)","CED, processor gate (MJ/kg)"),INDIRECT($K348)),GETPIVOTDATA(IF($J348=1,"StdDev of ACTIVE     CED, FARM GATE (MJ/kg)","StdDev of CED, processor gate (MJ/kg)"),'Pivot Table_CED'!$A$3,"SUB TYPE",$B348))</f>
        <v>1.545573713255328</v>
      </c>
      <c r="P348" s="135" t="str">
        <f>IF(ISERROR(GETPIVOTDATA(IF($J348=1,"Count of ACTIVE     GHGE, FARM GATE (kg CO2e/kg)","Count of GHGE, processor gate (kg CO2e/kg)"),'Pivot Table_GHG'!$A$3,"SUB TYPE",$B348)),"PROXY",IF(GETPIVOTDATA(IF($J348=1,"Count of ACTIVE     GHGE, FARM GATE (kg CO2e/kg)","Count of GHGE, processor gate (kg CO2e/kg)"),'Pivot Table_GHG'!$A$3,"SUB TYPE",$B348)=0,"PROXY","DB value"))</f>
        <v>PROXY</v>
      </c>
      <c r="Q348" s="125">
        <f ca="1">IF($P348="PROXY",DCOUNT('literature entries'!$D:$AI,IF($J348=1,"ACTIVE     GHGE, FARM GATE (kg CO2e/kg)","GHGE, processor gate (kg CO2e/kg)"),INDIRECT($K348)),GETPIVOTDATA(IF($J348=1,"ACTIVE     GHGE, FARM GATE (kg CO2e/kg)","Count of GHGE, processor gate (kg CO2e/kg)"),'Pivot Table_GHG'!$A$3,"SUB TYPE",$B348))</f>
        <v>3</v>
      </c>
      <c r="R348" s="190">
        <f ca="1">IF($P348="PROXY",DAVERAGE('literature entries'!$D:$AI,IF($J348=1,"ACTIVE     GHGE, FARM GATE (kg CO2e/kg)","GHGE, processor gate (kg CO2e/kg)"),INDIRECT($K348)),GETPIVOTDATA(IF($J348=1,"Average of ACTIVE     GHGE, FARM GATE (kg CO2e/kg)","Average of GHGE, processor gate (kg CO2e/kg)"),'Pivot Table_GHG'!$A$3,"SUB TYPE",$B348))</f>
        <v>0.22093143666666668</v>
      </c>
      <c r="S348" s="190">
        <f ca="1">IF($P348="PROXY",DSTDEV('literature entries'!$D:$AI,IF($J348=1,"ACTIVE     GHGE, FARM GATE (kg CO2e/kg)","GHGE, processor gate (kg CO2e/kg)"),INDIRECT($K348)),GETPIVOTDATA(IF($J348=1,"StdDev of ACTIVE     GHGE, FARM GATE (kg CO2e/kg)","StdDev of GHGE, processor gate (kg CO2e/kg)"),'Pivot Table_GHG'!$A$3,"SUB TYPE",$B348))</f>
        <v>8.3542949461742316E-2</v>
      </c>
      <c r="T348" s="88"/>
      <c r="U348" s="89"/>
      <c r="W348" s="213" t="s">
        <v>2457</v>
      </c>
      <c r="X348" s="211">
        <f ca="1">IF($W348="DIRECT",M348,DCOUNT('literature entries'!$D:$AI,IF($J348=1,"ACTIVE     CED, FARM GATE (MJ/kg)","CED, processor gate (MJ/kg)"),INDIRECT($W348)))</f>
        <v>10</v>
      </c>
      <c r="Y348" s="211">
        <f ca="1">IF($W348="DIRECT","",DAVERAGE('literature entries'!$D:$AI,IF($J348=1,"ACTIVE     CED, FARM GATE (MJ/kg)","CED, processor gate (MJ/kg)"),INDIRECT($W348)))</f>
        <v>2.5657274700000001</v>
      </c>
      <c r="Z348" s="211">
        <f ca="1">IF($W348="DIRECT",$O348,DSTDEV('literature entries'!$D:$AI,IF($J348=1,"ACTIVE     CED, FARM GATE (MJ/kg)","CED, processor gate (MJ/kg)"),INDIRECT($W348)))</f>
        <v>1.5197673074222315</v>
      </c>
      <c r="AA348" s="211">
        <f t="shared" ca="1" si="48"/>
        <v>0.91855890744339763</v>
      </c>
      <c r="AB348" s="219" t="s">
        <v>2457</v>
      </c>
      <c r="AC348" s="212">
        <f ca="1">IF($AB348="DIRECT",Q348,DCOUNT('literature entries'!$D:$AI,IF($J348=1,"ACTIVE     GHGE, FARM GATE (kg CO2e/kg)","GHGE, processor gate (kg CO2e/kg)"),INDIRECT($AB348)))</f>
        <v>22</v>
      </c>
      <c r="AD348" s="212">
        <f ca="1">IF($AB348="DIRECT","",DAVERAGE('literature entries'!$D:$AI,IF($J348=1,"ACTIVE     GHGE, FARM GATE (kg CO2e/kg)","GHGE, processor gate (kg CO2e/kg)"),INDIRECT($AB348)))</f>
        <v>0.18561974136363635</v>
      </c>
      <c r="AE348" s="212">
        <f ca="1">IF($AB348="DIRECT",$S348,DSTDEV('literature entries'!$D:$AI,IF($J348=1,"ACTIVE     GHGE, FARM GATE (kg CO2e/kg)","GHGE, processor gate (kg CO2e/kg)"),INDIRECT($AB348)))</f>
        <v>9.7833632177637575E-2</v>
      </c>
      <c r="AF348" s="212">
        <f t="shared" ca="1" si="49"/>
        <v>0.11644518386102046</v>
      </c>
    </row>
    <row r="349" spans="1:32" s="19" customFormat="1" ht="17" thickBot="1" x14ac:dyDescent="0.25">
      <c r="A349" s="114">
        <v>9500276000</v>
      </c>
      <c r="B349" s="115" t="s">
        <v>2165</v>
      </c>
      <c r="C349" s="115" t="s">
        <v>1731</v>
      </c>
      <c r="D349" s="115"/>
      <c r="E349" s="115">
        <v>4</v>
      </c>
      <c r="F349" s="111">
        <f t="shared" ca="1" si="46"/>
        <v>11.899959666666668</v>
      </c>
      <c r="G349" s="112">
        <f t="shared" ca="1" si="47"/>
        <v>2.7294392999999997</v>
      </c>
      <c r="H349" s="116">
        <v>1</v>
      </c>
      <c r="I349" s="117" t="s">
        <v>594</v>
      </c>
      <c r="J349" s="79">
        <v>2</v>
      </c>
      <c r="K349" s="78" t="s">
        <v>3303</v>
      </c>
      <c r="L349" s="135" t="str">
        <f>IF(ISERROR(GETPIVOTDATA(IF($J349=1,"Count of ACTIVE     CED, FARM GATE (MJ/kg)","Count of CED, processor gate (MJ/kg)"),'Pivot Table_CED'!$A$3,"SUB TYPE",$B349)),"PROXY",IF(GETPIVOTDATA(IF($J349=1,"Count of ACTIVE     CED, FARM GATE (MJ/kg)","Count of CED, processor gate (MJ/kg)"),'Pivot Table_CED'!$A$3,"SUB TYPE",$B349)=0,"PROXY","DB value"))</f>
        <v>PROXY</v>
      </c>
      <c r="M349" s="118">
        <f ca="1">IF($L349="PROXY",DCOUNT('literature entries'!$D:$AI,IF($J349=1,"ACTIVE     CED, FARM GATE (MJ/kg)","CED, processor gate (MJ/kg)"),INDIRECT($K349)),GETPIVOTDATA(IF($J349=1,"Count of ACTIVE     CED, FARM GATE (MJ/kg)","Count of CED, processor gate (MJ/kg)"),'Pivot Table_CED'!$A$3,"SUB TYPE",$B349))</f>
        <v>3</v>
      </c>
      <c r="N349" s="119">
        <f ca="1">IF($L349="PROXY",DAVERAGE('literature entries'!$D:$AI,IF($J349=1,"ACTIVE     CED, FARM GATE (MJ/kg)","CED, processor gate (MJ/kg)"),INDIRECT($K349)),GETPIVOTDATA(IF($J349=1,"Average of ACTIVE     CED, FARM GATE (MJ/kg)","Average of CED, processor gate (MJ/kg)"),'Pivot Table_CED'!$A$3,"SUB TYPE",$B349))</f>
        <v>11.899959666666668</v>
      </c>
      <c r="O349" s="119">
        <f ca="1">IF($L349="PROXY",DSTDEV('literature entries'!D:AI,IF($J349=1,"ACTIVE     CED, FARM GATE (MJ/kg)","CED, processor gate (MJ/kg)"),INDIRECT($K349)),GETPIVOTDATA(IF($J349=1,"StdDev of ACTIVE     CED, FARM GATE (MJ/kg)","StdDev of CED, processor gate (MJ/kg)"),'Pivot Table_CED'!$A$3,"SUB TYPE",$B349))</f>
        <v>0.99604112952745805</v>
      </c>
      <c r="P349" s="135" t="str">
        <f>IF(ISERROR(GETPIVOTDATA(IF($J349=1,"Count of ACTIVE     GHGE, FARM GATE (kg CO2e/kg)","Count of GHGE, processor gate (kg CO2e/kg)"),'Pivot Table_GHG'!$A$3,"SUB TYPE",$B349)),"PROXY",IF(GETPIVOTDATA(IF($J349=1,"Count of ACTIVE     GHGE, FARM GATE (kg CO2e/kg)","Count of GHGE, processor gate (kg CO2e/kg)"),'Pivot Table_GHG'!$A$3,"SUB TYPE",$B349)=0,"PROXY","DB value"))</f>
        <v>PROXY</v>
      </c>
      <c r="Q349" s="125">
        <f ca="1">IF($P349="PROXY",DCOUNT('literature entries'!$D:$AI,IF($J349=1,"ACTIVE     GHGE, FARM GATE (kg CO2e/kg)","GHGE, processor gate (kg CO2e/kg)"),INDIRECT($K349)),GETPIVOTDATA(IF($J349=1,"ACTIVE     GHGE, FARM GATE (kg CO2e/kg)","Count of GHGE, processor gate (kg CO2e/kg)"),'Pivot Table_GHG'!$A$3,"SUB TYPE",$B349))</f>
        <v>3</v>
      </c>
      <c r="R349" s="190">
        <f ca="1">IF($P349="PROXY",DAVERAGE('literature entries'!$D:$AI,IF($J349=1,"ACTIVE     GHGE, FARM GATE (kg CO2e/kg)","GHGE, processor gate (kg CO2e/kg)"),INDIRECT($K349)),GETPIVOTDATA(IF($J349=1,"Average of ACTIVE     GHGE, FARM GATE (kg CO2e/kg)","Average of GHGE, processor gate (kg CO2e/kg)"),'Pivot Table_GHG'!$A$3,"SUB TYPE",$B349))</f>
        <v>2.7294392999999997</v>
      </c>
      <c r="S349" s="190">
        <f ca="1">IF($P349="PROXY",DSTDEV('literature entries'!$D:$AI,IF($J349=1,"ACTIVE     GHGE, FARM GATE (kg CO2e/kg)","GHGE, processor gate (kg CO2e/kg)"),INDIRECT($K349)),GETPIVOTDATA(IF($J349=1,"StdDev of ACTIVE     GHGE, FARM GATE (kg CO2e/kg)","StdDev of GHGE, processor gate (kg CO2e/kg)"),'Pivot Table_GHG'!$A$3,"SUB TYPE",$B349))</f>
        <v>0.98128140597347435</v>
      </c>
      <c r="T349" s="88"/>
      <c r="U349" s="89"/>
      <c r="W349" s="213" t="s">
        <v>3354</v>
      </c>
      <c r="X349" s="211">
        <f ca="1">IF($W349="DIRECT",M349,DCOUNT('literature entries'!$D:$AI,IF($J349=1,"ACTIVE     CED, FARM GATE (MJ/kg)","CED, processor gate (MJ/kg)"),INDIRECT($W349)))</f>
        <v>16</v>
      </c>
      <c r="Y349" s="211">
        <f ca="1">IF($W349="DIRECT","",DAVERAGE('literature entries'!$D:$AI,IF($J349=1,"ACTIVE     CED, FARM GATE (MJ/kg)","CED, processor gate (MJ/kg)"),INDIRECT($W349)))</f>
        <v>11.873325197282607</v>
      </c>
      <c r="Z349" s="211">
        <f ca="1">IF($W349="DIRECT",$O349,DSTDEV('literature entries'!$D:$AI,IF($J349=1,"ACTIVE     CED, FARM GATE (MJ/kg)","CED, processor gate (MJ/kg)"),INDIRECT($W349)))</f>
        <v>5.663275464099641</v>
      </c>
      <c r="AA349" s="211">
        <f t="shared" ca="1" si="48"/>
        <v>5.6759794315608021</v>
      </c>
      <c r="AB349" s="219" t="s">
        <v>3354</v>
      </c>
      <c r="AC349" s="212">
        <f ca="1">IF($AB349="DIRECT",Q349,DCOUNT('literature entries'!$D:$AI,IF($J349=1,"ACTIVE     GHGE, FARM GATE (kg CO2e/kg)","GHGE, processor gate (kg CO2e/kg)"),INDIRECT($AB349)))</f>
        <v>19</v>
      </c>
      <c r="AD349" s="212">
        <f ca="1">IF($AB349="DIRECT","",DAVERAGE('literature entries'!$D:$AI,IF($J349=1,"ACTIVE     GHGE, FARM GATE (kg CO2e/kg)","GHGE, processor gate (kg CO2e/kg)"),INDIRECT($AB349)))</f>
        <v>3.6074757576297722</v>
      </c>
      <c r="AE349" s="212">
        <f ca="1">IF($AB349="DIRECT",$S349,DSTDEV('literature entries'!$D:$AI,IF($J349=1,"ACTIVE     GHGE, FARM GATE (kg CO2e/kg)","GHGE, processor gate (kg CO2e/kg)"),INDIRECT($AB349)))</f>
        <v>2.5306182127862726</v>
      </c>
      <c r="AF349" s="212">
        <f t="shared" ca="1" si="49"/>
        <v>1.9146819735838909</v>
      </c>
    </row>
    <row r="350" spans="1:32" s="19" customFormat="1" ht="17" thickBot="1" x14ac:dyDescent="0.25">
      <c r="A350" s="114">
        <v>9500306000</v>
      </c>
      <c r="B350" s="115" t="s">
        <v>2219</v>
      </c>
      <c r="C350" s="115" t="s">
        <v>2220</v>
      </c>
      <c r="D350" s="115"/>
      <c r="E350" s="115">
        <v>2</v>
      </c>
      <c r="F350" s="111">
        <f t="shared" ca="1" si="46"/>
        <v>2.5841213096774194</v>
      </c>
      <c r="G350" s="112">
        <f t="shared" ca="1" si="47"/>
        <v>0.39349345733333324</v>
      </c>
      <c r="H350" s="116">
        <v>1</v>
      </c>
      <c r="I350" s="117" t="s">
        <v>594</v>
      </c>
      <c r="J350" s="79">
        <v>1</v>
      </c>
      <c r="K350" s="78" t="s">
        <v>2702</v>
      </c>
      <c r="L350" s="135" t="str">
        <f>IF(ISERROR(GETPIVOTDATA(IF($J350=1,"Count of ACTIVE     CED, FARM GATE (MJ/kg)","Count of CED, processor gate (MJ/kg)"),'Pivot Table_CED'!$A$3,"SUB TYPE",$B350)),"PROXY",IF(GETPIVOTDATA(IF($J350=1,"Count of ACTIVE     CED, FARM GATE (MJ/kg)","Count of CED, processor gate (MJ/kg)"),'Pivot Table_CED'!$A$3,"SUB TYPE",$B350)=0,"PROXY","DB value"))</f>
        <v>PROXY</v>
      </c>
      <c r="M350" s="118">
        <f ca="1">IF($L350="PROXY",DCOUNT('literature entries'!$D:$AI,IF($J350=1,"ACTIVE     CED, FARM GATE (MJ/kg)","CED, processor gate (MJ/kg)"),INDIRECT($K350)),GETPIVOTDATA(IF($J350=1,"Count of ACTIVE     CED, FARM GATE (MJ/kg)","Count of CED, processor gate (MJ/kg)"),'Pivot Table_CED'!$A$3,"SUB TYPE",$B350))</f>
        <v>31</v>
      </c>
      <c r="N350" s="119">
        <f ca="1">IF($L350="PROXY",DAVERAGE('literature entries'!$D:$AI,IF($J350=1,"ACTIVE     CED, FARM GATE (MJ/kg)","CED, processor gate (MJ/kg)"),INDIRECT($K350)),GETPIVOTDATA(IF($J350=1,"Average of ACTIVE     CED, FARM GATE (MJ/kg)","Average of CED, processor gate (MJ/kg)"),'Pivot Table_CED'!$A$3,"SUB TYPE",$B350))</f>
        <v>2.5841213096774194</v>
      </c>
      <c r="O350" s="119">
        <f ca="1">IF($L350="PROXY",DSTDEV('literature entries'!D:AI,IF($J350=1,"ACTIVE     CED, FARM GATE (MJ/kg)","CED, processor gate (MJ/kg)"),INDIRECT($K350)),GETPIVOTDATA(IF($J350=1,"StdDev of ACTIVE     CED, FARM GATE (MJ/kg)","StdDev of CED, processor gate (MJ/kg)"),'Pivot Table_CED'!$A$3,"SUB TYPE",$B350))</f>
        <v>1.1854190703188778</v>
      </c>
      <c r="P350" s="135" t="str">
        <f>IF(ISERROR(GETPIVOTDATA(IF($J350=1,"Count of ACTIVE     GHGE, FARM GATE (kg CO2e/kg)","Count of GHGE, processor gate (kg CO2e/kg)"),'Pivot Table_GHG'!$A$3,"SUB TYPE",$B350)),"PROXY",IF(GETPIVOTDATA(IF($J350=1,"Count of ACTIVE     GHGE, FARM GATE (kg CO2e/kg)","Count of GHGE, processor gate (kg CO2e/kg)"),'Pivot Table_GHG'!$A$3,"SUB TYPE",$B350)=0,"PROXY","DB value"))</f>
        <v>PROXY</v>
      </c>
      <c r="Q350" s="125">
        <f ca="1">IF($P350="PROXY",DCOUNT('literature entries'!$D:$AI,IF($J350=1,"ACTIVE     GHGE, FARM GATE (kg CO2e/kg)","GHGE, processor gate (kg CO2e/kg)"),INDIRECT($K350)),GETPIVOTDATA(IF($J350=1,"ACTIVE     GHGE, FARM GATE (kg CO2e/kg)","Count of GHGE, processor gate (kg CO2e/kg)"),'Pivot Table_GHG'!$A$3,"SUB TYPE",$B350))</f>
        <v>45</v>
      </c>
      <c r="R350" s="190">
        <f ca="1">IF($P350="PROXY",DAVERAGE('literature entries'!$D:$AI,IF($J350=1,"ACTIVE     GHGE, FARM GATE (kg CO2e/kg)","GHGE, processor gate (kg CO2e/kg)"),INDIRECT($K350)),GETPIVOTDATA(IF($J350=1,"Average of ACTIVE     GHGE, FARM GATE (kg CO2e/kg)","Average of GHGE, processor gate (kg CO2e/kg)"),'Pivot Table_GHG'!$A$3,"SUB TYPE",$B350))</f>
        <v>0.39349345733333324</v>
      </c>
      <c r="S350" s="190">
        <f ca="1">IF($P350="PROXY",DSTDEV('literature entries'!$D:$AI,IF($J350=1,"ACTIVE     GHGE, FARM GATE (kg CO2e/kg)","GHGE, processor gate (kg CO2e/kg)"),INDIRECT($K350)),GETPIVOTDATA(IF($J350=1,"StdDev of ACTIVE     GHGE, FARM GATE (kg CO2e/kg)","StdDev of GHGE, processor gate (kg CO2e/kg)"),'Pivot Table_GHG'!$A$3,"SUB TYPE",$B350))</f>
        <v>0.20361467618492471</v>
      </c>
      <c r="T350" s="88"/>
      <c r="U350" s="89"/>
      <c r="W350" s="213" t="str">
        <f ca="1">IF(L350="PROXY",IF(M350&gt;=5,K350,"need group"),IF(M350&gt;=5,"DIRECT","need group"))</f>
        <v>grains</v>
      </c>
      <c r="X350" s="211">
        <f ca="1">IF($W350="DIRECT",M350,DCOUNT('literature entries'!$D:$AI,IF($J350=1,"ACTIVE     CED, FARM GATE (MJ/kg)","CED, processor gate (MJ/kg)"),INDIRECT($W350)))</f>
        <v>31</v>
      </c>
      <c r="Y350" s="211">
        <f ca="1">IF($W350="DIRECT","",DAVERAGE('literature entries'!$D:$AI,IF($J350=1,"ACTIVE     CED, FARM GATE (MJ/kg)","CED, processor gate (MJ/kg)"),INDIRECT($W350)))</f>
        <v>2.5841213096774194</v>
      </c>
      <c r="Z350" s="211">
        <f ca="1">IF($W350="DIRECT",$O350,DSTDEV('literature entries'!$D:$AI,IF($J350=1,"ACTIVE     CED, FARM GATE (MJ/kg)","CED, processor gate (MJ/kg)"),INDIRECT($W350)))</f>
        <v>1.1854190703188778</v>
      </c>
      <c r="AA350" s="211">
        <f t="shared" ca="1" si="48"/>
        <v>1.1854190703188778</v>
      </c>
      <c r="AB350" s="219" t="str">
        <f ca="1">IF(P350="PROXY",IF(Q350&gt;=5,K350,"need group"),IF(Q350&gt;=5,"DIRECT","need group"))</f>
        <v>grains</v>
      </c>
      <c r="AC350" s="212">
        <f ca="1">IF($AB350="DIRECT",Q350,DCOUNT('literature entries'!$D:$AI,IF($J350=1,"ACTIVE     GHGE, FARM GATE (kg CO2e/kg)","GHGE, processor gate (kg CO2e/kg)"),INDIRECT($AB350)))</f>
        <v>45</v>
      </c>
      <c r="AD350" s="212">
        <f ca="1">IF($AB350="DIRECT","",DAVERAGE('literature entries'!$D:$AI,IF($J350=1,"ACTIVE     GHGE, FARM GATE (kg CO2e/kg)","GHGE, processor gate (kg CO2e/kg)"),INDIRECT($AB350)))</f>
        <v>0.39349345733333324</v>
      </c>
      <c r="AE350" s="212">
        <f ca="1">IF($AB350="DIRECT",$S350,DSTDEV('literature entries'!$D:$AI,IF($J350=1,"ACTIVE     GHGE, FARM GATE (kg CO2e/kg)","GHGE, processor gate (kg CO2e/kg)"),INDIRECT($AB350)))</f>
        <v>0.20361467618492471</v>
      </c>
      <c r="AF350" s="212">
        <f t="shared" ca="1" si="49"/>
        <v>0.20361467618492474</v>
      </c>
    </row>
    <row r="351" spans="1:32" s="19" customFormat="1" ht="17" thickBot="1" x14ac:dyDescent="0.25">
      <c r="A351" s="114">
        <v>9500335000</v>
      </c>
      <c r="B351" s="115" t="s">
        <v>2249</v>
      </c>
      <c r="C351" s="115" t="s">
        <v>2250</v>
      </c>
      <c r="D351" s="115" t="s">
        <v>2251</v>
      </c>
      <c r="E351" s="115">
        <v>19067</v>
      </c>
      <c r="F351" s="111">
        <f t="shared" ca="1" si="46"/>
        <v>2.5657274700000001</v>
      </c>
      <c r="G351" s="112">
        <f t="shared" ca="1" si="47"/>
        <v>0.18561974136363635</v>
      </c>
      <c r="H351" s="116">
        <v>1</v>
      </c>
      <c r="I351" s="117" t="s">
        <v>2724</v>
      </c>
      <c r="J351" s="79">
        <v>1</v>
      </c>
      <c r="K351" s="196" t="s">
        <v>2457</v>
      </c>
      <c r="L351" s="135" t="str">
        <f>IF(ISERROR(GETPIVOTDATA(IF($J351=1,"Count of ACTIVE     CED, FARM GATE (MJ/kg)","Count of CED, processor gate (MJ/kg)"),'Pivot Table_CED'!$A$3,"SUB TYPE",$B351)),"PROXY",IF(GETPIVOTDATA(IF($J351=1,"Count of ACTIVE     CED, FARM GATE (MJ/kg)","Count of CED, processor gate (MJ/kg)"),'Pivot Table_CED'!$A$3,"SUB TYPE",$B351)=0,"PROXY","DB value"))</f>
        <v>PROXY</v>
      </c>
      <c r="M351" s="118">
        <f ca="1">IF($L351="PROXY",DCOUNT('literature entries'!$D:$AI,IF($J351=1,"ACTIVE     CED, FARM GATE (MJ/kg)","CED, processor gate (MJ/kg)"),INDIRECT($K351)),GETPIVOTDATA(IF($J351=1,"Count of ACTIVE     CED, FARM GATE (MJ/kg)","Count of CED, processor gate (MJ/kg)"),'Pivot Table_CED'!$A$3,"SUB TYPE",$B351))</f>
        <v>10</v>
      </c>
      <c r="N351" s="119">
        <f ca="1">IF($L351="PROXY",DAVERAGE('literature entries'!$D:$AI,IF($J351=1,"ACTIVE     CED, FARM GATE (MJ/kg)","CED, processor gate (MJ/kg)"),INDIRECT($K351)),GETPIVOTDATA(IF($J351=1,"Average of ACTIVE     CED, FARM GATE (MJ/kg)","Average of CED, processor gate (MJ/kg)"),'Pivot Table_CED'!$A$3,"SUB TYPE",$B351))</f>
        <v>2.5657274700000001</v>
      </c>
      <c r="O351" s="119">
        <f ca="1">IF($L351="PROXY",DSTDEV('literature entries'!D:AI,IF($J351=1,"ACTIVE     CED, FARM GATE (MJ/kg)","CED, processor gate (MJ/kg)"),INDIRECT($K351)),GETPIVOTDATA(IF($J351=1,"StdDev of ACTIVE     CED, FARM GATE (MJ/kg)","StdDev of CED, processor gate (MJ/kg)"),'Pivot Table_CED'!$A$3,"SUB TYPE",$B351))</f>
        <v>1.5197673074222315</v>
      </c>
      <c r="P351" s="135" t="str">
        <f>IF(ISERROR(GETPIVOTDATA(IF($J351=1,"Count of ACTIVE     GHGE, FARM GATE (kg CO2e/kg)","Count of GHGE, processor gate (kg CO2e/kg)"),'Pivot Table_GHG'!$A$3,"SUB TYPE",$B351)),"PROXY",IF(GETPIVOTDATA(IF($J351=1,"Count of ACTIVE     GHGE, FARM GATE (kg CO2e/kg)","Count of GHGE, processor gate (kg CO2e/kg)"),'Pivot Table_GHG'!$A$3,"SUB TYPE",$B351)=0,"PROXY","DB value"))</f>
        <v>PROXY</v>
      </c>
      <c r="Q351" s="125">
        <f ca="1">IF($P351="PROXY",DCOUNT('literature entries'!$D:$AI,IF($J351=1,"ACTIVE     GHGE, FARM GATE (kg CO2e/kg)","GHGE, processor gate (kg CO2e/kg)"),INDIRECT($K351)),GETPIVOTDATA(IF($J351=1,"ACTIVE     GHGE, FARM GATE (kg CO2e/kg)","Count of GHGE, processor gate (kg CO2e/kg)"),'Pivot Table_GHG'!$A$3,"SUB TYPE",$B351))</f>
        <v>22</v>
      </c>
      <c r="R351" s="190">
        <f ca="1">IF($P351="PROXY",DAVERAGE('literature entries'!$D:$AI,IF($J351=1,"ACTIVE     GHGE, FARM GATE (kg CO2e/kg)","GHGE, processor gate (kg CO2e/kg)"),INDIRECT($K351)),GETPIVOTDATA(IF($J351=1,"Average of ACTIVE     GHGE, FARM GATE (kg CO2e/kg)","Average of GHGE, processor gate (kg CO2e/kg)"),'Pivot Table_GHG'!$A$3,"SUB TYPE",$B351))</f>
        <v>0.18561974136363635</v>
      </c>
      <c r="S351" s="190">
        <f ca="1">IF($P351="PROXY",DSTDEV('literature entries'!$D:$AI,IF($J351=1,"ACTIVE     GHGE, FARM GATE (kg CO2e/kg)","GHGE, processor gate (kg CO2e/kg)"),INDIRECT($K351)),GETPIVOTDATA(IF($J351=1,"StdDev of ACTIVE     GHGE, FARM GATE (kg CO2e/kg)","StdDev of GHGE, processor gate (kg CO2e/kg)"),'Pivot Table_GHG'!$A$3,"SUB TYPE",$B351))</f>
        <v>9.7833632177637575E-2</v>
      </c>
      <c r="T351" s="88"/>
      <c r="U351" s="89"/>
      <c r="W351" s="213" t="str">
        <f ca="1">IF(L351="PROXY",IF(M351&gt;=5,K351,"need group"),IF(M351&gt;=5,"DIRECT","need group"))</f>
        <v>greens</v>
      </c>
      <c r="X351" s="211">
        <f ca="1">IF($W351="DIRECT",M351,DCOUNT('literature entries'!$D:$AI,IF($J351=1,"ACTIVE     CED, FARM GATE (MJ/kg)","CED, processor gate (MJ/kg)"),INDIRECT($W351)))</f>
        <v>10</v>
      </c>
      <c r="Y351" s="211">
        <f ca="1">IF($W351="DIRECT","",DAVERAGE('literature entries'!$D:$AI,IF($J351=1,"ACTIVE     CED, FARM GATE (MJ/kg)","CED, processor gate (MJ/kg)"),INDIRECT($W351)))</f>
        <v>2.5657274700000001</v>
      </c>
      <c r="Z351" s="211">
        <f ca="1">IF($W351="DIRECT",$O351,DSTDEV('literature entries'!$D:$AI,IF($J351=1,"ACTIVE     CED, FARM GATE (MJ/kg)","CED, processor gate (MJ/kg)"),INDIRECT($W351)))</f>
        <v>1.5197673074222315</v>
      </c>
      <c r="AA351" s="211">
        <f t="shared" ca="1" si="48"/>
        <v>1.5197673074222315</v>
      </c>
      <c r="AB351" s="219" t="str">
        <f ca="1">IF(P351="PROXY",IF(Q351&gt;=5,K351,"need group"),IF(Q351&gt;=5,"DIRECT","need group"))</f>
        <v>greens</v>
      </c>
      <c r="AC351" s="212">
        <f ca="1">IF($AB351="DIRECT",Q351,DCOUNT('literature entries'!$D:$AI,IF($J351=1,"ACTIVE     GHGE, FARM GATE (kg CO2e/kg)","GHGE, processor gate (kg CO2e/kg)"),INDIRECT($AB351)))</f>
        <v>22</v>
      </c>
      <c r="AD351" s="212">
        <f ca="1">IF($AB351="DIRECT","",DAVERAGE('literature entries'!$D:$AI,IF($J351=1,"ACTIVE     GHGE, FARM GATE (kg CO2e/kg)","GHGE, processor gate (kg CO2e/kg)"),INDIRECT($AB351)))</f>
        <v>0.18561974136363635</v>
      </c>
      <c r="AE351" s="212">
        <f ca="1">IF($AB351="DIRECT",$S351,DSTDEV('literature entries'!$D:$AI,IF($J351=1,"ACTIVE     GHGE, FARM GATE (kg CO2e/kg)","GHGE, processor gate (kg CO2e/kg)"),INDIRECT($AB351)))</f>
        <v>9.7833632177637575E-2</v>
      </c>
      <c r="AF351" s="212">
        <f t="shared" ca="1" si="49"/>
        <v>9.7833632177637575E-2</v>
      </c>
    </row>
    <row r="352" spans="1:32" s="19" customFormat="1" ht="17" thickBot="1" x14ac:dyDescent="0.25">
      <c r="A352" s="114">
        <v>9500362000</v>
      </c>
      <c r="B352" s="115" t="s">
        <v>2287</v>
      </c>
      <c r="C352" s="115" t="s">
        <v>2288</v>
      </c>
      <c r="D352" s="115" t="s">
        <v>1828</v>
      </c>
      <c r="E352" s="115">
        <v>49995</v>
      </c>
      <c r="F352" s="111">
        <f t="shared" ca="1" si="46"/>
        <v>5.1456238000000001</v>
      </c>
      <c r="G352" s="112">
        <f t="shared" ca="1" si="47"/>
        <v>0.69992868499999994</v>
      </c>
      <c r="H352" s="116">
        <v>1</v>
      </c>
      <c r="I352" s="117" t="s">
        <v>594</v>
      </c>
      <c r="J352" s="79">
        <v>2</v>
      </c>
      <c r="K352" s="78"/>
      <c r="L352" s="135" t="str">
        <f>IF(ISERROR(GETPIVOTDATA(IF($J352=1,"Count of ACTIVE     CED, FARM GATE (MJ/kg)","Count of CED, processor gate (MJ/kg)"),'Pivot Table_CED'!$A$3,"SUB TYPE",$B352)),"PROXY",IF(GETPIVOTDATA(IF($J352=1,"Count of ACTIVE     CED, FARM GATE (MJ/kg)","Count of CED, processor gate (MJ/kg)"),'Pivot Table_CED'!$A$3,"SUB TYPE",$B352)=0,"PROXY","DB value"))</f>
        <v>DB value</v>
      </c>
      <c r="M352" s="118">
        <f ca="1">IF($L352="PROXY",DCOUNT('literature entries'!$D:$AI,IF($J352=1,"ACTIVE     CED, FARM GATE (MJ/kg)","CED, processor gate (MJ/kg)"),INDIRECT($K352)),GETPIVOTDATA(IF($J352=1,"Count of ACTIVE     CED, FARM GATE (MJ/kg)","Count of CED, processor gate (MJ/kg)"),'Pivot Table_CED'!$A$3,"SUB TYPE",$B352))</f>
        <v>2</v>
      </c>
      <c r="N352" s="119">
        <f ca="1">IF($L352="PROXY",DAVERAGE('literature entries'!$D:$AI,IF($J352=1,"ACTIVE     CED, FARM GATE (MJ/kg)","CED, processor gate (MJ/kg)"),INDIRECT($K352)),GETPIVOTDATA(IF($J352=1,"Average of ACTIVE     CED, FARM GATE (MJ/kg)","Average of CED, processor gate (MJ/kg)"),'Pivot Table_CED'!$A$3,"SUB TYPE",$B352))</f>
        <v>5.1456238000000001</v>
      </c>
      <c r="O352" s="119">
        <f ca="1">IF($L352="PROXY",DSTDEV('literature entries'!D:AI,IF($J352=1,"ACTIVE     CED, FARM GATE (MJ/kg)","CED, processor gate (MJ/kg)"),INDIRECT($K352)),GETPIVOTDATA(IF($J352=1,"StdDev of ACTIVE     CED, FARM GATE (MJ/kg)","StdDev of CED, processor gate (MJ/kg)"),'Pivot Table_CED'!$A$3,"SUB TYPE",$B352))</f>
        <v>2.3044946581697427</v>
      </c>
      <c r="P352" s="135" t="str">
        <f>IF(ISERROR(GETPIVOTDATA(IF($J352=1,"Count of ACTIVE     GHGE, FARM GATE (kg CO2e/kg)","Count of GHGE, processor gate (kg CO2e/kg)"),'Pivot Table_GHG'!$A$3,"SUB TYPE",$B352)),"PROXY",IF(GETPIVOTDATA(IF($J352=1,"Count of ACTIVE     GHGE, FARM GATE (kg CO2e/kg)","Count of GHGE, processor gate (kg CO2e/kg)"),'Pivot Table_GHG'!$A$3,"SUB TYPE",$B352)=0,"PROXY","DB value"))</f>
        <v>DB value</v>
      </c>
      <c r="Q352" s="125">
        <f ca="1">IF($P352="PROXY",DCOUNT('literature entries'!$D:$AI,IF($J352=1,"ACTIVE     GHGE, FARM GATE (kg CO2e/kg)","GHGE, processor gate (kg CO2e/kg)"),INDIRECT($K352)),GETPIVOTDATA(IF($J352=1,"ACTIVE     GHGE, FARM GATE (kg CO2e/kg)","Count of GHGE, processor gate (kg CO2e/kg)"),'Pivot Table_GHG'!$A$3,"SUB TYPE",$B352))</f>
        <v>2</v>
      </c>
      <c r="R352" s="190">
        <f ca="1">IF($P352="PROXY",DAVERAGE('literature entries'!$D:$AI,IF($J352=1,"ACTIVE     GHGE, FARM GATE (kg CO2e/kg)","GHGE, processor gate (kg CO2e/kg)"),INDIRECT($K352)),GETPIVOTDATA(IF($J352=1,"Average of ACTIVE     GHGE, FARM GATE (kg CO2e/kg)","Average of GHGE, processor gate (kg CO2e/kg)"),'Pivot Table_GHG'!$A$3,"SUB TYPE",$B352))</f>
        <v>0.69992868499999994</v>
      </c>
      <c r="S352" s="190">
        <f ca="1">IF($P352="PROXY",DSTDEV('literature entries'!$D:$AI,IF($J352=1,"ACTIVE     GHGE, FARM GATE (kg CO2e/kg)","GHGE, processor gate (kg CO2e/kg)"),INDIRECT($K352)),GETPIVOTDATA(IF($J352=1,"StdDev of ACTIVE     GHGE, FARM GATE (kg CO2e/kg)","StdDev of GHGE, processor gate (kg CO2e/kg)"),'Pivot Table_GHG'!$A$3,"SUB TYPE",$B352))</f>
        <v>4.6487059486040455E-2</v>
      </c>
      <c r="T352" s="88"/>
      <c r="U352" s="89"/>
      <c r="W352" s="213" t="s">
        <v>3364</v>
      </c>
      <c r="X352" s="211">
        <f ca="1">IF($W352="DIRECT",M352,DCOUNT('literature entries'!$D:$AI,IF($J352=1,"ACTIVE     CED, FARM GATE (MJ/kg)","CED, processor gate (MJ/kg)"),INDIRECT($W352)))</f>
        <v>14</v>
      </c>
      <c r="Y352" s="211">
        <f ca="1">IF($W352="DIRECT","",DAVERAGE('literature entries'!$D:$AI,IF($J352=1,"ACTIVE     CED, FARM GATE (MJ/kg)","CED, processor gate (MJ/kg)"),INDIRECT($W352)))</f>
        <v>8.8453455837076262</v>
      </c>
      <c r="Z352" s="211">
        <f ca="1">IF($W352="DIRECT",$O352,DSTDEV('literature entries'!$D:$AI,IF($J352=1,"ACTIVE     CED, FARM GATE (MJ/kg)","CED, processor gate (MJ/kg)"),INDIRECT($W352)))</f>
        <v>17.468328408482019</v>
      </c>
      <c r="AA352" s="211">
        <f t="shared" ca="1" si="48"/>
        <v>10.161891986499946</v>
      </c>
      <c r="AB352" s="219" t="s">
        <v>3364</v>
      </c>
      <c r="AC352" s="212">
        <f ca="1">IF($AB352="DIRECT",Q352,DCOUNT('literature entries'!$D:$AI,IF($J352=1,"ACTIVE     GHGE, FARM GATE (kg CO2e/kg)","GHGE, processor gate (kg CO2e/kg)"),INDIRECT($AB352)))</f>
        <v>13</v>
      </c>
      <c r="AD352" s="212">
        <f ca="1">IF($AB352="DIRECT","",DAVERAGE('literature entries'!$D:$AI,IF($J352=1,"ACTIVE     GHGE, FARM GATE (kg CO2e/kg)","GHGE, processor gate (kg CO2e/kg)"),INDIRECT($AB352)))</f>
        <v>1.0611859137782504</v>
      </c>
      <c r="AE352" s="212">
        <f ca="1">IF($AB352="DIRECT",$S352,DSTDEV('literature entries'!$D:$AI,IF($J352=1,"ACTIVE     GHGE, FARM GATE (kg CO2e/kg)","GHGE, processor gate (kg CO2e/kg)"),INDIRECT($AB352)))</f>
        <v>1.8055997061726943</v>
      </c>
      <c r="AF352" s="212">
        <f t="shared" ca="1" si="49"/>
        <v>1.1909232977643227</v>
      </c>
    </row>
    <row r="353" spans="1:32" s="19" customFormat="1" ht="17" thickBot="1" x14ac:dyDescent="0.25">
      <c r="A353" s="114">
        <v>9500363000</v>
      </c>
      <c r="B353" s="115" t="s">
        <v>2285</v>
      </c>
      <c r="C353" s="115" t="s">
        <v>1830</v>
      </c>
      <c r="D353" s="115" t="s">
        <v>2286</v>
      </c>
      <c r="E353" s="115">
        <v>7615</v>
      </c>
      <c r="F353" s="111">
        <f t="shared" ca="1" si="46"/>
        <v>5.0787000000000004</v>
      </c>
      <c r="G353" s="112">
        <f t="shared" ca="1" si="47"/>
        <v>0.48759999999999998</v>
      </c>
      <c r="H353" s="116">
        <v>1</v>
      </c>
      <c r="I353" s="117" t="s">
        <v>594</v>
      </c>
      <c r="J353" s="79">
        <v>2</v>
      </c>
      <c r="K353" s="78"/>
      <c r="L353" s="135" t="str">
        <f>IF(ISERROR(GETPIVOTDATA(IF($J353=1,"Count of ACTIVE     CED, FARM GATE (MJ/kg)","Count of CED, processor gate (MJ/kg)"),'Pivot Table_CED'!$A$3,"SUB TYPE",$B353)),"PROXY",IF(GETPIVOTDATA(IF($J353=1,"Count of ACTIVE     CED, FARM GATE (MJ/kg)","Count of CED, processor gate (MJ/kg)"),'Pivot Table_CED'!$A$3,"SUB TYPE",$B353)=0,"PROXY","DB value"))</f>
        <v>DB value</v>
      </c>
      <c r="M353" s="118">
        <f ca="1">IF($L353="PROXY",DCOUNT('literature entries'!$D:$AI,IF($J353=1,"ACTIVE     CED, FARM GATE (MJ/kg)","CED, processor gate (MJ/kg)"),INDIRECT($K353)),GETPIVOTDATA(IF($J353=1,"Count of ACTIVE     CED, FARM GATE (MJ/kg)","Count of CED, processor gate (MJ/kg)"),'Pivot Table_CED'!$A$3,"SUB TYPE",$B353))</f>
        <v>1</v>
      </c>
      <c r="N353" s="119">
        <f ca="1">IF($L353="PROXY",DAVERAGE('literature entries'!$D:$AI,IF($J353=1,"ACTIVE     CED, FARM GATE (MJ/kg)","CED, processor gate (MJ/kg)"),INDIRECT($K353)),GETPIVOTDATA(IF($J353=1,"Average of ACTIVE     CED, FARM GATE (MJ/kg)","Average of CED, processor gate (MJ/kg)"),'Pivot Table_CED'!$A$3,"SUB TYPE",$B353))</f>
        <v>5.0787000000000004</v>
      </c>
      <c r="O353" s="119">
        <f ca="1">IF($L353="PROXY",DSTDEV('literature entries'!D:AI,IF($J353=1,"ACTIVE     CED, FARM GATE (MJ/kg)","CED, processor gate (MJ/kg)"),INDIRECT($K353)),GETPIVOTDATA(IF($J353=1,"StdDev of ACTIVE     CED, FARM GATE (MJ/kg)","StdDev of CED, processor gate (MJ/kg)"),'Pivot Table_CED'!$A$3,"SUB TYPE",$B353))</f>
        <v>0</v>
      </c>
      <c r="P353" s="135" t="str">
        <f>IF(ISERROR(GETPIVOTDATA(IF($J353=1,"Count of ACTIVE     GHGE, FARM GATE (kg CO2e/kg)","Count of GHGE, processor gate (kg CO2e/kg)"),'Pivot Table_GHG'!$A$3,"SUB TYPE",$B353)),"PROXY",IF(GETPIVOTDATA(IF($J353=1,"Count of ACTIVE     GHGE, FARM GATE (kg CO2e/kg)","Count of GHGE, processor gate (kg CO2e/kg)"),'Pivot Table_GHG'!$A$3,"SUB TYPE",$B353)=0,"PROXY","DB value"))</f>
        <v>DB value</v>
      </c>
      <c r="Q353" s="125">
        <f ca="1">IF($P353="PROXY",DCOUNT('literature entries'!$D:$AI,IF($J353=1,"ACTIVE     GHGE, FARM GATE (kg CO2e/kg)","GHGE, processor gate (kg CO2e/kg)"),INDIRECT($K353)),GETPIVOTDATA(IF($J353=1,"ACTIVE     GHGE, FARM GATE (kg CO2e/kg)","Count of GHGE, processor gate (kg CO2e/kg)"),'Pivot Table_GHG'!$A$3,"SUB TYPE",$B353))</f>
        <v>1</v>
      </c>
      <c r="R353" s="190">
        <f ca="1">IF($P353="PROXY",DAVERAGE('literature entries'!$D:$AI,IF($J353=1,"ACTIVE     GHGE, FARM GATE (kg CO2e/kg)","GHGE, processor gate (kg CO2e/kg)"),INDIRECT($K353)),GETPIVOTDATA(IF($J353=1,"Average of ACTIVE     GHGE, FARM GATE (kg CO2e/kg)","Average of GHGE, processor gate (kg CO2e/kg)"),'Pivot Table_GHG'!$A$3,"SUB TYPE",$B353))</f>
        <v>0.48759999999999998</v>
      </c>
      <c r="S353" s="190" t="e">
        <f ca="1">IF($P353="PROXY",DSTDEV('literature entries'!$D:$AI,IF($J353=1,"ACTIVE     GHGE, FARM GATE (kg CO2e/kg)","GHGE, processor gate (kg CO2e/kg)"),INDIRECT($K353)),GETPIVOTDATA(IF($J353=1,"StdDev of ACTIVE     GHGE, FARM GATE (kg CO2e/kg)","StdDev of GHGE, processor gate (kg CO2e/kg)"),'Pivot Table_GHG'!$A$3,"SUB TYPE",$B353))</f>
        <v>#DIV/0!</v>
      </c>
      <c r="T353" s="88"/>
      <c r="U353" s="89"/>
      <c r="W353" s="213" t="s">
        <v>3364</v>
      </c>
      <c r="X353" s="211">
        <f ca="1">IF($W353="DIRECT",M353,DCOUNT('literature entries'!$D:$AI,IF($J353=1,"ACTIVE     CED, FARM GATE (MJ/kg)","CED, processor gate (MJ/kg)"),INDIRECT($W353)))</f>
        <v>14</v>
      </c>
      <c r="Y353" s="211">
        <f ca="1">IF($W353="DIRECT","",DAVERAGE('literature entries'!$D:$AI,IF($J353=1,"ACTIVE     CED, FARM GATE (MJ/kg)","CED, processor gate (MJ/kg)"),INDIRECT($W353)))</f>
        <v>8.8453455837076262</v>
      </c>
      <c r="Z353" s="211">
        <f ca="1">IF($W353="DIRECT",$O353,DSTDEV('literature entries'!$D:$AI,IF($J353=1,"ACTIVE     CED, FARM GATE (MJ/kg)","CED, processor gate (MJ/kg)"),INDIRECT($W353)))</f>
        <v>17.468328408482019</v>
      </c>
      <c r="AA353" s="211">
        <f t="shared" ca="1" si="48"/>
        <v>10.029726781005108</v>
      </c>
      <c r="AB353" s="219" t="s">
        <v>3364</v>
      </c>
      <c r="AC353" s="212">
        <f ca="1">IF($AB353="DIRECT",Q353,DCOUNT('literature entries'!$D:$AI,IF($J353=1,"ACTIVE     GHGE, FARM GATE (kg CO2e/kg)","GHGE, processor gate (kg CO2e/kg)"),INDIRECT($AB353)))</f>
        <v>13</v>
      </c>
      <c r="AD353" s="212">
        <f ca="1">IF($AB353="DIRECT","",DAVERAGE('literature entries'!$D:$AI,IF($J353=1,"ACTIVE     GHGE, FARM GATE (kg CO2e/kg)","GHGE, processor gate (kg CO2e/kg)"),INDIRECT($AB353)))</f>
        <v>1.0611859137782504</v>
      </c>
      <c r="AE353" s="212">
        <f ca="1">IF($AB353="DIRECT",$S353,DSTDEV('literature entries'!$D:$AI,IF($J353=1,"ACTIVE     GHGE, FARM GATE (kg CO2e/kg)","GHGE, processor gate (kg CO2e/kg)"),INDIRECT($AB353)))</f>
        <v>1.8055997061726943</v>
      </c>
      <c r="AF353" s="212">
        <f t="shared" ca="1" si="49"/>
        <v>0.8296476661617086</v>
      </c>
    </row>
    <row r="354" spans="1:32" s="19" customFormat="1" ht="17" thickBot="1" x14ac:dyDescent="0.25">
      <c r="A354" s="114">
        <v>9500372000</v>
      </c>
      <c r="B354" s="115" t="s">
        <v>2305</v>
      </c>
      <c r="C354" s="115" t="s">
        <v>2306</v>
      </c>
      <c r="D354" s="115"/>
      <c r="E354" s="115">
        <v>7481</v>
      </c>
      <c r="F354" s="111">
        <f t="shared" ca="1" si="46"/>
        <v>53.431428571428569</v>
      </c>
      <c r="G354" s="112">
        <f t="shared" ca="1" si="47"/>
        <v>3.8202857142857143</v>
      </c>
      <c r="H354" s="116">
        <v>1</v>
      </c>
      <c r="I354" s="117" t="s">
        <v>594</v>
      </c>
      <c r="J354" s="79">
        <v>2</v>
      </c>
      <c r="K354" s="78"/>
      <c r="L354" s="135" t="str">
        <f>IF(ISERROR(GETPIVOTDATA(IF($J354=1,"Count of ACTIVE     CED, FARM GATE (MJ/kg)","Count of CED, processor gate (MJ/kg)"),'Pivot Table_CED'!$A$3,"SUB TYPE",$B354)),"PROXY",IF(GETPIVOTDATA(IF($J354=1,"Count of ACTIVE     CED, FARM GATE (MJ/kg)","Count of CED, processor gate (MJ/kg)"),'Pivot Table_CED'!$A$3,"SUB TYPE",$B354)=0,"PROXY","DB value"))</f>
        <v>DB value</v>
      </c>
      <c r="M354" s="118">
        <f ca="1">IF($L354="PROXY",DCOUNT('literature entries'!$D:$AI,IF($J354=1,"ACTIVE     CED, FARM GATE (MJ/kg)","CED, processor gate (MJ/kg)"),INDIRECT($K354)),GETPIVOTDATA(IF($J354=1,"Count of ACTIVE     CED, FARM GATE (MJ/kg)","Count of CED, processor gate (MJ/kg)"),'Pivot Table_CED'!$A$3,"SUB TYPE",$B354))</f>
        <v>3</v>
      </c>
      <c r="N354" s="119">
        <f ca="1">IF($L354="PROXY",DAVERAGE('literature entries'!$D:$AI,IF($J354=1,"ACTIVE     CED, FARM GATE (MJ/kg)","CED, processor gate (MJ/kg)"),INDIRECT($K354)),GETPIVOTDATA(IF($J354=1,"Average of ACTIVE     CED, FARM GATE (MJ/kg)","Average of CED, processor gate (MJ/kg)"),'Pivot Table_CED'!$A$3,"SUB TYPE",$B354))</f>
        <v>53.431428571428569</v>
      </c>
      <c r="O354" s="119">
        <f ca="1">IF($L354="PROXY",DSTDEV('literature entries'!D:AI,IF($J354=1,"ACTIVE     CED, FARM GATE (MJ/kg)","CED, processor gate (MJ/kg)"),INDIRECT($K354)),GETPIVOTDATA(IF($J354=1,"StdDev of ACTIVE     CED, FARM GATE (MJ/kg)","StdDev of CED, processor gate (MJ/kg)"),'Pivot Table_CED'!$A$3,"SUB TYPE",$B354))</f>
        <v>3.7764068874516132</v>
      </c>
      <c r="P354" s="135" t="str">
        <f>IF(ISERROR(GETPIVOTDATA(IF($J354=1,"Count of ACTIVE     GHGE, FARM GATE (kg CO2e/kg)","Count of GHGE, processor gate (kg CO2e/kg)"),'Pivot Table_GHG'!$A$3,"SUB TYPE",$B354)),"PROXY",IF(GETPIVOTDATA(IF($J354=1,"Count of ACTIVE     GHGE, FARM GATE (kg CO2e/kg)","Count of GHGE, processor gate (kg CO2e/kg)"),'Pivot Table_GHG'!$A$3,"SUB TYPE",$B354)=0,"PROXY","DB value"))</f>
        <v>DB value</v>
      </c>
      <c r="Q354" s="125">
        <f ca="1">IF($P354="PROXY",DCOUNT('literature entries'!$D:$AI,IF($J354=1,"ACTIVE     GHGE, FARM GATE (kg CO2e/kg)","GHGE, processor gate (kg CO2e/kg)"),INDIRECT($K354)),GETPIVOTDATA(IF($J354=1,"ACTIVE     GHGE, FARM GATE (kg CO2e/kg)","Count of GHGE, processor gate (kg CO2e/kg)"),'Pivot Table_GHG'!$A$3,"SUB TYPE",$B354))</f>
        <v>5</v>
      </c>
      <c r="R354" s="190">
        <f ca="1">IF($P354="PROXY",DAVERAGE('literature entries'!$D:$AI,IF($J354=1,"ACTIVE     GHGE, FARM GATE (kg CO2e/kg)","GHGE, processor gate (kg CO2e/kg)"),INDIRECT($K354)),GETPIVOTDATA(IF($J354=1,"Average of ACTIVE     GHGE, FARM GATE (kg CO2e/kg)","Average of GHGE, processor gate (kg CO2e/kg)"),'Pivot Table_GHG'!$A$3,"SUB TYPE",$B354))</f>
        <v>3.8202857142857143</v>
      </c>
      <c r="S354" s="190">
        <f ca="1">IF($P354="PROXY",DSTDEV('literature entries'!$D:$AI,IF($J354=1,"ACTIVE     GHGE, FARM GATE (kg CO2e/kg)","GHGE, processor gate (kg CO2e/kg)"),INDIRECT($K354)),GETPIVOTDATA(IF($J354=1,"StdDev of ACTIVE     GHGE, FARM GATE (kg CO2e/kg)","StdDev of GHGE, processor gate (kg CO2e/kg)"),'Pivot Table_GHG'!$A$3,"SUB TYPE",$B354))</f>
        <v>2.4468664675874909</v>
      </c>
      <c r="T354" s="88"/>
      <c r="U354" s="89"/>
      <c r="W354" s="213" t="s">
        <v>3365</v>
      </c>
      <c r="X354" s="211">
        <f ca="1">IF($W354="DIRECT",M354,DCOUNT('literature entries'!$D:$AI,IF($J354=1,"ACTIVE     CED, FARM GATE (MJ/kg)","CED, processor gate (MJ/kg)"),INDIRECT($W354)))</f>
        <v>9</v>
      </c>
      <c r="Y354" s="211">
        <f ca="1">IF($W354="DIRECT","",DAVERAGE('literature entries'!$D:$AI,IF($J354=1,"ACTIVE     CED, FARM GATE (MJ/kg)","CED, processor gate (MJ/kg)"),INDIRECT($W354)))</f>
        <v>40.585858261850497</v>
      </c>
      <c r="Z354" s="211">
        <f ca="1">IF($W354="DIRECT",$O354,DSTDEV('literature entries'!$D:$AI,IF($J354=1,"ACTIVE     CED, FARM GATE (MJ/kg)","CED, processor gate (MJ/kg)"),INDIRECT($W354)))</f>
        <v>29.424950608067736</v>
      </c>
      <c r="AA354" s="211">
        <f t="shared" ca="1" si="48"/>
        <v>38.738053449287833</v>
      </c>
      <c r="AB354" s="219" t="str">
        <f ca="1">IF(P354="PROXY",IF(Q354&gt;=5,K354,"need group"),IF(Q354&gt;=5,"DIRECT","need group"))</f>
        <v>DIRECT</v>
      </c>
      <c r="AC354" s="212">
        <f ca="1">IF($AB354="DIRECT",Q354,DCOUNT('literature entries'!$D:$AI,IF($J354=1,"ACTIVE     GHGE, FARM GATE (kg CO2e/kg)","GHGE, processor gate (kg CO2e/kg)"),INDIRECT($AB354)))</f>
        <v>5</v>
      </c>
      <c r="AD354" s="212" t="str">
        <f ca="1">IF($AB354="DIRECT","",DAVERAGE('literature entries'!$D:$AI,IF($J354=1,"ACTIVE     GHGE, FARM GATE (kg CO2e/kg)","GHGE, processor gate (kg CO2e/kg)"),INDIRECT($AB354)))</f>
        <v/>
      </c>
      <c r="AE354" s="212">
        <f ca="1">IF($AB354="DIRECT",$S354,DSTDEV('literature entries'!$D:$AI,IF($J354=1,"ACTIVE     GHGE, FARM GATE (kg CO2e/kg)","GHGE, processor gate (kg CO2e/kg)"),INDIRECT($AB354)))</f>
        <v>2.4468664675874909</v>
      </c>
      <c r="AF354" s="212">
        <f t="shared" ca="1" si="49"/>
        <v>2.4468664675874909</v>
      </c>
    </row>
    <row r="355" spans="1:32" s="19" customFormat="1" thickBot="1" x14ac:dyDescent="0.25">
      <c r="A355" s="114">
        <v>9500373000</v>
      </c>
      <c r="B355" s="115" t="s">
        <v>2307</v>
      </c>
      <c r="C355" s="115" t="s">
        <v>2308</v>
      </c>
      <c r="D355" s="115"/>
      <c r="E355" s="115">
        <v>4160</v>
      </c>
      <c r="F355" s="111">
        <f t="shared" ca="1" si="46"/>
        <v>154.95114285714286</v>
      </c>
      <c r="G355" s="112">
        <f t="shared" ca="1" si="47"/>
        <v>11.078828571428572</v>
      </c>
      <c r="H355" s="120">
        <v>2.9</v>
      </c>
      <c r="I355" s="120" t="s">
        <v>3310</v>
      </c>
      <c r="J355" s="79">
        <v>2</v>
      </c>
      <c r="K355" s="78" t="s">
        <v>3309</v>
      </c>
      <c r="L355" s="135" t="str">
        <f>IF(ISERROR(GETPIVOTDATA(IF($J355=1,"Count of ACTIVE     CED, FARM GATE (MJ/kg)","Count of CED, processor gate (MJ/kg)"),'Pivot Table_CED'!$A$3,"SUB TYPE",$B355)),"PROXY",IF(GETPIVOTDATA(IF($J355=1,"Count of ACTIVE     CED, FARM GATE (MJ/kg)","Count of CED, processor gate (MJ/kg)"),'Pivot Table_CED'!$A$3,"SUB TYPE",$B355)=0,"PROXY","DB value"))</f>
        <v>PROXY</v>
      </c>
      <c r="M355" s="118">
        <f ca="1">IF($L355="PROXY",DCOUNT('literature entries'!$D:$AI,IF($J355=1,"ACTIVE     CED, FARM GATE (MJ/kg)","CED, processor gate (MJ/kg)"),INDIRECT($K355)),GETPIVOTDATA(IF($J355=1,"Count of ACTIVE     CED, FARM GATE (MJ/kg)","Count of CED, processor gate (MJ/kg)"),'Pivot Table_CED'!$A$3,"SUB TYPE",$B355))</f>
        <v>3</v>
      </c>
      <c r="N355" s="119">
        <f ca="1">IF($L355="PROXY",DAVERAGE('literature entries'!$D:$AI,IF($J355=1,"ACTIVE     CED, FARM GATE (MJ/kg)","CED, processor gate (MJ/kg)"),INDIRECT($K355)),GETPIVOTDATA(IF($J355=1,"Average of ACTIVE     CED, FARM GATE (MJ/kg)","Average of CED, processor gate (MJ/kg)"),'Pivot Table_CED'!$A$3,"SUB TYPE",$B355))</f>
        <v>53.431428571428569</v>
      </c>
      <c r="O355" s="119">
        <f ca="1">IF($L355="PROXY",DSTDEV('literature entries'!D:AI,IF($J355=1,"ACTIVE     CED, FARM GATE (MJ/kg)","CED, processor gate (MJ/kg)"),INDIRECT($K355)),GETPIVOTDATA(IF($J355=1,"StdDev of ACTIVE     CED, FARM GATE (MJ/kg)","StdDev of CED, processor gate (MJ/kg)"),'Pivot Table_CED'!$A$3,"SUB TYPE",$B355))</f>
        <v>3.7764068874515941</v>
      </c>
      <c r="P355" s="135" t="str">
        <f>IF(ISERROR(GETPIVOTDATA(IF($J355=1,"Count of ACTIVE     GHGE, FARM GATE (kg CO2e/kg)","Count of GHGE, processor gate (kg CO2e/kg)"),'Pivot Table_GHG'!$A$3,"SUB TYPE",$B355)),"PROXY",IF(GETPIVOTDATA(IF($J355=1,"Count of ACTIVE     GHGE, FARM GATE (kg CO2e/kg)","Count of GHGE, processor gate (kg CO2e/kg)"),'Pivot Table_GHG'!$A$3,"SUB TYPE",$B355)=0,"PROXY","DB value"))</f>
        <v>PROXY</v>
      </c>
      <c r="Q355" s="125">
        <f ca="1">IF($P355="PROXY",DCOUNT('literature entries'!$D:$AI,IF($J355=1,"ACTIVE     GHGE, FARM GATE (kg CO2e/kg)","GHGE, processor gate (kg CO2e/kg)"),INDIRECT($K355)),GETPIVOTDATA(IF($J355=1,"ACTIVE     GHGE, FARM GATE (kg CO2e/kg)","Count of GHGE, processor gate (kg CO2e/kg)"),'Pivot Table_GHG'!$A$3,"SUB TYPE",$B355))</f>
        <v>5</v>
      </c>
      <c r="R355" s="190">
        <f ca="1">IF($P355="PROXY",DAVERAGE('literature entries'!$D:$AI,IF($J355=1,"ACTIVE     GHGE, FARM GATE (kg CO2e/kg)","GHGE, processor gate (kg CO2e/kg)"),INDIRECT($K355)),GETPIVOTDATA(IF($J355=1,"Average of ACTIVE     GHGE, FARM GATE (kg CO2e/kg)","Average of GHGE, processor gate (kg CO2e/kg)"),'Pivot Table_GHG'!$A$3,"SUB TYPE",$B355))</f>
        <v>3.8202857142857143</v>
      </c>
      <c r="S355" s="190">
        <f ca="1">IF($P355="PROXY",DSTDEV('literature entries'!$D:$AI,IF($J355=1,"ACTIVE     GHGE, FARM GATE (kg CO2e/kg)","GHGE, processor gate (kg CO2e/kg)"),INDIRECT($K355)),GETPIVOTDATA(IF($J355=1,"StdDev of ACTIVE     GHGE, FARM GATE (kg CO2e/kg)","StdDev of GHGE, processor gate (kg CO2e/kg)"),'Pivot Table_GHG'!$A$3,"SUB TYPE",$B355))</f>
        <v>2.4468664675874909</v>
      </c>
      <c r="T355" s="88"/>
      <c r="U355" s="89"/>
      <c r="W355" s="213" t="s">
        <v>3365</v>
      </c>
      <c r="X355" s="211">
        <f ca="1">IF($W355="DIRECT",M355,DCOUNT('literature entries'!$D:$AI,IF($J355=1,"ACTIVE     CED, FARM GATE (MJ/kg)","CED, processor gate (MJ/kg)"),INDIRECT($W355)))</f>
        <v>9</v>
      </c>
      <c r="Y355" s="211">
        <f ca="1">IF($W355="DIRECT","",DAVERAGE('literature entries'!$D:$AI,IF($J355=1,"ACTIVE     CED, FARM GATE (MJ/kg)","CED, processor gate (MJ/kg)"),INDIRECT($W355)))</f>
        <v>40.585858261850497</v>
      </c>
      <c r="Z355" s="211">
        <f ca="1">IF($W355="DIRECT",$O355,DSTDEV('literature entries'!$D:$AI,IF($J355=1,"ACTIVE     CED, FARM GATE (MJ/kg)","CED, processor gate (MJ/kg)"),INDIRECT($W355)))</f>
        <v>29.424950608067736</v>
      </c>
      <c r="AA355" s="211">
        <f t="shared" ca="1" si="48"/>
        <v>38.738053449287833</v>
      </c>
      <c r="AB355" s="219" t="str">
        <f ca="1">IF(P355="PROXY",IF(Q355&gt;=5,K355,"need group"),IF(Q355&gt;=5,"DIRECT","need group"))</f>
        <v>tea</v>
      </c>
      <c r="AC355" s="212">
        <f ca="1">IF($AB355="DIRECT",Q355,DCOUNT('literature entries'!$D:$AI,IF($J355=1,"ACTIVE     GHGE, FARM GATE (kg CO2e/kg)","GHGE, processor gate (kg CO2e/kg)"),INDIRECT($AB355)))</f>
        <v>5</v>
      </c>
      <c r="AD355" s="212">
        <f ca="1">IF($AB355="DIRECT","",DAVERAGE('literature entries'!$D:$AI,IF($J355=1,"ACTIVE     GHGE, FARM GATE (kg CO2e/kg)","GHGE, processor gate (kg CO2e/kg)"),INDIRECT($AB355)))</f>
        <v>3.8202857142857143</v>
      </c>
      <c r="AE355" s="212">
        <f ca="1">IF($AB355="DIRECT",$S355,DSTDEV('literature entries'!$D:$AI,IF($J355=1,"ACTIVE     GHGE, FARM GATE (kg CO2e/kg)","GHGE, processor gate (kg CO2e/kg)"),INDIRECT($AB355)))</f>
        <v>2.4468664675874909</v>
      </c>
      <c r="AF355" s="212">
        <f t="shared" ca="1" si="49"/>
        <v>2.4468664675874909</v>
      </c>
    </row>
    <row r="356" spans="1:32" s="19" customFormat="1" ht="17" thickBot="1" x14ac:dyDescent="0.25">
      <c r="A356" s="114">
        <v>9500390000</v>
      </c>
      <c r="B356" s="115" t="s">
        <v>2333</v>
      </c>
      <c r="C356" s="115" t="s">
        <v>2334</v>
      </c>
      <c r="D356" s="115"/>
      <c r="E356" s="115">
        <v>30618</v>
      </c>
      <c r="F356" s="198">
        <f ca="1">N356*H356+T356+5.282</f>
        <v>7.9856947234500009</v>
      </c>
      <c r="G356" s="199">
        <f ca="1">R356*H356+U356+0.97907912608</f>
        <v>1.3185882869971126</v>
      </c>
      <c r="H356" s="116">
        <v>1.5</v>
      </c>
      <c r="I356" s="117" t="s">
        <v>594</v>
      </c>
      <c r="J356" s="79">
        <v>1</v>
      </c>
      <c r="K356" s="188" t="s">
        <v>848</v>
      </c>
      <c r="L356" s="135" t="str">
        <f>IF(ISERROR(GETPIVOTDATA(IF($J356=1,"Count of ACTIVE     CED, FARM GATE (MJ/kg)","Count of CED, processor gate (MJ/kg)"),'Pivot Table_CED'!$A$3,"SUB TYPE",$B356)),"PROXY",IF(GETPIVOTDATA(IF($J356=1,"Count of ACTIVE     CED, FARM GATE (MJ/kg)","Count of CED, processor gate (MJ/kg)"),'Pivot Table_CED'!$A$3,"SUB TYPE",$B356)=0,"PROXY","DB value"))</f>
        <v>PROXY</v>
      </c>
      <c r="M356" s="118">
        <f ca="1">IF($L356="PROXY",DCOUNT('literature entries'!$D:$AI,IF($J356=1,"ACTIVE     CED, FARM GATE (MJ/kg)","CED, processor gate (MJ/kg)"),INDIRECT($K356)),GETPIVOTDATA(IF($J356=1,"Count of ACTIVE     CED, FARM GATE (MJ/kg)","Count of CED, processor gate (MJ/kg)"),'Pivot Table_CED'!$A$3,"SUB TYPE",$B356))</f>
        <v>18</v>
      </c>
      <c r="N356" s="119">
        <f ca="1">IF($L356="PROXY",DAVERAGE('literature entries'!$D:$AI,IF($J356=1,"ACTIVE     CED, FARM GATE (MJ/kg)","CED, processor gate (MJ/kg)"),INDIRECT($K356)),GETPIVOTDATA(IF($J356=1,"Average of ACTIVE     CED, FARM GATE (MJ/kg)","Average of CED, processor gate (MJ/kg)"),'Pivot Table_CED'!$A$3,"SUB TYPE",$B356))</f>
        <v>1.4371666666666671</v>
      </c>
      <c r="O356" s="119">
        <f ca="1">IF($L356="PROXY",DSTDEV('literature entries'!D:AI,IF($J356=1,"ACTIVE     CED, FARM GATE (MJ/kg)","CED, processor gate (MJ/kg)"),INDIRECT($K356)),GETPIVOTDATA(IF($J356=1,"StdDev of ACTIVE     CED, FARM GATE (MJ/kg)","StdDev of CED, processor gate (MJ/kg)"),'Pivot Table_CED'!$A$3,"SUB TYPE",$B356))</f>
        <v>1.3479662458681962</v>
      </c>
      <c r="P356" s="135" t="str">
        <f>IF(ISERROR(GETPIVOTDATA(IF($J356=1,"Count of ACTIVE     GHGE, FARM GATE (kg CO2e/kg)","Count of GHGE, processor gate (kg CO2e/kg)"),'Pivot Table_GHG'!$A$3,"SUB TYPE",$B356)),"PROXY",IF(GETPIVOTDATA(IF($J356=1,"Count of ACTIVE     GHGE, FARM GATE (kg CO2e/kg)","Count of GHGE, processor gate (kg CO2e/kg)"),'Pivot Table_GHG'!$A$3,"SUB TYPE",$B356)=0,"PROXY","DB value"))</f>
        <v>PROXY</v>
      </c>
      <c r="Q356" s="125">
        <f ca="1">IF($P356="PROXY",DCOUNT('literature entries'!$D:$AI,IF($J356=1,"ACTIVE     GHGE, FARM GATE (kg CO2e/kg)","GHGE, processor gate (kg CO2e/kg)"),INDIRECT($K356)),GETPIVOTDATA(IF($J356=1,"ACTIVE     GHGE, FARM GATE (kg CO2e/kg)","Count of GHGE, processor gate (kg CO2e/kg)"),'Pivot Table_GHG'!$A$3,"SUB TYPE",$B356))</f>
        <v>36</v>
      </c>
      <c r="R356" s="192">
        <f ca="1">IF($P356="PROXY",DAVERAGE('literature entries'!$D:$AI,IF($J356=1,"ACTIVE     GHGE, FARM GATE (kg CO2e/kg)","GHGE, processor gate (kg CO2e/kg)"),INDIRECT($K356)),GETPIVOTDATA(IF($J356=1,"Average of ACTIVE     GHGE, FARM GATE (kg CO2e/kg)","Average of GHGE, processor gate (kg CO2e/kg)"),'Pivot Table_GHG'!$A$3,"SUB TYPE",$B356))</f>
        <v>0.20576432077140835</v>
      </c>
      <c r="S356" s="190">
        <f ca="1">IF($P356="PROXY",DSTDEV('literature entries'!$D:$AI,IF($J356=1,"ACTIVE     GHGE, FARM GATE (kg CO2e/kg)","GHGE, processor gate (kg CO2e/kg)"),INDIRECT($K356)),GETPIVOTDATA(IF($J356=1,"StdDev of ACTIVE     GHGE, FARM GATE (kg CO2e/kg)","StdDev of GHGE, processor gate (kg CO2e/kg)"),'Pivot Table_GHG'!$A$3,"SUB TYPE",$B356))</f>
        <v>0.21608589641208981</v>
      </c>
      <c r="T356" s="88">
        <v>0.54794472345</v>
      </c>
      <c r="U356" s="89">
        <v>3.0862679760000001E-2</v>
      </c>
      <c r="W356" s="213" t="str">
        <f ca="1">IF(L356="PROXY",IF(M356&gt;=5,K356,"need group"),IF(M356&gt;=5,"DIRECT","need group"))</f>
        <v>apple</v>
      </c>
      <c r="X356" s="211">
        <f ca="1">IF($W356="DIRECT",M356,DCOUNT('literature entries'!$D:$AI,IF($J356=1,"ACTIVE     CED, FARM GATE (MJ/kg)","CED, processor gate (MJ/kg)"),INDIRECT($W356)))</f>
        <v>18</v>
      </c>
      <c r="Y356" s="211">
        <f ca="1">IF($W356="DIRECT","",DAVERAGE('literature entries'!$D:$AI,IF($J356=1,"ACTIVE     CED, FARM GATE (MJ/kg)","CED, processor gate (MJ/kg)"),INDIRECT($W356)))</f>
        <v>1.4371666666666671</v>
      </c>
      <c r="Z356" s="211">
        <f ca="1">IF($W356="DIRECT",$O356,DSTDEV('literature entries'!$D:$AI,IF($J356=1,"ACTIVE     CED, FARM GATE (MJ/kg)","CED, processor gate (MJ/kg)"),INDIRECT($W356)))</f>
        <v>1.3479662458681962</v>
      </c>
      <c r="AA356" s="211">
        <f t="shared" ca="1" si="48"/>
        <v>1.3479662458681962</v>
      </c>
      <c r="AB356" s="219" t="str">
        <f ca="1">IF(P356="PROXY",IF(Q356&gt;=5,K356,"need group"),IF(Q356&gt;=5,"DIRECT","need group"))</f>
        <v>apple</v>
      </c>
      <c r="AC356" s="212">
        <f ca="1">IF($AB356="DIRECT",Q356,DCOUNT('literature entries'!$D:$AI,IF($J356=1,"ACTIVE     GHGE, FARM GATE (kg CO2e/kg)","GHGE, processor gate (kg CO2e/kg)"),INDIRECT($AB356)))</f>
        <v>36</v>
      </c>
      <c r="AD356" s="212">
        <f ca="1">IF($AB356="DIRECT","",DAVERAGE('literature entries'!$D:$AI,IF($J356=1,"ACTIVE     GHGE, FARM GATE (kg CO2e/kg)","GHGE, processor gate (kg CO2e/kg)"),INDIRECT($AB356)))</f>
        <v>0.20576432077140835</v>
      </c>
      <c r="AE356" s="212">
        <f ca="1">IF($AB356="DIRECT",$S356,DSTDEV('literature entries'!$D:$AI,IF($J356=1,"ACTIVE     GHGE, FARM GATE (kg CO2e/kg)","GHGE, processor gate (kg CO2e/kg)"),INDIRECT($AB356)))</f>
        <v>0.21608589641208981</v>
      </c>
      <c r="AF356" s="212">
        <f t="shared" ca="1" si="49"/>
        <v>0.21608589641208981</v>
      </c>
    </row>
    <row r="357" spans="1:32" s="19" customFormat="1" ht="17" thickBot="1" x14ac:dyDescent="0.25">
      <c r="A357" s="128">
        <v>9500397000</v>
      </c>
      <c r="B357" s="129" t="s">
        <v>2336</v>
      </c>
      <c r="C357" s="129" t="s">
        <v>2337</v>
      </c>
      <c r="D357" s="129"/>
      <c r="E357" s="129">
        <v>961</v>
      </c>
      <c r="F357" s="111">
        <f ca="1">N357*H357+T357</f>
        <v>1.8486928571428569</v>
      </c>
      <c r="G357" s="112">
        <f ca="1">R357*H357+U357</f>
        <v>0.27742000000000006</v>
      </c>
      <c r="H357" s="131">
        <v>1.3</v>
      </c>
      <c r="I357" s="132" t="s">
        <v>2724</v>
      </c>
      <c r="J357" s="133">
        <v>1</v>
      </c>
      <c r="K357" s="130" t="s">
        <v>2455</v>
      </c>
      <c r="L357" s="135" t="str">
        <f>IF(ISERROR(GETPIVOTDATA(IF($J357=1,"Count of ACTIVE     CED, FARM GATE (MJ/kg)","Count of CED, processor gate (MJ/kg)"),'Pivot Table_CED'!$A$3,"SUB TYPE",$B357)),"PROXY",IF(GETPIVOTDATA(IF($J357=1,"Count of ACTIVE     CED, FARM GATE (MJ/kg)","Count of CED, processor gate (MJ/kg)"),'Pivot Table_CED'!$A$3,"SUB TYPE",$B357)=0,"PROXY","DB value"))</f>
        <v>PROXY</v>
      </c>
      <c r="M357" s="118">
        <f ca="1">IF($L357="PROXY",DCOUNT('literature entries'!$D:$AI,IF($J357=1,"ACTIVE     CED, FARM GATE (MJ/kg)","CED, processor gate (MJ/kg)"),INDIRECT($K357)),GETPIVOTDATA(IF($J357=1,"Count of ACTIVE     CED, FARM GATE (MJ/kg)","Count of CED, processor gate (MJ/kg)"),'Pivot Table_CED'!$A$3,"SUB TYPE",$B357))</f>
        <v>14</v>
      </c>
      <c r="N357" s="119">
        <f ca="1">IF($L357="PROXY",DAVERAGE('literature entries'!$D:$AI,IF($J357=1,"ACTIVE     CED, FARM GATE (MJ/kg)","CED, processor gate (MJ/kg)"),INDIRECT($K357)),GETPIVOTDATA(IF($J357=1,"Average of ACTIVE     CED, FARM GATE (MJ/kg)","Average of CED, processor gate (MJ/kg)"),'Pivot Table_CED'!$A$3,"SUB TYPE",$B357))</f>
        <v>1.4220714285714284</v>
      </c>
      <c r="O357" s="119">
        <f ca="1">IF($L357="PROXY",DSTDEV('literature entries'!D:AI,IF($J357=1,"ACTIVE     CED, FARM GATE (MJ/kg)","CED, processor gate (MJ/kg)"),INDIRECT($K357)),GETPIVOTDATA(IF($J357=1,"StdDev of ACTIVE     CED, FARM GATE (MJ/kg)","StdDev of CED, processor gate (MJ/kg)"),'Pivot Table_CED'!$A$3,"SUB TYPE",$B357))</f>
        <v>0.57442043892896122</v>
      </c>
      <c r="P357" s="135" t="str">
        <f>IF(ISERROR(GETPIVOTDATA(IF($J357=1,"Count of ACTIVE     GHGE, FARM GATE (kg CO2e/kg)","Count of GHGE, processor gate (kg CO2e/kg)"),'Pivot Table_GHG'!$A$3,"SUB TYPE",$B357)),"PROXY",IF(GETPIVOTDATA(IF($J357=1,"Count of ACTIVE     GHGE, FARM GATE (kg CO2e/kg)","Count of GHGE, processor gate (kg CO2e/kg)"),'Pivot Table_GHG'!$A$3,"SUB TYPE",$B357)=0,"PROXY","DB value"))</f>
        <v>PROXY</v>
      </c>
      <c r="Q357" s="125">
        <f ca="1">IF($P357="PROXY",DCOUNT('literature entries'!$D:$AI,IF($J357=1,"ACTIVE     GHGE, FARM GATE (kg CO2e/kg)","GHGE, processor gate (kg CO2e/kg)"),INDIRECT($K357)),GETPIVOTDATA(IF($J357=1,"ACTIVE     GHGE, FARM GATE (kg CO2e/kg)","Count of GHGE, processor gate (kg CO2e/kg)"),'Pivot Table_GHG'!$A$3,"SUB TYPE",$B357))</f>
        <v>25</v>
      </c>
      <c r="R357" s="190">
        <f ca="1">IF($P357="PROXY",DAVERAGE('literature entries'!$D:$AI,IF($J357=1,"ACTIVE     GHGE, FARM GATE (kg CO2e/kg)","GHGE, processor gate (kg CO2e/kg)"),INDIRECT($K357)),GETPIVOTDATA(IF($J357=1,"Average of ACTIVE     GHGE, FARM GATE (kg CO2e/kg)","Average of GHGE, processor gate (kg CO2e/kg)"),'Pivot Table_GHG'!$A$3,"SUB TYPE",$B357))</f>
        <v>0.21340000000000003</v>
      </c>
      <c r="S357" s="190">
        <f ca="1">IF($P357="PROXY",DSTDEV('literature entries'!$D:$AI,IF($J357=1,"ACTIVE     GHGE, FARM GATE (kg CO2e/kg)","GHGE, processor gate (kg CO2e/kg)"),INDIRECT($K357)),GETPIVOTDATA(IF($J357=1,"StdDev of ACTIVE     GHGE, FARM GATE (kg CO2e/kg)","StdDev of GHGE, processor gate (kg CO2e/kg)"),'Pivot Table_GHG'!$A$3,"SUB TYPE",$B357))</f>
        <v>0.17992035274902424</v>
      </c>
      <c r="T357" s="96"/>
      <c r="U357" s="97"/>
      <c r="W357" s="213" t="str">
        <f ca="1">IF(L357="PROXY",IF(M357&gt;=5,K357,"need group"),IF(M357&gt;=5,"DIRECT","need group"))</f>
        <v>roots</v>
      </c>
      <c r="X357" s="211">
        <f ca="1">IF($W357="DIRECT",M357,DCOUNT('literature entries'!$D:$AI,IF($J357=1,"ACTIVE     CED, FARM GATE (MJ/kg)","CED, processor gate (MJ/kg)"),INDIRECT($W357)))</f>
        <v>14</v>
      </c>
      <c r="Y357" s="211">
        <f ca="1">IF($W357="DIRECT","",DAVERAGE('literature entries'!$D:$AI,IF($J357=1,"ACTIVE     CED, FARM GATE (MJ/kg)","CED, processor gate (MJ/kg)"),INDIRECT($W357)))</f>
        <v>1.4220714285714284</v>
      </c>
      <c r="Z357" s="211">
        <f ca="1">IF($W357="DIRECT",$O357,DSTDEV('literature entries'!$D:$AI,IF($J357=1,"ACTIVE     CED, FARM GATE (MJ/kg)","CED, processor gate (MJ/kg)"),INDIRECT($W357)))</f>
        <v>0.57442043892896122</v>
      </c>
      <c r="AA357" s="211">
        <f t="shared" ca="1" si="48"/>
        <v>0.57442043892896122</v>
      </c>
      <c r="AB357" s="219" t="str">
        <f ca="1">IF(P357="PROXY",IF(Q357&gt;=5,K357,"need group"),IF(Q357&gt;=5,"DIRECT","need group"))</f>
        <v>roots</v>
      </c>
      <c r="AC357" s="212">
        <f ca="1">IF($AB357="DIRECT",Q357,DCOUNT('literature entries'!$D:$AI,IF($J357=1,"ACTIVE     GHGE, FARM GATE (kg CO2e/kg)","GHGE, processor gate (kg CO2e/kg)"),INDIRECT($AB357)))</f>
        <v>25</v>
      </c>
      <c r="AD357" s="212">
        <f ca="1">IF($AB357="DIRECT","",DAVERAGE('literature entries'!$D:$AI,IF($J357=1,"ACTIVE     GHGE, FARM GATE (kg CO2e/kg)","GHGE, processor gate (kg CO2e/kg)"),INDIRECT($AB357)))</f>
        <v>0.21340000000000003</v>
      </c>
      <c r="AE357" s="212">
        <f ca="1">IF($AB357="DIRECT",$S357,DSTDEV('literature entries'!$D:$AI,IF($J357=1,"ACTIVE     GHGE, FARM GATE (kg CO2e/kg)","GHGE, processor gate (kg CO2e/kg)"),INDIRECT($AB357)))</f>
        <v>0.17992035274902424</v>
      </c>
      <c r="AF357" s="212">
        <f t="shared" ca="1" si="49"/>
        <v>0.17992035274902424</v>
      </c>
    </row>
    <row r="358" spans="1:32" x14ac:dyDescent="0.2">
      <c r="A358" s="4"/>
      <c r="B358" s="4"/>
      <c r="C358" s="4"/>
      <c r="D358" s="4"/>
      <c r="E358" s="4"/>
      <c r="K358" s="4"/>
    </row>
    <row r="359" spans="1:32" x14ac:dyDescent="0.2">
      <c r="A359" s="4"/>
      <c r="B359" s="4"/>
      <c r="C359" s="4"/>
      <c r="D359" s="4"/>
      <c r="E359" s="4"/>
      <c r="K359" s="4"/>
      <c r="L359" s="136"/>
      <c r="P359" s="136"/>
    </row>
    <row r="360" spans="1:32" x14ac:dyDescent="0.2">
      <c r="A360" s="4"/>
      <c r="B360" s="4"/>
      <c r="C360" s="4"/>
      <c r="D360" s="4"/>
      <c r="E360" s="4"/>
      <c r="K360" s="4"/>
    </row>
    <row r="361" spans="1:32" x14ac:dyDescent="0.2">
      <c r="A361" s="4"/>
      <c r="B361" s="4"/>
      <c r="C361" s="4"/>
      <c r="D361" s="4"/>
      <c r="E361" s="4"/>
      <c r="K361" s="4"/>
    </row>
    <row r="362" spans="1:32" x14ac:dyDescent="0.2">
      <c r="A362" s="4"/>
      <c r="B362" s="4"/>
      <c r="C362" s="4"/>
      <c r="D362" s="4"/>
      <c r="E362" s="4"/>
      <c r="K362" s="4"/>
    </row>
    <row r="363" spans="1:32" x14ac:dyDescent="0.2">
      <c r="A363" s="4"/>
      <c r="B363" s="4"/>
      <c r="C363" s="4"/>
      <c r="D363" s="4"/>
      <c r="E363" s="4"/>
      <c r="K363" s="4"/>
    </row>
    <row r="364" spans="1:32" x14ac:dyDescent="0.2">
      <c r="A364" s="4"/>
      <c r="B364" s="4"/>
      <c r="C364" s="4"/>
      <c r="D364" s="4"/>
      <c r="E364" s="4"/>
      <c r="K364" s="4"/>
    </row>
    <row r="365" spans="1:32" x14ac:dyDescent="0.2">
      <c r="A365" s="4"/>
      <c r="B365" s="4"/>
      <c r="C365" s="4"/>
      <c r="D365" s="4"/>
      <c r="E365" s="4"/>
      <c r="K365" s="4"/>
    </row>
    <row r="366" spans="1:32" x14ac:dyDescent="0.2">
      <c r="A366" s="4"/>
      <c r="B366" s="4"/>
      <c r="C366" s="4"/>
      <c r="D366" s="4"/>
      <c r="E366" s="4"/>
      <c r="K366" s="4"/>
    </row>
    <row r="367" spans="1:32" x14ac:dyDescent="0.2">
      <c r="A367" s="4"/>
      <c r="B367" s="4"/>
      <c r="C367" s="4"/>
      <c r="D367" s="4"/>
      <c r="E367" s="4"/>
      <c r="K367" s="4"/>
    </row>
    <row r="368" spans="1:32" x14ac:dyDescent="0.2">
      <c r="A368" s="4"/>
      <c r="B368" s="4"/>
      <c r="C368" s="4"/>
      <c r="D368" s="4"/>
      <c r="E368" s="4"/>
      <c r="K368" s="4"/>
    </row>
    <row r="369" spans="1:16" x14ac:dyDescent="0.2">
      <c r="A369" s="4"/>
      <c r="B369" s="4"/>
      <c r="C369" s="4"/>
      <c r="D369" s="4"/>
      <c r="E369" s="4"/>
      <c r="K369" s="4"/>
    </row>
    <row r="370" spans="1:16" x14ac:dyDescent="0.2">
      <c r="A370" s="4"/>
      <c r="B370" s="4"/>
      <c r="C370" s="4"/>
      <c r="D370" s="4"/>
      <c r="E370" s="4"/>
      <c r="K370" s="4"/>
    </row>
    <row r="371" spans="1:16" x14ac:dyDescent="0.2">
      <c r="A371" s="4"/>
      <c r="B371" s="4"/>
      <c r="C371" s="4"/>
      <c r="D371" s="4"/>
      <c r="E371" s="4"/>
      <c r="K371" s="4"/>
      <c r="L371" s="137"/>
      <c r="P371" s="137"/>
    </row>
    <row r="372" spans="1:16" x14ac:dyDescent="0.2">
      <c r="A372" s="4"/>
      <c r="B372" s="4"/>
      <c r="C372" s="4"/>
      <c r="D372" s="4"/>
      <c r="E372" s="4"/>
      <c r="K372" s="4"/>
      <c r="L372" s="137"/>
      <c r="P372" s="137"/>
    </row>
    <row r="373" spans="1:16" x14ac:dyDescent="0.2">
      <c r="A373" s="4"/>
      <c r="B373" s="4"/>
      <c r="C373" s="4"/>
      <c r="D373" s="4"/>
      <c r="E373" s="4"/>
      <c r="K373" s="4"/>
      <c r="L373" s="137"/>
      <c r="P373" s="137"/>
    </row>
    <row r="374" spans="1:16" x14ac:dyDescent="0.2">
      <c r="A374" s="4"/>
      <c r="B374" s="4"/>
      <c r="C374" s="4"/>
      <c r="D374" s="4"/>
      <c r="E374" s="4"/>
      <c r="K374" s="4"/>
    </row>
    <row r="375" spans="1:16" x14ac:dyDescent="0.2">
      <c r="A375" s="4"/>
      <c r="B375" s="4"/>
      <c r="C375" s="4"/>
      <c r="D375" s="4"/>
      <c r="E375" s="4"/>
      <c r="K375" s="4"/>
    </row>
    <row r="376" spans="1:16" x14ac:dyDescent="0.2">
      <c r="A376" s="4"/>
      <c r="B376" s="4"/>
      <c r="C376" s="4"/>
      <c r="D376" s="4"/>
      <c r="E376" s="4"/>
      <c r="K376" s="4"/>
    </row>
    <row r="377" spans="1:16" x14ac:dyDescent="0.2">
      <c r="A377" s="4"/>
      <c r="B377" s="4"/>
      <c r="C377" s="4"/>
      <c r="D377" s="4"/>
      <c r="E377" s="4"/>
      <c r="K377" s="4"/>
    </row>
    <row r="378" spans="1:16" x14ac:dyDescent="0.2">
      <c r="A378" s="4"/>
      <c r="B378" s="4"/>
      <c r="C378" s="4"/>
      <c r="D378" s="4"/>
      <c r="E378" s="4"/>
      <c r="K378" s="4"/>
    </row>
    <row r="379" spans="1:16" x14ac:dyDescent="0.2">
      <c r="A379" s="4"/>
      <c r="B379" s="4"/>
      <c r="C379" s="4"/>
      <c r="D379" s="4"/>
      <c r="E379" s="4"/>
      <c r="K379" s="4"/>
    </row>
    <row r="380" spans="1:16" x14ac:dyDescent="0.2">
      <c r="A380" s="4"/>
      <c r="B380" s="4"/>
      <c r="C380" s="4"/>
      <c r="D380" s="4"/>
      <c r="E380" s="4"/>
      <c r="K380" s="4"/>
    </row>
    <row r="381" spans="1:16" x14ac:dyDescent="0.2">
      <c r="A381" s="4"/>
      <c r="B381" s="4"/>
      <c r="C381" s="4"/>
      <c r="D381" s="4"/>
      <c r="E381" s="4"/>
      <c r="K381" s="4"/>
    </row>
    <row r="382" spans="1:16" x14ac:dyDescent="0.2">
      <c r="A382" s="4"/>
      <c r="B382" s="4"/>
      <c r="C382" s="4"/>
      <c r="D382" s="4"/>
      <c r="E382" s="4"/>
      <c r="K382" s="4"/>
    </row>
    <row r="383" spans="1:16" x14ac:dyDescent="0.2">
      <c r="A383" s="4"/>
      <c r="B383" s="4"/>
      <c r="C383" s="4"/>
      <c r="D383" s="4"/>
      <c r="E383" s="4"/>
      <c r="K383" s="4"/>
    </row>
    <row r="384" spans="1:16" x14ac:dyDescent="0.2">
      <c r="A384" s="4"/>
      <c r="B384" s="4"/>
      <c r="C384" s="4"/>
      <c r="D384" s="4"/>
      <c r="E384" s="4"/>
      <c r="K384" s="4"/>
    </row>
    <row r="385" spans="1:14" x14ac:dyDescent="0.2">
      <c r="A385" s="4"/>
      <c r="B385" s="4"/>
      <c r="C385" s="4"/>
      <c r="D385" s="4"/>
      <c r="E385" s="4"/>
      <c r="K385" s="4"/>
    </row>
    <row r="386" spans="1:14" x14ac:dyDescent="0.2">
      <c r="A386" s="4"/>
      <c r="B386" s="4"/>
      <c r="C386" s="4"/>
      <c r="D386" s="4"/>
      <c r="E386" s="4"/>
      <c r="K386" s="4"/>
    </row>
    <row r="387" spans="1:14" x14ac:dyDescent="0.2">
      <c r="A387" s="4"/>
      <c r="B387" s="4"/>
      <c r="C387" s="4"/>
      <c r="D387" s="4"/>
      <c r="E387" s="4"/>
      <c r="K387" s="4"/>
      <c r="N387" s="27"/>
    </row>
    <row r="388" spans="1:14" x14ac:dyDescent="0.2">
      <c r="A388" s="4"/>
      <c r="B388" s="4"/>
      <c r="C388" s="4"/>
      <c r="D388" s="4"/>
      <c r="E388" s="4"/>
      <c r="K388" s="4"/>
      <c r="N388" s="27"/>
    </row>
    <row r="389" spans="1:14" x14ac:dyDescent="0.2">
      <c r="A389" s="4"/>
      <c r="B389" s="4"/>
      <c r="C389" s="4"/>
      <c r="D389" s="4"/>
      <c r="E389" s="4"/>
      <c r="K389" s="4"/>
    </row>
    <row r="390" spans="1:14" x14ac:dyDescent="0.2">
      <c r="A390" s="4"/>
      <c r="C390" s="4"/>
      <c r="D390" s="4"/>
      <c r="E390" s="4"/>
      <c r="H390" s="4"/>
      <c r="K390" s="4"/>
    </row>
    <row r="391" spans="1:14" x14ac:dyDescent="0.2">
      <c r="A391" s="4"/>
      <c r="C391" s="4"/>
      <c r="D391" s="4"/>
      <c r="E391" s="4"/>
      <c r="H391" s="4"/>
      <c r="I391" s="27"/>
      <c r="K391" s="4"/>
    </row>
    <row r="392" spans="1:14" x14ac:dyDescent="0.2">
      <c r="A392" s="4"/>
      <c r="B392" s="4"/>
      <c r="C392" s="4"/>
      <c r="D392" s="4"/>
      <c r="E392" s="4"/>
      <c r="K392" s="4"/>
    </row>
    <row r="393" spans="1:14" x14ac:dyDescent="0.2">
      <c r="A393" s="4"/>
      <c r="B393" s="4"/>
      <c r="C393" s="4"/>
      <c r="D393" s="4"/>
      <c r="E393" s="4"/>
      <c r="K393" s="4"/>
    </row>
    <row r="394" spans="1:14" x14ac:dyDescent="0.2">
      <c r="A394" s="4"/>
      <c r="B394" s="4"/>
      <c r="C394" s="4"/>
      <c r="D394" s="4"/>
      <c r="E394" s="4"/>
      <c r="K394" s="4"/>
    </row>
    <row r="395" spans="1:14" x14ac:dyDescent="0.2">
      <c r="A395" s="4"/>
      <c r="B395" s="4"/>
      <c r="C395" s="4"/>
      <c r="D395" s="4"/>
      <c r="E395" s="4"/>
      <c r="K395" s="4"/>
    </row>
    <row r="396" spans="1:14" x14ac:dyDescent="0.2">
      <c r="A396" s="4"/>
      <c r="B396" s="4"/>
      <c r="C396" s="4"/>
      <c r="D396" s="4"/>
      <c r="E396" s="4"/>
      <c r="K396" s="4"/>
    </row>
    <row r="397" spans="1:14" x14ac:dyDescent="0.2">
      <c r="A397" s="4"/>
      <c r="B397" s="4"/>
      <c r="C397" s="4"/>
      <c r="D397" s="4"/>
      <c r="E397" s="4"/>
      <c r="K397" s="4"/>
    </row>
    <row r="398" spans="1:14" x14ac:dyDescent="0.2">
      <c r="A398" s="4"/>
      <c r="B398" s="4"/>
      <c r="C398" s="4"/>
      <c r="D398" s="4"/>
      <c r="E398" s="4"/>
      <c r="K398" s="4"/>
    </row>
    <row r="399" spans="1:14" x14ac:dyDescent="0.2">
      <c r="A399" s="4"/>
      <c r="B399" s="4"/>
      <c r="C399" s="4"/>
      <c r="D399" s="4"/>
      <c r="E399" s="4"/>
      <c r="K399" s="4"/>
    </row>
    <row r="400" spans="1:14" x14ac:dyDescent="0.2">
      <c r="A400" s="4"/>
      <c r="B400" s="4"/>
      <c r="C400" s="4"/>
      <c r="D400" s="4"/>
      <c r="E400" s="4"/>
      <c r="K400" s="4"/>
    </row>
    <row r="401" spans="1:11" x14ac:dyDescent="0.2">
      <c r="A401" s="4"/>
      <c r="B401" s="4"/>
      <c r="C401" s="4"/>
      <c r="D401" s="4"/>
      <c r="E401" s="4"/>
      <c r="K401" s="4"/>
    </row>
    <row r="402" spans="1:11" x14ac:dyDescent="0.2">
      <c r="A402" s="4"/>
      <c r="B402" s="4"/>
      <c r="C402" s="4"/>
      <c r="D402" s="4"/>
      <c r="E402" s="4"/>
      <c r="K402" s="4"/>
    </row>
    <row r="403" spans="1:11" x14ac:dyDescent="0.2">
      <c r="A403" s="4"/>
      <c r="B403" s="4"/>
      <c r="C403" s="4"/>
      <c r="D403" s="4"/>
      <c r="E403" s="4"/>
      <c r="K403" s="4"/>
    </row>
    <row r="404" spans="1:11" x14ac:dyDescent="0.2">
      <c r="A404" s="4"/>
      <c r="B404" s="4"/>
      <c r="C404" s="4"/>
      <c r="D404" s="4"/>
      <c r="E404" s="4"/>
      <c r="K404" s="4"/>
    </row>
    <row r="405" spans="1:11" x14ac:dyDescent="0.2">
      <c r="A405" s="4"/>
      <c r="B405" s="4"/>
      <c r="C405" s="4"/>
      <c r="D405" s="4"/>
      <c r="E405" s="4"/>
      <c r="K405" s="4"/>
    </row>
    <row r="406" spans="1:11" x14ac:dyDescent="0.2">
      <c r="A406" s="4"/>
      <c r="B406" s="4"/>
      <c r="C406" s="4"/>
      <c r="D406" s="4"/>
      <c r="E406" s="4"/>
      <c r="K406" s="4"/>
    </row>
    <row r="407" spans="1:11" x14ac:dyDescent="0.2">
      <c r="A407" s="4"/>
      <c r="B407" s="4"/>
      <c r="C407" s="4"/>
      <c r="D407" s="4"/>
      <c r="E407" s="4"/>
      <c r="K407" s="4"/>
    </row>
    <row r="408" spans="1:11" x14ac:dyDescent="0.2">
      <c r="A408" s="4"/>
      <c r="B408" s="4"/>
      <c r="C408" s="4"/>
      <c r="D408" s="4"/>
      <c r="E408" s="4"/>
      <c r="K408" s="4"/>
    </row>
    <row r="409" spans="1:11" x14ac:dyDescent="0.2">
      <c r="A409" s="4"/>
      <c r="B409" s="4"/>
      <c r="C409" s="4"/>
      <c r="D409" s="4"/>
      <c r="E409" s="4"/>
      <c r="K409" s="4"/>
    </row>
    <row r="410" spans="1:11" x14ac:dyDescent="0.2">
      <c r="A410" s="4"/>
      <c r="B410" s="4"/>
      <c r="C410" s="4"/>
      <c r="D410" s="4"/>
      <c r="E410" s="4"/>
      <c r="K410" s="4"/>
    </row>
    <row r="411" spans="1:11" x14ac:dyDescent="0.2">
      <c r="A411" s="4"/>
      <c r="B411" s="4"/>
      <c r="C411" s="4"/>
      <c r="D411" s="4"/>
      <c r="E411" s="4"/>
      <c r="K411" s="4"/>
    </row>
    <row r="412" spans="1:11" x14ac:dyDescent="0.2">
      <c r="A412" s="4"/>
      <c r="B412" s="4"/>
      <c r="C412" s="4"/>
      <c r="D412" s="4"/>
      <c r="E412" s="4"/>
      <c r="K412" s="4"/>
    </row>
    <row r="413" spans="1:11" x14ac:dyDescent="0.2">
      <c r="A413" s="4"/>
      <c r="B413" s="4"/>
      <c r="C413" s="4"/>
      <c r="D413" s="4"/>
      <c r="E413" s="4"/>
      <c r="K413" s="4"/>
    </row>
    <row r="414" spans="1:11" x14ac:dyDescent="0.2">
      <c r="A414" s="4"/>
      <c r="B414" s="4"/>
      <c r="C414" s="4"/>
      <c r="D414" s="4"/>
      <c r="E414" s="4"/>
      <c r="K414" s="4"/>
    </row>
    <row r="415" spans="1:11" x14ac:dyDescent="0.2">
      <c r="A415" s="4"/>
      <c r="B415" s="4"/>
      <c r="C415" s="4"/>
      <c r="D415" s="4"/>
      <c r="E415" s="4"/>
      <c r="K415" s="4"/>
    </row>
    <row r="416" spans="1:11" x14ac:dyDescent="0.2">
      <c r="A416" s="4"/>
      <c r="B416" s="4"/>
      <c r="C416" s="4"/>
      <c r="D416" s="4"/>
      <c r="E416" s="4"/>
      <c r="K416" s="4"/>
    </row>
    <row r="417" spans="1:11" x14ac:dyDescent="0.2">
      <c r="A417" s="4"/>
      <c r="B417" s="4"/>
      <c r="C417" s="4"/>
      <c r="D417" s="4"/>
      <c r="E417" s="4"/>
      <c r="K417" s="4"/>
    </row>
    <row r="418" spans="1:11" x14ac:dyDescent="0.2">
      <c r="A418" s="4"/>
      <c r="B418" s="4"/>
      <c r="C418" s="4"/>
      <c r="D418" s="4"/>
      <c r="E418" s="4"/>
      <c r="K418" s="4"/>
    </row>
    <row r="419" spans="1:11" x14ac:dyDescent="0.2">
      <c r="A419" s="4"/>
      <c r="B419" s="4"/>
      <c r="C419" s="4"/>
      <c r="D419" s="4"/>
      <c r="E419" s="4"/>
      <c r="K419" s="4"/>
    </row>
    <row r="420" spans="1:11" x14ac:dyDescent="0.2">
      <c r="A420" s="4"/>
      <c r="B420" s="4"/>
      <c r="C420" s="4"/>
      <c r="D420" s="4"/>
      <c r="E420" s="4"/>
      <c r="K420" s="4"/>
    </row>
    <row r="421" spans="1:11" x14ac:dyDescent="0.2">
      <c r="A421" s="4"/>
      <c r="B421" s="4"/>
      <c r="C421" s="4"/>
      <c r="D421" s="4"/>
      <c r="E421" s="4"/>
      <c r="K421" s="4"/>
    </row>
    <row r="422" spans="1:11" x14ac:dyDescent="0.2">
      <c r="A422" s="4"/>
      <c r="B422" s="4"/>
      <c r="C422" s="4"/>
      <c r="D422" s="4"/>
      <c r="E422" s="4"/>
      <c r="K422" s="4"/>
    </row>
    <row r="423" spans="1:11" x14ac:dyDescent="0.2">
      <c r="A423" s="4"/>
      <c r="B423" s="4"/>
      <c r="C423" s="4"/>
      <c r="D423" s="4"/>
      <c r="E423" s="4"/>
      <c r="K423" s="4"/>
    </row>
    <row r="424" spans="1:11" x14ac:dyDescent="0.2">
      <c r="A424" s="4"/>
      <c r="B424" s="4"/>
      <c r="C424" s="4"/>
      <c r="D424" s="4"/>
      <c r="E424" s="4"/>
      <c r="K424" s="4"/>
    </row>
    <row r="425" spans="1:11" x14ac:dyDescent="0.2">
      <c r="A425" s="4"/>
      <c r="B425" s="4"/>
      <c r="C425" s="4"/>
      <c r="D425" s="4"/>
      <c r="E425" s="4"/>
      <c r="K425" s="4"/>
    </row>
    <row r="426" spans="1:11" x14ac:dyDescent="0.2">
      <c r="A426" s="4"/>
      <c r="B426" s="4"/>
      <c r="C426" s="4"/>
      <c r="D426" s="4"/>
      <c r="E426" s="4"/>
      <c r="K426" s="4"/>
    </row>
    <row r="427" spans="1:11" x14ac:dyDescent="0.2">
      <c r="A427" s="4"/>
      <c r="B427" s="4"/>
      <c r="C427" s="4"/>
      <c r="D427" s="4"/>
      <c r="E427" s="4"/>
      <c r="K427" s="4"/>
    </row>
    <row r="428" spans="1:11" x14ac:dyDescent="0.2">
      <c r="A428" s="4"/>
      <c r="B428" s="4"/>
      <c r="C428" s="4"/>
      <c r="D428" s="4"/>
      <c r="E428" s="4"/>
      <c r="K428" s="4"/>
    </row>
    <row r="429" spans="1:11" x14ac:dyDescent="0.2">
      <c r="A429" s="4"/>
      <c r="B429" s="4"/>
      <c r="C429" s="4"/>
      <c r="D429" s="4"/>
      <c r="E429" s="4"/>
      <c r="K429" s="4"/>
    </row>
    <row r="430" spans="1:11" x14ac:dyDescent="0.2">
      <c r="A430" s="4"/>
      <c r="B430" s="4"/>
      <c r="C430" s="4"/>
      <c r="D430" s="4"/>
      <c r="E430" s="4"/>
      <c r="K430" s="4"/>
    </row>
    <row r="431" spans="1:11" x14ac:dyDescent="0.2">
      <c r="A431" s="4"/>
      <c r="B431" s="4"/>
      <c r="C431" s="4"/>
      <c r="D431" s="4"/>
      <c r="E431" s="4"/>
      <c r="K431" s="4"/>
    </row>
    <row r="432" spans="1:11" x14ac:dyDescent="0.2">
      <c r="A432" s="4"/>
      <c r="B432" s="4"/>
      <c r="C432" s="4"/>
      <c r="D432" s="4"/>
      <c r="E432" s="4"/>
      <c r="K432" s="4"/>
    </row>
    <row r="433" spans="1:11" x14ac:dyDescent="0.2">
      <c r="A433" s="4"/>
      <c r="B433" s="4"/>
      <c r="C433" s="4"/>
      <c r="D433" s="4"/>
      <c r="E433" s="4"/>
      <c r="K433" s="4"/>
    </row>
    <row r="434" spans="1:11" x14ac:dyDescent="0.2">
      <c r="A434" s="4"/>
      <c r="B434" s="4"/>
      <c r="C434" s="4"/>
      <c r="D434" s="4"/>
      <c r="E434" s="4"/>
      <c r="K434" s="4"/>
    </row>
    <row r="435" spans="1:11" x14ac:dyDescent="0.2">
      <c r="A435" s="4"/>
      <c r="B435" s="4"/>
      <c r="C435" s="4"/>
      <c r="D435" s="4"/>
      <c r="E435" s="4"/>
      <c r="K435" s="4"/>
    </row>
    <row r="436" spans="1:11" x14ac:dyDescent="0.2">
      <c r="A436" s="4"/>
      <c r="B436" s="4"/>
      <c r="C436" s="4"/>
      <c r="D436" s="4"/>
      <c r="E436" s="4"/>
      <c r="K436" s="4"/>
    </row>
    <row r="437" spans="1:11" x14ac:dyDescent="0.2">
      <c r="A437" s="4"/>
      <c r="B437" s="4"/>
      <c r="C437" s="4"/>
      <c r="D437" s="4"/>
      <c r="E437" s="4"/>
      <c r="K437" s="4"/>
    </row>
    <row r="438" spans="1:11" x14ac:dyDescent="0.2">
      <c r="A438" s="4"/>
      <c r="B438" s="4"/>
      <c r="C438" s="4"/>
      <c r="D438" s="4"/>
      <c r="E438" s="4"/>
      <c r="K438" s="4"/>
    </row>
    <row r="439" spans="1:11" x14ac:dyDescent="0.2">
      <c r="A439" s="4"/>
      <c r="B439" s="4"/>
      <c r="C439" s="4"/>
      <c r="D439" s="4"/>
      <c r="E439" s="4"/>
      <c r="K439" s="4"/>
    </row>
    <row r="440" spans="1:11" x14ac:dyDescent="0.2">
      <c r="A440" s="4"/>
      <c r="B440" s="4"/>
      <c r="C440" s="4"/>
      <c r="D440" s="4"/>
      <c r="E440" s="4"/>
      <c r="K440" s="4"/>
    </row>
    <row r="441" spans="1:11" x14ac:dyDescent="0.2">
      <c r="A441" s="4"/>
      <c r="B441" s="4"/>
      <c r="C441" s="4"/>
      <c r="D441" s="4"/>
      <c r="E441" s="4"/>
      <c r="K441" s="4"/>
    </row>
    <row r="442" spans="1:11" x14ac:dyDescent="0.2">
      <c r="A442" s="4"/>
      <c r="B442" s="4"/>
      <c r="C442" s="4"/>
      <c r="D442" s="4"/>
      <c r="E442" s="4"/>
      <c r="K442" s="4"/>
    </row>
    <row r="443" spans="1:11" x14ac:dyDescent="0.2">
      <c r="A443" s="4"/>
      <c r="B443" s="4"/>
      <c r="C443" s="4"/>
      <c r="D443" s="4"/>
      <c r="E443" s="4"/>
      <c r="K443" s="4"/>
    </row>
    <row r="444" spans="1:11" x14ac:dyDescent="0.2">
      <c r="A444" s="4"/>
      <c r="B444" s="4"/>
      <c r="C444" s="4"/>
      <c r="D444" s="4"/>
      <c r="E444" s="4"/>
      <c r="K444" s="4"/>
    </row>
    <row r="445" spans="1:11" x14ac:dyDescent="0.2">
      <c r="A445" s="4"/>
      <c r="B445" s="4"/>
      <c r="C445" s="4"/>
      <c r="D445" s="4"/>
      <c r="E445" s="4"/>
      <c r="K445" s="4"/>
    </row>
    <row r="446" spans="1:11" x14ac:dyDescent="0.2">
      <c r="A446" s="4"/>
      <c r="B446" s="4"/>
      <c r="C446" s="4"/>
      <c r="D446" s="4"/>
      <c r="E446" s="4"/>
      <c r="K446" s="4"/>
    </row>
    <row r="447" spans="1:11" x14ac:dyDescent="0.2">
      <c r="A447" s="4"/>
      <c r="B447" s="4"/>
      <c r="C447" s="4"/>
      <c r="D447" s="4"/>
      <c r="E447" s="4"/>
      <c r="K447" s="4"/>
    </row>
    <row r="448" spans="1:11" x14ac:dyDescent="0.2">
      <c r="A448" s="4"/>
      <c r="B448" s="4"/>
      <c r="C448" s="4"/>
      <c r="D448" s="4"/>
      <c r="E448" s="4"/>
      <c r="K448" s="4"/>
    </row>
    <row r="449" spans="1:11" x14ac:dyDescent="0.2">
      <c r="A449" s="4"/>
      <c r="B449" s="4"/>
      <c r="C449" s="4"/>
      <c r="D449" s="4"/>
      <c r="E449" s="4"/>
      <c r="K449" s="4"/>
    </row>
    <row r="450" spans="1:11" x14ac:dyDescent="0.2">
      <c r="A450" s="4"/>
      <c r="B450" s="4"/>
      <c r="C450" s="4"/>
      <c r="D450" s="4"/>
      <c r="E450" s="4"/>
      <c r="K450" s="4"/>
    </row>
    <row r="451" spans="1:11" x14ac:dyDescent="0.2">
      <c r="A451" s="4"/>
      <c r="B451" s="4"/>
      <c r="C451" s="4"/>
      <c r="D451" s="4"/>
      <c r="E451" s="4"/>
      <c r="K451" s="4"/>
    </row>
    <row r="452" spans="1:11" x14ac:dyDescent="0.2">
      <c r="A452" s="4"/>
      <c r="B452" s="4"/>
      <c r="C452" s="4"/>
      <c r="D452" s="4"/>
      <c r="E452" s="4"/>
      <c r="K452" s="4"/>
    </row>
    <row r="453" spans="1:11" x14ac:dyDescent="0.2">
      <c r="A453" s="4"/>
      <c r="B453" s="4"/>
      <c r="C453" s="4"/>
      <c r="D453" s="4"/>
      <c r="E453" s="4"/>
      <c r="K453" s="4"/>
    </row>
    <row r="454" spans="1:11" x14ac:dyDescent="0.2">
      <c r="A454" s="4"/>
      <c r="B454" s="4"/>
      <c r="C454" s="4"/>
      <c r="D454" s="4"/>
      <c r="E454" s="4"/>
      <c r="K454" s="4"/>
    </row>
    <row r="455" spans="1:11" x14ac:dyDescent="0.2">
      <c r="A455" s="4"/>
      <c r="B455" s="4"/>
      <c r="C455" s="4"/>
      <c r="D455" s="4"/>
      <c r="E455" s="4"/>
      <c r="K455" s="4"/>
    </row>
    <row r="456" spans="1:11" x14ac:dyDescent="0.2">
      <c r="A456" s="4"/>
      <c r="B456" s="4"/>
      <c r="C456" s="4"/>
      <c r="D456" s="4"/>
      <c r="E456" s="4"/>
      <c r="K456" s="4"/>
    </row>
    <row r="457" spans="1:11" x14ac:dyDescent="0.2">
      <c r="A457" s="4"/>
      <c r="B457" s="4"/>
      <c r="C457" s="4"/>
      <c r="D457" s="4"/>
      <c r="E457" s="4"/>
      <c r="K457" s="4"/>
    </row>
    <row r="458" spans="1:11" x14ac:dyDescent="0.2">
      <c r="A458" s="4"/>
      <c r="B458" s="4"/>
      <c r="C458" s="4"/>
      <c r="D458" s="4"/>
      <c r="E458" s="4"/>
      <c r="K458" s="4"/>
    </row>
    <row r="459" spans="1:11" x14ac:dyDescent="0.2">
      <c r="A459" s="4"/>
      <c r="B459" s="4"/>
      <c r="C459" s="4"/>
      <c r="D459" s="4"/>
      <c r="E459" s="4"/>
      <c r="K459" s="4"/>
    </row>
    <row r="460" spans="1:11" x14ac:dyDescent="0.2">
      <c r="A460" s="4"/>
      <c r="B460" s="4"/>
      <c r="C460" s="4"/>
      <c r="D460" s="4"/>
      <c r="E460" s="4"/>
      <c r="K460" s="4"/>
    </row>
    <row r="461" spans="1:11" x14ac:dyDescent="0.2">
      <c r="A461" s="4"/>
      <c r="B461" s="4"/>
      <c r="C461" s="4"/>
      <c r="D461" s="4"/>
      <c r="E461" s="4"/>
      <c r="K461" s="4"/>
    </row>
    <row r="462" spans="1:11" x14ac:dyDescent="0.2">
      <c r="A462" s="4"/>
      <c r="B462" s="4"/>
      <c r="C462" s="4"/>
      <c r="D462" s="4"/>
      <c r="E462" s="4"/>
      <c r="K462" s="4"/>
    </row>
    <row r="463" spans="1:11" x14ac:dyDescent="0.2">
      <c r="A463" s="4"/>
      <c r="B463" s="4"/>
      <c r="C463" s="4"/>
      <c r="D463" s="4"/>
      <c r="E463" s="4"/>
      <c r="K463" s="4"/>
    </row>
    <row r="464" spans="1:11" x14ac:dyDescent="0.2">
      <c r="A464" s="4"/>
      <c r="B464" s="4"/>
      <c r="C464" s="4"/>
      <c r="D464" s="4"/>
      <c r="E464" s="4"/>
      <c r="K464" s="4"/>
    </row>
    <row r="465" spans="1:11" x14ac:dyDescent="0.2">
      <c r="A465" s="4"/>
      <c r="B465" s="4"/>
      <c r="C465" s="4"/>
      <c r="D465" s="4"/>
      <c r="E465" s="4"/>
      <c r="K465" s="4"/>
    </row>
    <row r="466" spans="1:11" x14ac:dyDescent="0.2">
      <c r="A466" s="4"/>
      <c r="B466" s="4"/>
      <c r="C466" s="4"/>
      <c r="D466" s="4"/>
      <c r="E466" s="4"/>
      <c r="K466" s="4"/>
    </row>
    <row r="467" spans="1:11" x14ac:dyDescent="0.2">
      <c r="A467" s="4"/>
      <c r="B467" s="4"/>
      <c r="C467" s="4"/>
      <c r="D467" s="4"/>
      <c r="E467" s="4"/>
      <c r="K467" s="4"/>
    </row>
    <row r="468" spans="1:11" x14ac:dyDescent="0.2">
      <c r="A468" s="4"/>
      <c r="B468" s="4"/>
      <c r="C468" s="4"/>
      <c r="D468" s="4"/>
      <c r="E468" s="4"/>
      <c r="K468" s="4"/>
    </row>
    <row r="469" spans="1:11" x14ac:dyDescent="0.2">
      <c r="A469" s="4"/>
      <c r="B469" s="4"/>
      <c r="C469" s="4"/>
      <c r="D469" s="4"/>
      <c r="E469" s="4"/>
      <c r="K469" s="4"/>
    </row>
    <row r="470" spans="1:11" x14ac:dyDescent="0.2">
      <c r="A470" s="4"/>
      <c r="B470" s="4"/>
      <c r="C470" s="4"/>
      <c r="D470" s="4"/>
      <c r="E470" s="4"/>
      <c r="K470" s="4"/>
    </row>
    <row r="471" spans="1:11" x14ac:dyDescent="0.2">
      <c r="A471" s="4"/>
      <c r="B471" s="4"/>
      <c r="C471" s="4"/>
      <c r="D471" s="4"/>
      <c r="E471" s="4"/>
      <c r="K471" s="4"/>
    </row>
    <row r="472" spans="1:11" x14ac:dyDescent="0.2">
      <c r="A472" s="4"/>
      <c r="B472" s="4"/>
      <c r="C472" s="4"/>
      <c r="D472" s="4"/>
      <c r="E472" s="4"/>
      <c r="K472" s="4"/>
    </row>
    <row r="473" spans="1:11" x14ac:dyDescent="0.2">
      <c r="A473" s="4"/>
      <c r="B473" s="4"/>
      <c r="C473" s="4"/>
      <c r="D473" s="4"/>
      <c r="E473" s="4"/>
      <c r="K473" s="4"/>
    </row>
    <row r="474" spans="1:11" x14ac:dyDescent="0.2">
      <c r="A474" s="4"/>
      <c r="B474" s="4"/>
      <c r="C474" s="4"/>
      <c r="D474" s="4"/>
      <c r="E474" s="4"/>
      <c r="K474" s="4"/>
    </row>
    <row r="475" spans="1:11" x14ac:dyDescent="0.2">
      <c r="A475" s="4"/>
      <c r="B475" s="4"/>
      <c r="C475" s="4"/>
      <c r="D475" s="4"/>
      <c r="E475" s="4"/>
      <c r="K475" s="4"/>
    </row>
    <row r="476" spans="1:11" x14ac:dyDescent="0.2">
      <c r="A476" s="4"/>
      <c r="B476" s="4"/>
      <c r="C476" s="4"/>
      <c r="D476" s="4"/>
      <c r="E476" s="4"/>
      <c r="K476" s="4"/>
    </row>
    <row r="477" spans="1:11" x14ac:dyDescent="0.2">
      <c r="A477" s="4"/>
      <c r="B477" s="4"/>
      <c r="C477" s="4"/>
      <c r="D477" s="4"/>
      <c r="E477" s="4"/>
      <c r="K477" s="4"/>
    </row>
    <row r="478" spans="1:11" x14ac:dyDescent="0.2">
      <c r="A478" s="4"/>
      <c r="B478" s="4"/>
      <c r="C478" s="4"/>
      <c r="D478" s="4"/>
      <c r="E478" s="4"/>
      <c r="K478" s="4"/>
    </row>
    <row r="479" spans="1:11" x14ac:dyDescent="0.2">
      <c r="A479" s="4"/>
      <c r="B479" s="4"/>
      <c r="C479" s="4"/>
      <c r="D479" s="4"/>
      <c r="E479" s="4"/>
      <c r="K479" s="4"/>
    </row>
    <row r="480" spans="1:11" x14ac:dyDescent="0.2">
      <c r="A480" s="4"/>
      <c r="B480" s="4"/>
      <c r="C480" s="4"/>
      <c r="D480" s="4"/>
      <c r="E480" s="4"/>
      <c r="K480" s="4"/>
    </row>
    <row r="481" spans="1:11" x14ac:dyDescent="0.2">
      <c r="A481" s="4"/>
      <c r="B481" s="4"/>
      <c r="C481" s="4"/>
      <c r="D481" s="4"/>
      <c r="E481" s="4"/>
      <c r="K481" s="4"/>
    </row>
    <row r="482" spans="1:11" x14ac:dyDescent="0.2">
      <c r="A482" s="4"/>
      <c r="B482" s="4"/>
      <c r="C482" s="4"/>
      <c r="D482" s="4"/>
      <c r="E482" s="4"/>
      <c r="K482" s="4"/>
    </row>
    <row r="483" spans="1:11" x14ac:dyDescent="0.2">
      <c r="A483" s="4"/>
      <c r="B483" s="4"/>
      <c r="C483" s="4"/>
      <c r="D483" s="4"/>
      <c r="E483" s="4"/>
      <c r="K483" s="4"/>
    </row>
    <row r="484" spans="1:11" x14ac:dyDescent="0.2">
      <c r="A484" s="4"/>
      <c r="B484" s="4"/>
      <c r="C484" s="4"/>
      <c r="D484" s="4"/>
      <c r="E484" s="4"/>
      <c r="K484" s="4"/>
    </row>
    <row r="485" spans="1:11" x14ac:dyDescent="0.2">
      <c r="A485" s="4"/>
      <c r="B485" s="4"/>
      <c r="C485" s="4"/>
      <c r="D485" s="4"/>
      <c r="E485" s="4"/>
      <c r="K485" s="4"/>
    </row>
    <row r="486" spans="1:11" x14ac:dyDescent="0.2">
      <c r="A486" s="4"/>
      <c r="B486" s="4"/>
      <c r="C486" s="4"/>
      <c r="D486" s="4"/>
      <c r="E486" s="4"/>
      <c r="K486" s="4"/>
    </row>
    <row r="487" spans="1:11" x14ac:dyDescent="0.2">
      <c r="A487" s="4"/>
      <c r="B487" s="4"/>
      <c r="C487" s="4"/>
      <c r="D487" s="4"/>
      <c r="E487" s="4"/>
      <c r="K487" s="4"/>
    </row>
    <row r="488" spans="1:11" x14ac:dyDescent="0.2">
      <c r="A488" s="4"/>
      <c r="B488" s="4"/>
      <c r="C488" s="4"/>
      <c r="D488" s="4"/>
      <c r="E488" s="4"/>
      <c r="K488" s="4"/>
    </row>
    <row r="489" spans="1:11" x14ac:dyDescent="0.2">
      <c r="A489" s="4"/>
      <c r="B489" s="4"/>
      <c r="C489" s="4"/>
      <c r="D489" s="4"/>
      <c r="E489" s="4"/>
      <c r="K489" s="4"/>
    </row>
    <row r="490" spans="1:11" x14ac:dyDescent="0.2">
      <c r="A490" s="4"/>
      <c r="B490" s="4"/>
      <c r="C490" s="4"/>
      <c r="D490" s="4"/>
      <c r="E490" s="4"/>
      <c r="K490" s="4"/>
    </row>
    <row r="491" spans="1:11" x14ac:dyDescent="0.2">
      <c r="A491" s="4"/>
      <c r="B491" s="4"/>
      <c r="C491" s="4"/>
      <c r="D491" s="4"/>
      <c r="E491" s="4"/>
      <c r="K491" s="4"/>
    </row>
    <row r="492" spans="1:11" x14ac:dyDescent="0.2">
      <c r="A492" s="4"/>
      <c r="B492" s="4"/>
      <c r="C492" s="4"/>
      <c r="D492" s="4"/>
      <c r="E492" s="4"/>
      <c r="K492" s="4"/>
    </row>
    <row r="493" spans="1:11" x14ac:dyDescent="0.2">
      <c r="A493" s="4"/>
      <c r="B493" s="4"/>
      <c r="C493" s="4"/>
      <c r="D493" s="4"/>
      <c r="E493" s="4"/>
      <c r="K493" s="4"/>
    </row>
    <row r="494" spans="1:11" x14ac:dyDescent="0.2">
      <c r="A494" s="4"/>
      <c r="B494" s="4"/>
      <c r="C494" s="4"/>
      <c r="D494" s="4"/>
      <c r="E494" s="4"/>
      <c r="K494" s="4"/>
    </row>
    <row r="495" spans="1:11" x14ac:dyDescent="0.2">
      <c r="A495" s="4"/>
      <c r="B495" s="4"/>
      <c r="C495" s="4"/>
      <c r="D495" s="4"/>
      <c r="E495" s="4"/>
      <c r="K495" s="4"/>
    </row>
    <row r="496" spans="1:11" x14ac:dyDescent="0.2">
      <c r="A496" s="4"/>
      <c r="B496" s="4"/>
      <c r="C496" s="4"/>
      <c r="D496" s="4"/>
      <c r="E496" s="4"/>
      <c r="K496" s="4"/>
    </row>
    <row r="497" spans="1:11" x14ac:dyDescent="0.2">
      <c r="A497" s="4"/>
      <c r="B497" s="4"/>
      <c r="C497" s="4"/>
      <c r="D497" s="4"/>
      <c r="E497" s="4"/>
      <c r="K497" s="4"/>
    </row>
    <row r="498" spans="1:11" x14ac:dyDescent="0.2">
      <c r="A498" s="4"/>
      <c r="B498" s="4"/>
      <c r="C498" s="4"/>
      <c r="D498" s="4"/>
      <c r="E498" s="4"/>
      <c r="K498" s="4"/>
    </row>
    <row r="499" spans="1:11" x14ac:dyDescent="0.2">
      <c r="A499" s="4"/>
      <c r="B499" s="4"/>
      <c r="C499" s="4"/>
      <c r="D499" s="4"/>
      <c r="E499" s="4"/>
      <c r="K499" s="4"/>
    </row>
    <row r="500" spans="1:11" x14ac:dyDescent="0.2">
      <c r="A500" s="4"/>
      <c r="B500" s="4"/>
      <c r="C500" s="4"/>
      <c r="D500" s="4"/>
      <c r="E500" s="4"/>
      <c r="K500" s="4"/>
    </row>
    <row r="501" spans="1:11" x14ac:dyDescent="0.2">
      <c r="A501" s="4"/>
      <c r="B501" s="4"/>
      <c r="C501" s="4"/>
      <c r="D501" s="4"/>
      <c r="E501" s="4"/>
      <c r="K501" s="4"/>
    </row>
    <row r="502" spans="1:11" x14ac:dyDescent="0.2">
      <c r="A502" s="4"/>
      <c r="B502" s="4"/>
      <c r="C502" s="4"/>
      <c r="D502" s="4"/>
      <c r="E502" s="4"/>
      <c r="K502" s="4"/>
    </row>
    <row r="503" spans="1:11" x14ac:dyDescent="0.2">
      <c r="A503" s="4"/>
      <c r="B503" s="4"/>
      <c r="C503" s="4"/>
      <c r="D503" s="4"/>
      <c r="E503" s="4"/>
      <c r="K503" s="4"/>
    </row>
    <row r="504" spans="1:11" x14ac:dyDescent="0.2">
      <c r="A504" s="4"/>
      <c r="B504" s="4"/>
      <c r="C504" s="4"/>
      <c r="D504" s="4"/>
      <c r="E504" s="4"/>
      <c r="K504" s="4"/>
    </row>
    <row r="505" spans="1:11" x14ac:dyDescent="0.2">
      <c r="A505" s="4"/>
      <c r="B505" s="4"/>
      <c r="C505" s="4"/>
      <c r="D505" s="4"/>
      <c r="E505" s="4"/>
      <c r="K505" s="4"/>
    </row>
    <row r="506" spans="1:11" x14ac:dyDescent="0.2">
      <c r="A506" s="4"/>
      <c r="B506" s="4"/>
      <c r="C506" s="4"/>
      <c r="D506" s="4"/>
      <c r="E506" s="4"/>
      <c r="K506" s="4"/>
    </row>
    <row r="507" spans="1:11" x14ac:dyDescent="0.2">
      <c r="A507" s="4"/>
      <c r="B507" s="4"/>
      <c r="C507" s="4"/>
      <c r="D507" s="4"/>
      <c r="E507" s="4"/>
      <c r="K507" s="4"/>
    </row>
    <row r="508" spans="1:11" x14ac:dyDescent="0.2">
      <c r="A508" s="4"/>
      <c r="B508" s="4"/>
      <c r="C508" s="4"/>
      <c r="D508" s="4"/>
      <c r="E508" s="4"/>
      <c r="K508" s="4"/>
    </row>
    <row r="509" spans="1:11" x14ac:dyDescent="0.2">
      <c r="A509" s="4"/>
      <c r="B509" s="4"/>
      <c r="C509" s="4"/>
      <c r="D509" s="4"/>
      <c r="E509" s="4"/>
      <c r="K509" s="4"/>
    </row>
    <row r="510" spans="1:11" x14ac:dyDescent="0.2">
      <c r="A510" s="4"/>
      <c r="B510" s="4"/>
      <c r="C510" s="4"/>
      <c r="D510" s="4"/>
      <c r="E510" s="4"/>
      <c r="K510" s="4"/>
    </row>
    <row r="511" spans="1:11" x14ac:dyDescent="0.2">
      <c r="A511" s="4"/>
      <c r="B511" s="4"/>
      <c r="C511" s="4"/>
      <c r="D511" s="4"/>
      <c r="E511" s="4"/>
      <c r="K511" s="4"/>
    </row>
    <row r="512" spans="1:11" x14ac:dyDescent="0.2">
      <c r="A512" s="4"/>
      <c r="B512" s="4"/>
      <c r="C512" s="4"/>
      <c r="D512" s="4"/>
      <c r="E512" s="4"/>
      <c r="K512" s="4"/>
    </row>
    <row r="513" spans="1:11" x14ac:dyDescent="0.2">
      <c r="A513" s="4"/>
      <c r="B513" s="4"/>
      <c r="C513" s="4"/>
      <c r="D513" s="4"/>
      <c r="E513" s="4"/>
      <c r="K513" s="4"/>
    </row>
    <row r="514" spans="1:11" x14ac:dyDescent="0.2">
      <c r="A514" s="4"/>
      <c r="B514" s="4"/>
      <c r="C514" s="4"/>
      <c r="D514" s="4"/>
      <c r="E514" s="4"/>
      <c r="K514" s="4"/>
    </row>
    <row r="515" spans="1:11" x14ac:dyDescent="0.2">
      <c r="A515" s="4"/>
      <c r="B515" s="4"/>
      <c r="C515" s="4"/>
      <c r="D515" s="4"/>
      <c r="E515" s="4"/>
      <c r="K515" s="4"/>
    </row>
    <row r="516" spans="1:11" x14ac:dyDescent="0.2">
      <c r="A516" s="4"/>
      <c r="B516" s="4"/>
      <c r="C516" s="4"/>
      <c r="D516" s="4"/>
      <c r="E516" s="4"/>
      <c r="K516" s="4"/>
    </row>
    <row r="517" spans="1:11" x14ac:dyDescent="0.2">
      <c r="A517" s="4"/>
      <c r="B517" s="4"/>
      <c r="C517" s="4"/>
      <c r="D517" s="4"/>
      <c r="E517" s="4"/>
      <c r="K517" s="4"/>
    </row>
    <row r="518" spans="1:11" x14ac:dyDescent="0.2">
      <c r="A518" s="4"/>
      <c r="B518" s="4"/>
      <c r="C518" s="4"/>
      <c r="D518" s="4"/>
      <c r="E518" s="4"/>
      <c r="K518" s="4"/>
    </row>
    <row r="519" spans="1:11" x14ac:dyDescent="0.2">
      <c r="A519" s="4"/>
      <c r="B519" s="4"/>
      <c r="C519" s="4"/>
      <c r="D519" s="4"/>
      <c r="E519" s="4"/>
      <c r="K519" s="4"/>
    </row>
    <row r="520" spans="1:11" x14ac:dyDescent="0.2">
      <c r="A520" s="4"/>
      <c r="B520" s="4"/>
      <c r="C520" s="4"/>
      <c r="D520" s="4"/>
      <c r="E520" s="4"/>
      <c r="K520" s="4"/>
    </row>
    <row r="521" spans="1:11" x14ac:dyDescent="0.2">
      <c r="A521" s="4"/>
      <c r="B521" s="4"/>
      <c r="C521" s="4"/>
      <c r="D521" s="4"/>
      <c r="E521" s="4"/>
      <c r="K521" s="4"/>
    </row>
    <row r="522" spans="1:11" x14ac:dyDescent="0.2">
      <c r="A522" s="4"/>
      <c r="B522" s="4"/>
      <c r="C522" s="4"/>
      <c r="D522" s="4"/>
      <c r="E522" s="4"/>
      <c r="K522" s="4"/>
    </row>
    <row r="523" spans="1:11" x14ac:dyDescent="0.2">
      <c r="A523" s="4"/>
      <c r="B523" s="4"/>
      <c r="C523" s="4"/>
      <c r="D523" s="4"/>
      <c r="E523" s="4"/>
      <c r="K523" s="4"/>
    </row>
    <row r="524" spans="1:11" x14ac:dyDescent="0.2">
      <c r="A524" s="4"/>
      <c r="B524" s="4"/>
      <c r="C524" s="4"/>
      <c r="D524" s="4"/>
      <c r="E524" s="4"/>
      <c r="K524" s="4"/>
    </row>
    <row r="525" spans="1:11" x14ac:dyDescent="0.2">
      <c r="A525" s="4"/>
      <c r="B525" s="4"/>
      <c r="C525" s="4"/>
      <c r="D525" s="4"/>
      <c r="E525" s="4"/>
      <c r="K525" s="4"/>
    </row>
    <row r="526" spans="1:11" x14ac:dyDescent="0.2">
      <c r="A526" s="4"/>
      <c r="B526" s="4"/>
      <c r="C526" s="4"/>
      <c r="D526" s="4"/>
      <c r="E526" s="4"/>
      <c r="K526" s="4"/>
    </row>
    <row r="527" spans="1:11" x14ac:dyDescent="0.2">
      <c r="A527" s="4"/>
      <c r="B527" s="4"/>
      <c r="C527" s="4"/>
      <c r="D527" s="4"/>
      <c r="E527" s="4"/>
      <c r="K527" s="4"/>
    </row>
    <row r="528" spans="1:11" x14ac:dyDescent="0.2">
      <c r="A528" s="4"/>
      <c r="B528" s="4"/>
      <c r="C528" s="4"/>
      <c r="D528" s="4"/>
      <c r="E528" s="4"/>
      <c r="K528" s="4"/>
    </row>
    <row r="529" spans="1:11" x14ac:dyDescent="0.2">
      <c r="A529" s="4"/>
      <c r="B529" s="4"/>
      <c r="C529" s="4"/>
      <c r="D529" s="4"/>
      <c r="E529" s="4"/>
      <c r="K529" s="4"/>
    </row>
    <row r="530" spans="1:11" x14ac:dyDescent="0.2">
      <c r="A530" s="4"/>
      <c r="B530" s="4"/>
      <c r="C530" s="4"/>
      <c r="D530" s="4"/>
      <c r="E530" s="4"/>
      <c r="K530" s="4"/>
    </row>
    <row r="531" spans="1:11" x14ac:dyDescent="0.2">
      <c r="A531" s="4"/>
      <c r="B531" s="4"/>
      <c r="C531" s="4"/>
      <c r="D531" s="4"/>
      <c r="E531" s="4"/>
      <c r="K531" s="4"/>
    </row>
    <row r="532" spans="1:11" x14ac:dyDescent="0.2">
      <c r="A532" s="4"/>
      <c r="B532" s="4"/>
      <c r="C532" s="4"/>
      <c r="D532" s="4"/>
      <c r="E532" s="4"/>
      <c r="K532" s="4"/>
    </row>
    <row r="533" spans="1:11" x14ac:dyDescent="0.2">
      <c r="A533" s="4"/>
      <c r="B533" s="4"/>
      <c r="C533" s="4"/>
      <c r="D533" s="4"/>
      <c r="E533" s="4"/>
      <c r="K533" s="4"/>
    </row>
    <row r="534" spans="1:11" x14ac:dyDescent="0.2">
      <c r="A534" s="4"/>
      <c r="B534" s="4"/>
      <c r="C534" s="4"/>
      <c r="D534" s="4"/>
      <c r="E534" s="4"/>
      <c r="K534" s="4"/>
    </row>
    <row r="535" spans="1:11" x14ac:dyDescent="0.2">
      <c r="A535" s="4"/>
      <c r="B535" s="4"/>
      <c r="C535" s="4"/>
      <c r="D535" s="4"/>
      <c r="E535" s="4"/>
      <c r="K535" s="4"/>
    </row>
    <row r="536" spans="1:11" x14ac:dyDescent="0.2">
      <c r="A536" s="4"/>
      <c r="B536" s="4"/>
      <c r="C536" s="4"/>
      <c r="D536" s="4"/>
      <c r="E536" s="4"/>
      <c r="K536" s="4"/>
    </row>
    <row r="537" spans="1:11" x14ac:dyDescent="0.2">
      <c r="A537" s="4"/>
      <c r="B537" s="4"/>
      <c r="C537" s="4"/>
      <c r="D537" s="4"/>
      <c r="E537" s="4"/>
      <c r="K537" s="4"/>
    </row>
    <row r="538" spans="1:11" x14ac:dyDescent="0.2">
      <c r="A538" s="4"/>
      <c r="B538" s="4"/>
      <c r="C538" s="4"/>
      <c r="D538" s="4"/>
      <c r="E538" s="4"/>
      <c r="K538" s="4"/>
    </row>
    <row r="539" spans="1:11" x14ac:dyDescent="0.2">
      <c r="A539" s="4"/>
      <c r="B539" s="4"/>
      <c r="C539" s="4"/>
      <c r="D539" s="4"/>
      <c r="E539" s="4"/>
      <c r="K539" s="4"/>
    </row>
    <row r="540" spans="1:11" x14ac:dyDescent="0.2">
      <c r="A540" s="4"/>
      <c r="B540" s="4"/>
      <c r="C540" s="4"/>
      <c r="D540" s="4"/>
      <c r="E540" s="4"/>
      <c r="K540" s="4"/>
    </row>
    <row r="541" spans="1:11" x14ac:dyDescent="0.2">
      <c r="A541" s="4"/>
      <c r="B541" s="4"/>
      <c r="C541" s="4"/>
      <c r="D541" s="4"/>
      <c r="E541" s="4"/>
      <c r="K541" s="4"/>
    </row>
    <row r="542" spans="1:11" x14ac:dyDescent="0.2">
      <c r="A542" s="4"/>
      <c r="B542" s="4"/>
      <c r="C542" s="4"/>
      <c r="D542" s="4"/>
      <c r="E542" s="4"/>
      <c r="K542" s="4"/>
    </row>
    <row r="543" spans="1:11" x14ac:dyDescent="0.2">
      <c r="A543" s="4"/>
      <c r="B543" s="4"/>
      <c r="C543" s="4"/>
      <c r="D543" s="4"/>
      <c r="E543" s="4"/>
      <c r="K543" s="4"/>
    </row>
    <row r="544" spans="1:11" x14ac:dyDescent="0.2">
      <c r="A544" s="4"/>
      <c r="B544" s="4"/>
      <c r="C544" s="4"/>
      <c r="D544" s="4"/>
      <c r="E544" s="4"/>
      <c r="K544" s="4"/>
    </row>
    <row r="545" spans="1:11" x14ac:dyDescent="0.2">
      <c r="A545" s="4"/>
      <c r="B545" s="4"/>
      <c r="C545" s="4"/>
      <c r="D545" s="4"/>
      <c r="E545" s="4"/>
      <c r="K545" s="4"/>
    </row>
    <row r="546" spans="1:11" x14ac:dyDescent="0.2">
      <c r="A546" s="4"/>
      <c r="B546" s="4"/>
      <c r="C546" s="4"/>
      <c r="D546" s="4"/>
      <c r="E546" s="4"/>
      <c r="K546" s="4"/>
    </row>
    <row r="547" spans="1:11" x14ac:dyDescent="0.2">
      <c r="A547" s="4"/>
      <c r="B547" s="4"/>
      <c r="C547" s="4"/>
      <c r="D547" s="4"/>
      <c r="E547" s="4"/>
      <c r="K547" s="4"/>
    </row>
    <row r="548" spans="1:11" x14ac:dyDescent="0.2">
      <c r="A548" s="4"/>
      <c r="B548" s="4"/>
      <c r="C548" s="4"/>
      <c r="D548" s="4"/>
      <c r="E548" s="4"/>
      <c r="K548" s="4"/>
    </row>
    <row r="549" spans="1:11" x14ac:dyDescent="0.2">
      <c r="A549" s="4"/>
      <c r="B549" s="4"/>
      <c r="C549" s="4"/>
      <c r="D549" s="4"/>
      <c r="E549" s="4"/>
      <c r="K549" s="4"/>
    </row>
    <row r="550" spans="1:11" x14ac:dyDescent="0.2">
      <c r="A550" s="4"/>
      <c r="B550" s="4"/>
      <c r="C550" s="4"/>
      <c r="D550" s="4"/>
      <c r="E550" s="4"/>
      <c r="K550" s="4"/>
    </row>
    <row r="551" spans="1:11" x14ac:dyDescent="0.2">
      <c r="A551" s="4"/>
      <c r="B551" s="4"/>
      <c r="C551" s="4"/>
      <c r="D551" s="4"/>
      <c r="E551" s="4"/>
      <c r="K551" s="4"/>
    </row>
    <row r="552" spans="1:11" x14ac:dyDescent="0.2">
      <c r="A552" s="4"/>
      <c r="B552" s="4"/>
      <c r="C552" s="4"/>
      <c r="D552" s="4"/>
      <c r="E552" s="4"/>
      <c r="K552" s="4"/>
    </row>
    <row r="553" spans="1:11" x14ac:dyDescent="0.2">
      <c r="A553" s="4"/>
      <c r="B553" s="4"/>
      <c r="C553" s="4"/>
      <c r="D553" s="4"/>
      <c r="E553" s="4"/>
      <c r="K553" s="4"/>
    </row>
    <row r="554" spans="1:11" x14ac:dyDescent="0.2">
      <c r="A554" s="4"/>
      <c r="B554" s="4"/>
      <c r="C554" s="4"/>
      <c r="D554" s="4"/>
      <c r="E554" s="4"/>
      <c r="K554" s="4"/>
    </row>
    <row r="555" spans="1:11" x14ac:dyDescent="0.2">
      <c r="A555" s="4"/>
      <c r="B555" s="4"/>
      <c r="C555" s="4"/>
      <c r="D555" s="4"/>
      <c r="E555" s="4"/>
      <c r="K555" s="4"/>
    </row>
    <row r="556" spans="1:11" x14ac:dyDescent="0.2">
      <c r="A556" s="4"/>
      <c r="B556" s="4"/>
      <c r="C556" s="4"/>
      <c r="D556" s="4"/>
      <c r="E556" s="4"/>
      <c r="K556" s="4"/>
    </row>
    <row r="557" spans="1:11" x14ac:dyDescent="0.2">
      <c r="A557" s="4"/>
      <c r="B557" s="4"/>
      <c r="C557" s="4"/>
      <c r="D557" s="4"/>
      <c r="E557" s="4"/>
      <c r="K557" s="4"/>
    </row>
    <row r="558" spans="1:11" x14ac:dyDescent="0.2">
      <c r="A558" s="4"/>
      <c r="B558" s="4"/>
      <c r="C558" s="4"/>
      <c r="D558" s="4"/>
      <c r="E558" s="4"/>
      <c r="K558" s="4"/>
    </row>
    <row r="559" spans="1:11" x14ac:dyDescent="0.2">
      <c r="A559" s="4"/>
      <c r="B559" s="4"/>
      <c r="C559" s="4"/>
      <c r="D559" s="4"/>
      <c r="E559" s="4"/>
      <c r="K559" s="4"/>
    </row>
    <row r="560" spans="1:11" x14ac:dyDescent="0.2">
      <c r="A560" s="4"/>
      <c r="B560" s="4"/>
      <c r="C560" s="4"/>
      <c r="D560" s="4"/>
      <c r="E560" s="4"/>
      <c r="K560" s="4"/>
    </row>
    <row r="561" spans="1:11" x14ac:dyDescent="0.2">
      <c r="A561" s="4"/>
      <c r="B561" s="4"/>
      <c r="C561" s="4"/>
      <c r="D561" s="4"/>
      <c r="E561" s="4"/>
      <c r="K561" s="4"/>
    </row>
    <row r="562" spans="1:11" x14ac:dyDescent="0.2">
      <c r="A562" s="4"/>
      <c r="B562" s="4"/>
      <c r="C562" s="4"/>
      <c r="D562" s="4"/>
      <c r="E562" s="4"/>
      <c r="K562" s="4"/>
    </row>
    <row r="563" spans="1:11" x14ac:dyDescent="0.2">
      <c r="A563" s="4"/>
      <c r="B563" s="4"/>
      <c r="C563" s="4"/>
      <c r="D563" s="4"/>
      <c r="E563" s="4"/>
      <c r="K563" s="4"/>
    </row>
    <row r="564" spans="1:11" x14ac:dyDescent="0.2">
      <c r="A564" s="4"/>
      <c r="B564" s="4"/>
      <c r="C564" s="4"/>
      <c r="D564" s="4"/>
      <c r="E564" s="4"/>
      <c r="K564" s="4"/>
    </row>
    <row r="565" spans="1:11" x14ac:dyDescent="0.2">
      <c r="A565" s="4"/>
      <c r="B565" s="4"/>
      <c r="C565" s="4"/>
      <c r="D565" s="4"/>
      <c r="E565" s="4"/>
      <c r="K565" s="4"/>
    </row>
    <row r="566" spans="1:11" x14ac:dyDescent="0.2">
      <c r="A566" s="4"/>
      <c r="B566" s="4"/>
      <c r="C566" s="4"/>
      <c r="D566" s="4"/>
      <c r="E566" s="4"/>
      <c r="K566" s="4"/>
    </row>
    <row r="567" spans="1:11" x14ac:dyDescent="0.2">
      <c r="A567" s="4"/>
      <c r="B567" s="4"/>
      <c r="C567" s="4"/>
      <c r="D567" s="4"/>
      <c r="E567" s="4"/>
      <c r="K567" s="4"/>
    </row>
    <row r="568" spans="1:11" x14ac:dyDescent="0.2">
      <c r="A568" s="4"/>
      <c r="B568" s="4"/>
      <c r="C568" s="4"/>
      <c r="D568" s="4"/>
      <c r="E568" s="4"/>
      <c r="K568" s="4"/>
    </row>
    <row r="569" spans="1:11" x14ac:dyDescent="0.2">
      <c r="A569" s="4"/>
      <c r="B569" s="4"/>
      <c r="C569" s="4"/>
      <c r="D569" s="4"/>
      <c r="E569" s="4"/>
      <c r="K569" s="4"/>
    </row>
    <row r="570" spans="1:11" x14ac:dyDescent="0.2">
      <c r="A570" s="4"/>
      <c r="B570" s="4"/>
      <c r="C570" s="4"/>
      <c r="D570" s="4"/>
      <c r="E570" s="4"/>
      <c r="K570" s="4"/>
    </row>
    <row r="571" spans="1:11" x14ac:dyDescent="0.2">
      <c r="A571" s="4"/>
      <c r="B571" s="4"/>
      <c r="C571" s="4"/>
      <c r="D571" s="4"/>
      <c r="E571" s="4"/>
      <c r="K571" s="4"/>
    </row>
    <row r="572" spans="1:11" x14ac:dyDescent="0.2">
      <c r="A572" s="4"/>
      <c r="B572" s="4"/>
      <c r="C572" s="4"/>
      <c r="D572" s="4"/>
      <c r="E572" s="4"/>
      <c r="K572" s="4"/>
    </row>
    <row r="573" spans="1:11" x14ac:dyDescent="0.2">
      <c r="A573" s="4"/>
      <c r="B573" s="4"/>
      <c r="C573" s="4"/>
      <c r="D573" s="4"/>
      <c r="E573" s="4"/>
      <c r="K573" s="4"/>
    </row>
    <row r="574" spans="1:11" x14ac:dyDescent="0.2">
      <c r="A574" s="4"/>
      <c r="B574" s="4"/>
      <c r="C574" s="4"/>
      <c r="D574" s="4"/>
      <c r="E574" s="4"/>
      <c r="K574" s="4"/>
    </row>
    <row r="575" spans="1:11" x14ac:dyDescent="0.2">
      <c r="A575" s="4"/>
      <c r="B575" s="4"/>
      <c r="C575" s="4"/>
      <c r="D575" s="4"/>
      <c r="E575" s="4"/>
      <c r="K575" s="4"/>
    </row>
    <row r="576" spans="1:11" x14ac:dyDescent="0.2">
      <c r="A576" s="4"/>
      <c r="B576" s="4"/>
      <c r="C576" s="4"/>
      <c r="D576" s="4"/>
      <c r="E576" s="4"/>
      <c r="K576" s="4"/>
    </row>
    <row r="577" spans="1:11" x14ac:dyDescent="0.2">
      <c r="A577" s="4"/>
      <c r="B577" s="4"/>
      <c r="C577" s="4"/>
      <c r="D577" s="4"/>
      <c r="E577" s="4"/>
      <c r="K577" s="4"/>
    </row>
    <row r="578" spans="1:11" x14ac:dyDescent="0.2">
      <c r="A578" s="4"/>
      <c r="B578" s="4"/>
      <c r="C578" s="4"/>
      <c r="D578" s="4"/>
      <c r="E578" s="4"/>
      <c r="K578" s="4"/>
    </row>
    <row r="579" spans="1:11" x14ac:dyDescent="0.2">
      <c r="A579" s="4"/>
      <c r="B579" s="4"/>
      <c r="C579" s="4"/>
      <c r="D579" s="4"/>
      <c r="E579" s="4"/>
      <c r="K579" s="4"/>
    </row>
    <row r="580" spans="1:11" x14ac:dyDescent="0.2">
      <c r="A580" s="4"/>
      <c r="B580" s="4"/>
      <c r="C580" s="4"/>
      <c r="D580" s="4"/>
      <c r="E580" s="4"/>
      <c r="K580" s="4"/>
    </row>
    <row r="581" spans="1:11" x14ac:dyDescent="0.2">
      <c r="A581" s="4"/>
      <c r="B581" s="4"/>
      <c r="C581" s="4"/>
      <c r="D581" s="4"/>
      <c r="E581" s="4"/>
      <c r="K581" s="4"/>
    </row>
    <row r="582" spans="1:11" x14ac:dyDescent="0.2">
      <c r="A582" s="4"/>
      <c r="B582" s="4"/>
      <c r="C582" s="4"/>
      <c r="D582" s="4"/>
      <c r="E582" s="4"/>
      <c r="K582" s="4"/>
    </row>
    <row r="583" spans="1:11" x14ac:dyDescent="0.2">
      <c r="A583" s="4"/>
      <c r="B583" s="4"/>
      <c r="C583" s="4"/>
      <c r="D583" s="4"/>
      <c r="E583" s="4"/>
      <c r="K583" s="4"/>
    </row>
    <row r="584" spans="1:11" x14ac:dyDescent="0.2">
      <c r="A584" s="4"/>
      <c r="B584" s="4"/>
      <c r="C584" s="4"/>
      <c r="D584" s="4"/>
      <c r="E584" s="4"/>
      <c r="K584" s="4"/>
    </row>
    <row r="585" spans="1:11" x14ac:dyDescent="0.2">
      <c r="A585" s="4"/>
      <c r="B585" s="4"/>
      <c r="C585" s="4"/>
      <c r="D585" s="4"/>
      <c r="E585" s="4"/>
      <c r="K585" s="4"/>
    </row>
    <row r="586" spans="1:11" x14ac:dyDescent="0.2">
      <c r="A586" s="4"/>
      <c r="B586" s="4"/>
      <c r="C586" s="4"/>
      <c r="D586" s="4"/>
      <c r="E586" s="4"/>
      <c r="K586" s="4"/>
    </row>
    <row r="587" spans="1:11" x14ac:dyDescent="0.2">
      <c r="A587" s="4"/>
      <c r="B587" s="4"/>
      <c r="C587" s="4"/>
      <c r="D587" s="4"/>
      <c r="E587" s="4"/>
      <c r="K587" s="4"/>
    </row>
    <row r="588" spans="1:11" x14ac:dyDescent="0.2">
      <c r="A588" s="4"/>
      <c r="B588" s="4"/>
      <c r="C588" s="4"/>
      <c r="D588" s="4"/>
      <c r="E588" s="4"/>
      <c r="K588" s="4"/>
    </row>
    <row r="589" spans="1:11" x14ac:dyDescent="0.2">
      <c r="A589" s="4"/>
      <c r="B589" s="4"/>
      <c r="C589" s="4"/>
      <c r="D589" s="4"/>
      <c r="E589" s="4"/>
      <c r="K589" s="4"/>
    </row>
    <row r="590" spans="1:11" x14ac:dyDescent="0.2">
      <c r="A590" s="4"/>
      <c r="B590" s="4"/>
      <c r="C590" s="4"/>
      <c r="D590" s="4"/>
      <c r="E590" s="4"/>
      <c r="K590" s="4"/>
    </row>
    <row r="591" spans="1:11" x14ac:dyDescent="0.2">
      <c r="A591" s="4"/>
      <c r="B591" s="4"/>
      <c r="C591" s="4"/>
      <c r="D591" s="4"/>
      <c r="E591" s="4"/>
      <c r="K591" s="4"/>
    </row>
    <row r="592" spans="1:11" x14ac:dyDescent="0.2">
      <c r="A592" s="4"/>
      <c r="B592" s="4"/>
      <c r="C592" s="4"/>
      <c r="D592" s="4"/>
      <c r="E592" s="4"/>
      <c r="K592" s="4"/>
    </row>
    <row r="593" spans="1:11" x14ac:dyDescent="0.2">
      <c r="A593" s="4"/>
      <c r="B593" s="4"/>
      <c r="C593" s="4"/>
      <c r="D593" s="4"/>
      <c r="E593" s="4"/>
      <c r="K593" s="4"/>
    </row>
    <row r="594" spans="1:11" x14ac:dyDescent="0.2">
      <c r="A594" s="4"/>
      <c r="B594" s="4"/>
      <c r="C594" s="4"/>
      <c r="D594" s="4"/>
      <c r="E594" s="4"/>
      <c r="K594" s="4"/>
    </row>
    <row r="595" spans="1:11" x14ac:dyDescent="0.2">
      <c r="A595" s="4"/>
      <c r="B595" s="4"/>
      <c r="C595" s="4"/>
      <c r="D595" s="4"/>
      <c r="E595" s="4"/>
      <c r="K595" s="4"/>
    </row>
    <row r="596" spans="1:11" x14ac:dyDescent="0.2">
      <c r="A596" s="4"/>
      <c r="B596" s="4"/>
      <c r="C596" s="4"/>
      <c r="D596" s="4"/>
      <c r="E596" s="4"/>
      <c r="K596" s="4"/>
    </row>
    <row r="597" spans="1:11" x14ac:dyDescent="0.2">
      <c r="A597" s="4"/>
      <c r="B597" s="4"/>
      <c r="C597" s="4"/>
      <c r="D597" s="4"/>
      <c r="E597" s="4"/>
      <c r="K597" s="4"/>
    </row>
    <row r="598" spans="1:11" x14ac:dyDescent="0.2">
      <c r="A598" s="4"/>
      <c r="B598" s="4"/>
      <c r="C598" s="4"/>
      <c r="D598" s="4"/>
      <c r="E598" s="4"/>
      <c r="K598" s="4"/>
    </row>
    <row r="599" spans="1:11" x14ac:dyDescent="0.2">
      <c r="A599" s="4"/>
      <c r="B599" s="4"/>
      <c r="C599" s="4"/>
      <c r="D599" s="4"/>
      <c r="E599" s="4"/>
      <c r="K599" s="4"/>
    </row>
    <row r="600" spans="1:11" x14ac:dyDescent="0.2">
      <c r="A600" s="4"/>
      <c r="B600" s="4"/>
      <c r="C600" s="4"/>
      <c r="D600" s="4"/>
      <c r="E600" s="4"/>
      <c r="K600" s="4"/>
    </row>
    <row r="601" spans="1:11" x14ac:dyDescent="0.2">
      <c r="A601" s="4"/>
      <c r="B601" s="4"/>
      <c r="C601" s="4"/>
      <c r="D601" s="4"/>
      <c r="E601" s="4"/>
      <c r="K601" s="4"/>
    </row>
    <row r="602" spans="1:11" x14ac:dyDescent="0.2">
      <c r="A602" s="4"/>
      <c r="B602" s="4"/>
      <c r="C602" s="4"/>
      <c r="D602" s="4"/>
      <c r="E602" s="4"/>
      <c r="K602" s="4"/>
    </row>
    <row r="603" spans="1:11" x14ac:dyDescent="0.2">
      <c r="A603" s="4"/>
      <c r="B603" s="4"/>
      <c r="C603" s="4"/>
      <c r="D603" s="4"/>
      <c r="E603" s="4"/>
      <c r="K603" s="4"/>
    </row>
    <row r="604" spans="1:11" x14ac:dyDescent="0.2">
      <c r="A604" s="4"/>
      <c r="B604" s="4"/>
      <c r="C604" s="4"/>
      <c r="D604" s="4"/>
      <c r="E604" s="4"/>
      <c r="K604" s="4"/>
    </row>
    <row r="605" spans="1:11" x14ac:dyDescent="0.2">
      <c r="A605" s="4"/>
      <c r="B605" s="4"/>
      <c r="C605" s="4"/>
      <c r="D605" s="4"/>
      <c r="E605" s="4"/>
      <c r="K605" s="4"/>
    </row>
    <row r="606" spans="1:11" x14ac:dyDescent="0.2">
      <c r="A606" s="4"/>
      <c r="B606" s="4"/>
      <c r="C606" s="4"/>
      <c r="D606" s="4"/>
      <c r="E606" s="4"/>
      <c r="K606" s="4"/>
    </row>
    <row r="607" spans="1:11" x14ac:dyDescent="0.2">
      <c r="A607" s="4"/>
      <c r="B607" s="4"/>
      <c r="C607" s="4"/>
      <c r="D607" s="4"/>
      <c r="E607" s="4"/>
      <c r="K607" s="4"/>
    </row>
    <row r="608" spans="1:11" x14ac:dyDescent="0.2">
      <c r="A608" s="4"/>
      <c r="B608" s="4"/>
      <c r="C608" s="4"/>
      <c r="D608" s="4"/>
      <c r="E608" s="4"/>
      <c r="K608" s="4"/>
    </row>
    <row r="609" spans="1:11" x14ac:dyDescent="0.2">
      <c r="A609" s="4"/>
      <c r="B609" s="4"/>
      <c r="C609" s="4"/>
      <c r="D609" s="4"/>
      <c r="E609" s="4"/>
      <c r="K609" s="4"/>
    </row>
    <row r="610" spans="1:11" x14ac:dyDescent="0.2">
      <c r="A610" s="4"/>
      <c r="B610" s="4"/>
      <c r="C610" s="4"/>
      <c r="D610" s="4"/>
      <c r="E610" s="4"/>
      <c r="K610" s="4"/>
    </row>
    <row r="611" spans="1:11" x14ac:dyDescent="0.2">
      <c r="A611" s="4"/>
      <c r="B611" s="4"/>
      <c r="C611" s="4"/>
      <c r="D611" s="4"/>
      <c r="E611" s="4"/>
      <c r="K611" s="4"/>
    </row>
    <row r="612" spans="1:11" x14ac:dyDescent="0.2">
      <c r="A612" s="4"/>
      <c r="B612" s="4"/>
      <c r="C612" s="4"/>
      <c r="D612" s="4"/>
      <c r="E612" s="4"/>
      <c r="K612" s="4"/>
    </row>
    <row r="613" spans="1:11" x14ac:dyDescent="0.2">
      <c r="A613" s="4"/>
      <c r="B613" s="4"/>
      <c r="C613" s="4"/>
      <c r="D613" s="4"/>
      <c r="E613" s="4"/>
      <c r="K613" s="4"/>
    </row>
    <row r="614" spans="1:11" x14ac:dyDescent="0.2">
      <c r="A614" s="4"/>
      <c r="B614" s="4"/>
      <c r="C614" s="4"/>
      <c r="D614" s="4"/>
      <c r="E614" s="4"/>
      <c r="K614" s="4"/>
    </row>
    <row r="615" spans="1:11" x14ac:dyDescent="0.2">
      <c r="A615" s="4"/>
      <c r="B615" s="4"/>
      <c r="C615" s="4"/>
      <c r="D615" s="4"/>
      <c r="E615" s="4"/>
      <c r="K615" s="4"/>
    </row>
    <row r="616" spans="1:11" x14ac:dyDescent="0.2">
      <c r="A616" s="4"/>
      <c r="B616" s="4"/>
      <c r="C616" s="4"/>
      <c r="D616" s="4"/>
      <c r="E616" s="4"/>
      <c r="K616" s="4"/>
    </row>
    <row r="617" spans="1:11" x14ac:dyDescent="0.2">
      <c r="A617" s="4"/>
      <c r="B617" s="4"/>
      <c r="C617" s="4"/>
      <c r="D617" s="4"/>
      <c r="E617" s="4"/>
      <c r="K617" s="4"/>
    </row>
    <row r="618" spans="1:11" x14ac:dyDescent="0.2">
      <c r="A618" s="4"/>
      <c r="B618" s="4"/>
      <c r="C618" s="4"/>
      <c r="D618" s="4"/>
      <c r="E618" s="4"/>
      <c r="K618" s="4"/>
    </row>
    <row r="619" spans="1:11" x14ac:dyDescent="0.2">
      <c r="A619" s="4"/>
      <c r="B619" s="4"/>
      <c r="C619" s="4"/>
      <c r="D619" s="4"/>
      <c r="E619" s="4"/>
      <c r="K619" s="4"/>
    </row>
    <row r="620" spans="1:11" x14ac:dyDescent="0.2">
      <c r="A620" s="4"/>
      <c r="B620" s="4"/>
      <c r="C620" s="4"/>
      <c r="D620" s="4"/>
      <c r="E620" s="4"/>
      <c r="K620" s="4"/>
    </row>
    <row r="621" spans="1:11" x14ac:dyDescent="0.2">
      <c r="A621" s="4"/>
      <c r="B621" s="4"/>
      <c r="C621" s="4"/>
      <c r="D621" s="4"/>
      <c r="E621" s="4"/>
      <c r="K621" s="4"/>
    </row>
    <row r="622" spans="1:11" x14ac:dyDescent="0.2">
      <c r="A622" s="4"/>
      <c r="B622" s="4"/>
      <c r="C622" s="4"/>
      <c r="D622" s="4"/>
      <c r="E622" s="4"/>
      <c r="K622" s="4"/>
    </row>
    <row r="623" spans="1:11" x14ac:dyDescent="0.2">
      <c r="A623" s="4"/>
      <c r="B623" s="4"/>
      <c r="C623" s="4"/>
      <c r="D623" s="4"/>
      <c r="E623" s="4"/>
      <c r="K623" s="4"/>
    </row>
    <row r="624" spans="1:11" x14ac:dyDescent="0.2">
      <c r="A624" s="4"/>
      <c r="B624" s="4"/>
      <c r="C624" s="4"/>
      <c r="D624" s="4"/>
      <c r="E624" s="4"/>
      <c r="K624" s="4"/>
    </row>
    <row r="625" spans="1:11" x14ac:dyDescent="0.2">
      <c r="A625" s="4"/>
      <c r="B625" s="4"/>
      <c r="C625" s="4"/>
      <c r="D625" s="4"/>
      <c r="E625" s="4"/>
      <c r="K625" s="4"/>
    </row>
    <row r="626" spans="1:11" x14ac:dyDescent="0.2">
      <c r="A626" s="4"/>
      <c r="B626" s="4"/>
      <c r="C626" s="4"/>
      <c r="D626" s="4"/>
      <c r="E626" s="4"/>
      <c r="K626" s="4"/>
    </row>
    <row r="627" spans="1:11" x14ac:dyDescent="0.2">
      <c r="A627" s="4"/>
      <c r="B627" s="4"/>
      <c r="C627" s="4"/>
      <c r="D627" s="4"/>
      <c r="E627" s="4"/>
      <c r="K627" s="4"/>
    </row>
    <row r="628" spans="1:11" x14ac:dyDescent="0.2">
      <c r="A628" s="4"/>
      <c r="B628" s="4"/>
      <c r="C628" s="4"/>
      <c r="D628" s="4"/>
      <c r="E628" s="4"/>
      <c r="K628" s="4"/>
    </row>
    <row r="629" spans="1:11" x14ac:dyDescent="0.2">
      <c r="A629" s="4"/>
      <c r="B629" s="4"/>
      <c r="C629" s="4"/>
      <c r="D629" s="4"/>
      <c r="E629" s="4"/>
      <c r="K629" s="4"/>
    </row>
    <row r="630" spans="1:11" x14ac:dyDescent="0.2">
      <c r="A630" s="4"/>
      <c r="B630" s="4"/>
      <c r="C630" s="4"/>
      <c r="D630" s="4"/>
      <c r="E630" s="4"/>
      <c r="K630" s="4"/>
    </row>
    <row r="631" spans="1:11" x14ac:dyDescent="0.2">
      <c r="A631" s="4"/>
      <c r="B631" s="4"/>
      <c r="C631" s="4"/>
      <c r="D631" s="4"/>
      <c r="E631" s="4"/>
      <c r="K631" s="4"/>
    </row>
    <row r="632" spans="1:11" x14ac:dyDescent="0.2">
      <c r="A632" s="4"/>
      <c r="B632" s="4"/>
      <c r="C632" s="4"/>
      <c r="D632" s="4"/>
      <c r="E632" s="4"/>
      <c r="K632" s="4"/>
    </row>
    <row r="633" spans="1:11" x14ac:dyDescent="0.2">
      <c r="A633" s="4"/>
      <c r="B633" s="4"/>
      <c r="C633" s="4"/>
      <c r="D633" s="4"/>
      <c r="E633" s="4"/>
      <c r="K633" s="4"/>
    </row>
    <row r="634" spans="1:11" x14ac:dyDescent="0.2">
      <c r="A634" s="4"/>
      <c r="B634" s="4"/>
      <c r="C634" s="4"/>
      <c r="D634" s="4"/>
      <c r="E634" s="4"/>
      <c r="K634" s="4"/>
    </row>
    <row r="635" spans="1:11" x14ac:dyDescent="0.2">
      <c r="A635" s="4"/>
      <c r="B635" s="4"/>
      <c r="C635" s="4"/>
      <c r="D635" s="4"/>
      <c r="E635" s="4"/>
      <c r="K635" s="4"/>
    </row>
    <row r="636" spans="1:11" x14ac:dyDescent="0.2">
      <c r="A636" s="4"/>
      <c r="B636" s="4"/>
      <c r="C636" s="4"/>
      <c r="D636" s="4"/>
      <c r="E636" s="4"/>
      <c r="K636" s="4"/>
    </row>
    <row r="637" spans="1:11" x14ac:dyDescent="0.2">
      <c r="A637" s="4"/>
      <c r="B637" s="4"/>
      <c r="C637" s="4"/>
      <c r="D637" s="4"/>
      <c r="E637" s="4"/>
      <c r="K637" s="4"/>
    </row>
    <row r="638" spans="1:11" x14ac:dyDescent="0.2">
      <c r="A638" s="4"/>
      <c r="B638" s="4"/>
      <c r="C638" s="4"/>
      <c r="D638" s="4"/>
      <c r="E638" s="4"/>
      <c r="K638" s="4"/>
    </row>
    <row r="639" spans="1:11" x14ac:dyDescent="0.2">
      <c r="A639" s="4"/>
      <c r="B639" s="4"/>
      <c r="C639" s="4"/>
      <c r="D639" s="4"/>
      <c r="E639" s="4"/>
      <c r="K639" s="4"/>
    </row>
    <row r="640" spans="1:11" x14ac:dyDescent="0.2">
      <c r="A640" s="4"/>
      <c r="B640" s="4"/>
      <c r="C640" s="4"/>
      <c r="D640" s="4"/>
      <c r="E640" s="4"/>
      <c r="K640" s="4"/>
    </row>
    <row r="641" spans="1:11" x14ac:dyDescent="0.2">
      <c r="A641" s="4"/>
      <c r="B641" s="4"/>
      <c r="C641" s="4"/>
      <c r="D641" s="4"/>
      <c r="E641" s="4"/>
      <c r="K641" s="4"/>
    </row>
    <row r="642" spans="1:11" x14ac:dyDescent="0.2">
      <c r="A642" s="4"/>
      <c r="B642" s="4"/>
      <c r="C642" s="4"/>
      <c r="D642" s="4"/>
      <c r="E642" s="4"/>
      <c r="K642" s="4"/>
    </row>
    <row r="643" spans="1:11" x14ac:dyDescent="0.2">
      <c r="A643" s="4"/>
      <c r="B643" s="4"/>
      <c r="C643" s="4"/>
      <c r="D643" s="4"/>
      <c r="E643" s="4"/>
      <c r="K643" s="4"/>
    </row>
    <row r="644" spans="1:11" x14ac:dyDescent="0.2">
      <c r="A644" s="4"/>
      <c r="B644" s="4"/>
      <c r="C644" s="4"/>
      <c r="D644" s="4"/>
      <c r="E644" s="4"/>
      <c r="K644" s="4"/>
    </row>
    <row r="645" spans="1:11" x14ac:dyDescent="0.2">
      <c r="A645" s="4"/>
      <c r="B645" s="4"/>
      <c r="C645" s="4"/>
      <c r="D645" s="4"/>
      <c r="E645" s="4"/>
      <c r="K645" s="4"/>
    </row>
    <row r="646" spans="1:11" x14ac:dyDescent="0.2">
      <c r="A646" s="4"/>
      <c r="B646" s="4"/>
      <c r="C646" s="4"/>
      <c r="D646" s="4"/>
      <c r="E646" s="4"/>
      <c r="K646" s="4"/>
    </row>
    <row r="647" spans="1:11" x14ac:dyDescent="0.2">
      <c r="A647" s="4"/>
      <c r="B647" s="4"/>
      <c r="C647" s="4"/>
      <c r="D647" s="4"/>
      <c r="E647" s="4"/>
      <c r="K647" s="4"/>
    </row>
    <row r="648" spans="1:11" x14ac:dyDescent="0.2">
      <c r="A648" s="4"/>
      <c r="B648" s="4"/>
      <c r="C648" s="4"/>
      <c r="D648" s="4"/>
      <c r="E648" s="4"/>
      <c r="K648" s="4"/>
    </row>
    <row r="649" spans="1:11" x14ac:dyDescent="0.2">
      <c r="A649" s="4"/>
      <c r="B649" s="4"/>
      <c r="C649" s="4"/>
      <c r="D649" s="4"/>
      <c r="E649" s="4"/>
      <c r="K649" s="4"/>
    </row>
    <row r="650" spans="1:11" x14ac:dyDescent="0.2">
      <c r="A650" s="4"/>
      <c r="B650" s="4"/>
      <c r="C650" s="4"/>
      <c r="D650" s="4"/>
      <c r="E650" s="4"/>
      <c r="K650" s="4"/>
    </row>
    <row r="651" spans="1:11" x14ac:dyDescent="0.2">
      <c r="A651" s="4"/>
      <c r="B651" s="4"/>
      <c r="C651" s="4"/>
      <c r="D651" s="4"/>
      <c r="E651" s="4"/>
      <c r="K651" s="4"/>
    </row>
    <row r="652" spans="1:11" x14ac:dyDescent="0.2">
      <c r="A652" s="4"/>
      <c r="B652" s="4"/>
      <c r="C652" s="4"/>
      <c r="D652" s="4"/>
      <c r="E652" s="4"/>
      <c r="K652" s="4"/>
    </row>
    <row r="653" spans="1:11" x14ac:dyDescent="0.2">
      <c r="A653" s="4"/>
      <c r="B653" s="4"/>
      <c r="C653" s="4"/>
      <c r="D653" s="4"/>
      <c r="E653" s="4"/>
      <c r="K653" s="4"/>
    </row>
    <row r="654" spans="1:11" x14ac:dyDescent="0.2">
      <c r="A654" s="4"/>
      <c r="B654" s="4"/>
      <c r="C654" s="4"/>
      <c r="D654" s="4"/>
      <c r="E654" s="4"/>
      <c r="K654" s="4"/>
    </row>
    <row r="655" spans="1:11" x14ac:dyDescent="0.2">
      <c r="A655" s="4"/>
      <c r="B655" s="4"/>
      <c r="C655" s="4"/>
      <c r="D655" s="4"/>
      <c r="E655" s="4"/>
      <c r="K655" s="4"/>
    </row>
    <row r="656" spans="1:11" x14ac:dyDescent="0.2">
      <c r="A656" s="4"/>
      <c r="B656" s="4"/>
      <c r="C656" s="4"/>
      <c r="D656" s="4"/>
      <c r="E656" s="4"/>
      <c r="K656" s="4"/>
    </row>
    <row r="657" spans="1:11" x14ac:dyDescent="0.2">
      <c r="A657" s="4"/>
      <c r="B657" s="4"/>
      <c r="C657" s="4"/>
      <c r="D657" s="4"/>
      <c r="E657" s="4"/>
      <c r="K657" s="4"/>
    </row>
    <row r="658" spans="1:11" x14ac:dyDescent="0.2">
      <c r="A658" s="4"/>
      <c r="B658" s="4"/>
      <c r="C658" s="4"/>
      <c r="D658" s="4"/>
      <c r="E658" s="4"/>
      <c r="K658" s="4"/>
    </row>
    <row r="659" spans="1:11" x14ac:dyDescent="0.2">
      <c r="A659" s="4"/>
      <c r="B659" s="4"/>
      <c r="C659" s="4"/>
      <c r="D659" s="4"/>
      <c r="E659" s="4"/>
      <c r="K659" s="4"/>
    </row>
    <row r="660" spans="1:11" x14ac:dyDescent="0.2">
      <c r="A660" s="4"/>
      <c r="B660" s="4"/>
      <c r="C660" s="4"/>
      <c r="D660" s="4"/>
      <c r="E660" s="4"/>
      <c r="K660" s="4"/>
    </row>
    <row r="661" spans="1:11" x14ac:dyDescent="0.2">
      <c r="A661" s="4"/>
      <c r="B661" s="4"/>
      <c r="C661" s="4"/>
      <c r="D661" s="4"/>
      <c r="E661" s="4"/>
      <c r="K661" s="4"/>
    </row>
    <row r="662" spans="1:11" x14ac:dyDescent="0.2">
      <c r="A662" s="4"/>
      <c r="B662" s="4"/>
      <c r="C662" s="4"/>
      <c r="D662" s="4"/>
      <c r="E662" s="4"/>
      <c r="K662" s="4"/>
    </row>
    <row r="663" spans="1:11" x14ac:dyDescent="0.2">
      <c r="A663" s="4"/>
      <c r="B663" s="4"/>
      <c r="C663" s="4"/>
      <c r="D663" s="4"/>
      <c r="E663" s="4"/>
      <c r="K663" s="4"/>
    </row>
    <row r="664" spans="1:11" x14ac:dyDescent="0.2">
      <c r="A664" s="4"/>
      <c r="B664" s="4"/>
      <c r="C664" s="4"/>
      <c r="D664" s="4"/>
      <c r="E664" s="4"/>
      <c r="K664" s="4"/>
    </row>
    <row r="665" spans="1:11" x14ac:dyDescent="0.2">
      <c r="A665" s="4"/>
      <c r="B665" s="4"/>
      <c r="C665" s="4"/>
      <c r="D665" s="4"/>
      <c r="E665" s="4"/>
      <c r="K665" s="4"/>
    </row>
    <row r="666" spans="1:11" x14ac:dyDescent="0.2">
      <c r="A666" s="4"/>
      <c r="B666" s="4"/>
      <c r="C666" s="4"/>
      <c r="D666" s="4"/>
      <c r="E666" s="4"/>
      <c r="K666" s="4"/>
    </row>
    <row r="667" spans="1:11" x14ac:dyDescent="0.2">
      <c r="A667" s="4"/>
      <c r="B667" s="4"/>
      <c r="C667" s="4"/>
      <c r="D667" s="4"/>
      <c r="E667" s="4"/>
      <c r="K667" s="4"/>
    </row>
    <row r="668" spans="1:11" x14ac:dyDescent="0.2">
      <c r="A668" s="4"/>
      <c r="B668" s="4"/>
      <c r="C668" s="4"/>
      <c r="D668" s="4"/>
      <c r="E668" s="4"/>
      <c r="K668" s="4"/>
    </row>
    <row r="669" spans="1:11" x14ac:dyDescent="0.2">
      <c r="A669" s="4"/>
      <c r="B669" s="4"/>
      <c r="C669" s="4"/>
      <c r="D669" s="4"/>
      <c r="E669" s="4"/>
      <c r="K669" s="4"/>
    </row>
    <row r="670" spans="1:11" x14ac:dyDescent="0.2">
      <c r="A670" s="4"/>
      <c r="B670" s="4"/>
      <c r="C670" s="4"/>
      <c r="D670" s="4"/>
      <c r="E670" s="4"/>
      <c r="K670" s="4"/>
    </row>
    <row r="671" spans="1:11" x14ac:dyDescent="0.2">
      <c r="A671" s="4"/>
      <c r="B671" s="4"/>
      <c r="C671" s="4"/>
      <c r="D671" s="4"/>
      <c r="E671" s="4"/>
      <c r="K671" s="4"/>
    </row>
    <row r="672" spans="1:11" x14ac:dyDescent="0.2">
      <c r="A672" s="4"/>
      <c r="B672" s="4"/>
      <c r="C672" s="4"/>
      <c r="D672" s="4"/>
      <c r="E672" s="4"/>
      <c r="K672" s="4"/>
    </row>
    <row r="673" spans="1:11" x14ac:dyDescent="0.2">
      <c r="A673" s="4"/>
      <c r="B673" s="4"/>
      <c r="C673" s="4"/>
      <c r="D673" s="4"/>
      <c r="E673" s="4"/>
      <c r="K673" s="4"/>
    </row>
    <row r="674" spans="1:11" x14ac:dyDescent="0.2">
      <c r="A674" s="4"/>
      <c r="B674" s="4"/>
      <c r="C674" s="4"/>
      <c r="D674" s="4"/>
      <c r="E674" s="4"/>
      <c r="K674" s="4"/>
    </row>
    <row r="675" spans="1:11" x14ac:dyDescent="0.2">
      <c r="A675" s="4"/>
      <c r="B675" s="4"/>
      <c r="C675" s="4"/>
      <c r="D675" s="4"/>
      <c r="E675" s="4"/>
      <c r="K675" s="4"/>
    </row>
    <row r="676" spans="1:11" x14ac:dyDescent="0.2">
      <c r="A676" s="4"/>
      <c r="B676" s="4"/>
      <c r="C676" s="4"/>
      <c r="D676" s="4"/>
      <c r="E676" s="4"/>
      <c r="K676" s="4"/>
    </row>
    <row r="677" spans="1:11" x14ac:dyDescent="0.2">
      <c r="A677" s="4"/>
      <c r="B677" s="4"/>
      <c r="C677" s="4"/>
      <c r="D677" s="4"/>
      <c r="E677" s="4"/>
      <c r="K677" s="4"/>
    </row>
    <row r="678" spans="1:11" x14ac:dyDescent="0.2">
      <c r="A678" s="4"/>
      <c r="B678" s="4"/>
      <c r="C678" s="4"/>
      <c r="D678" s="4"/>
      <c r="E678" s="4"/>
      <c r="K678" s="4"/>
    </row>
    <row r="679" spans="1:11" x14ac:dyDescent="0.2">
      <c r="A679" s="4"/>
      <c r="B679" s="4"/>
      <c r="C679" s="4"/>
      <c r="D679" s="4"/>
      <c r="E679" s="4"/>
      <c r="K679" s="4"/>
    </row>
    <row r="680" spans="1:11" x14ac:dyDescent="0.2">
      <c r="A680" s="4"/>
      <c r="B680" s="4"/>
      <c r="C680" s="4"/>
      <c r="D680" s="4"/>
      <c r="E680" s="4"/>
      <c r="K680" s="4"/>
    </row>
    <row r="681" spans="1:11" x14ac:dyDescent="0.2">
      <c r="A681" s="4"/>
      <c r="B681" s="4"/>
      <c r="C681" s="4"/>
      <c r="D681" s="4"/>
      <c r="E681" s="4"/>
      <c r="K681" s="4"/>
    </row>
    <row r="682" spans="1:11" x14ac:dyDescent="0.2">
      <c r="A682" s="4"/>
      <c r="B682" s="4"/>
      <c r="C682" s="4"/>
      <c r="D682" s="4"/>
      <c r="E682" s="4"/>
      <c r="K682" s="4"/>
    </row>
    <row r="683" spans="1:11" x14ac:dyDescent="0.2">
      <c r="A683" s="4"/>
      <c r="B683" s="4"/>
      <c r="C683" s="4"/>
      <c r="D683" s="4"/>
      <c r="E683" s="4"/>
      <c r="K683" s="4"/>
    </row>
    <row r="684" spans="1:11" x14ac:dyDescent="0.2">
      <c r="A684" s="4"/>
      <c r="B684" s="4"/>
      <c r="C684" s="4"/>
      <c r="D684" s="4"/>
      <c r="E684" s="4"/>
      <c r="K684" s="4"/>
    </row>
    <row r="685" spans="1:11" x14ac:dyDescent="0.2">
      <c r="A685" s="4"/>
      <c r="B685" s="4"/>
      <c r="C685" s="4"/>
      <c r="D685" s="4"/>
      <c r="E685" s="4"/>
      <c r="K685" s="4"/>
    </row>
    <row r="686" spans="1:11" x14ac:dyDescent="0.2">
      <c r="A686" s="4"/>
      <c r="B686" s="4"/>
      <c r="C686" s="4"/>
      <c r="D686" s="4"/>
      <c r="E686" s="4"/>
      <c r="K686" s="4"/>
    </row>
    <row r="687" spans="1:11" x14ac:dyDescent="0.2">
      <c r="A687" s="4"/>
      <c r="B687" s="4"/>
      <c r="C687" s="4"/>
      <c r="D687" s="4"/>
      <c r="E687" s="4"/>
      <c r="K687" s="4"/>
    </row>
    <row r="688" spans="1:11" x14ac:dyDescent="0.2">
      <c r="A688" s="4"/>
      <c r="B688" s="4"/>
      <c r="C688" s="4"/>
      <c r="D688" s="4"/>
      <c r="E688" s="4"/>
      <c r="K688" s="4"/>
    </row>
    <row r="689" spans="1:11" x14ac:dyDescent="0.2">
      <c r="A689" s="4"/>
      <c r="B689" s="4"/>
      <c r="C689" s="4"/>
      <c r="D689" s="4"/>
      <c r="E689" s="4"/>
      <c r="K689" s="4"/>
    </row>
    <row r="690" spans="1:11" x14ac:dyDescent="0.2">
      <c r="A690" s="4"/>
      <c r="B690" s="4"/>
      <c r="C690" s="4"/>
      <c r="D690" s="4"/>
      <c r="E690" s="4"/>
      <c r="K690" s="4"/>
    </row>
    <row r="691" spans="1:11" x14ac:dyDescent="0.2">
      <c r="A691" s="4"/>
      <c r="B691" s="4"/>
      <c r="C691" s="4"/>
      <c r="D691" s="4"/>
      <c r="E691" s="4"/>
      <c r="K691" s="4"/>
    </row>
    <row r="692" spans="1:11" x14ac:dyDescent="0.2">
      <c r="A692" s="4"/>
      <c r="B692" s="4"/>
      <c r="C692" s="4"/>
      <c r="D692" s="4"/>
      <c r="E692" s="4"/>
      <c r="K692" s="4"/>
    </row>
    <row r="693" spans="1:11" x14ac:dyDescent="0.2">
      <c r="A693" s="4"/>
      <c r="B693" s="4"/>
      <c r="C693" s="4"/>
      <c r="D693" s="4"/>
      <c r="E693" s="4"/>
      <c r="K693" s="4"/>
    </row>
    <row r="694" spans="1:11" x14ac:dyDescent="0.2">
      <c r="A694" s="4"/>
      <c r="B694" s="4"/>
      <c r="C694" s="4"/>
      <c r="D694" s="4"/>
      <c r="E694" s="4"/>
      <c r="K694" s="4"/>
    </row>
    <row r="695" spans="1:11" x14ac:dyDescent="0.2">
      <c r="A695" s="4"/>
      <c r="B695" s="4"/>
      <c r="C695" s="4"/>
      <c r="D695" s="4"/>
      <c r="E695" s="4"/>
      <c r="K695" s="4"/>
    </row>
    <row r="696" spans="1:11" x14ac:dyDescent="0.2">
      <c r="A696" s="4"/>
      <c r="B696" s="4"/>
      <c r="C696" s="4"/>
      <c r="D696" s="4"/>
      <c r="E696" s="4"/>
      <c r="K696" s="4"/>
    </row>
    <row r="697" spans="1:11" x14ac:dyDescent="0.2">
      <c r="A697" s="4"/>
      <c r="B697" s="4"/>
      <c r="C697" s="4"/>
      <c r="D697" s="4"/>
      <c r="E697" s="4"/>
      <c r="K697" s="4"/>
    </row>
    <row r="698" spans="1:11" x14ac:dyDescent="0.2">
      <c r="A698" s="4"/>
      <c r="B698" s="4"/>
      <c r="C698" s="4"/>
      <c r="D698" s="4"/>
      <c r="E698" s="4"/>
      <c r="K698" s="4"/>
    </row>
    <row r="699" spans="1:11" x14ac:dyDescent="0.2">
      <c r="A699" s="4"/>
      <c r="B699" s="4"/>
      <c r="C699" s="4"/>
      <c r="D699" s="4"/>
      <c r="E699" s="4"/>
      <c r="K699" s="4"/>
    </row>
    <row r="700" spans="1:11" x14ac:dyDescent="0.2">
      <c r="A700" s="4"/>
      <c r="B700" s="4"/>
      <c r="C700" s="4"/>
      <c r="D700" s="4"/>
      <c r="E700" s="4"/>
      <c r="K700" s="4"/>
    </row>
    <row r="701" spans="1:11" x14ac:dyDescent="0.2">
      <c r="A701" s="4"/>
      <c r="B701" s="4"/>
      <c r="C701" s="4"/>
      <c r="D701" s="4"/>
      <c r="E701" s="4"/>
      <c r="K701" s="4"/>
    </row>
    <row r="702" spans="1:11" x14ac:dyDescent="0.2">
      <c r="A702" s="4"/>
      <c r="B702" s="4"/>
      <c r="C702" s="4"/>
      <c r="D702" s="4"/>
      <c r="E702" s="4"/>
      <c r="K702" s="4"/>
    </row>
    <row r="703" spans="1:11" x14ac:dyDescent="0.2">
      <c r="A703" s="4"/>
      <c r="B703" s="4"/>
      <c r="C703" s="4"/>
      <c r="D703" s="4"/>
      <c r="E703" s="4"/>
      <c r="K703" s="4"/>
    </row>
    <row r="704" spans="1:11" x14ac:dyDescent="0.2">
      <c r="A704" s="4"/>
      <c r="B704" s="4"/>
      <c r="C704" s="4"/>
      <c r="D704" s="4"/>
      <c r="E704" s="4"/>
      <c r="K704" s="4"/>
    </row>
    <row r="705" spans="1:11" x14ac:dyDescent="0.2">
      <c r="A705" s="4"/>
      <c r="B705" s="4"/>
      <c r="C705" s="4"/>
      <c r="D705" s="4"/>
      <c r="E705" s="4"/>
      <c r="K705" s="4"/>
    </row>
    <row r="706" spans="1:11" x14ac:dyDescent="0.2">
      <c r="A706" s="4"/>
      <c r="B706" s="4"/>
      <c r="C706" s="4"/>
      <c r="D706" s="4"/>
      <c r="E706" s="4"/>
      <c r="K706" s="4"/>
    </row>
    <row r="707" spans="1:11" x14ac:dyDescent="0.2">
      <c r="A707" s="4"/>
      <c r="B707" s="4"/>
      <c r="C707" s="4"/>
      <c r="D707" s="4"/>
      <c r="E707" s="4"/>
      <c r="K707" s="4"/>
    </row>
    <row r="708" spans="1:11" x14ac:dyDescent="0.2">
      <c r="A708" s="4"/>
      <c r="B708" s="4"/>
      <c r="C708" s="4"/>
      <c r="D708" s="4"/>
      <c r="E708" s="4"/>
      <c r="K708" s="4"/>
    </row>
    <row r="709" spans="1:11" x14ac:dyDescent="0.2">
      <c r="A709" s="4"/>
      <c r="B709" s="4"/>
      <c r="C709" s="4"/>
      <c r="D709" s="4"/>
      <c r="E709" s="4"/>
      <c r="K709" s="4"/>
    </row>
    <row r="710" spans="1:11" x14ac:dyDescent="0.2">
      <c r="A710" s="4"/>
      <c r="B710" s="4"/>
      <c r="C710" s="4"/>
      <c r="D710" s="4"/>
      <c r="E710" s="4"/>
      <c r="K710" s="4"/>
    </row>
    <row r="711" spans="1:11" x14ac:dyDescent="0.2">
      <c r="A711" s="4"/>
      <c r="B711" s="4"/>
      <c r="C711" s="4"/>
      <c r="D711" s="4"/>
      <c r="E711" s="4"/>
      <c r="K711" s="4"/>
    </row>
    <row r="712" spans="1:11" x14ac:dyDescent="0.2">
      <c r="A712" s="4"/>
      <c r="B712" s="4"/>
      <c r="C712" s="4"/>
      <c r="D712" s="4"/>
      <c r="E712" s="4"/>
      <c r="K712" s="4"/>
    </row>
    <row r="713" spans="1:11" x14ac:dyDescent="0.2">
      <c r="A713" s="4"/>
      <c r="B713" s="4"/>
      <c r="C713" s="4"/>
      <c r="D713" s="4"/>
      <c r="E713" s="4"/>
      <c r="K713" s="4"/>
    </row>
    <row r="714" spans="1:11" x14ac:dyDescent="0.2">
      <c r="A714" s="4"/>
      <c r="B714" s="4"/>
      <c r="C714" s="4"/>
      <c r="D714" s="4"/>
      <c r="E714" s="4"/>
      <c r="K714" s="4"/>
    </row>
    <row r="715" spans="1:11" x14ac:dyDescent="0.2">
      <c r="A715" s="4"/>
      <c r="B715" s="4"/>
      <c r="C715" s="4"/>
      <c r="D715" s="4"/>
      <c r="E715" s="4"/>
      <c r="K715" s="4"/>
    </row>
    <row r="716" spans="1:11" x14ac:dyDescent="0.2">
      <c r="A716" s="4"/>
      <c r="B716" s="4"/>
      <c r="C716" s="4"/>
      <c r="D716" s="4"/>
      <c r="E716" s="4"/>
      <c r="K716" s="4"/>
    </row>
    <row r="717" spans="1:11" x14ac:dyDescent="0.2">
      <c r="A717" s="4"/>
      <c r="B717" s="4"/>
      <c r="C717" s="4"/>
      <c r="D717" s="4"/>
      <c r="E717" s="4"/>
      <c r="K717" s="4"/>
    </row>
    <row r="718" spans="1:11" x14ac:dyDescent="0.2">
      <c r="A718" s="4"/>
      <c r="B718" s="4"/>
      <c r="C718" s="4"/>
      <c r="D718" s="4"/>
      <c r="E718" s="4"/>
      <c r="K718" s="4"/>
    </row>
    <row r="719" spans="1:11" x14ac:dyDescent="0.2">
      <c r="A719" s="4"/>
      <c r="B719" s="4"/>
      <c r="C719" s="4"/>
      <c r="D719" s="4"/>
      <c r="E719" s="4"/>
      <c r="K719" s="4"/>
    </row>
    <row r="720" spans="1:11" x14ac:dyDescent="0.2">
      <c r="A720" s="4"/>
      <c r="B720" s="4"/>
      <c r="C720" s="4"/>
      <c r="D720" s="4"/>
      <c r="E720" s="4"/>
      <c r="K720" s="4"/>
    </row>
    <row r="721" spans="1:11" x14ac:dyDescent="0.2">
      <c r="A721" s="4"/>
      <c r="B721" s="4"/>
      <c r="C721" s="4"/>
      <c r="D721" s="4"/>
      <c r="E721" s="4"/>
      <c r="K721" s="4"/>
    </row>
    <row r="722" spans="1:11" x14ac:dyDescent="0.2">
      <c r="A722" s="4"/>
      <c r="B722" s="4"/>
      <c r="C722" s="4"/>
      <c r="D722" s="4"/>
      <c r="E722" s="4"/>
      <c r="K722" s="4"/>
    </row>
    <row r="723" spans="1:11" x14ac:dyDescent="0.2">
      <c r="A723" s="4"/>
      <c r="B723" s="4"/>
      <c r="C723" s="4"/>
      <c r="D723" s="4"/>
      <c r="E723" s="4"/>
      <c r="K723" s="4"/>
    </row>
    <row r="724" spans="1:11" x14ac:dyDescent="0.2">
      <c r="A724" s="4"/>
      <c r="B724" s="4"/>
      <c r="C724" s="4"/>
      <c r="D724" s="4"/>
      <c r="E724" s="4"/>
      <c r="K724" s="4"/>
    </row>
    <row r="725" spans="1:11" x14ac:dyDescent="0.2">
      <c r="A725" s="4"/>
      <c r="B725" s="4"/>
      <c r="C725" s="4"/>
      <c r="D725" s="4"/>
      <c r="E725" s="4"/>
      <c r="K725" s="4"/>
    </row>
    <row r="726" spans="1:11" x14ac:dyDescent="0.2">
      <c r="A726" s="4"/>
      <c r="B726" s="4"/>
      <c r="C726" s="4"/>
      <c r="D726" s="4"/>
      <c r="E726" s="4"/>
      <c r="K726" s="4"/>
    </row>
    <row r="727" spans="1:11" x14ac:dyDescent="0.2">
      <c r="A727" s="4"/>
      <c r="B727" s="4"/>
      <c r="C727" s="4"/>
      <c r="D727" s="4"/>
      <c r="E727" s="4"/>
      <c r="K727" s="4"/>
    </row>
    <row r="728" spans="1:11" x14ac:dyDescent="0.2">
      <c r="A728" s="4"/>
      <c r="B728" s="4"/>
      <c r="C728" s="4"/>
      <c r="D728" s="4"/>
      <c r="E728" s="4"/>
      <c r="K728" s="4"/>
    </row>
    <row r="729" spans="1:11" x14ac:dyDescent="0.2">
      <c r="A729" s="4"/>
      <c r="B729" s="4"/>
      <c r="C729" s="4"/>
      <c r="D729" s="4"/>
      <c r="E729" s="4"/>
      <c r="K729" s="4"/>
    </row>
    <row r="730" spans="1:11" x14ac:dyDescent="0.2">
      <c r="A730" s="4"/>
      <c r="B730" s="4"/>
      <c r="C730" s="4"/>
      <c r="D730" s="4"/>
      <c r="E730" s="4"/>
      <c r="K730" s="4"/>
    </row>
    <row r="731" spans="1:11" x14ac:dyDescent="0.2">
      <c r="A731" s="4"/>
      <c r="B731" s="4"/>
      <c r="C731" s="4"/>
      <c r="D731" s="4"/>
      <c r="E731" s="4"/>
      <c r="K731" s="4"/>
    </row>
    <row r="732" spans="1:11" x14ac:dyDescent="0.2">
      <c r="A732" s="4"/>
      <c r="B732" s="4"/>
      <c r="C732" s="4"/>
      <c r="D732" s="4"/>
      <c r="E732" s="4"/>
      <c r="K732" s="4"/>
    </row>
    <row r="733" spans="1:11" x14ac:dyDescent="0.2">
      <c r="A733" s="4"/>
      <c r="B733" s="4"/>
      <c r="C733" s="4"/>
      <c r="D733" s="4"/>
      <c r="E733" s="4"/>
      <c r="K733" s="4"/>
    </row>
    <row r="734" spans="1:11" x14ac:dyDescent="0.2">
      <c r="A734" s="4"/>
      <c r="B734" s="4"/>
      <c r="C734" s="4"/>
      <c r="D734" s="4"/>
      <c r="E734" s="4"/>
      <c r="K734" s="4"/>
    </row>
    <row r="735" spans="1:11" x14ac:dyDescent="0.2">
      <c r="A735" s="4"/>
      <c r="B735" s="4"/>
      <c r="C735" s="4"/>
      <c r="D735" s="4"/>
      <c r="E735" s="4"/>
      <c r="K735" s="4"/>
    </row>
    <row r="736" spans="1:11" x14ac:dyDescent="0.2">
      <c r="A736" s="4"/>
      <c r="B736" s="4"/>
      <c r="C736" s="4"/>
      <c r="D736" s="4"/>
      <c r="E736" s="4"/>
      <c r="K736" s="4"/>
    </row>
    <row r="737" spans="1:11" x14ac:dyDescent="0.2">
      <c r="A737" s="4"/>
      <c r="B737" s="4"/>
      <c r="C737" s="4"/>
      <c r="D737" s="4"/>
      <c r="E737" s="4"/>
      <c r="K737" s="4"/>
    </row>
    <row r="738" spans="1:11" x14ac:dyDescent="0.2">
      <c r="A738" s="4"/>
      <c r="B738" s="4"/>
      <c r="C738" s="4"/>
      <c r="D738" s="4"/>
      <c r="E738" s="4"/>
      <c r="K738" s="4"/>
    </row>
    <row r="739" spans="1:11" x14ac:dyDescent="0.2">
      <c r="A739" s="4"/>
      <c r="B739" s="4"/>
      <c r="C739" s="4"/>
      <c r="D739" s="4"/>
      <c r="E739" s="4"/>
      <c r="K739" s="4"/>
    </row>
    <row r="740" spans="1:11" x14ac:dyDescent="0.2">
      <c r="A740" s="4"/>
      <c r="B740" s="4"/>
      <c r="C740" s="4"/>
      <c r="D740" s="4"/>
      <c r="E740" s="4"/>
      <c r="K740" s="4"/>
    </row>
    <row r="741" spans="1:11" x14ac:dyDescent="0.2">
      <c r="A741" s="4"/>
      <c r="B741" s="4"/>
      <c r="C741" s="4"/>
      <c r="D741" s="4"/>
      <c r="E741" s="4"/>
      <c r="K741" s="4"/>
    </row>
    <row r="742" spans="1:11" x14ac:dyDescent="0.2">
      <c r="A742" s="4"/>
      <c r="B742" s="4"/>
      <c r="C742" s="4"/>
      <c r="D742" s="4"/>
      <c r="E742" s="4"/>
      <c r="K742" s="4"/>
    </row>
    <row r="743" spans="1:11" x14ac:dyDescent="0.2">
      <c r="A743" s="4"/>
      <c r="B743" s="4"/>
      <c r="C743" s="4"/>
      <c r="D743" s="4"/>
      <c r="E743" s="4"/>
      <c r="K743" s="4"/>
    </row>
    <row r="744" spans="1:11" x14ac:dyDescent="0.2">
      <c r="A744" s="4"/>
      <c r="B744" s="4"/>
      <c r="C744" s="4"/>
      <c r="D744" s="4"/>
      <c r="E744" s="4"/>
      <c r="K744" s="4"/>
    </row>
    <row r="745" spans="1:11" x14ac:dyDescent="0.2">
      <c r="A745" s="4"/>
      <c r="B745" s="4"/>
      <c r="C745" s="4"/>
      <c r="D745" s="4"/>
      <c r="E745" s="4"/>
      <c r="K745" s="4"/>
    </row>
    <row r="746" spans="1:11" x14ac:dyDescent="0.2">
      <c r="A746" s="4"/>
      <c r="B746" s="4"/>
      <c r="C746" s="4"/>
      <c r="D746" s="4"/>
      <c r="E746" s="4"/>
      <c r="K746" s="4"/>
    </row>
    <row r="747" spans="1:11" x14ac:dyDescent="0.2">
      <c r="A747" s="4"/>
      <c r="B747" s="4"/>
      <c r="C747" s="4"/>
      <c r="D747" s="4"/>
      <c r="E747" s="4"/>
      <c r="K747" s="4"/>
    </row>
    <row r="748" spans="1:11" x14ac:dyDescent="0.2">
      <c r="A748" s="4"/>
      <c r="B748" s="4"/>
      <c r="C748" s="4"/>
      <c r="D748" s="4"/>
      <c r="E748" s="4"/>
      <c r="K748" s="4"/>
    </row>
    <row r="749" spans="1:11" x14ac:dyDescent="0.2">
      <c r="A749" s="4"/>
      <c r="B749" s="4"/>
      <c r="C749" s="4"/>
      <c r="D749" s="4"/>
      <c r="E749" s="4"/>
      <c r="K749" s="4"/>
    </row>
    <row r="750" spans="1:11" x14ac:dyDescent="0.2">
      <c r="A750" s="4"/>
      <c r="B750" s="4"/>
      <c r="C750" s="4"/>
      <c r="D750" s="4"/>
      <c r="E750" s="4"/>
      <c r="K750" s="4"/>
    </row>
    <row r="751" spans="1:11" x14ac:dyDescent="0.2">
      <c r="A751" s="4"/>
      <c r="B751" s="4"/>
      <c r="C751" s="4"/>
      <c r="D751" s="4"/>
      <c r="E751" s="4"/>
      <c r="K751" s="4"/>
    </row>
    <row r="752" spans="1:11" x14ac:dyDescent="0.2">
      <c r="A752" s="4"/>
      <c r="B752" s="4"/>
      <c r="C752" s="4"/>
      <c r="D752" s="4"/>
      <c r="E752" s="4"/>
      <c r="K752" s="4"/>
    </row>
    <row r="753" spans="1:11" x14ac:dyDescent="0.2">
      <c r="A753" s="4"/>
      <c r="B753" s="4"/>
      <c r="C753" s="4"/>
      <c r="D753" s="4"/>
      <c r="E753" s="4"/>
      <c r="K753" s="4"/>
    </row>
    <row r="754" spans="1:11" x14ac:dyDescent="0.2">
      <c r="A754" s="4"/>
      <c r="B754" s="4"/>
      <c r="C754" s="4"/>
      <c r="D754" s="4"/>
      <c r="E754" s="4"/>
      <c r="K754" s="4"/>
    </row>
    <row r="755" spans="1:11" x14ac:dyDescent="0.2">
      <c r="A755" s="4"/>
      <c r="B755" s="4"/>
      <c r="C755" s="4"/>
      <c r="D755" s="4"/>
      <c r="E755" s="4"/>
      <c r="K755" s="4"/>
    </row>
    <row r="756" spans="1:11" x14ac:dyDescent="0.2">
      <c r="A756" s="4"/>
      <c r="B756" s="4"/>
      <c r="C756" s="4"/>
      <c r="D756" s="4"/>
      <c r="E756" s="4"/>
      <c r="K756" s="4"/>
    </row>
    <row r="757" spans="1:11" x14ac:dyDescent="0.2">
      <c r="A757" s="4"/>
      <c r="B757" s="4"/>
      <c r="C757" s="4"/>
      <c r="D757" s="4"/>
      <c r="E757" s="4"/>
      <c r="K757" s="4"/>
    </row>
    <row r="758" spans="1:11" x14ac:dyDescent="0.2">
      <c r="A758" s="4"/>
      <c r="B758" s="4"/>
      <c r="C758" s="4"/>
      <c r="D758" s="4"/>
      <c r="E758" s="4"/>
      <c r="K758" s="4"/>
    </row>
    <row r="759" spans="1:11" x14ac:dyDescent="0.2">
      <c r="A759" s="4"/>
      <c r="B759" s="4"/>
      <c r="C759" s="4"/>
      <c r="D759" s="4"/>
      <c r="E759" s="4"/>
      <c r="K759" s="4"/>
    </row>
    <row r="760" spans="1:11" x14ac:dyDescent="0.2">
      <c r="A760" s="4"/>
      <c r="B760" s="4"/>
      <c r="C760" s="4"/>
      <c r="D760" s="4"/>
      <c r="E760" s="4"/>
      <c r="K760" s="4"/>
    </row>
    <row r="761" spans="1:11" x14ac:dyDescent="0.2">
      <c r="A761" s="4"/>
      <c r="B761" s="4"/>
      <c r="C761" s="4"/>
      <c r="D761" s="4"/>
      <c r="E761" s="4"/>
      <c r="K761" s="4"/>
    </row>
    <row r="762" spans="1:11" x14ac:dyDescent="0.2">
      <c r="A762" s="4"/>
      <c r="B762" s="4"/>
      <c r="C762" s="4"/>
      <c r="D762" s="4"/>
      <c r="E762" s="4"/>
      <c r="K762" s="4"/>
    </row>
    <row r="763" spans="1:11" x14ac:dyDescent="0.2">
      <c r="A763" s="4"/>
      <c r="B763" s="4"/>
      <c r="C763" s="4"/>
      <c r="D763" s="4"/>
      <c r="E763" s="4"/>
      <c r="K763" s="4"/>
    </row>
    <row r="764" spans="1:11" x14ac:dyDescent="0.2">
      <c r="A764" s="4"/>
      <c r="B764" s="4"/>
      <c r="C764" s="4"/>
      <c r="D764" s="4"/>
      <c r="E764" s="4"/>
      <c r="K764" s="4"/>
    </row>
    <row r="765" spans="1:11" x14ac:dyDescent="0.2">
      <c r="A765" s="4"/>
      <c r="B765" s="4"/>
      <c r="C765" s="4"/>
      <c r="D765" s="4"/>
      <c r="E765" s="4"/>
      <c r="K765" s="4"/>
    </row>
    <row r="766" spans="1:11" x14ac:dyDescent="0.2">
      <c r="A766" s="4"/>
      <c r="B766" s="4"/>
      <c r="C766" s="4"/>
      <c r="D766" s="4"/>
      <c r="E766" s="4"/>
      <c r="K766" s="4"/>
    </row>
    <row r="767" spans="1:11" x14ac:dyDescent="0.2">
      <c r="A767" s="4"/>
      <c r="B767" s="4"/>
      <c r="C767" s="4"/>
      <c r="D767" s="4"/>
      <c r="E767" s="4"/>
      <c r="K767" s="4"/>
    </row>
    <row r="768" spans="1:11" x14ac:dyDescent="0.2">
      <c r="A768" s="4"/>
      <c r="B768" s="4"/>
      <c r="C768" s="4"/>
      <c r="D768" s="4"/>
      <c r="E768" s="4"/>
      <c r="K768" s="4"/>
    </row>
    <row r="769" spans="1:11" x14ac:dyDescent="0.2">
      <c r="A769" s="4"/>
      <c r="B769" s="4"/>
      <c r="C769" s="4"/>
      <c r="D769" s="4"/>
      <c r="E769" s="4"/>
      <c r="K769" s="4"/>
    </row>
    <row r="770" spans="1:11" x14ac:dyDescent="0.2">
      <c r="A770" s="4"/>
      <c r="B770" s="4"/>
      <c r="C770" s="4"/>
      <c r="D770" s="4"/>
      <c r="E770" s="4"/>
      <c r="K770" s="4"/>
    </row>
    <row r="771" spans="1:11" x14ac:dyDescent="0.2">
      <c r="A771" s="4"/>
      <c r="B771" s="4"/>
      <c r="C771" s="4"/>
      <c r="D771" s="4"/>
      <c r="E771" s="4"/>
      <c r="K771" s="4"/>
    </row>
    <row r="772" spans="1:11" x14ac:dyDescent="0.2">
      <c r="A772" s="4"/>
      <c r="B772" s="4"/>
      <c r="C772" s="4"/>
      <c r="D772" s="4"/>
      <c r="E772" s="4"/>
      <c r="K772" s="4"/>
    </row>
    <row r="773" spans="1:11" x14ac:dyDescent="0.2">
      <c r="A773" s="4"/>
      <c r="B773" s="4"/>
      <c r="C773" s="4"/>
      <c r="D773" s="4"/>
      <c r="E773" s="4"/>
      <c r="K773" s="4"/>
    </row>
    <row r="774" spans="1:11" x14ac:dyDescent="0.2">
      <c r="A774" s="4"/>
      <c r="B774" s="4"/>
      <c r="C774" s="4"/>
      <c r="D774" s="4"/>
      <c r="E774" s="4"/>
      <c r="K774" s="4"/>
    </row>
    <row r="775" spans="1:11" x14ac:dyDescent="0.2">
      <c r="A775" s="4"/>
      <c r="B775" s="4"/>
      <c r="C775" s="4"/>
      <c r="D775" s="4"/>
      <c r="E775" s="4"/>
      <c r="K775" s="4"/>
    </row>
    <row r="776" spans="1:11" x14ac:dyDescent="0.2">
      <c r="A776" s="4"/>
      <c r="B776" s="4"/>
      <c r="C776" s="4"/>
      <c r="D776" s="4"/>
      <c r="E776" s="4"/>
      <c r="K776" s="4"/>
    </row>
    <row r="777" spans="1:11" x14ac:dyDescent="0.2">
      <c r="A777" s="4"/>
      <c r="B777" s="4"/>
      <c r="C777" s="4"/>
      <c r="D777" s="4"/>
      <c r="E777" s="4"/>
      <c r="K777" s="4"/>
    </row>
    <row r="778" spans="1:11" x14ac:dyDescent="0.2">
      <c r="A778" s="4"/>
      <c r="B778" s="4"/>
      <c r="C778" s="4"/>
      <c r="D778" s="4"/>
      <c r="E778" s="4"/>
      <c r="K778" s="4"/>
    </row>
    <row r="779" spans="1:11" x14ac:dyDescent="0.2">
      <c r="A779" s="4"/>
      <c r="B779" s="4"/>
      <c r="C779" s="4"/>
      <c r="D779" s="4"/>
      <c r="E779" s="4"/>
      <c r="K779" s="4"/>
    </row>
    <row r="780" spans="1:11" x14ac:dyDescent="0.2">
      <c r="A780" s="4"/>
      <c r="B780" s="4"/>
      <c r="C780" s="4"/>
      <c r="D780" s="4"/>
      <c r="E780" s="4"/>
      <c r="K780" s="4"/>
    </row>
    <row r="781" spans="1:11" x14ac:dyDescent="0.2">
      <c r="A781" s="4"/>
      <c r="B781" s="4"/>
      <c r="C781" s="4"/>
      <c r="D781" s="4"/>
      <c r="E781" s="4"/>
      <c r="K781" s="4"/>
    </row>
    <row r="782" spans="1:11" x14ac:dyDescent="0.2">
      <c r="A782" s="4"/>
      <c r="B782" s="4"/>
      <c r="C782" s="4"/>
      <c r="D782" s="4"/>
      <c r="E782" s="4"/>
      <c r="K782" s="4"/>
    </row>
    <row r="783" spans="1:11" x14ac:dyDescent="0.2">
      <c r="A783" s="4"/>
      <c r="B783" s="4"/>
      <c r="C783" s="4"/>
      <c r="D783" s="4"/>
      <c r="E783" s="4"/>
      <c r="K783" s="4"/>
    </row>
    <row r="784" spans="1:11" x14ac:dyDescent="0.2">
      <c r="A784" s="4"/>
      <c r="B784" s="4"/>
      <c r="C784" s="4"/>
      <c r="D784" s="4"/>
      <c r="E784" s="4"/>
      <c r="K784" s="4"/>
    </row>
    <row r="785" spans="1:11" x14ac:dyDescent="0.2">
      <c r="A785" s="4"/>
      <c r="B785" s="4"/>
      <c r="C785" s="4"/>
      <c r="D785" s="4"/>
      <c r="E785" s="4"/>
      <c r="K785" s="4"/>
    </row>
    <row r="786" spans="1:11" x14ac:dyDescent="0.2">
      <c r="A786" s="4"/>
      <c r="B786" s="4"/>
      <c r="C786" s="4"/>
      <c r="D786" s="4"/>
      <c r="E786" s="4"/>
      <c r="K786" s="4"/>
    </row>
    <row r="787" spans="1:11" x14ac:dyDescent="0.2">
      <c r="A787" s="4"/>
      <c r="B787" s="4"/>
      <c r="C787" s="4"/>
      <c r="D787" s="4"/>
      <c r="E787" s="4"/>
      <c r="K787" s="4"/>
    </row>
    <row r="788" spans="1:11" x14ac:dyDescent="0.2">
      <c r="A788" s="4"/>
      <c r="B788" s="4"/>
      <c r="C788" s="4"/>
      <c r="D788" s="4"/>
      <c r="E788" s="4"/>
      <c r="K788" s="4"/>
    </row>
    <row r="789" spans="1:11" x14ac:dyDescent="0.2">
      <c r="A789" s="4"/>
      <c r="B789" s="4"/>
      <c r="C789" s="4"/>
      <c r="D789" s="4"/>
      <c r="E789" s="4"/>
      <c r="K789" s="4"/>
    </row>
    <row r="790" spans="1:11" x14ac:dyDescent="0.2">
      <c r="A790" s="4"/>
      <c r="B790" s="4"/>
      <c r="C790" s="4"/>
      <c r="D790" s="4"/>
      <c r="E790" s="4"/>
      <c r="K790" s="4"/>
    </row>
    <row r="791" spans="1:11" x14ac:dyDescent="0.2">
      <c r="A791" s="4"/>
      <c r="B791" s="4"/>
      <c r="C791" s="4"/>
      <c r="D791" s="4"/>
      <c r="E791" s="4"/>
      <c r="K791" s="4"/>
    </row>
    <row r="792" spans="1:11" x14ac:dyDescent="0.2">
      <c r="A792" s="4"/>
      <c r="B792" s="4"/>
      <c r="C792" s="4"/>
      <c r="D792" s="4"/>
      <c r="E792" s="4"/>
      <c r="K792" s="4"/>
    </row>
    <row r="793" spans="1:11" x14ac:dyDescent="0.2">
      <c r="A793" s="4"/>
      <c r="B793" s="4"/>
      <c r="C793" s="4"/>
      <c r="D793" s="4"/>
      <c r="E793" s="4"/>
      <c r="K793" s="4"/>
    </row>
    <row r="794" spans="1:11" x14ac:dyDescent="0.2">
      <c r="A794" s="4"/>
      <c r="B794" s="4"/>
      <c r="C794" s="4"/>
      <c r="D794" s="4"/>
      <c r="E794" s="4"/>
      <c r="K794" s="4"/>
    </row>
    <row r="795" spans="1:11" x14ac:dyDescent="0.2">
      <c r="A795" s="4"/>
      <c r="B795" s="4"/>
      <c r="C795" s="4"/>
      <c r="D795" s="4"/>
      <c r="E795" s="4"/>
      <c r="K795" s="4"/>
    </row>
    <row r="796" spans="1:11" x14ac:dyDescent="0.2">
      <c r="A796" s="4"/>
      <c r="B796" s="4"/>
      <c r="C796" s="4"/>
      <c r="D796" s="4"/>
      <c r="E796" s="4"/>
      <c r="K796" s="4"/>
    </row>
    <row r="797" spans="1:11" x14ac:dyDescent="0.2">
      <c r="A797" s="4"/>
      <c r="B797" s="4"/>
      <c r="C797" s="4"/>
      <c r="D797" s="4"/>
      <c r="E797" s="4"/>
      <c r="K797" s="4"/>
    </row>
    <row r="798" spans="1:11" x14ac:dyDescent="0.2">
      <c r="A798" s="4"/>
      <c r="B798" s="4"/>
      <c r="C798" s="4"/>
      <c r="D798" s="4"/>
      <c r="E798" s="4"/>
      <c r="K798" s="4"/>
    </row>
    <row r="799" spans="1:11" x14ac:dyDescent="0.2">
      <c r="A799" s="4"/>
      <c r="B799" s="4"/>
      <c r="C799" s="4"/>
      <c r="D799" s="4"/>
      <c r="E799" s="4"/>
      <c r="K799" s="4"/>
    </row>
    <row r="800" spans="1:11" x14ac:dyDescent="0.2">
      <c r="A800" s="4"/>
      <c r="B800" s="4"/>
      <c r="C800" s="4"/>
      <c r="D800" s="4"/>
      <c r="E800" s="4"/>
      <c r="K800" s="4"/>
    </row>
    <row r="801" spans="1:11" x14ac:dyDescent="0.2">
      <c r="A801" s="4"/>
      <c r="B801" s="4"/>
      <c r="C801" s="4"/>
      <c r="D801" s="4"/>
      <c r="E801" s="4"/>
      <c r="K801" s="4"/>
    </row>
    <row r="802" spans="1:11" x14ac:dyDescent="0.2">
      <c r="A802" s="4"/>
      <c r="B802" s="4"/>
      <c r="C802" s="4"/>
      <c r="D802" s="4"/>
      <c r="E802" s="4"/>
      <c r="K802" s="4"/>
    </row>
    <row r="803" spans="1:11" x14ac:dyDescent="0.2">
      <c r="A803" s="4"/>
      <c r="B803" s="4"/>
      <c r="C803" s="4"/>
      <c r="D803" s="4"/>
      <c r="E803" s="4"/>
      <c r="K803" s="4"/>
    </row>
    <row r="804" spans="1:11" x14ac:dyDescent="0.2">
      <c r="A804" s="4"/>
      <c r="B804" s="4"/>
      <c r="C804" s="4"/>
      <c r="D804" s="4"/>
      <c r="E804" s="4"/>
      <c r="K804" s="4"/>
    </row>
    <row r="805" spans="1:11" x14ac:dyDescent="0.2">
      <c r="A805" s="4"/>
      <c r="B805" s="4"/>
      <c r="C805" s="4"/>
      <c r="D805" s="4"/>
      <c r="E805" s="4"/>
      <c r="K805" s="4"/>
    </row>
    <row r="806" spans="1:11" x14ac:dyDescent="0.2">
      <c r="A806" s="4"/>
      <c r="B806" s="4"/>
      <c r="C806" s="4"/>
      <c r="D806" s="4"/>
      <c r="E806" s="4"/>
      <c r="K806" s="4"/>
    </row>
    <row r="807" spans="1:11" x14ac:dyDescent="0.2">
      <c r="A807" s="4"/>
      <c r="B807" s="4"/>
      <c r="C807" s="4"/>
      <c r="D807" s="4"/>
      <c r="E807" s="4"/>
      <c r="K807" s="4"/>
    </row>
    <row r="808" spans="1:11" x14ac:dyDescent="0.2">
      <c r="A808" s="4"/>
      <c r="B808" s="4"/>
      <c r="C808" s="4"/>
      <c r="D808" s="4"/>
      <c r="E808" s="4"/>
      <c r="K808" s="4"/>
    </row>
    <row r="809" spans="1:11" x14ac:dyDescent="0.2">
      <c r="A809" s="4"/>
      <c r="B809" s="4"/>
      <c r="C809" s="4"/>
      <c r="D809" s="4"/>
      <c r="E809" s="4"/>
      <c r="K809" s="4"/>
    </row>
    <row r="810" spans="1:11" x14ac:dyDescent="0.2">
      <c r="A810" s="4"/>
      <c r="B810" s="4"/>
      <c r="C810" s="4"/>
      <c r="D810" s="4"/>
      <c r="E810" s="4"/>
      <c r="K810" s="4"/>
    </row>
    <row r="811" spans="1:11" x14ac:dyDescent="0.2">
      <c r="A811" s="4"/>
      <c r="B811" s="4"/>
      <c r="C811" s="4"/>
      <c r="D811" s="4"/>
      <c r="E811" s="4"/>
      <c r="K811" s="4"/>
    </row>
    <row r="812" spans="1:11" x14ac:dyDescent="0.2">
      <c r="A812" s="4"/>
      <c r="B812" s="4"/>
      <c r="C812" s="4"/>
      <c r="D812" s="4"/>
      <c r="E812" s="4"/>
      <c r="K812" s="4"/>
    </row>
    <row r="813" spans="1:11" x14ac:dyDescent="0.2">
      <c r="A813" s="4"/>
      <c r="B813" s="4"/>
      <c r="C813" s="4"/>
      <c r="D813" s="4"/>
      <c r="E813" s="4"/>
      <c r="K813" s="4"/>
    </row>
    <row r="814" spans="1:11" x14ac:dyDescent="0.2">
      <c r="A814" s="4"/>
      <c r="B814" s="4"/>
      <c r="C814" s="4"/>
      <c r="D814" s="4"/>
      <c r="E814" s="4"/>
      <c r="K814" s="4"/>
    </row>
    <row r="815" spans="1:11" x14ac:dyDescent="0.2">
      <c r="A815" s="4"/>
      <c r="B815" s="4"/>
      <c r="C815" s="4"/>
      <c r="D815" s="4"/>
      <c r="E815" s="4"/>
      <c r="K815" s="4"/>
    </row>
    <row r="816" spans="1:11" x14ac:dyDescent="0.2">
      <c r="A816" s="4"/>
      <c r="B816" s="4"/>
      <c r="C816" s="4"/>
      <c r="D816" s="4"/>
      <c r="E816" s="4"/>
      <c r="K816" s="4"/>
    </row>
    <row r="817" spans="1:11" x14ac:dyDescent="0.2">
      <c r="A817" s="4"/>
      <c r="B817" s="4"/>
      <c r="C817" s="4"/>
      <c r="D817" s="4"/>
      <c r="E817" s="4"/>
      <c r="K817" s="4"/>
    </row>
    <row r="818" spans="1:11" x14ac:dyDescent="0.2">
      <c r="A818" s="4"/>
      <c r="B818" s="4"/>
      <c r="C818" s="4"/>
      <c r="D818" s="4"/>
      <c r="E818" s="4"/>
      <c r="K818" s="4"/>
    </row>
    <row r="819" spans="1:11" x14ac:dyDescent="0.2">
      <c r="A819" s="4"/>
      <c r="B819" s="4"/>
      <c r="C819" s="4"/>
      <c r="D819" s="4"/>
      <c r="E819" s="4"/>
      <c r="K819" s="4"/>
    </row>
    <row r="820" spans="1:11" x14ac:dyDescent="0.2">
      <c r="A820" s="4"/>
      <c r="B820" s="4"/>
      <c r="C820" s="4"/>
      <c r="D820" s="4"/>
      <c r="E820" s="4"/>
      <c r="K820" s="4"/>
    </row>
    <row r="821" spans="1:11" x14ac:dyDescent="0.2">
      <c r="A821" s="4"/>
      <c r="B821" s="4"/>
      <c r="C821" s="4"/>
      <c r="D821" s="4"/>
      <c r="E821" s="4"/>
      <c r="K821" s="4"/>
    </row>
    <row r="822" spans="1:11" x14ac:dyDescent="0.2">
      <c r="A822" s="4"/>
      <c r="B822" s="4"/>
      <c r="C822" s="4"/>
      <c r="D822" s="4"/>
      <c r="E822" s="4"/>
      <c r="K822" s="4"/>
    </row>
    <row r="823" spans="1:11" x14ac:dyDescent="0.2">
      <c r="A823" s="4"/>
      <c r="B823" s="4"/>
      <c r="C823" s="4"/>
      <c r="D823" s="4"/>
      <c r="E823" s="4"/>
      <c r="K823" s="4"/>
    </row>
    <row r="824" spans="1:11" x14ac:dyDescent="0.2">
      <c r="A824" s="4"/>
      <c r="B824" s="4"/>
      <c r="C824" s="4"/>
      <c r="D824" s="4"/>
      <c r="E824" s="4"/>
      <c r="K824" s="4"/>
    </row>
    <row r="825" spans="1:11" x14ac:dyDescent="0.2">
      <c r="A825" s="4"/>
      <c r="B825" s="4"/>
      <c r="C825" s="4"/>
      <c r="D825" s="4"/>
      <c r="E825" s="4"/>
      <c r="K825" s="4"/>
    </row>
    <row r="826" spans="1:11" x14ac:dyDescent="0.2">
      <c r="A826" s="4"/>
      <c r="B826" s="4"/>
      <c r="C826" s="4"/>
      <c r="D826" s="4"/>
      <c r="E826" s="4"/>
      <c r="K826" s="4"/>
    </row>
    <row r="827" spans="1:11" x14ac:dyDescent="0.2">
      <c r="A827" s="4"/>
      <c r="B827" s="4"/>
      <c r="C827" s="4"/>
      <c r="D827" s="4"/>
      <c r="E827" s="4"/>
      <c r="K827" s="4"/>
    </row>
    <row r="828" spans="1:11" x14ac:dyDescent="0.2">
      <c r="A828" s="4"/>
      <c r="B828" s="4"/>
      <c r="C828" s="4"/>
      <c r="D828" s="4"/>
      <c r="E828" s="4"/>
      <c r="K828" s="4"/>
    </row>
    <row r="829" spans="1:11" x14ac:dyDescent="0.2">
      <c r="A829" s="4"/>
      <c r="B829" s="4"/>
      <c r="C829" s="4"/>
      <c r="D829" s="4"/>
      <c r="E829" s="4"/>
      <c r="K829" s="4"/>
    </row>
    <row r="830" spans="1:11" x14ac:dyDescent="0.2">
      <c r="A830" s="4"/>
      <c r="B830" s="4"/>
      <c r="C830" s="4"/>
      <c r="D830" s="4"/>
      <c r="E830" s="4"/>
      <c r="K830" s="4"/>
    </row>
    <row r="831" spans="1:11" x14ac:dyDescent="0.2">
      <c r="A831" s="4"/>
      <c r="B831" s="4"/>
      <c r="C831" s="4"/>
      <c r="D831" s="4"/>
      <c r="E831" s="4"/>
      <c r="K831" s="4"/>
    </row>
    <row r="832" spans="1:11" x14ac:dyDescent="0.2">
      <c r="A832" s="4"/>
      <c r="B832" s="4"/>
      <c r="C832" s="4"/>
      <c r="D832" s="4"/>
      <c r="E832" s="4"/>
      <c r="K832" s="4"/>
    </row>
    <row r="833" spans="1:11" x14ac:dyDescent="0.2">
      <c r="A833" s="4"/>
      <c r="B833" s="4"/>
      <c r="C833" s="4"/>
      <c r="D833" s="4"/>
      <c r="E833" s="4"/>
      <c r="K833" s="4"/>
    </row>
    <row r="834" spans="1:11" x14ac:dyDescent="0.2">
      <c r="A834" s="4"/>
      <c r="B834" s="4"/>
      <c r="C834" s="4"/>
      <c r="D834" s="4"/>
      <c r="E834" s="4"/>
      <c r="K834" s="4"/>
    </row>
    <row r="835" spans="1:11" x14ac:dyDescent="0.2">
      <c r="A835" s="4"/>
      <c r="B835" s="4"/>
      <c r="C835" s="4"/>
      <c r="D835" s="4"/>
      <c r="E835" s="4"/>
      <c r="K835" s="4"/>
    </row>
    <row r="836" spans="1:11" x14ac:dyDescent="0.2">
      <c r="A836" s="4"/>
      <c r="B836" s="4"/>
      <c r="C836" s="4"/>
      <c r="D836" s="4"/>
      <c r="E836" s="4"/>
      <c r="K836" s="4"/>
    </row>
    <row r="837" spans="1:11" x14ac:dyDescent="0.2">
      <c r="A837" s="4"/>
      <c r="B837" s="4"/>
      <c r="C837" s="4"/>
      <c r="D837" s="4"/>
      <c r="E837" s="4"/>
      <c r="K837" s="4"/>
    </row>
    <row r="838" spans="1:11" x14ac:dyDescent="0.2">
      <c r="A838" s="4"/>
      <c r="B838" s="4"/>
      <c r="C838" s="4"/>
      <c r="D838" s="4"/>
      <c r="E838" s="4"/>
      <c r="K838" s="4"/>
    </row>
    <row r="839" spans="1:11" x14ac:dyDescent="0.2">
      <c r="A839" s="4"/>
      <c r="B839" s="4"/>
      <c r="C839" s="4"/>
      <c r="D839" s="4"/>
      <c r="E839" s="4"/>
      <c r="K839" s="4"/>
    </row>
    <row r="840" spans="1:11" x14ac:dyDescent="0.2">
      <c r="A840" s="4"/>
      <c r="B840" s="4"/>
      <c r="C840" s="4"/>
      <c r="D840" s="4"/>
      <c r="E840" s="4"/>
      <c r="K840" s="4"/>
    </row>
    <row r="841" spans="1:11" x14ac:dyDescent="0.2">
      <c r="A841" s="4"/>
      <c r="B841" s="4"/>
      <c r="C841" s="4"/>
      <c r="D841" s="4"/>
      <c r="E841" s="4"/>
      <c r="K841" s="4"/>
    </row>
    <row r="842" spans="1:11" x14ac:dyDescent="0.2">
      <c r="A842" s="4"/>
      <c r="B842" s="4"/>
      <c r="C842" s="4"/>
      <c r="D842" s="4"/>
      <c r="E842" s="4"/>
      <c r="K842" s="4"/>
    </row>
    <row r="843" spans="1:11" x14ac:dyDescent="0.2">
      <c r="A843" s="4"/>
      <c r="B843" s="4"/>
      <c r="C843" s="4"/>
      <c r="D843" s="4"/>
      <c r="E843" s="4"/>
      <c r="K843" s="4"/>
    </row>
    <row r="844" spans="1:11" x14ac:dyDescent="0.2">
      <c r="A844" s="4"/>
      <c r="B844" s="4"/>
      <c r="C844" s="4"/>
      <c r="D844" s="4"/>
      <c r="E844" s="4"/>
      <c r="K844" s="4"/>
    </row>
    <row r="845" spans="1:11" x14ac:dyDescent="0.2">
      <c r="A845" s="4"/>
      <c r="B845" s="4"/>
      <c r="C845" s="4"/>
      <c r="D845" s="4"/>
      <c r="E845" s="4"/>
      <c r="K845" s="4"/>
    </row>
    <row r="846" spans="1:11" x14ac:dyDescent="0.2">
      <c r="A846" s="4"/>
      <c r="B846" s="4"/>
      <c r="C846" s="4"/>
      <c r="D846" s="4"/>
      <c r="E846" s="4"/>
      <c r="K846" s="4"/>
    </row>
    <row r="847" spans="1:11" x14ac:dyDescent="0.2">
      <c r="A847" s="4"/>
      <c r="B847" s="4"/>
      <c r="C847" s="4"/>
      <c r="D847" s="4"/>
      <c r="E847" s="4"/>
      <c r="K847" s="4"/>
    </row>
    <row r="848" spans="1:11" x14ac:dyDescent="0.2">
      <c r="A848" s="4"/>
      <c r="B848" s="4"/>
      <c r="C848" s="4"/>
      <c r="D848" s="4"/>
      <c r="E848" s="4"/>
      <c r="K848" s="4"/>
    </row>
    <row r="849" spans="1:11" x14ac:dyDescent="0.2">
      <c r="A849" s="4"/>
      <c r="B849" s="4"/>
      <c r="C849" s="4"/>
      <c r="D849" s="4"/>
      <c r="E849" s="4"/>
      <c r="K849" s="4"/>
    </row>
    <row r="850" spans="1:11" x14ac:dyDescent="0.2">
      <c r="A850" s="4"/>
      <c r="B850" s="4"/>
      <c r="C850" s="4"/>
      <c r="D850" s="4"/>
      <c r="E850" s="4"/>
      <c r="K850" s="4"/>
    </row>
    <row r="851" spans="1:11" x14ac:dyDescent="0.2">
      <c r="A851" s="4"/>
      <c r="B851" s="4"/>
      <c r="C851" s="4"/>
      <c r="D851" s="4"/>
      <c r="E851" s="4"/>
      <c r="K851" s="4"/>
    </row>
    <row r="852" spans="1:11" x14ac:dyDescent="0.2">
      <c r="A852" s="4"/>
      <c r="B852" s="4"/>
      <c r="C852" s="4"/>
      <c r="D852" s="4"/>
      <c r="E852" s="4"/>
      <c r="K852" s="4"/>
    </row>
    <row r="853" spans="1:11" x14ac:dyDescent="0.2">
      <c r="A853" s="4"/>
      <c r="B853" s="4"/>
      <c r="C853" s="4"/>
      <c r="D853" s="4"/>
      <c r="E853" s="4"/>
      <c r="K853" s="4"/>
    </row>
    <row r="854" spans="1:11" x14ac:dyDescent="0.2">
      <c r="A854" s="4"/>
      <c r="B854" s="4"/>
      <c r="C854" s="4"/>
      <c r="D854" s="4"/>
      <c r="E854" s="4"/>
      <c r="K854" s="4"/>
    </row>
    <row r="855" spans="1:11" x14ac:dyDescent="0.2">
      <c r="A855" s="4"/>
      <c r="B855" s="4"/>
      <c r="C855" s="4"/>
      <c r="D855" s="4"/>
      <c r="E855" s="4"/>
      <c r="K855" s="4"/>
    </row>
    <row r="856" spans="1:11" x14ac:dyDescent="0.2">
      <c r="A856" s="4"/>
      <c r="B856" s="4"/>
      <c r="C856" s="4"/>
      <c r="D856" s="4"/>
      <c r="E856" s="4"/>
      <c r="K856" s="4"/>
    </row>
    <row r="857" spans="1:11" x14ac:dyDescent="0.2">
      <c r="A857" s="4"/>
      <c r="B857" s="4"/>
      <c r="C857" s="4"/>
      <c r="D857" s="4"/>
      <c r="E857" s="4"/>
      <c r="K857" s="4"/>
    </row>
    <row r="858" spans="1:11" x14ac:dyDescent="0.2">
      <c r="A858" s="4"/>
      <c r="B858" s="4"/>
      <c r="C858" s="4"/>
      <c r="D858" s="4"/>
      <c r="E858" s="4"/>
      <c r="K858" s="4"/>
    </row>
    <row r="859" spans="1:11" x14ac:dyDescent="0.2">
      <c r="A859" s="4"/>
      <c r="B859" s="4"/>
      <c r="C859" s="4"/>
      <c r="D859" s="4"/>
      <c r="E859" s="4"/>
      <c r="K859" s="4"/>
    </row>
    <row r="860" spans="1:11" x14ac:dyDescent="0.2">
      <c r="A860" s="4"/>
      <c r="B860" s="4"/>
      <c r="C860" s="4"/>
      <c r="D860" s="4"/>
      <c r="E860" s="4"/>
      <c r="K860" s="4"/>
    </row>
    <row r="861" spans="1:11" x14ac:dyDescent="0.2">
      <c r="A861" s="4"/>
      <c r="B861" s="4"/>
      <c r="C861" s="4"/>
      <c r="D861" s="4"/>
      <c r="E861" s="4"/>
      <c r="K861" s="4"/>
    </row>
    <row r="862" spans="1:11" x14ac:dyDescent="0.2">
      <c r="A862" s="4"/>
      <c r="B862" s="4"/>
      <c r="C862" s="4"/>
      <c r="D862" s="4"/>
      <c r="E862" s="4"/>
      <c r="K862" s="4"/>
    </row>
    <row r="863" spans="1:11" x14ac:dyDescent="0.2">
      <c r="A863" s="4"/>
      <c r="B863" s="4"/>
      <c r="C863" s="4"/>
      <c r="D863" s="4"/>
      <c r="E863" s="4"/>
      <c r="K863" s="4"/>
    </row>
    <row r="864" spans="1:11" x14ac:dyDescent="0.2">
      <c r="A864" s="4"/>
      <c r="B864" s="4"/>
      <c r="C864" s="4"/>
      <c r="D864" s="4"/>
      <c r="E864" s="4"/>
      <c r="K864" s="4"/>
    </row>
    <row r="865" spans="1:11" x14ac:dyDescent="0.2">
      <c r="A865" s="4"/>
      <c r="B865" s="4"/>
      <c r="C865" s="4"/>
      <c r="D865" s="4"/>
      <c r="E865" s="4"/>
      <c r="K865" s="4"/>
    </row>
    <row r="866" spans="1:11" x14ac:dyDescent="0.2">
      <c r="A866" s="4"/>
      <c r="B866" s="4"/>
      <c r="C866" s="4"/>
      <c r="D866" s="4"/>
      <c r="E866" s="4"/>
      <c r="K866" s="4"/>
    </row>
    <row r="867" spans="1:11" x14ac:dyDescent="0.2">
      <c r="A867" s="4"/>
      <c r="B867" s="4"/>
      <c r="C867" s="4"/>
      <c r="D867" s="4"/>
      <c r="E867" s="4"/>
      <c r="K867" s="4"/>
    </row>
    <row r="868" spans="1:11" x14ac:dyDescent="0.2">
      <c r="A868" s="4"/>
      <c r="B868" s="4"/>
      <c r="C868" s="4"/>
      <c r="D868" s="4"/>
      <c r="E868" s="4"/>
      <c r="K868" s="4"/>
    </row>
    <row r="869" spans="1:11" x14ac:dyDescent="0.2">
      <c r="A869" s="4"/>
      <c r="B869" s="4"/>
      <c r="C869" s="4"/>
      <c r="D869" s="4"/>
      <c r="E869" s="4"/>
      <c r="K869" s="4"/>
    </row>
    <row r="870" spans="1:11" x14ac:dyDescent="0.2">
      <c r="A870" s="4"/>
      <c r="B870" s="4"/>
      <c r="C870" s="4"/>
      <c r="D870" s="4"/>
      <c r="E870" s="4"/>
      <c r="K870" s="4"/>
    </row>
    <row r="871" spans="1:11" x14ac:dyDescent="0.2">
      <c r="A871" s="4"/>
      <c r="B871" s="4"/>
      <c r="C871" s="4"/>
      <c r="D871" s="4"/>
      <c r="E871" s="4"/>
      <c r="K871" s="4"/>
    </row>
    <row r="872" spans="1:11" x14ac:dyDescent="0.2">
      <c r="A872" s="4"/>
      <c r="B872" s="4"/>
      <c r="C872" s="4"/>
      <c r="D872" s="4"/>
      <c r="E872" s="4"/>
      <c r="K872" s="4"/>
    </row>
    <row r="873" spans="1:11" x14ac:dyDescent="0.2">
      <c r="A873" s="4"/>
      <c r="B873" s="4"/>
      <c r="C873" s="4"/>
      <c r="D873" s="4"/>
      <c r="E873" s="4"/>
      <c r="K873" s="4"/>
    </row>
    <row r="874" spans="1:11" x14ac:dyDescent="0.2">
      <c r="A874" s="4"/>
      <c r="B874" s="4"/>
      <c r="C874" s="4"/>
      <c r="D874" s="4"/>
      <c r="E874" s="4"/>
      <c r="K874" s="4"/>
    </row>
    <row r="875" spans="1:11" x14ac:dyDescent="0.2">
      <c r="A875" s="4"/>
      <c r="B875" s="4"/>
      <c r="C875" s="4"/>
      <c r="D875" s="4"/>
      <c r="E875" s="4"/>
      <c r="K875" s="4"/>
    </row>
    <row r="876" spans="1:11" x14ac:dyDescent="0.2">
      <c r="A876" s="4"/>
      <c r="B876" s="4"/>
      <c r="C876" s="4"/>
      <c r="D876" s="4"/>
      <c r="E876" s="4"/>
      <c r="K876" s="4"/>
    </row>
    <row r="877" spans="1:11" x14ac:dyDescent="0.2">
      <c r="A877" s="4"/>
      <c r="B877" s="4"/>
      <c r="C877" s="4"/>
      <c r="D877" s="4"/>
      <c r="E877" s="4"/>
      <c r="K877" s="4"/>
    </row>
    <row r="878" spans="1:11" x14ac:dyDescent="0.2">
      <c r="A878" s="4"/>
      <c r="B878" s="4"/>
      <c r="C878" s="4"/>
      <c r="D878" s="4"/>
      <c r="E878" s="4"/>
      <c r="K878" s="4"/>
    </row>
    <row r="879" spans="1:11" x14ac:dyDescent="0.2">
      <c r="A879" s="4"/>
      <c r="B879" s="4"/>
      <c r="C879" s="4"/>
      <c r="D879" s="4"/>
      <c r="E879" s="4"/>
      <c r="K879" s="4"/>
    </row>
    <row r="880" spans="1:11" x14ac:dyDescent="0.2">
      <c r="A880" s="4"/>
      <c r="B880" s="4"/>
      <c r="C880" s="4"/>
      <c r="D880" s="4"/>
      <c r="E880" s="4"/>
      <c r="K880" s="4"/>
    </row>
    <row r="881" spans="1:11" x14ac:dyDescent="0.2">
      <c r="A881" s="4"/>
      <c r="B881" s="4"/>
      <c r="C881" s="4"/>
      <c r="D881" s="4"/>
      <c r="E881" s="4"/>
      <c r="K881" s="4"/>
    </row>
    <row r="882" spans="1:11" x14ac:dyDescent="0.2">
      <c r="A882" s="4"/>
      <c r="B882" s="4"/>
      <c r="C882" s="4"/>
      <c r="D882" s="4"/>
      <c r="E882" s="4"/>
      <c r="K882" s="4"/>
    </row>
    <row r="883" spans="1:11" x14ac:dyDescent="0.2">
      <c r="A883" s="4"/>
      <c r="B883" s="4"/>
      <c r="C883" s="4"/>
      <c r="D883" s="4"/>
      <c r="E883" s="4"/>
      <c r="K883" s="4"/>
    </row>
    <row r="884" spans="1:11" x14ac:dyDescent="0.2">
      <c r="A884" s="4"/>
      <c r="B884" s="4"/>
      <c r="C884" s="4"/>
      <c r="D884" s="4"/>
      <c r="E884" s="4"/>
      <c r="K884" s="4"/>
    </row>
    <row r="885" spans="1:11" x14ac:dyDescent="0.2">
      <c r="A885" s="4"/>
      <c r="B885" s="4"/>
      <c r="C885" s="4"/>
      <c r="D885" s="4"/>
      <c r="E885" s="4"/>
      <c r="K885" s="4"/>
    </row>
    <row r="886" spans="1:11" x14ac:dyDescent="0.2">
      <c r="A886" s="4"/>
      <c r="B886" s="4"/>
      <c r="C886" s="4"/>
      <c r="D886" s="4"/>
      <c r="E886" s="4"/>
      <c r="K886" s="4"/>
    </row>
    <row r="887" spans="1:11" x14ac:dyDescent="0.2">
      <c r="A887" s="4"/>
      <c r="B887" s="4"/>
      <c r="C887" s="4"/>
      <c r="D887" s="4"/>
      <c r="E887" s="4"/>
      <c r="K887" s="4"/>
    </row>
    <row r="888" spans="1:11" x14ac:dyDescent="0.2">
      <c r="A888" s="4"/>
      <c r="B888" s="4"/>
      <c r="C888" s="4"/>
      <c r="D888" s="4"/>
      <c r="E888" s="4"/>
      <c r="K888" s="4"/>
    </row>
    <row r="889" spans="1:11" x14ac:dyDescent="0.2">
      <c r="A889" s="4"/>
      <c r="B889" s="4"/>
      <c r="C889" s="4"/>
      <c r="D889" s="4"/>
      <c r="E889" s="4"/>
      <c r="K889" s="4"/>
    </row>
    <row r="890" spans="1:11" x14ac:dyDescent="0.2">
      <c r="A890" s="4"/>
      <c r="B890" s="4"/>
      <c r="C890" s="4"/>
      <c r="D890" s="4"/>
      <c r="E890" s="4"/>
      <c r="K890" s="4"/>
    </row>
    <row r="891" spans="1:11" x14ac:dyDescent="0.2">
      <c r="A891" s="4"/>
      <c r="B891" s="4"/>
      <c r="C891" s="4"/>
      <c r="D891" s="4"/>
      <c r="E891" s="4"/>
      <c r="K891" s="4"/>
    </row>
    <row r="892" spans="1:11" x14ac:dyDescent="0.2">
      <c r="A892" s="4"/>
      <c r="B892" s="4"/>
      <c r="C892" s="4"/>
      <c r="D892" s="4"/>
      <c r="E892" s="4"/>
      <c r="K892" s="4"/>
    </row>
    <row r="893" spans="1:11" x14ac:dyDescent="0.2">
      <c r="A893" s="4"/>
      <c r="B893" s="4"/>
      <c r="C893" s="4"/>
      <c r="D893" s="4"/>
      <c r="E893" s="4"/>
      <c r="K893" s="4"/>
    </row>
    <row r="894" spans="1:11" x14ac:dyDescent="0.2">
      <c r="A894" s="4"/>
      <c r="B894" s="4"/>
      <c r="C894" s="4"/>
      <c r="D894" s="4"/>
      <c r="E894" s="4"/>
      <c r="K894" s="4"/>
    </row>
    <row r="895" spans="1:11" x14ac:dyDescent="0.2">
      <c r="A895" s="4"/>
      <c r="B895" s="4"/>
      <c r="C895" s="4"/>
      <c r="D895" s="4"/>
      <c r="E895" s="4"/>
      <c r="K895" s="4"/>
    </row>
    <row r="896" spans="1:11" x14ac:dyDescent="0.2">
      <c r="A896" s="4"/>
      <c r="B896" s="4"/>
      <c r="C896" s="4"/>
      <c r="D896" s="4"/>
      <c r="E896" s="4"/>
      <c r="K896" s="4"/>
    </row>
    <row r="897" spans="1:11" x14ac:dyDescent="0.2">
      <c r="A897" s="4"/>
      <c r="B897" s="4"/>
      <c r="C897" s="4"/>
      <c r="D897" s="4"/>
      <c r="E897" s="4"/>
      <c r="K897" s="4"/>
    </row>
    <row r="898" spans="1:11" x14ac:dyDescent="0.2">
      <c r="A898" s="4"/>
      <c r="B898" s="4"/>
      <c r="C898" s="4"/>
      <c r="D898" s="4"/>
      <c r="E898" s="4"/>
      <c r="K898" s="4"/>
    </row>
    <row r="899" spans="1:11" x14ac:dyDescent="0.2">
      <c r="A899" s="4"/>
      <c r="B899" s="4"/>
      <c r="C899" s="4"/>
      <c r="D899" s="4"/>
      <c r="E899" s="4"/>
      <c r="K899" s="4"/>
    </row>
    <row r="900" spans="1:11" x14ac:dyDescent="0.2">
      <c r="A900" s="4"/>
      <c r="B900" s="4"/>
      <c r="C900" s="4"/>
      <c r="D900" s="4"/>
      <c r="E900" s="4"/>
      <c r="K900" s="4"/>
    </row>
    <row r="901" spans="1:11" x14ac:dyDescent="0.2">
      <c r="A901" s="4"/>
      <c r="B901" s="4"/>
      <c r="C901" s="4"/>
      <c r="D901" s="4"/>
      <c r="E901" s="4"/>
      <c r="K901" s="4"/>
    </row>
    <row r="902" spans="1:11" x14ac:dyDescent="0.2">
      <c r="A902" s="4"/>
      <c r="B902" s="4"/>
      <c r="C902" s="4"/>
      <c r="D902" s="4"/>
      <c r="E902" s="4"/>
      <c r="K902" s="4"/>
    </row>
    <row r="903" spans="1:11" x14ac:dyDescent="0.2">
      <c r="A903" s="4"/>
      <c r="B903" s="4"/>
      <c r="C903" s="4"/>
      <c r="D903" s="4"/>
      <c r="E903" s="4"/>
      <c r="K903" s="4"/>
    </row>
    <row r="904" spans="1:11" x14ac:dyDescent="0.2">
      <c r="A904" s="4"/>
      <c r="B904" s="4"/>
      <c r="C904" s="4"/>
      <c r="D904" s="4"/>
      <c r="E904" s="4"/>
      <c r="K904" s="4"/>
    </row>
    <row r="905" spans="1:11" x14ac:dyDescent="0.2">
      <c r="A905" s="4"/>
      <c r="B905" s="4"/>
      <c r="C905" s="4"/>
      <c r="D905" s="4"/>
      <c r="E905" s="4"/>
      <c r="K905" s="4"/>
    </row>
    <row r="906" spans="1:11" x14ac:dyDescent="0.2">
      <c r="A906" s="4"/>
      <c r="B906" s="4"/>
      <c r="C906" s="4"/>
      <c r="D906" s="4"/>
      <c r="E906" s="4"/>
      <c r="K906" s="4"/>
    </row>
    <row r="907" spans="1:11" x14ac:dyDescent="0.2">
      <c r="A907" s="4"/>
      <c r="B907" s="4"/>
      <c r="C907" s="4"/>
      <c r="D907" s="4"/>
      <c r="E907" s="4"/>
      <c r="K907" s="4"/>
    </row>
    <row r="908" spans="1:11" x14ac:dyDescent="0.2">
      <c r="A908" s="4"/>
      <c r="B908" s="4"/>
      <c r="C908" s="4"/>
      <c r="D908" s="4"/>
      <c r="E908" s="4"/>
      <c r="K908" s="4"/>
    </row>
    <row r="909" spans="1:11" x14ac:dyDescent="0.2">
      <c r="A909" s="4"/>
      <c r="B909" s="4"/>
      <c r="C909" s="4"/>
      <c r="D909" s="4"/>
      <c r="E909" s="4"/>
      <c r="K909" s="4"/>
    </row>
    <row r="910" spans="1:11" x14ac:dyDescent="0.2">
      <c r="A910" s="4"/>
      <c r="B910" s="4"/>
      <c r="C910" s="4"/>
      <c r="D910" s="4"/>
      <c r="E910" s="4"/>
      <c r="K910" s="4"/>
    </row>
    <row r="911" spans="1:11" x14ac:dyDescent="0.2">
      <c r="A911" s="4"/>
      <c r="B911" s="4"/>
      <c r="C911" s="4"/>
      <c r="D911" s="4"/>
      <c r="E911" s="4"/>
      <c r="K911" s="4"/>
    </row>
    <row r="912" spans="1:11" x14ac:dyDescent="0.2">
      <c r="A912" s="4"/>
      <c r="B912" s="4"/>
      <c r="C912" s="4"/>
      <c r="D912" s="4"/>
      <c r="E912" s="4"/>
      <c r="K912" s="4"/>
    </row>
    <row r="913" spans="1:11" x14ac:dyDescent="0.2">
      <c r="A913" s="4"/>
      <c r="B913" s="4"/>
      <c r="C913" s="4"/>
      <c r="D913" s="4"/>
      <c r="E913" s="4"/>
      <c r="K913" s="4"/>
    </row>
    <row r="914" spans="1:11" x14ac:dyDescent="0.2">
      <c r="A914" s="4"/>
      <c r="B914" s="4"/>
      <c r="C914" s="4"/>
      <c r="D914" s="4"/>
      <c r="E914" s="4"/>
      <c r="K914" s="4"/>
    </row>
    <row r="915" spans="1:11" x14ac:dyDescent="0.2">
      <c r="A915" s="4"/>
      <c r="B915" s="4"/>
      <c r="C915" s="4"/>
      <c r="D915" s="4"/>
      <c r="E915" s="4"/>
      <c r="K915" s="4"/>
    </row>
    <row r="916" spans="1:11" x14ac:dyDescent="0.2">
      <c r="A916" s="4"/>
      <c r="B916" s="4"/>
      <c r="C916" s="4"/>
      <c r="D916" s="4"/>
      <c r="E916" s="4"/>
      <c r="K916" s="4"/>
    </row>
    <row r="917" spans="1:11" x14ac:dyDescent="0.2">
      <c r="A917" s="4"/>
      <c r="B917" s="4"/>
      <c r="C917" s="4"/>
      <c r="D917" s="4"/>
      <c r="E917" s="4"/>
      <c r="K917" s="4"/>
    </row>
    <row r="918" spans="1:11" x14ac:dyDescent="0.2">
      <c r="A918" s="4"/>
      <c r="B918" s="4"/>
      <c r="C918" s="4"/>
      <c r="D918" s="4"/>
      <c r="E918" s="4"/>
      <c r="K918" s="4"/>
    </row>
    <row r="919" spans="1:11" x14ac:dyDescent="0.2">
      <c r="A919" s="4"/>
      <c r="B919" s="4"/>
      <c r="C919" s="4"/>
      <c r="D919" s="4"/>
      <c r="E919" s="4"/>
      <c r="K919" s="4"/>
    </row>
    <row r="920" spans="1:11" x14ac:dyDescent="0.2">
      <c r="A920" s="4"/>
      <c r="B920" s="4"/>
      <c r="C920" s="4"/>
      <c r="D920" s="4"/>
      <c r="E920" s="4"/>
      <c r="K920" s="4"/>
    </row>
    <row r="921" spans="1:11" x14ac:dyDescent="0.2">
      <c r="A921" s="4"/>
      <c r="B921" s="4"/>
      <c r="C921" s="4"/>
      <c r="D921" s="4"/>
      <c r="E921" s="4"/>
      <c r="K921" s="4"/>
    </row>
    <row r="922" spans="1:11" x14ac:dyDescent="0.2">
      <c r="A922" s="4"/>
      <c r="B922" s="4"/>
      <c r="C922" s="4"/>
      <c r="D922" s="4"/>
      <c r="E922" s="4"/>
      <c r="K922" s="4"/>
    </row>
    <row r="923" spans="1:11" x14ac:dyDescent="0.2">
      <c r="A923" s="4"/>
      <c r="B923" s="4"/>
      <c r="C923" s="4"/>
      <c r="D923" s="4"/>
      <c r="E923" s="4"/>
      <c r="K923" s="4"/>
    </row>
    <row r="924" spans="1:11" x14ac:dyDescent="0.2">
      <c r="A924" s="4"/>
      <c r="B924" s="4"/>
      <c r="C924" s="4"/>
      <c r="D924" s="4"/>
      <c r="E924" s="4"/>
      <c r="K924" s="4"/>
    </row>
    <row r="925" spans="1:11" x14ac:dyDescent="0.2">
      <c r="A925" s="4"/>
      <c r="B925" s="4"/>
      <c r="C925" s="4"/>
      <c r="D925" s="4"/>
      <c r="E925" s="4"/>
      <c r="K925" s="4"/>
    </row>
    <row r="926" spans="1:11" x14ac:dyDescent="0.2">
      <c r="A926" s="4"/>
      <c r="B926" s="4"/>
      <c r="C926" s="4"/>
      <c r="D926" s="4"/>
      <c r="E926" s="4"/>
      <c r="K926" s="4"/>
    </row>
    <row r="927" spans="1:11" x14ac:dyDescent="0.2">
      <c r="A927" s="4"/>
      <c r="B927" s="4"/>
      <c r="C927" s="4"/>
      <c r="D927" s="4"/>
      <c r="E927" s="4"/>
      <c r="K927" s="4"/>
    </row>
    <row r="928" spans="1:11" x14ac:dyDescent="0.2">
      <c r="A928" s="4"/>
      <c r="B928" s="4"/>
      <c r="C928" s="4"/>
      <c r="D928" s="4"/>
      <c r="E928" s="4"/>
      <c r="K928" s="4"/>
    </row>
    <row r="929" spans="1:11" x14ac:dyDescent="0.2">
      <c r="A929" s="4"/>
      <c r="B929" s="4"/>
      <c r="C929" s="4"/>
      <c r="D929" s="4"/>
      <c r="E929" s="4"/>
      <c r="K929" s="4"/>
    </row>
    <row r="930" spans="1:11" x14ac:dyDescent="0.2">
      <c r="A930" s="4"/>
      <c r="B930" s="4"/>
      <c r="C930" s="4"/>
      <c r="D930" s="4"/>
      <c r="E930" s="4"/>
      <c r="K930" s="4"/>
    </row>
    <row r="931" spans="1:11" x14ac:dyDescent="0.2">
      <c r="A931" s="4"/>
      <c r="B931" s="4"/>
      <c r="C931" s="4"/>
      <c r="D931" s="4"/>
      <c r="E931" s="4"/>
      <c r="K931" s="4"/>
    </row>
    <row r="932" spans="1:11" x14ac:dyDescent="0.2">
      <c r="A932" s="4"/>
      <c r="B932" s="4"/>
      <c r="C932" s="4"/>
      <c r="D932" s="4"/>
      <c r="E932" s="4"/>
      <c r="K932" s="4"/>
    </row>
    <row r="933" spans="1:11" x14ac:dyDescent="0.2">
      <c r="A933" s="4"/>
      <c r="B933" s="4"/>
      <c r="C933" s="4"/>
      <c r="D933" s="4"/>
      <c r="E933" s="4"/>
      <c r="K933" s="4"/>
    </row>
    <row r="934" spans="1:11" x14ac:dyDescent="0.2">
      <c r="A934" s="4"/>
      <c r="B934" s="4"/>
      <c r="C934" s="4"/>
      <c r="D934" s="4"/>
      <c r="E934" s="4"/>
      <c r="K934" s="4"/>
    </row>
    <row r="935" spans="1:11" x14ac:dyDescent="0.2">
      <c r="A935" s="4"/>
      <c r="B935" s="4"/>
      <c r="C935" s="4"/>
      <c r="D935" s="4"/>
      <c r="E935" s="4"/>
      <c r="K935" s="4"/>
    </row>
    <row r="936" spans="1:11" x14ac:dyDescent="0.2">
      <c r="A936" s="4"/>
      <c r="B936" s="4"/>
      <c r="C936" s="4"/>
      <c r="D936" s="4"/>
      <c r="E936" s="4"/>
      <c r="K936" s="4"/>
    </row>
    <row r="937" spans="1:11" x14ac:dyDescent="0.2">
      <c r="A937" s="4"/>
      <c r="B937" s="4"/>
      <c r="C937" s="4"/>
      <c r="D937" s="4"/>
      <c r="E937" s="4"/>
      <c r="K937" s="4"/>
    </row>
    <row r="938" spans="1:11" x14ac:dyDescent="0.2">
      <c r="A938" s="4"/>
      <c r="B938" s="4"/>
      <c r="C938" s="4"/>
      <c r="D938" s="4"/>
      <c r="E938" s="4"/>
      <c r="K938" s="4"/>
    </row>
    <row r="939" spans="1:11" x14ac:dyDescent="0.2">
      <c r="A939" s="4"/>
      <c r="B939" s="4"/>
      <c r="C939" s="4"/>
      <c r="D939" s="4"/>
      <c r="E939" s="4"/>
      <c r="K939" s="4"/>
    </row>
    <row r="940" spans="1:11" x14ac:dyDescent="0.2">
      <c r="A940" s="4"/>
      <c r="B940" s="4"/>
      <c r="C940" s="4"/>
      <c r="D940" s="4"/>
      <c r="E940" s="4"/>
      <c r="K940" s="4"/>
    </row>
    <row r="941" spans="1:11" x14ac:dyDescent="0.2">
      <c r="A941" s="4"/>
      <c r="B941" s="4"/>
      <c r="C941" s="4"/>
      <c r="D941" s="4"/>
      <c r="E941" s="4"/>
      <c r="K941" s="4"/>
    </row>
    <row r="942" spans="1:11" x14ac:dyDescent="0.2">
      <c r="A942" s="4"/>
      <c r="B942" s="4"/>
      <c r="C942" s="4"/>
      <c r="D942" s="4"/>
      <c r="E942" s="4"/>
      <c r="K942" s="4"/>
    </row>
    <row r="943" spans="1:11" x14ac:dyDescent="0.2">
      <c r="A943" s="4"/>
      <c r="B943" s="4"/>
      <c r="C943" s="4"/>
      <c r="D943" s="4"/>
      <c r="E943" s="4"/>
      <c r="K943" s="4"/>
    </row>
    <row r="944" spans="1:11" x14ac:dyDescent="0.2">
      <c r="A944" s="4"/>
      <c r="B944" s="4"/>
      <c r="C944" s="4"/>
      <c r="D944" s="4"/>
      <c r="E944" s="4"/>
      <c r="K944" s="4"/>
    </row>
    <row r="945" spans="1:11" x14ac:dyDescent="0.2">
      <c r="A945" s="4"/>
      <c r="B945" s="4"/>
      <c r="C945" s="4"/>
      <c r="D945" s="4"/>
      <c r="E945" s="4"/>
      <c r="K945" s="4"/>
    </row>
    <row r="946" spans="1:11" x14ac:dyDescent="0.2">
      <c r="A946" s="4"/>
      <c r="B946" s="4"/>
      <c r="C946" s="4"/>
      <c r="D946" s="4"/>
      <c r="E946" s="4"/>
      <c r="K946" s="4"/>
    </row>
    <row r="947" spans="1:11" x14ac:dyDescent="0.2">
      <c r="A947" s="4"/>
      <c r="B947" s="4"/>
      <c r="C947" s="4"/>
      <c r="D947" s="4"/>
      <c r="E947" s="4"/>
      <c r="K947" s="4"/>
    </row>
    <row r="948" spans="1:11" x14ac:dyDescent="0.2">
      <c r="A948" s="4"/>
      <c r="B948" s="4"/>
      <c r="C948" s="4"/>
      <c r="D948" s="4"/>
      <c r="E948" s="4"/>
      <c r="K948" s="4"/>
    </row>
    <row r="949" spans="1:11" x14ac:dyDescent="0.2">
      <c r="A949" s="4"/>
      <c r="B949" s="4"/>
      <c r="C949" s="4"/>
      <c r="D949" s="4"/>
      <c r="E949" s="4"/>
      <c r="K949" s="4"/>
    </row>
    <row r="950" spans="1:11" x14ac:dyDescent="0.2">
      <c r="A950" s="4"/>
      <c r="B950" s="4"/>
      <c r="C950" s="4"/>
      <c r="D950" s="4"/>
      <c r="E950" s="4"/>
      <c r="K950" s="4"/>
    </row>
    <row r="951" spans="1:11" x14ac:dyDescent="0.2">
      <c r="A951" s="4"/>
      <c r="B951" s="4"/>
      <c r="C951" s="4"/>
      <c r="D951" s="4"/>
      <c r="E951" s="4"/>
      <c r="K951" s="4"/>
    </row>
    <row r="952" spans="1:11" x14ac:dyDescent="0.2">
      <c r="A952" s="4"/>
      <c r="B952" s="4"/>
      <c r="C952" s="4"/>
      <c r="D952" s="4"/>
      <c r="E952" s="4"/>
      <c r="K952" s="4"/>
    </row>
    <row r="953" spans="1:11" x14ac:dyDescent="0.2">
      <c r="A953" s="4"/>
      <c r="B953" s="4"/>
      <c r="C953" s="4"/>
      <c r="D953" s="4"/>
      <c r="E953" s="4"/>
      <c r="K953" s="4"/>
    </row>
    <row r="954" spans="1:11" x14ac:dyDescent="0.2">
      <c r="A954" s="4"/>
      <c r="B954" s="4"/>
      <c r="C954" s="4"/>
      <c r="D954" s="4"/>
      <c r="E954" s="4"/>
      <c r="K954" s="4"/>
    </row>
    <row r="955" spans="1:11" x14ac:dyDescent="0.2">
      <c r="A955" s="4"/>
      <c r="B955" s="4"/>
      <c r="C955" s="4"/>
      <c r="D955" s="4"/>
      <c r="E955" s="4"/>
      <c r="K955" s="4"/>
    </row>
    <row r="956" spans="1:11" x14ac:dyDescent="0.2">
      <c r="A956" s="4"/>
      <c r="B956" s="4"/>
      <c r="C956" s="4"/>
      <c r="D956" s="4"/>
      <c r="E956" s="4"/>
      <c r="K956" s="4"/>
    </row>
    <row r="957" spans="1:11" x14ac:dyDescent="0.2">
      <c r="A957" s="4"/>
      <c r="B957" s="4"/>
      <c r="C957" s="4"/>
      <c r="D957" s="4"/>
      <c r="E957" s="4"/>
      <c r="K957" s="4"/>
    </row>
    <row r="958" spans="1:11" x14ac:dyDescent="0.2">
      <c r="A958" s="4"/>
      <c r="B958" s="4"/>
      <c r="C958" s="4"/>
      <c r="D958" s="4"/>
      <c r="E958" s="4"/>
      <c r="K958" s="4"/>
    </row>
    <row r="959" spans="1:11" x14ac:dyDescent="0.2">
      <c r="A959" s="4"/>
      <c r="B959" s="4"/>
      <c r="C959" s="4"/>
      <c r="D959" s="4"/>
      <c r="E959" s="4"/>
      <c r="K959" s="4"/>
    </row>
    <row r="960" spans="1:11" x14ac:dyDescent="0.2">
      <c r="A960" s="4"/>
      <c r="B960" s="4"/>
      <c r="C960" s="4"/>
      <c r="D960" s="4"/>
      <c r="E960" s="4"/>
      <c r="K960" s="4"/>
    </row>
    <row r="961" spans="1:11" x14ac:dyDescent="0.2">
      <c r="A961" s="4"/>
      <c r="B961" s="4"/>
      <c r="C961" s="4"/>
      <c r="D961" s="4"/>
      <c r="E961" s="4"/>
      <c r="K961" s="4"/>
    </row>
    <row r="962" spans="1:11" x14ac:dyDescent="0.2">
      <c r="A962" s="4"/>
      <c r="B962" s="4"/>
      <c r="C962" s="4"/>
      <c r="D962" s="4"/>
      <c r="E962" s="4"/>
      <c r="K962" s="4"/>
    </row>
    <row r="963" spans="1:11" x14ac:dyDescent="0.2">
      <c r="A963" s="4"/>
      <c r="B963" s="4"/>
      <c r="C963" s="4"/>
      <c r="D963" s="4"/>
      <c r="E963" s="4"/>
      <c r="K963" s="4"/>
    </row>
    <row r="964" spans="1:11" x14ac:dyDescent="0.2">
      <c r="A964" s="4"/>
      <c r="B964" s="4"/>
      <c r="C964" s="4"/>
      <c r="D964" s="4"/>
      <c r="E964" s="4"/>
      <c r="K964" s="4"/>
    </row>
    <row r="965" spans="1:11" x14ac:dyDescent="0.2">
      <c r="A965" s="4"/>
      <c r="B965" s="4"/>
      <c r="C965" s="4"/>
      <c r="D965" s="4"/>
      <c r="E965" s="4"/>
      <c r="K965" s="4"/>
    </row>
    <row r="966" spans="1:11" x14ac:dyDescent="0.2">
      <c r="A966" s="4"/>
      <c r="B966" s="4"/>
      <c r="C966" s="4"/>
      <c r="D966" s="4"/>
      <c r="E966" s="4"/>
      <c r="K966" s="4"/>
    </row>
    <row r="967" spans="1:11" x14ac:dyDescent="0.2">
      <c r="A967" s="4"/>
      <c r="B967" s="4"/>
      <c r="C967" s="4"/>
      <c r="D967" s="4"/>
      <c r="E967" s="4"/>
      <c r="K967" s="4"/>
    </row>
    <row r="968" spans="1:11" x14ac:dyDescent="0.2">
      <c r="A968" s="4"/>
      <c r="B968" s="4"/>
      <c r="C968" s="4"/>
      <c r="D968" s="4"/>
      <c r="E968" s="4"/>
      <c r="K968" s="4"/>
    </row>
    <row r="969" spans="1:11" x14ac:dyDescent="0.2">
      <c r="A969" s="4"/>
      <c r="B969" s="4"/>
      <c r="C969" s="4"/>
      <c r="D969" s="4"/>
      <c r="E969" s="4"/>
      <c r="K969" s="4"/>
    </row>
    <row r="970" spans="1:11" x14ac:dyDescent="0.2">
      <c r="A970" s="4"/>
      <c r="B970" s="4"/>
      <c r="C970" s="4"/>
      <c r="D970" s="4"/>
      <c r="E970" s="4"/>
      <c r="K970" s="4"/>
    </row>
    <row r="971" spans="1:11" x14ac:dyDescent="0.2">
      <c r="A971" s="4"/>
      <c r="B971" s="4"/>
      <c r="C971" s="4"/>
      <c r="D971" s="4"/>
      <c r="E971" s="4"/>
      <c r="K971" s="4"/>
    </row>
    <row r="972" spans="1:11" x14ac:dyDescent="0.2">
      <c r="A972" s="4"/>
      <c r="B972" s="4"/>
      <c r="C972" s="4"/>
      <c r="D972" s="4"/>
      <c r="E972" s="4"/>
      <c r="K972" s="4"/>
    </row>
    <row r="973" spans="1:11" x14ac:dyDescent="0.2">
      <c r="A973" s="4"/>
      <c r="B973" s="4"/>
      <c r="C973" s="4"/>
      <c r="D973" s="4"/>
      <c r="E973" s="4"/>
      <c r="K973" s="4"/>
    </row>
    <row r="974" spans="1:11" x14ac:dyDescent="0.2">
      <c r="A974" s="4"/>
      <c r="B974" s="4"/>
      <c r="C974" s="4"/>
      <c r="D974" s="4"/>
      <c r="E974" s="4"/>
      <c r="K974" s="4"/>
    </row>
    <row r="975" spans="1:11" x14ac:dyDescent="0.2">
      <c r="A975" s="4"/>
      <c r="B975" s="4"/>
      <c r="C975" s="4"/>
      <c r="D975" s="4"/>
      <c r="E975" s="4"/>
      <c r="K975" s="4"/>
    </row>
    <row r="976" spans="1:11" x14ac:dyDescent="0.2">
      <c r="A976" s="4"/>
      <c r="B976" s="4"/>
      <c r="C976" s="4"/>
      <c r="D976" s="4"/>
      <c r="E976" s="4"/>
      <c r="K976" s="4"/>
    </row>
    <row r="977" spans="1:11" x14ac:dyDescent="0.2">
      <c r="A977" s="4"/>
      <c r="B977" s="4"/>
      <c r="C977" s="4"/>
      <c r="D977" s="4"/>
      <c r="E977" s="4"/>
      <c r="K977" s="4"/>
    </row>
    <row r="978" spans="1:11" x14ac:dyDescent="0.2">
      <c r="A978" s="4"/>
      <c r="B978" s="4"/>
      <c r="C978" s="4"/>
      <c r="D978" s="4"/>
      <c r="E978" s="4"/>
      <c r="K978" s="4"/>
    </row>
    <row r="979" spans="1:11" x14ac:dyDescent="0.2">
      <c r="A979" s="4"/>
      <c r="B979" s="4"/>
      <c r="C979" s="4"/>
      <c r="D979" s="4"/>
      <c r="E979" s="4"/>
      <c r="K979" s="4"/>
    </row>
    <row r="980" spans="1:11" x14ac:dyDescent="0.2">
      <c r="A980" s="4"/>
      <c r="B980" s="4"/>
      <c r="C980" s="4"/>
      <c r="D980" s="4"/>
      <c r="E980" s="4"/>
      <c r="K980" s="4"/>
    </row>
    <row r="981" spans="1:11" x14ac:dyDescent="0.2">
      <c r="A981" s="4"/>
      <c r="B981" s="4"/>
      <c r="C981" s="4"/>
      <c r="D981" s="4"/>
      <c r="E981" s="4"/>
      <c r="K981" s="4"/>
    </row>
    <row r="982" spans="1:11" x14ac:dyDescent="0.2">
      <c r="A982" s="4"/>
      <c r="B982" s="4"/>
      <c r="C982" s="4"/>
      <c r="D982" s="4"/>
      <c r="E982" s="4"/>
      <c r="K982" s="4"/>
    </row>
    <row r="983" spans="1:11" x14ac:dyDescent="0.2">
      <c r="A983" s="4"/>
      <c r="B983" s="4"/>
      <c r="C983" s="4"/>
      <c r="D983" s="4"/>
      <c r="E983" s="4"/>
      <c r="K983" s="4"/>
    </row>
    <row r="984" spans="1:11" x14ac:dyDescent="0.2">
      <c r="A984" s="4"/>
      <c r="B984" s="4"/>
      <c r="C984" s="4"/>
      <c r="D984" s="4"/>
      <c r="E984" s="4"/>
      <c r="K984" s="4"/>
    </row>
    <row r="985" spans="1:11" x14ac:dyDescent="0.2">
      <c r="A985" s="4"/>
      <c r="B985" s="4"/>
      <c r="C985" s="4"/>
      <c r="D985" s="4"/>
      <c r="E985" s="4"/>
      <c r="K985" s="4"/>
    </row>
    <row r="986" spans="1:11" x14ac:dyDescent="0.2">
      <c r="A986" s="4"/>
      <c r="B986" s="4"/>
      <c r="C986" s="4"/>
      <c r="D986" s="4"/>
      <c r="E986" s="4"/>
      <c r="K986" s="4"/>
    </row>
    <row r="987" spans="1:11" x14ac:dyDescent="0.2">
      <c r="A987" s="4"/>
      <c r="B987" s="4"/>
      <c r="C987" s="4"/>
      <c r="D987" s="4"/>
      <c r="E987" s="4"/>
      <c r="K987" s="4"/>
    </row>
    <row r="988" spans="1:11" x14ac:dyDescent="0.2">
      <c r="A988" s="4"/>
      <c r="B988" s="4"/>
      <c r="C988" s="4"/>
      <c r="D988" s="4"/>
      <c r="E988" s="4"/>
      <c r="K988" s="4"/>
    </row>
    <row r="989" spans="1:11" x14ac:dyDescent="0.2">
      <c r="A989" s="4"/>
      <c r="B989" s="4"/>
      <c r="C989" s="4"/>
      <c r="D989" s="4"/>
      <c r="E989" s="4"/>
      <c r="K989" s="4"/>
    </row>
    <row r="990" spans="1:11" x14ac:dyDescent="0.2">
      <c r="A990" s="4"/>
      <c r="B990" s="4"/>
      <c r="C990" s="4"/>
      <c r="D990" s="4"/>
      <c r="E990" s="4"/>
      <c r="K990" s="4"/>
    </row>
    <row r="991" spans="1:11" x14ac:dyDescent="0.2">
      <c r="A991" s="4"/>
      <c r="B991" s="4"/>
      <c r="C991" s="4"/>
      <c r="D991" s="4"/>
      <c r="E991" s="4"/>
      <c r="K991" s="4"/>
    </row>
    <row r="992" spans="1:11" x14ac:dyDescent="0.2">
      <c r="A992" s="4"/>
      <c r="B992" s="4"/>
      <c r="C992" s="4"/>
      <c r="D992" s="4"/>
      <c r="E992" s="4"/>
      <c r="K992" s="4"/>
    </row>
    <row r="993" spans="1:11" x14ac:dyDescent="0.2">
      <c r="A993" s="4"/>
      <c r="B993" s="4"/>
      <c r="C993" s="4"/>
      <c r="D993" s="4"/>
      <c r="E993" s="4"/>
      <c r="K993" s="4"/>
    </row>
    <row r="994" spans="1:11" x14ac:dyDescent="0.2">
      <c r="A994" s="4"/>
      <c r="B994" s="4"/>
      <c r="C994" s="4"/>
      <c r="D994" s="4"/>
      <c r="E994" s="4"/>
      <c r="K994" s="4"/>
    </row>
    <row r="995" spans="1:11" x14ac:dyDescent="0.2">
      <c r="A995" s="4"/>
      <c r="B995" s="4"/>
      <c r="C995" s="4"/>
      <c r="D995" s="4"/>
      <c r="E995" s="4"/>
      <c r="K995" s="4"/>
    </row>
    <row r="996" spans="1:11" x14ac:dyDescent="0.2">
      <c r="A996" s="4"/>
      <c r="B996" s="4"/>
      <c r="C996" s="4"/>
      <c r="D996" s="4"/>
      <c r="E996" s="4"/>
      <c r="K996" s="4"/>
    </row>
    <row r="997" spans="1:11" x14ac:dyDescent="0.2">
      <c r="A997" s="4"/>
      <c r="B997" s="4"/>
      <c r="C997" s="4"/>
      <c r="D997" s="4"/>
      <c r="E997" s="4"/>
      <c r="K997" s="4"/>
    </row>
    <row r="998" spans="1:11" x14ac:dyDescent="0.2">
      <c r="A998" s="4"/>
      <c r="B998" s="4"/>
      <c r="C998" s="4"/>
      <c r="D998" s="4"/>
      <c r="E998" s="4"/>
      <c r="K998" s="4"/>
    </row>
    <row r="999" spans="1:11" x14ac:dyDescent="0.2">
      <c r="A999" s="4"/>
      <c r="B999" s="4"/>
      <c r="C999" s="4"/>
      <c r="D999" s="4"/>
      <c r="E999" s="4"/>
      <c r="K999" s="4"/>
    </row>
    <row r="1000" spans="1:11" x14ac:dyDescent="0.2">
      <c r="A1000" s="4"/>
      <c r="B1000" s="4"/>
      <c r="C1000" s="4"/>
      <c r="D1000" s="4"/>
      <c r="E1000" s="4"/>
      <c r="K1000" s="4"/>
    </row>
    <row r="1001" spans="1:11" x14ac:dyDescent="0.2">
      <c r="A1001" s="4"/>
      <c r="B1001" s="4"/>
      <c r="C1001" s="4"/>
      <c r="D1001" s="4"/>
      <c r="E1001" s="4"/>
      <c r="K1001" s="4"/>
    </row>
    <row r="1002" spans="1:11" x14ac:dyDescent="0.2">
      <c r="A1002" s="4"/>
      <c r="B1002" s="4"/>
      <c r="C1002" s="4"/>
      <c r="D1002" s="4"/>
      <c r="E1002" s="4"/>
      <c r="K1002" s="4"/>
    </row>
  </sheetData>
  <autoFilter ref="A3:AF357" xr:uid="{00000000-0009-0000-0000-000001000000}"/>
  <mergeCells count="10">
    <mergeCell ref="W2:AA2"/>
    <mergeCell ref="AB2:AF2"/>
    <mergeCell ref="W1:AF1"/>
    <mergeCell ref="F1:G1"/>
    <mergeCell ref="M2:O2"/>
    <mergeCell ref="Q2:S2"/>
    <mergeCell ref="K1:K2"/>
    <mergeCell ref="L1:O1"/>
    <mergeCell ref="P1:S1"/>
    <mergeCell ref="J1:J2"/>
  </mergeCells>
  <phoneticPr fontId="21" type="noConversion"/>
  <conditionalFormatting sqref="E4:E357">
    <cfRule type="colorScale" priority="26">
      <colorScale>
        <cfvo type="min"/>
        <cfvo type="percentile" val="50"/>
        <cfvo type="max"/>
        <color rgb="FFF8696B"/>
        <color rgb="FFFFEB84"/>
        <color rgb="FF63BE7B"/>
      </colorScale>
    </cfRule>
  </conditionalFormatting>
  <conditionalFormatting sqref="E34:E357">
    <cfRule type="colorScale" priority="27">
      <colorScale>
        <cfvo type="min"/>
        <cfvo type="percentile" val="50"/>
        <cfvo type="max"/>
        <color rgb="FFF8696B"/>
        <color rgb="FFFFEB84"/>
        <color rgb="FF63BE7B"/>
      </colorScale>
    </cfRule>
  </conditionalFormatting>
  <conditionalFormatting sqref="F4:G357">
    <cfRule type="cellIs" dxfId="4" priority="23" operator="equal">
      <formula>0</formula>
    </cfRule>
  </conditionalFormatting>
  <conditionalFormatting sqref="L2:L1048576">
    <cfRule type="containsText" dxfId="3" priority="21" operator="containsText" text="PROXY">
      <formula>NOT(ISERROR(SEARCH("PROXY",L2)))</formula>
    </cfRule>
  </conditionalFormatting>
  <conditionalFormatting sqref="L4:L357">
    <cfRule type="expression" dxfId="2" priority="24">
      <formula>"if(1,?;?,?)"</formula>
    </cfRule>
  </conditionalFormatting>
  <conditionalFormatting sqref="P2:P1048576">
    <cfRule type="containsText" dxfId="1" priority="1" operator="containsText" text="PROXY">
      <formula>NOT(ISERROR(SEARCH("PROXY",P2)))</formula>
    </cfRule>
  </conditionalFormatting>
  <conditionalFormatting sqref="P4:P357">
    <cfRule type="expression" dxfId="0" priority="2">
      <formula>"if(1,?;?,?)"</formula>
    </cfRule>
  </conditionalFormatting>
  <pageMargins left="0.7" right="0.7" top="0.75" bottom="0.75" header="0.3" footer="0.3"/>
  <pageSetup orientation="portrait" r:id="rId1"/>
  <colBreaks count="1" manualBreakCount="1">
    <brk id="6" max="1048575" man="1"/>
  </colBreaks>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J1646"/>
  <sheetViews>
    <sheetView workbookViewId="0">
      <pane xSplit="4" ySplit="1" topLeftCell="AD104" activePane="bottomRight" state="frozen"/>
      <selection pane="topRight" activeCell="D1" sqref="D1"/>
      <selection pane="bottomLeft" activeCell="A2" sqref="A2"/>
      <selection pane="bottomRight" activeCell="AR408" sqref="AR408"/>
    </sheetView>
  </sheetViews>
  <sheetFormatPr baseColWidth="10" defaultColWidth="13.5" defaultRowHeight="15" customHeight="1" x14ac:dyDescent="0.2"/>
  <cols>
    <col min="1" max="1" width="10.1640625" style="75" customWidth="1"/>
    <col min="2" max="2" width="10.1640625" style="157" hidden="1" customWidth="1"/>
    <col min="3" max="3" width="16.6640625" style="151" customWidth="1"/>
    <col min="4" max="4" width="33.6640625" style="151" customWidth="1"/>
    <col min="5" max="5" width="25" style="151" bestFit="1" customWidth="1"/>
    <col min="6" max="6" width="37.83203125" style="151" customWidth="1"/>
    <col min="7" max="7" width="15.1640625" style="151" customWidth="1"/>
    <col min="8" max="8" width="11.33203125" style="151" customWidth="1"/>
    <col min="9" max="9" width="9" style="165" customWidth="1"/>
    <col min="10" max="10" width="13" style="165" customWidth="1"/>
    <col min="11" max="11" width="12.83203125" style="165" hidden="1" customWidth="1"/>
    <col min="12" max="13" width="13" style="165" customWidth="1"/>
    <col min="14" max="14" width="11.1640625" style="241" hidden="1" customWidth="1"/>
    <col min="15" max="15" width="9" style="241" hidden="1" customWidth="1"/>
    <col min="16" max="16" width="13.6640625" style="241" hidden="1" customWidth="1"/>
    <col min="17" max="17" width="10.1640625" style="241" hidden="1" customWidth="1"/>
    <col min="18" max="18" width="9.6640625" style="241" hidden="1" customWidth="1"/>
    <col min="19" max="19" width="10.1640625" style="241" hidden="1" customWidth="1"/>
    <col min="20" max="20" width="9" style="241" hidden="1" customWidth="1"/>
    <col min="21" max="21" width="11.83203125" style="241" hidden="1" customWidth="1"/>
    <col min="22" max="23" width="10.6640625" style="241" hidden="1" customWidth="1"/>
    <col min="24" max="24" width="11.6640625" style="241" hidden="1" customWidth="1"/>
    <col min="25" max="25" width="10.83203125" style="241" hidden="1" customWidth="1"/>
    <col min="26" max="26" width="8.1640625" style="241" hidden="1" customWidth="1"/>
    <col min="27" max="27" width="16" style="241" hidden="1" customWidth="1"/>
    <col min="28" max="28" width="13.33203125" style="241" hidden="1" customWidth="1"/>
    <col min="29" max="29" width="16.5" style="241" hidden="1" customWidth="1"/>
    <col min="30" max="30" width="13.1640625" style="245" customWidth="1"/>
    <col min="31" max="31" width="17.6640625" style="245" customWidth="1"/>
    <col min="32" max="32" width="14.33203125" style="243" customWidth="1"/>
    <col min="33" max="33" width="12.1640625" style="243" customWidth="1"/>
    <col min="34" max="34" width="14.83203125" style="275" customWidth="1"/>
    <col min="35" max="35" width="13.6640625" style="275" customWidth="1"/>
    <col min="36" max="39" width="11.83203125" style="308" customWidth="1"/>
    <col min="40" max="42" width="12.1640625" style="308" customWidth="1"/>
    <col min="43" max="44" width="11.83203125" style="308" customWidth="1"/>
    <col min="45" max="45" width="14.1640625" style="173" hidden="1" customWidth="1"/>
    <col min="46" max="46" width="14.1640625" style="173" customWidth="1"/>
    <col min="47" max="47" width="12.83203125" style="313" customWidth="1"/>
    <col min="48" max="48" width="12.6640625" style="313" customWidth="1"/>
    <col min="49" max="57" width="11.83203125" style="280" customWidth="1"/>
    <col min="58" max="58" width="0" style="394" hidden="1" customWidth="1"/>
    <col min="59" max="59" width="13.5" style="394"/>
    <col min="60" max="60" width="13" style="276" customWidth="1"/>
    <col min="61" max="61" width="13" style="366" customWidth="1"/>
    <col min="62" max="62" width="13.5" style="280"/>
  </cols>
  <sheetData>
    <row r="1" spans="1:62" ht="75" customHeight="1" thickBot="1" x14ac:dyDescent="0.25">
      <c r="A1" s="152" t="s">
        <v>4430</v>
      </c>
      <c r="B1" s="153" t="s">
        <v>2871</v>
      </c>
      <c r="C1" s="147" t="s">
        <v>0</v>
      </c>
      <c r="D1" s="147" t="s">
        <v>1</v>
      </c>
      <c r="E1" s="147" t="s">
        <v>2</v>
      </c>
      <c r="F1" s="147" t="s">
        <v>3</v>
      </c>
      <c r="G1" s="147" t="s">
        <v>4</v>
      </c>
      <c r="H1" s="147" t="s">
        <v>5</v>
      </c>
      <c r="I1" s="158" t="s">
        <v>1679</v>
      </c>
      <c r="J1" s="158" t="s">
        <v>1680</v>
      </c>
      <c r="K1" s="158" t="s">
        <v>1681</v>
      </c>
      <c r="L1" s="158" t="s">
        <v>1682</v>
      </c>
      <c r="M1" s="451" t="s">
        <v>4090</v>
      </c>
      <c r="N1" s="260" t="s">
        <v>1683</v>
      </c>
      <c r="O1" s="260" t="s">
        <v>1684</v>
      </c>
      <c r="P1" s="260" t="s">
        <v>1685</v>
      </c>
      <c r="Q1" s="260" t="s">
        <v>1686</v>
      </c>
      <c r="R1" s="260" t="s">
        <v>1687</v>
      </c>
      <c r="S1" s="260" t="s">
        <v>1688</v>
      </c>
      <c r="T1" s="260" t="s">
        <v>1689</v>
      </c>
      <c r="U1" s="260" t="s">
        <v>1690</v>
      </c>
      <c r="V1" s="260" t="s">
        <v>1691</v>
      </c>
      <c r="W1" s="260" t="s">
        <v>1692</v>
      </c>
      <c r="X1" s="260" t="s">
        <v>1693</v>
      </c>
      <c r="Y1" s="260" t="s">
        <v>1694</v>
      </c>
      <c r="Z1" s="260" t="s">
        <v>1695</v>
      </c>
      <c r="AA1" s="261" t="s">
        <v>1696</v>
      </c>
      <c r="AB1" s="261" t="s">
        <v>1697</v>
      </c>
      <c r="AC1" s="261" t="s">
        <v>1698</v>
      </c>
      <c r="AD1" s="269" t="s">
        <v>1699</v>
      </c>
      <c r="AE1" s="269" t="s">
        <v>1700</v>
      </c>
      <c r="AF1" s="143" t="s">
        <v>3241</v>
      </c>
      <c r="AG1" s="143" t="s">
        <v>3239</v>
      </c>
      <c r="AH1" s="145" t="s">
        <v>3242</v>
      </c>
      <c r="AI1" s="145" t="s">
        <v>3240</v>
      </c>
      <c r="AJ1" s="302" t="s">
        <v>2858</v>
      </c>
      <c r="AK1" s="302" t="s">
        <v>3080</v>
      </c>
      <c r="AL1" s="302" t="s">
        <v>3081</v>
      </c>
      <c r="AM1" s="302" t="s">
        <v>3082</v>
      </c>
      <c r="AN1" s="302" t="s">
        <v>3083</v>
      </c>
      <c r="AO1" s="302" t="s">
        <v>3084</v>
      </c>
      <c r="AP1" s="302" t="s">
        <v>3085</v>
      </c>
      <c r="AQ1" s="302" t="s">
        <v>3086</v>
      </c>
      <c r="AR1" s="302" t="s">
        <v>3087</v>
      </c>
      <c r="AS1" s="167" t="s">
        <v>1701</v>
      </c>
      <c r="AT1" s="167" t="s">
        <v>1702</v>
      </c>
      <c r="AU1" s="324" t="s">
        <v>6</v>
      </c>
      <c r="AV1" s="325" t="s">
        <v>3237</v>
      </c>
      <c r="AW1" s="349" t="s">
        <v>2859</v>
      </c>
      <c r="AX1" s="349" t="s">
        <v>3088</v>
      </c>
      <c r="AY1" s="349" t="s">
        <v>3089</v>
      </c>
      <c r="AZ1" s="349" t="s">
        <v>3090</v>
      </c>
      <c r="BA1" s="349" t="s">
        <v>3091</v>
      </c>
      <c r="BB1" s="349" t="s">
        <v>3092</v>
      </c>
      <c r="BC1" s="349" t="s">
        <v>3093</v>
      </c>
      <c r="BD1" s="349" t="s">
        <v>3094</v>
      </c>
      <c r="BE1" s="349" t="s">
        <v>3095</v>
      </c>
      <c r="BF1" s="380" t="s">
        <v>1703</v>
      </c>
      <c r="BG1" s="380" t="s">
        <v>1704</v>
      </c>
      <c r="BH1" s="361" t="s">
        <v>7</v>
      </c>
      <c r="BI1" s="362" t="s">
        <v>8</v>
      </c>
      <c r="BJ1" s="408" t="s">
        <v>3096</v>
      </c>
    </row>
    <row r="2" spans="1:62" ht="15" customHeight="1" thickBot="1" x14ac:dyDescent="0.25">
      <c r="A2" s="154">
        <v>1</v>
      </c>
      <c r="B2" s="155">
        <v>1</v>
      </c>
      <c r="C2" s="150" t="s">
        <v>11</v>
      </c>
      <c r="D2" s="150" t="s">
        <v>12</v>
      </c>
      <c r="E2" s="150" t="s">
        <v>13</v>
      </c>
      <c r="F2" s="150" t="s">
        <v>14</v>
      </c>
      <c r="G2" s="150" t="s">
        <v>15</v>
      </c>
      <c r="H2" s="150" t="s">
        <v>16</v>
      </c>
      <c r="I2" s="159">
        <v>2013</v>
      </c>
      <c r="J2" s="160" t="s">
        <v>17</v>
      </c>
      <c r="K2" s="160" t="s">
        <v>18</v>
      </c>
      <c r="L2" s="160" t="s">
        <v>19</v>
      </c>
      <c r="M2" s="452" t="s">
        <v>4091</v>
      </c>
      <c r="N2" s="262" t="s">
        <v>20</v>
      </c>
      <c r="O2" s="262" t="s">
        <v>15</v>
      </c>
      <c r="P2" s="262" t="s">
        <v>20</v>
      </c>
      <c r="Q2" s="262" t="s">
        <v>20</v>
      </c>
      <c r="R2" s="262" t="s">
        <v>20</v>
      </c>
      <c r="S2" s="262" t="s">
        <v>20</v>
      </c>
      <c r="T2" s="262" t="s">
        <v>20</v>
      </c>
      <c r="U2" s="262" t="s">
        <v>20</v>
      </c>
      <c r="V2" s="262" t="s">
        <v>20</v>
      </c>
      <c r="W2" s="262" t="s">
        <v>15</v>
      </c>
      <c r="X2" s="262" t="s">
        <v>15</v>
      </c>
      <c r="Y2" s="262" t="s">
        <v>15</v>
      </c>
      <c r="Z2" s="262"/>
      <c r="AA2" s="262" t="s">
        <v>21</v>
      </c>
      <c r="AB2" s="262" t="s">
        <v>20</v>
      </c>
      <c r="AC2" s="262" t="s">
        <v>20</v>
      </c>
      <c r="AD2" s="270" t="s">
        <v>22</v>
      </c>
      <c r="AE2" s="270" t="s">
        <v>15</v>
      </c>
      <c r="AF2" s="144" t="str">
        <f t="shared" ref="AF2:AF65" si="0">IF(AS2&lt;&gt;0,AS2,"")</f>
        <v/>
      </c>
      <c r="AG2" s="144" t="str">
        <f t="shared" ref="AG2:AG65" si="1">IF(AND(SUM(AJ2:AL2)&lt;&gt;0,SUM(AJ2:AL2)&lt;&gt;AJ2),SUM(AJ2:AL2),"")</f>
        <v/>
      </c>
      <c r="AH2" s="146">
        <f t="shared" ref="AH2:AH65" si="2">IF(BF2&lt;&gt;0,BF2,"")</f>
        <v>1.4759999999999998</v>
      </c>
      <c r="AI2" s="146">
        <f t="shared" ref="AI2:AI65" si="3">IF(AND(SUM(AW2:AY2)&lt;&gt;0,SUM(AW2:AY2)&lt;&gt;AW2),SUM(AW2:AY2),"")</f>
        <v>1.6225999999999998</v>
      </c>
      <c r="AJ2" s="303"/>
      <c r="AK2" s="303"/>
      <c r="AL2" s="303"/>
      <c r="AM2" s="303"/>
      <c r="AN2" s="303"/>
      <c r="AO2" s="303"/>
      <c r="AP2" s="303"/>
      <c r="AQ2" s="303"/>
      <c r="AR2" s="303"/>
      <c r="AS2" s="168"/>
      <c r="AT2" s="168"/>
      <c r="AU2" s="326"/>
      <c r="AV2" s="327"/>
      <c r="AW2" s="294">
        <f>2.05*(0.19+0.25+0.24+0.04)</f>
        <v>1.4759999999999998</v>
      </c>
      <c r="AX2" s="294">
        <v>6.9599999999999995E-2</v>
      </c>
      <c r="AY2" s="294">
        <v>7.6999999999999999E-2</v>
      </c>
      <c r="AZ2" s="294">
        <v>5.3999999999999999E-2</v>
      </c>
      <c r="BA2" s="294">
        <v>7.1999999999999995E-2</v>
      </c>
      <c r="BB2" s="294">
        <f>2.05*0.06</f>
        <v>0.12299999999999998</v>
      </c>
      <c r="BC2" s="294">
        <v>9.6100000000000005E-2</v>
      </c>
      <c r="BD2" s="294">
        <f>2.05*0.05-BC2</f>
        <v>6.399999999999989E-3</v>
      </c>
      <c r="BE2" s="294"/>
      <c r="BF2" s="381">
        <f>AW2</f>
        <v>1.4759999999999998</v>
      </c>
      <c r="BG2" s="381">
        <v>2.0499999999999998</v>
      </c>
      <c r="BH2" s="363"/>
      <c r="BI2" s="364" t="s">
        <v>23</v>
      </c>
      <c r="BJ2" s="409"/>
    </row>
    <row r="3" spans="1:62" ht="16.5" customHeight="1" thickBot="1" x14ac:dyDescent="0.25">
      <c r="A3" s="156">
        <v>2</v>
      </c>
      <c r="B3" s="155">
        <v>1</v>
      </c>
      <c r="C3" s="148" t="s">
        <v>24</v>
      </c>
      <c r="D3" s="148" t="s">
        <v>346</v>
      </c>
      <c r="E3" s="148" t="s">
        <v>13</v>
      </c>
      <c r="F3" s="148" t="s">
        <v>25</v>
      </c>
      <c r="G3" s="148" t="s">
        <v>20</v>
      </c>
      <c r="H3" s="148" t="s">
        <v>26</v>
      </c>
      <c r="I3" s="161">
        <v>2014</v>
      </c>
      <c r="J3" s="162" t="s">
        <v>27</v>
      </c>
      <c r="K3" s="162" t="s">
        <v>28</v>
      </c>
      <c r="L3" s="161" t="s">
        <v>19</v>
      </c>
      <c r="M3" s="453" t="s">
        <v>4092</v>
      </c>
      <c r="N3" s="186" t="s">
        <v>20</v>
      </c>
      <c r="O3" s="186" t="s">
        <v>15</v>
      </c>
      <c r="P3" s="186" t="s">
        <v>15</v>
      </c>
      <c r="Q3" s="186" t="s">
        <v>15</v>
      </c>
      <c r="R3" s="186" t="s">
        <v>15</v>
      </c>
      <c r="S3" s="186" t="s">
        <v>15</v>
      </c>
      <c r="T3" s="186" t="s">
        <v>15</v>
      </c>
      <c r="U3" s="186" t="s">
        <v>15</v>
      </c>
      <c r="V3" s="186" t="s">
        <v>15</v>
      </c>
      <c r="W3" s="186" t="s">
        <v>15</v>
      </c>
      <c r="X3" s="186" t="s">
        <v>15</v>
      </c>
      <c r="Y3" s="186" t="s">
        <v>15</v>
      </c>
      <c r="Z3" s="186"/>
      <c r="AA3" s="186" t="s">
        <v>29</v>
      </c>
      <c r="AB3" s="186" t="s">
        <v>15</v>
      </c>
      <c r="AC3" s="186" t="s">
        <v>15</v>
      </c>
      <c r="AD3" s="270" t="s">
        <v>30</v>
      </c>
      <c r="AE3" s="270" t="s">
        <v>31</v>
      </c>
      <c r="AF3" s="144" t="str">
        <f t="shared" si="0"/>
        <v/>
      </c>
      <c r="AG3" s="144" t="str">
        <f t="shared" si="1"/>
        <v/>
      </c>
      <c r="AH3" s="146">
        <f t="shared" si="2"/>
        <v>32.459373429385153</v>
      </c>
      <c r="AI3" s="146" t="str">
        <f t="shared" si="3"/>
        <v/>
      </c>
      <c r="AJ3" s="303"/>
      <c r="AK3" s="303"/>
      <c r="AL3" s="303"/>
      <c r="AM3" s="303"/>
      <c r="AN3" s="303"/>
      <c r="AO3" s="303"/>
      <c r="AP3" s="303"/>
      <c r="AQ3" s="303"/>
      <c r="AR3" s="303"/>
      <c r="AS3" s="168"/>
      <c r="AT3" s="168"/>
      <c r="AU3" s="310"/>
      <c r="AW3" s="294"/>
      <c r="AX3" s="294"/>
      <c r="AY3" s="294"/>
      <c r="AZ3" s="294"/>
      <c r="BA3" s="294"/>
      <c r="BB3" s="294"/>
      <c r="BC3" s="294"/>
      <c r="BD3" s="294"/>
      <c r="BE3" s="294"/>
      <c r="BF3" s="382">
        <f>10.85/0.508/0.658</f>
        <v>32.459373429385153</v>
      </c>
      <c r="BG3" s="381"/>
      <c r="BH3" s="278" t="s">
        <v>32</v>
      </c>
      <c r="BI3" s="365" t="s">
        <v>33</v>
      </c>
      <c r="BJ3" s="409"/>
    </row>
    <row r="4" spans="1:62" ht="15.75" customHeight="1" thickBot="1" x14ac:dyDescent="0.25">
      <c r="A4" s="154">
        <v>3</v>
      </c>
      <c r="B4" s="155">
        <v>1</v>
      </c>
      <c r="C4" s="148" t="s">
        <v>24</v>
      </c>
      <c r="D4" s="148" t="s">
        <v>346</v>
      </c>
      <c r="E4" s="148" t="s">
        <v>13</v>
      </c>
      <c r="F4" s="148" t="s">
        <v>34</v>
      </c>
      <c r="G4" s="148" t="s">
        <v>20</v>
      </c>
      <c r="H4" s="148" t="s">
        <v>26</v>
      </c>
      <c r="I4" s="161">
        <v>2014</v>
      </c>
      <c r="J4" s="162" t="s">
        <v>27</v>
      </c>
      <c r="K4" s="162" t="s">
        <v>28</v>
      </c>
      <c r="L4" s="161" t="s">
        <v>19</v>
      </c>
      <c r="M4" s="453" t="s">
        <v>4092</v>
      </c>
      <c r="N4" s="186" t="s">
        <v>20</v>
      </c>
      <c r="O4" s="186" t="s">
        <v>15</v>
      </c>
      <c r="P4" s="186" t="s">
        <v>15</v>
      </c>
      <c r="Q4" s="186" t="s">
        <v>15</v>
      </c>
      <c r="R4" s="186" t="s">
        <v>15</v>
      </c>
      <c r="S4" s="186" t="s">
        <v>15</v>
      </c>
      <c r="T4" s="186" t="s">
        <v>15</v>
      </c>
      <c r="U4" s="186" t="s">
        <v>15</v>
      </c>
      <c r="V4" s="186" t="s">
        <v>15</v>
      </c>
      <c r="W4" s="186" t="s">
        <v>15</v>
      </c>
      <c r="X4" s="186" t="s">
        <v>15</v>
      </c>
      <c r="Y4" s="186" t="s">
        <v>15</v>
      </c>
      <c r="Z4" s="186"/>
      <c r="AA4" s="186" t="s">
        <v>29</v>
      </c>
      <c r="AB4" s="186" t="s">
        <v>15</v>
      </c>
      <c r="AC4" s="186" t="s">
        <v>15</v>
      </c>
      <c r="AD4" s="270" t="s">
        <v>30</v>
      </c>
      <c r="AE4" s="270" t="s">
        <v>31</v>
      </c>
      <c r="AF4" s="144" t="str">
        <f t="shared" si="0"/>
        <v/>
      </c>
      <c r="AG4" s="144" t="str">
        <f t="shared" si="1"/>
        <v/>
      </c>
      <c r="AH4" s="146">
        <f t="shared" si="2"/>
        <v>38.442668070746471</v>
      </c>
      <c r="AI4" s="146" t="str">
        <f t="shared" si="3"/>
        <v/>
      </c>
      <c r="AJ4" s="303"/>
      <c r="AK4" s="303"/>
      <c r="AL4" s="303"/>
      <c r="AM4" s="303"/>
      <c r="AN4" s="303"/>
      <c r="AO4" s="303"/>
      <c r="AP4" s="303"/>
      <c r="AQ4" s="303"/>
      <c r="AR4" s="303"/>
      <c r="AS4" s="168"/>
      <c r="AT4" s="168"/>
      <c r="AU4" s="310"/>
      <c r="AW4" s="294"/>
      <c r="AX4" s="294"/>
      <c r="AY4" s="294"/>
      <c r="AZ4" s="294"/>
      <c r="BA4" s="294"/>
      <c r="BB4" s="294"/>
      <c r="BC4" s="294"/>
      <c r="BD4" s="294"/>
      <c r="BE4" s="294"/>
      <c r="BF4" s="382">
        <f>12.85/0.508/0.658</f>
        <v>38.442668070746471</v>
      </c>
      <c r="BG4" s="381"/>
      <c r="BH4" s="278" t="s">
        <v>35</v>
      </c>
      <c r="BI4" s="365" t="s">
        <v>33</v>
      </c>
      <c r="BJ4" s="409"/>
    </row>
    <row r="5" spans="1:62" ht="15.75" customHeight="1" thickBot="1" x14ac:dyDescent="0.25">
      <c r="A5" s="156">
        <v>4</v>
      </c>
      <c r="B5" s="155">
        <v>1</v>
      </c>
      <c r="C5" s="148" t="s">
        <v>24</v>
      </c>
      <c r="D5" s="148" t="s">
        <v>346</v>
      </c>
      <c r="E5" s="148" t="s">
        <v>13</v>
      </c>
      <c r="F5" s="148" t="s">
        <v>36</v>
      </c>
      <c r="G5" s="148" t="s">
        <v>20</v>
      </c>
      <c r="H5" s="148" t="s">
        <v>26</v>
      </c>
      <c r="I5" s="161">
        <v>2014</v>
      </c>
      <c r="J5" s="162" t="s">
        <v>37</v>
      </c>
      <c r="K5" s="162" t="s">
        <v>28</v>
      </c>
      <c r="L5" s="161" t="s">
        <v>19</v>
      </c>
      <c r="M5" s="453" t="s">
        <v>4092</v>
      </c>
      <c r="N5" s="186" t="s">
        <v>20</v>
      </c>
      <c r="O5" s="186" t="s">
        <v>15</v>
      </c>
      <c r="P5" s="186" t="s">
        <v>15</v>
      </c>
      <c r="Q5" s="186" t="s">
        <v>15</v>
      </c>
      <c r="R5" s="186" t="s">
        <v>15</v>
      </c>
      <c r="S5" s="186" t="s">
        <v>15</v>
      </c>
      <c r="T5" s="186" t="s">
        <v>15</v>
      </c>
      <c r="U5" s="186" t="s">
        <v>15</v>
      </c>
      <c r="V5" s="186" t="s">
        <v>15</v>
      </c>
      <c r="W5" s="186" t="s">
        <v>15</v>
      </c>
      <c r="X5" s="186" t="s">
        <v>15</v>
      </c>
      <c r="Y5" s="186" t="s">
        <v>15</v>
      </c>
      <c r="Z5" s="186"/>
      <c r="AA5" s="186" t="s">
        <v>29</v>
      </c>
      <c r="AB5" s="186" t="s">
        <v>15</v>
      </c>
      <c r="AC5" s="186" t="s">
        <v>15</v>
      </c>
      <c r="AD5" s="270" t="s">
        <v>30</v>
      </c>
      <c r="AE5" s="270" t="s">
        <v>31</v>
      </c>
      <c r="AF5" s="144" t="str">
        <f t="shared" si="0"/>
        <v/>
      </c>
      <c r="AG5" s="144" t="str">
        <f t="shared" si="1"/>
        <v/>
      </c>
      <c r="AH5" s="146">
        <f t="shared" si="2"/>
        <v>53.430821147356575</v>
      </c>
      <c r="AI5" s="146" t="str">
        <f t="shared" si="3"/>
        <v/>
      </c>
      <c r="AJ5" s="303"/>
      <c r="AK5" s="303"/>
      <c r="AL5" s="303"/>
      <c r="AM5" s="303"/>
      <c r="AN5" s="303"/>
      <c r="AO5" s="303"/>
      <c r="AP5" s="303"/>
      <c r="AQ5" s="303"/>
      <c r="AR5" s="303"/>
      <c r="AS5" s="168"/>
      <c r="AT5" s="168"/>
      <c r="AU5" s="310"/>
      <c r="AW5" s="294"/>
      <c r="AX5" s="294"/>
      <c r="AY5" s="294"/>
      <c r="AZ5" s="294"/>
      <c r="BA5" s="294"/>
      <c r="BB5" s="294"/>
      <c r="BC5" s="294"/>
      <c r="BD5" s="294"/>
      <c r="BE5" s="294"/>
      <c r="BF5" s="382">
        <f>17.86/0.508/0.658</f>
        <v>53.430821147356575</v>
      </c>
      <c r="BG5" s="381"/>
      <c r="BH5" s="278" t="s">
        <v>38</v>
      </c>
      <c r="BI5" s="365" t="s">
        <v>33</v>
      </c>
      <c r="BJ5" s="409"/>
    </row>
    <row r="6" spans="1:62" ht="15" customHeight="1" thickBot="1" x14ac:dyDescent="0.25">
      <c r="A6" s="154">
        <v>5</v>
      </c>
      <c r="B6" s="155">
        <v>1</v>
      </c>
      <c r="C6" s="148" t="s">
        <v>39</v>
      </c>
      <c r="D6" s="148" t="s">
        <v>40</v>
      </c>
      <c r="E6" s="148" t="s">
        <v>13</v>
      </c>
      <c r="F6" s="148" t="s">
        <v>41</v>
      </c>
      <c r="G6" s="148" t="s">
        <v>20</v>
      </c>
      <c r="H6" s="148" t="s">
        <v>42</v>
      </c>
      <c r="I6" s="161">
        <v>2011</v>
      </c>
      <c r="J6" s="162" t="s">
        <v>43</v>
      </c>
      <c r="K6" s="161" t="s">
        <v>44</v>
      </c>
      <c r="L6" s="161" t="s">
        <v>19</v>
      </c>
      <c r="M6" s="453" t="s">
        <v>4093</v>
      </c>
      <c r="N6" s="186" t="s">
        <v>20</v>
      </c>
      <c r="O6" s="186" t="s">
        <v>20</v>
      </c>
      <c r="P6" s="186" t="s">
        <v>15</v>
      </c>
      <c r="Q6" s="186" t="s">
        <v>15</v>
      </c>
      <c r="R6" s="186" t="s">
        <v>15</v>
      </c>
      <c r="S6" s="186" t="s">
        <v>15</v>
      </c>
      <c r="T6" s="186" t="s">
        <v>15</v>
      </c>
      <c r="U6" s="186" t="s">
        <v>15</v>
      </c>
      <c r="V6" s="186" t="s">
        <v>15</v>
      </c>
      <c r="W6" s="186" t="s">
        <v>15</v>
      </c>
      <c r="X6" s="186" t="s">
        <v>15</v>
      </c>
      <c r="Y6" s="186" t="s">
        <v>15</v>
      </c>
      <c r="Z6" s="186"/>
      <c r="AA6" s="186"/>
      <c r="AB6" s="186" t="s">
        <v>15</v>
      </c>
      <c r="AC6" s="186" t="s">
        <v>20</v>
      </c>
      <c r="AD6" s="270" t="s">
        <v>45</v>
      </c>
      <c r="AE6" s="270"/>
      <c r="AF6" s="144">
        <f t="shared" si="0"/>
        <v>23.2</v>
      </c>
      <c r="AG6" s="144" t="str">
        <f t="shared" si="1"/>
        <v/>
      </c>
      <c r="AH6" s="146">
        <f t="shared" si="2"/>
        <v>2.6</v>
      </c>
      <c r="AI6" s="146" t="str">
        <f t="shared" si="3"/>
        <v/>
      </c>
      <c r="AJ6" s="303"/>
      <c r="AK6" s="303"/>
      <c r="AL6" s="303"/>
      <c r="AM6" s="303"/>
      <c r="AN6" s="303"/>
      <c r="AO6" s="303"/>
      <c r="AP6" s="303"/>
      <c r="AQ6" s="303"/>
      <c r="AR6" s="303"/>
      <c r="AS6" s="169">
        <v>23.2</v>
      </c>
      <c r="AT6" s="168"/>
      <c r="AU6" s="310"/>
      <c r="AW6" s="294"/>
      <c r="AX6" s="294"/>
      <c r="AY6" s="294"/>
      <c r="AZ6" s="294"/>
      <c r="BA6" s="294"/>
      <c r="BB6" s="294"/>
      <c r="BC6" s="294"/>
      <c r="BD6" s="294"/>
      <c r="BE6" s="294"/>
      <c r="BF6" s="382">
        <v>2.6</v>
      </c>
      <c r="BG6" s="381"/>
      <c r="BH6" s="278" t="s">
        <v>46</v>
      </c>
      <c r="BI6" s="365" t="s">
        <v>47</v>
      </c>
      <c r="BJ6" s="409"/>
    </row>
    <row r="7" spans="1:62" ht="15.75" customHeight="1" thickBot="1" x14ac:dyDescent="0.25">
      <c r="A7" s="156">
        <v>6</v>
      </c>
      <c r="B7" s="155">
        <v>1</v>
      </c>
      <c r="C7" s="148" t="s">
        <v>39</v>
      </c>
      <c r="D7" s="148" t="s">
        <v>40</v>
      </c>
      <c r="E7" s="148" t="s">
        <v>13</v>
      </c>
      <c r="F7" s="148" t="s">
        <v>48</v>
      </c>
      <c r="G7" s="148" t="s">
        <v>20</v>
      </c>
      <c r="H7" s="148" t="s">
        <v>42</v>
      </c>
      <c r="I7" s="161">
        <v>2011</v>
      </c>
      <c r="J7" s="162" t="s">
        <v>43</v>
      </c>
      <c r="K7" s="161" t="s">
        <v>44</v>
      </c>
      <c r="L7" s="161" t="s">
        <v>19</v>
      </c>
      <c r="M7" s="453" t="s">
        <v>4093</v>
      </c>
      <c r="N7" s="186" t="s">
        <v>20</v>
      </c>
      <c r="O7" s="186" t="s">
        <v>20</v>
      </c>
      <c r="P7" s="186" t="s">
        <v>15</v>
      </c>
      <c r="Q7" s="186" t="s">
        <v>15</v>
      </c>
      <c r="R7" s="186" t="s">
        <v>15</v>
      </c>
      <c r="S7" s="186" t="s">
        <v>15</v>
      </c>
      <c r="T7" s="186" t="s">
        <v>15</v>
      </c>
      <c r="U7" s="186" t="s">
        <v>15</v>
      </c>
      <c r="V7" s="186" t="s">
        <v>15</v>
      </c>
      <c r="W7" s="186" t="s">
        <v>15</v>
      </c>
      <c r="X7" s="186" t="s">
        <v>15</v>
      </c>
      <c r="Y7" s="186" t="s">
        <v>15</v>
      </c>
      <c r="Z7" s="186"/>
      <c r="AA7" s="186"/>
      <c r="AB7" s="186" t="s">
        <v>15</v>
      </c>
      <c r="AC7" s="186" t="s">
        <v>20</v>
      </c>
      <c r="AD7" s="270" t="s">
        <v>45</v>
      </c>
      <c r="AE7" s="270"/>
      <c r="AF7" s="144">
        <f t="shared" si="0"/>
        <v>23.8</v>
      </c>
      <c r="AG7" s="144" t="str">
        <f t="shared" si="1"/>
        <v/>
      </c>
      <c r="AH7" s="146">
        <f t="shared" si="2"/>
        <v>2.7</v>
      </c>
      <c r="AI7" s="146" t="str">
        <f t="shared" si="3"/>
        <v/>
      </c>
      <c r="AJ7" s="303"/>
      <c r="AK7" s="303"/>
      <c r="AL7" s="303"/>
      <c r="AM7" s="303"/>
      <c r="AN7" s="303"/>
      <c r="AO7" s="303"/>
      <c r="AP7" s="303"/>
      <c r="AQ7" s="303"/>
      <c r="AR7" s="303"/>
      <c r="AS7" s="169">
        <v>23.8</v>
      </c>
      <c r="AT7" s="168"/>
      <c r="AU7" s="310"/>
      <c r="AW7" s="294"/>
      <c r="AX7" s="294"/>
      <c r="AY7" s="294"/>
      <c r="AZ7" s="294"/>
      <c r="BA7" s="294"/>
      <c r="BB7" s="294"/>
      <c r="BC7" s="294"/>
      <c r="BD7" s="294"/>
      <c r="BE7" s="294"/>
      <c r="BF7" s="382">
        <v>2.7</v>
      </c>
      <c r="BG7" s="381"/>
      <c r="BH7" s="278" t="s">
        <v>49</v>
      </c>
      <c r="BI7" s="365" t="s">
        <v>47</v>
      </c>
      <c r="BJ7" s="409"/>
    </row>
    <row r="8" spans="1:62" ht="15.75" customHeight="1" thickBot="1" x14ac:dyDescent="0.25">
      <c r="A8" s="154">
        <v>7</v>
      </c>
      <c r="B8" s="155">
        <v>1</v>
      </c>
      <c r="C8" s="148" t="s">
        <v>39</v>
      </c>
      <c r="D8" s="148" t="s">
        <v>40</v>
      </c>
      <c r="E8" s="148" t="s">
        <v>13</v>
      </c>
      <c r="F8" s="148" t="s">
        <v>50</v>
      </c>
      <c r="G8" s="148" t="s">
        <v>20</v>
      </c>
      <c r="H8" s="148" t="s">
        <v>42</v>
      </c>
      <c r="I8" s="161">
        <v>2011</v>
      </c>
      <c r="J8" s="162" t="s">
        <v>43</v>
      </c>
      <c r="K8" s="161" t="s">
        <v>44</v>
      </c>
      <c r="L8" s="161" t="s">
        <v>19</v>
      </c>
      <c r="M8" s="453" t="s">
        <v>4093</v>
      </c>
      <c r="N8" s="186" t="s">
        <v>20</v>
      </c>
      <c r="O8" s="186" t="s">
        <v>20</v>
      </c>
      <c r="P8" s="186" t="s">
        <v>15</v>
      </c>
      <c r="Q8" s="186" t="s">
        <v>15</v>
      </c>
      <c r="R8" s="186" t="s">
        <v>15</v>
      </c>
      <c r="S8" s="186" t="s">
        <v>15</v>
      </c>
      <c r="T8" s="186" t="s">
        <v>15</v>
      </c>
      <c r="U8" s="186" t="s">
        <v>15</v>
      </c>
      <c r="V8" s="186" t="s">
        <v>15</v>
      </c>
      <c r="W8" s="186" t="s">
        <v>15</v>
      </c>
      <c r="X8" s="186" t="s">
        <v>15</v>
      </c>
      <c r="Y8" s="186" t="s">
        <v>15</v>
      </c>
      <c r="Z8" s="186"/>
      <c r="AA8" s="186"/>
      <c r="AB8" s="186" t="s">
        <v>15</v>
      </c>
      <c r="AC8" s="186" t="s">
        <v>20</v>
      </c>
      <c r="AD8" s="270" t="s">
        <v>45</v>
      </c>
      <c r="AE8" s="270"/>
      <c r="AF8" s="144">
        <f t="shared" si="0"/>
        <v>20.8</v>
      </c>
      <c r="AG8" s="144" t="str">
        <f t="shared" si="1"/>
        <v/>
      </c>
      <c r="AH8" s="146">
        <f t="shared" si="2"/>
        <v>2.5</v>
      </c>
      <c r="AI8" s="146" t="str">
        <f t="shared" si="3"/>
        <v/>
      </c>
      <c r="AJ8" s="303"/>
      <c r="AK8" s="303"/>
      <c r="AL8" s="303"/>
      <c r="AM8" s="303"/>
      <c r="AN8" s="303"/>
      <c r="AO8" s="303"/>
      <c r="AP8" s="303"/>
      <c r="AQ8" s="303"/>
      <c r="AR8" s="303"/>
      <c r="AS8" s="169">
        <v>20.8</v>
      </c>
      <c r="AT8" s="168"/>
      <c r="AU8" s="310"/>
      <c r="AW8" s="294"/>
      <c r="AX8" s="294"/>
      <c r="AY8" s="294"/>
      <c r="AZ8" s="294"/>
      <c r="BA8" s="294"/>
      <c r="BB8" s="294"/>
      <c r="BC8" s="294"/>
      <c r="BD8" s="294"/>
      <c r="BE8" s="294"/>
      <c r="BF8" s="382">
        <v>2.5</v>
      </c>
      <c r="BG8" s="381"/>
      <c r="BH8" s="278" t="s">
        <v>51</v>
      </c>
      <c r="BI8" s="365" t="s">
        <v>47</v>
      </c>
      <c r="BJ8" s="409"/>
    </row>
    <row r="9" spans="1:62" ht="15.75" customHeight="1" thickBot="1" x14ac:dyDescent="0.25">
      <c r="A9" s="156">
        <v>8</v>
      </c>
      <c r="B9" s="155">
        <v>1</v>
      </c>
      <c r="C9" s="148" t="s">
        <v>39</v>
      </c>
      <c r="D9" s="148" t="s">
        <v>40</v>
      </c>
      <c r="E9" s="148" t="s">
        <v>13</v>
      </c>
      <c r="F9" s="148" t="s">
        <v>52</v>
      </c>
      <c r="G9" s="148" t="s">
        <v>20</v>
      </c>
      <c r="H9" s="148" t="s">
        <v>42</v>
      </c>
      <c r="I9" s="161">
        <v>2011</v>
      </c>
      <c r="J9" s="162" t="s">
        <v>43</v>
      </c>
      <c r="K9" s="161" t="s">
        <v>44</v>
      </c>
      <c r="L9" s="161" t="s">
        <v>19</v>
      </c>
      <c r="M9" s="453" t="s">
        <v>4093</v>
      </c>
      <c r="N9" s="186" t="s">
        <v>20</v>
      </c>
      <c r="O9" s="186" t="s">
        <v>20</v>
      </c>
      <c r="P9" s="186" t="s">
        <v>15</v>
      </c>
      <c r="Q9" s="186" t="s">
        <v>15</v>
      </c>
      <c r="R9" s="186" t="s">
        <v>15</v>
      </c>
      <c r="S9" s="186" t="s">
        <v>15</v>
      </c>
      <c r="T9" s="186" t="s">
        <v>15</v>
      </c>
      <c r="U9" s="186" t="s">
        <v>15</v>
      </c>
      <c r="V9" s="186" t="s">
        <v>15</v>
      </c>
      <c r="W9" s="186" t="s">
        <v>15</v>
      </c>
      <c r="X9" s="186" t="s">
        <v>15</v>
      </c>
      <c r="Y9" s="186" t="s">
        <v>15</v>
      </c>
      <c r="Z9" s="186"/>
      <c r="AA9" s="186"/>
      <c r="AB9" s="186" t="s">
        <v>15</v>
      </c>
      <c r="AC9" s="186" t="s">
        <v>20</v>
      </c>
      <c r="AD9" s="270" t="s">
        <v>45</v>
      </c>
      <c r="AE9" s="270"/>
      <c r="AF9" s="144">
        <f t="shared" si="0"/>
        <v>20.7</v>
      </c>
      <c r="AG9" s="144" t="str">
        <f t="shared" si="1"/>
        <v/>
      </c>
      <c r="AH9" s="146">
        <f t="shared" si="2"/>
        <v>2.2349999999999999</v>
      </c>
      <c r="AI9" s="146" t="str">
        <f t="shared" si="3"/>
        <v/>
      </c>
      <c r="AJ9" s="303"/>
      <c r="AK9" s="303"/>
      <c r="AL9" s="303"/>
      <c r="AM9" s="303"/>
      <c r="AN9" s="303"/>
      <c r="AO9" s="303"/>
      <c r="AP9" s="303"/>
      <c r="AQ9" s="303"/>
      <c r="AR9" s="303"/>
      <c r="AS9" s="169">
        <v>20.7</v>
      </c>
      <c r="AT9" s="168"/>
      <c r="AU9" s="310"/>
      <c r="AW9" s="294"/>
      <c r="AX9" s="294"/>
      <c r="AY9" s="294"/>
      <c r="AZ9" s="294"/>
      <c r="BA9" s="294"/>
      <c r="BB9" s="294"/>
      <c r="BC9" s="294"/>
      <c r="BD9" s="294"/>
      <c r="BE9" s="294"/>
      <c r="BF9" s="382">
        <v>2.2349999999999999</v>
      </c>
      <c r="BG9" s="381"/>
      <c r="BH9" s="278"/>
      <c r="BI9" s="365" t="s">
        <v>47</v>
      </c>
      <c r="BJ9" s="409"/>
    </row>
    <row r="10" spans="1:62" ht="15.75" customHeight="1" thickBot="1" x14ac:dyDescent="0.25">
      <c r="A10" s="154">
        <v>9</v>
      </c>
      <c r="B10" s="155">
        <v>1</v>
      </c>
      <c r="C10" s="148" t="s">
        <v>24</v>
      </c>
      <c r="D10" s="148" t="s">
        <v>53</v>
      </c>
      <c r="E10" s="148" t="s">
        <v>13</v>
      </c>
      <c r="F10" s="148" t="s">
        <v>54</v>
      </c>
      <c r="G10" s="148" t="s">
        <v>20</v>
      </c>
      <c r="H10" s="148" t="s">
        <v>55</v>
      </c>
      <c r="I10" s="161">
        <v>2015</v>
      </c>
      <c r="J10" s="162" t="s">
        <v>56</v>
      </c>
      <c r="K10" s="162" t="s">
        <v>57</v>
      </c>
      <c r="L10" s="161" t="s">
        <v>19</v>
      </c>
      <c r="M10" s="453" t="s">
        <v>4094</v>
      </c>
      <c r="N10" s="186" t="s">
        <v>20</v>
      </c>
      <c r="O10" s="186" t="s">
        <v>20</v>
      </c>
      <c r="P10" s="186" t="s">
        <v>20</v>
      </c>
      <c r="Q10" s="186" t="s">
        <v>20</v>
      </c>
      <c r="R10" s="186"/>
      <c r="S10" s="186" t="s">
        <v>20</v>
      </c>
      <c r="T10" s="186" t="s">
        <v>15</v>
      </c>
      <c r="U10" s="186" t="s">
        <v>15</v>
      </c>
      <c r="V10" s="186" t="s">
        <v>15</v>
      </c>
      <c r="W10" s="186" t="s">
        <v>15</v>
      </c>
      <c r="X10" s="186" t="s">
        <v>15</v>
      </c>
      <c r="Y10" s="186" t="s">
        <v>15</v>
      </c>
      <c r="Z10" s="186"/>
      <c r="AA10" s="186" t="s">
        <v>58</v>
      </c>
      <c r="AB10" s="186" t="s">
        <v>20</v>
      </c>
      <c r="AC10" s="186" t="s">
        <v>20</v>
      </c>
      <c r="AD10" s="270" t="s">
        <v>59</v>
      </c>
      <c r="AE10" s="270"/>
      <c r="AF10" s="144">
        <f t="shared" si="0"/>
        <v>18.239999999999998</v>
      </c>
      <c r="AG10" s="144">
        <f t="shared" si="1"/>
        <v>25.9</v>
      </c>
      <c r="AH10" s="146">
        <f t="shared" si="2"/>
        <v>25.49</v>
      </c>
      <c r="AI10" s="146">
        <f t="shared" si="3"/>
        <v>26.47</v>
      </c>
      <c r="AJ10" s="303">
        <v>18.239999999999998</v>
      </c>
      <c r="AK10" s="303"/>
      <c r="AL10" s="303">
        <v>7.66</v>
      </c>
      <c r="AM10" s="303"/>
      <c r="AN10" s="303">
        <v>6.43</v>
      </c>
      <c r="AO10" s="303">
        <v>0.03</v>
      </c>
      <c r="AP10" s="303"/>
      <c r="AQ10" s="303"/>
      <c r="AR10" s="303"/>
      <c r="AS10" s="170">
        <v>18.239999999999998</v>
      </c>
      <c r="AT10" s="170">
        <v>32.36</v>
      </c>
      <c r="AU10" s="310"/>
      <c r="AW10" s="294">
        <v>25.49</v>
      </c>
      <c r="AX10" s="294"/>
      <c r="AY10" s="294">
        <v>0.98</v>
      </c>
      <c r="AZ10" s="294"/>
      <c r="BA10" s="294">
        <f>0.756</f>
        <v>0.75600000000000001</v>
      </c>
      <c r="BB10" s="294">
        <v>2E-3</v>
      </c>
      <c r="BC10" s="294"/>
      <c r="BD10" s="294"/>
      <c r="BE10" s="294"/>
      <c r="BF10" s="383">
        <v>25.49</v>
      </c>
      <c r="BG10" s="383">
        <v>27.22</v>
      </c>
      <c r="BH10" s="278"/>
      <c r="BI10" s="365" t="s">
        <v>60</v>
      </c>
      <c r="BJ10" s="409"/>
    </row>
    <row r="11" spans="1:62" ht="15.75" customHeight="1" thickBot="1" x14ac:dyDescent="0.25">
      <c r="A11" s="156">
        <v>10</v>
      </c>
      <c r="B11" s="155">
        <v>1</v>
      </c>
      <c r="C11" s="148" t="s">
        <v>24</v>
      </c>
      <c r="D11" s="148" t="s">
        <v>346</v>
      </c>
      <c r="E11" s="148" t="s">
        <v>13</v>
      </c>
      <c r="F11" s="148" t="s">
        <v>61</v>
      </c>
      <c r="G11" s="148" t="s">
        <v>15</v>
      </c>
      <c r="H11" s="148" t="s">
        <v>55</v>
      </c>
      <c r="I11" s="161">
        <v>2015</v>
      </c>
      <c r="J11" s="162" t="s">
        <v>56</v>
      </c>
      <c r="K11" s="162" t="s">
        <v>57</v>
      </c>
      <c r="L11" s="161" t="s">
        <v>19</v>
      </c>
      <c r="M11" s="453" t="s">
        <v>4094</v>
      </c>
      <c r="N11" s="186" t="s">
        <v>20</v>
      </c>
      <c r="O11" s="186" t="s">
        <v>20</v>
      </c>
      <c r="P11" s="186" t="s">
        <v>20</v>
      </c>
      <c r="Q11" s="186" t="s">
        <v>20</v>
      </c>
      <c r="R11" s="186"/>
      <c r="S11" s="186" t="s">
        <v>20</v>
      </c>
      <c r="T11" s="186" t="s">
        <v>15</v>
      </c>
      <c r="U11" s="186" t="s">
        <v>15</v>
      </c>
      <c r="V11" s="186" t="s">
        <v>15</v>
      </c>
      <c r="W11" s="186" t="s">
        <v>15</v>
      </c>
      <c r="X11" s="186" t="s">
        <v>15</v>
      </c>
      <c r="Y11" s="186" t="s">
        <v>15</v>
      </c>
      <c r="Z11" s="186"/>
      <c r="AA11" s="186" t="s">
        <v>58</v>
      </c>
      <c r="AB11" s="186" t="s">
        <v>20</v>
      </c>
      <c r="AC11" s="186" t="s">
        <v>20</v>
      </c>
      <c r="AD11" s="270" t="s">
        <v>62</v>
      </c>
      <c r="AE11" s="270" t="s">
        <v>63</v>
      </c>
      <c r="AF11" s="144">
        <f t="shared" si="0"/>
        <v>19.468085106382979</v>
      </c>
      <c r="AG11" s="144">
        <f t="shared" si="1"/>
        <v>32.917933034916103</v>
      </c>
      <c r="AH11" s="146">
        <f t="shared" si="2"/>
        <v>21.88449848024316</v>
      </c>
      <c r="AI11" s="146">
        <f t="shared" si="3"/>
        <v>23.268996954437689</v>
      </c>
      <c r="AJ11" s="303">
        <v>19.468085010599999</v>
      </c>
      <c r="AK11" s="303"/>
      <c r="AL11" s="303">
        <f>8.85/0.658</f>
        <v>13.449848024316108</v>
      </c>
      <c r="AM11" s="303"/>
      <c r="AN11" s="303">
        <f>6.43/0.658</f>
        <v>9.7720364741641337</v>
      </c>
      <c r="AO11" s="303">
        <v>0.03</v>
      </c>
      <c r="AP11" s="303"/>
      <c r="AQ11" s="303"/>
      <c r="AR11" s="303"/>
      <c r="AS11" s="170">
        <v>19.468085106382979</v>
      </c>
      <c r="AT11" s="170">
        <v>42.735562310030396</v>
      </c>
      <c r="AU11" s="310"/>
      <c r="AW11" s="294">
        <v>21.876899689999998</v>
      </c>
      <c r="AX11" s="294"/>
      <c r="AY11" s="294">
        <f>0.916/0.658</f>
        <v>1.3920972644376899</v>
      </c>
      <c r="AZ11" s="294"/>
      <c r="BA11" s="294">
        <f>0.756/0.658</f>
        <v>1.1489361702127658</v>
      </c>
      <c r="BB11" s="294">
        <v>2E-3</v>
      </c>
      <c r="BC11" s="294"/>
      <c r="BD11" s="294"/>
      <c r="BE11" s="294"/>
      <c r="BF11" s="383">
        <v>21.88449848024316</v>
      </c>
      <c r="BG11" s="383">
        <v>24.422492401215806</v>
      </c>
      <c r="BH11" s="278"/>
      <c r="BI11" s="365" t="s">
        <v>60</v>
      </c>
      <c r="BJ11" s="409"/>
    </row>
    <row r="12" spans="1:62" ht="15.75" customHeight="1" thickBot="1" x14ac:dyDescent="0.25">
      <c r="A12" s="154">
        <v>11</v>
      </c>
      <c r="B12" s="155">
        <v>1</v>
      </c>
      <c r="C12" s="148" t="s">
        <v>24</v>
      </c>
      <c r="D12" s="148" t="s">
        <v>53</v>
      </c>
      <c r="E12" s="148" t="s">
        <v>13</v>
      </c>
      <c r="F12" s="148" t="s">
        <v>64</v>
      </c>
      <c r="G12" s="148" t="s">
        <v>20</v>
      </c>
      <c r="H12" s="148" t="s">
        <v>55</v>
      </c>
      <c r="I12" s="161">
        <v>2015</v>
      </c>
      <c r="J12" s="162" t="s">
        <v>56</v>
      </c>
      <c r="K12" s="162" t="s">
        <v>57</v>
      </c>
      <c r="L12" s="161" t="s">
        <v>19</v>
      </c>
      <c r="M12" s="453" t="s">
        <v>4094</v>
      </c>
      <c r="N12" s="186" t="s">
        <v>20</v>
      </c>
      <c r="O12" s="186" t="s">
        <v>20</v>
      </c>
      <c r="P12" s="186" t="s">
        <v>20</v>
      </c>
      <c r="Q12" s="186" t="s">
        <v>20</v>
      </c>
      <c r="R12" s="186"/>
      <c r="S12" s="186" t="s">
        <v>20</v>
      </c>
      <c r="T12" s="186" t="s">
        <v>15</v>
      </c>
      <c r="U12" s="186" t="s">
        <v>15</v>
      </c>
      <c r="V12" s="186" t="s">
        <v>15</v>
      </c>
      <c r="W12" s="186" t="s">
        <v>15</v>
      </c>
      <c r="X12" s="186" t="s">
        <v>15</v>
      </c>
      <c r="Y12" s="186" t="s">
        <v>15</v>
      </c>
      <c r="Z12" s="186"/>
      <c r="AA12" s="186" t="s">
        <v>58</v>
      </c>
      <c r="AB12" s="186" t="s">
        <v>20</v>
      </c>
      <c r="AC12" s="186" t="s">
        <v>20</v>
      </c>
      <c r="AD12" s="270" t="s">
        <v>59</v>
      </c>
      <c r="AE12" s="270"/>
      <c r="AF12" s="144">
        <f t="shared" si="0"/>
        <v>24</v>
      </c>
      <c r="AG12" s="144">
        <f t="shared" si="1"/>
        <v>31.66</v>
      </c>
      <c r="AH12" s="146">
        <f t="shared" si="2"/>
        <v>21.6</v>
      </c>
      <c r="AI12" s="146">
        <f t="shared" si="3"/>
        <v>22.6</v>
      </c>
      <c r="AJ12" s="303">
        <v>24</v>
      </c>
      <c r="AK12" s="303"/>
      <c r="AL12" s="303">
        <v>7.66</v>
      </c>
      <c r="AM12" s="303"/>
      <c r="AN12" s="303">
        <v>6.43</v>
      </c>
      <c r="AO12" s="303">
        <v>0.03</v>
      </c>
      <c r="AP12" s="303"/>
      <c r="AQ12" s="303"/>
      <c r="AR12" s="303"/>
      <c r="AS12" s="170">
        <v>24</v>
      </c>
      <c r="AT12" s="170">
        <v>38.119999999999997</v>
      </c>
      <c r="AU12" s="310"/>
      <c r="AW12" s="294">
        <v>21.62</v>
      </c>
      <c r="AX12" s="294"/>
      <c r="AY12" s="294">
        <v>0.98</v>
      </c>
      <c r="AZ12" s="294"/>
      <c r="BA12" s="294">
        <f>0.756</f>
        <v>0.75600000000000001</v>
      </c>
      <c r="BB12" s="294">
        <v>2E-3</v>
      </c>
      <c r="BC12" s="294"/>
      <c r="BD12" s="294"/>
      <c r="BE12" s="294"/>
      <c r="BF12" s="383">
        <v>21.6</v>
      </c>
      <c r="BG12" s="383">
        <v>23.36</v>
      </c>
      <c r="BH12" s="278"/>
      <c r="BI12" s="365" t="s">
        <v>60</v>
      </c>
      <c r="BJ12" s="409"/>
    </row>
    <row r="13" spans="1:62" ht="15.75" customHeight="1" thickBot="1" x14ac:dyDescent="0.25">
      <c r="A13" s="156">
        <v>12</v>
      </c>
      <c r="B13" s="155">
        <v>1</v>
      </c>
      <c r="C13" s="148" t="s">
        <v>24</v>
      </c>
      <c r="D13" s="148" t="s">
        <v>53</v>
      </c>
      <c r="E13" s="148" t="s">
        <v>13</v>
      </c>
      <c r="F13" s="148" t="s">
        <v>65</v>
      </c>
      <c r="G13" s="148" t="s">
        <v>20</v>
      </c>
      <c r="H13" s="148" t="s">
        <v>55</v>
      </c>
      <c r="I13" s="161">
        <v>2015</v>
      </c>
      <c r="J13" s="162" t="s">
        <v>56</v>
      </c>
      <c r="K13" s="162" t="s">
        <v>57</v>
      </c>
      <c r="L13" s="161" t="s">
        <v>19</v>
      </c>
      <c r="M13" s="453" t="s">
        <v>4094</v>
      </c>
      <c r="N13" s="186" t="s">
        <v>20</v>
      </c>
      <c r="O13" s="186" t="s">
        <v>20</v>
      </c>
      <c r="P13" s="186" t="s">
        <v>20</v>
      </c>
      <c r="Q13" s="186" t="s">
        <v>20</v>
      </c>
      <c r="R13" s="186"/>
      <c r="S13" s="186" t="s">
        <v>20</v>
      </c>
      <c r="T13" s="186" t="s">
        <v>15</v>
      </c>
      <c r="U13" s="186" t="s">
        <v>15</v>
      </c>
      <c r="V13" s="186" t="s">
        <v>15</v>
      </c>
      <c r="W13" s="186" t="s">
        <v>15</v>
      </c>
      <c r="X13" s="186" t="s">
        <v>15</v>
      </c>
      <c r="Y13" s="186" t="s">
        <v>15</v>
      </c>
      <c r="Z13" s="186"/>
      <c r="AA13" s="186" t="s">
        <v>58</v>
      </c>
      <c r="AB13" s="186" t="s">
        <v>20</v>
      </c>
      <c r="AC13" s="186" t="s">
        <v>20</v>
      </c>
      <c r="AD13" s="270" t="s">
        <v>59</v>
      </c>
      <c r="AE13" s="270"/>
      <c r="AF13" s="144">
        <f t="shared" si="0"/>
        <v>32.54</v>
      </c>
      <c r="AG13" s="144">
        <f t="shared" si="1"/>
        <v>40.200000000000003</v>
      </c>
      <c r="AH13" s="146">
        <f t="shared" si="2"/>
        <v>23.8</v>
      </c>
      <c r="AI13" s="146">
        <f t="shared" si="3"/>
        <v>24.803000000000001</v>
      </c>
      <c r="AJ13" s="303">
        <v>32.54</v>
      </c>
      <c r="AK13" s="303"/>
      <c r="AL13" s="303">
        <v>7.66</v>
      </c>
      <c r="AM13" s="303"/>
      <c r="AN13" s="303">
        <v>6.43</v>
      </c>
      <c r="AO13" s="303">
        <v>0.03</v>
      </c>
      <c r="AP13" s="303"/>
      <c r="AQ13" s="303"/>
      <c r="AR13" s="303"/>
      <c r="AS13" s="170">
        <v>32.54</v>
      </c>
      <c r="AT13" s="170">
        <v>46.66</v>
      </c>
      <c r="AU13" s="310"/>
      <c r="AW13" s="294">
        <v>23.823</v>
      </c>
      <c r="AX13" s="294"/>
      <c r="AY13" s="294">
        <v>0.98</v>
      </c>
      <c r="AZ13" s="294"/>
      <c r="BA13" s="294">
        <f>0.756</f>
        <v>0.75600000000000001</v>
      </c>
      <c r="BB13" s="294">
        <v>2E-3</v>
      </c>
      <c r="BC13" s="294"/>
      <c r="BD13" s="294"/>
      <c r="BE13" s="294"/>
      <c r="BF13" s="383">
        <v>23.8</v>
      </c>
      <c r="BG13" s="383">
        <v>25.56</v>
      </c>
      <c r="BH13" s="278"/>
      <c r="BI13" s="365" t="s">
        <v>60</v>
      </c>
      <c r="BJ13" s="409"/>
    </row>
    <row r="14" spans="1:62" ht="15.75" customHeight="1" thickBot="1" x14ac:dyDescent="0.25">
      <c r="A14" s="154">
        <v>13</v>
      </c>
      <c r="B14" s="155">
        <v>1</v>
      </c>
      <c r="C14" s="148" t="s">
        <v>11</v>
      </c>
      <c r="D14" s="150" t="s">
        <v>12</v>
      </c>
      <c r="E14" s="148" t="s">
        <v>13</v>
      </c>
      <c r="F14" s="148" t="s">
        <v>66</v>
      </c>
      <c r="G14" s="148" t="s">
        <v>15</v>
      </c>
      <c r="H14" s="148" t="s">
        <v>16</v>
      </c>
      <c r="I14" s="161">
        <v>2012</v>
      </c>
      <c r="J14" s="161" t="s">
        <v>67</v>
      </c>
      <c r="K14" s="162" t="s">
        <v>68</v>
      </c>
      <c r="L14" s="161" t="s">
        <v>19</v>
      </c>
      <c r="M14" s="453" t="s">
        <v>4095</v>
      </c>
      <c r="N14" s="186" t="s">
        <v>20</v>
      </c>
      <c r="O14" s="186" t="s">
        <v>15</v>
      </c>
      <c r="P14" s="186" t="s">
        <v>15</v>
      </c>
      <c r="Q14" s="186" t="s">
        <v>15</v>
      </c>
      <c r="R14" s="186" t="s">
        <v>15</v>
      </c>
      <c r="S14" s="186" t="s">
        <v>15</v>
      </c>
      <c r="T14" s="186" t="s">
        <v>15</v>
      </c>
      <c r="U14" s="186" t="s">
        <v>15</v>
      </c>
      <c r="V14" s="186" t="s">
        <v>15</v>
      </c>
      <c r="W14" s="186" t="s">
        <v>15</v>
      </c>
      <c r="X14" s="186" t="s">
        <v>15</v>
      </c>
      <c r="Y14" s="186" t="s">
        <v>15</v>
      </c>
      <c r="Z14" s="186"/>
      <c r="AA14" s="186" t="s">
        <v>69</v>
      </c>
      <c r="AB14" s="186" t="s">
        <v>15</v>
      </c>
      <c r="AC14" s="186" t="s">
        <v>15</v>
      </c>
      <c r="AD14" s="270" t="s">
        <v>70</v>
      </c>
      <c r="AE14" s="270"/>
      <c r="AF14" s="144" t="str">
        <f t="shared" si="0"/>
        <v/>
      </c>
      <c r="AG14" s="144" t="str">
        <f t="shared" si="1"/>
        <v/>
      </c>
      <c r="AH14" s="146">
        <f t="shared" si="2"/>
        <v>1.23</v>
      </c>
      <c r="AI14" s="146" t="str">
        <f t="shared" si="3"/>
        <v/>
      </c>
      <c r="AJ14" s="303"/>
      <c r="AK14" s="303"/>
      <c r="AL14" s="303"/>
      <c r="AM14" s="303"/>
      <c r="AN14" s="303"/>
      <c r="AO14" s="303"/>
      <c r="AP14" s="303"/>
      <c r="AQ14" s="303"/>
      <c r="AR14" s="303"/>
      <c r="AS14" s="170"/>
      <c r="AT14" s="170"/>
      <c r="AU14" s="310"/>
      <c r="AW14" s="294"/>
      <c r="AX14" s="294"/>
      <c r="AY14" s="294"/>
      <c r="AZ14" s="294"/>
      <c r="BA14" s="294"/>
      <c r="BB14" s="294"/>
      <c r="BC14" s="294"/>
      <c r="BD14" s="294"/>
      <c r="BE14" s="294"/>
      <c r="BF14" s="382">
        <v>1.23</v>
      </c>
      <c r="BG14" s="383"/>
      <c r="BH14" s="278"/>
      <c r="BI14" s="365" t="s">
        <v>71</v>
      </c>
      <c r="BJ14" s="409"/>
    </row>
    <row r="15" spans="1:62" ht="15.75" customHeight="1" thickBot="1" x14ac:dyDescent="0.25">
      <c r="A15" s="156">
        <v>14</v>
      </c>
      <c r="B15" s="155">
        <v>1</v>
      </c>
      <c r="C15" s="148" t="s">
        <v>11</v>
      </c>
      <c r="D15" s="150" t="s">
        <v>12</v>
      </c>
      <c r="E15" s="148" t="s">
        <v>13</v>
      </c>
      <c r="F15" s="148" t="s">
        <v>72</v>
      </c>
      <c r="G15" s="148" t="s">
        <v>15</v>
      </c>
      <c r="H15" s="148" t="s">
        <v>73</v>
      </c>
      <c r="I15" s="161">
        <v>2003</v>
      </c>
      <c r="J15" s="161" t="s">
        <v>74</v>
      </c>
      <c r="K15" s="162" t="s">
        <v>75</v>
      </c>
      <c r="L15" s="161" t="s">
        <v>19</v>
      </c>
      <c r="M15" s="453" t="s">
        <v>4096</v>
      </c>
      <c r="N15" s="186" t="s">
        <v>20</v>
      </c>
      <c r="O15" s="186" t="s">
        <v>15</v>
      </c>
      <c r="P15" s="186" t="s">
        <v>20</v>
      </c>
      <c r="Q15" s="186" t="s">
        <v>20</v>
      </c>
      <c r="R15" s="186" t="s">
        <v>20</v>
      </c>
      <c r="S15" s="186" t="s">
        <v>15</v>
      </c>
      <c r="T15" s="186" t="s">
        <v>15</v>
      </c>
      <c r="U15" s="186" t="s">
        <v>15</v>
      </c>
      <c r="V15" s="186" t="s">
        <v>15</v>
      </c>
      <c r="W15" s="186" t="s">
        <v>15</v>
      </c>
      <c r="X15" s="186" t="s">
        <v>20</v>
      </c>
      <c r="Y15" s="186" t="s">
        <v>15</v>
      </c>
      <c r="Z15" s="186"/>
      <c r="AA15" s="186"/>
      <c r="AB15" s="186" t="s">
        <v>15</v>
      </c>
      <c r="AC15" s="186" t="s">
        <v>15</v>
      </c>
      <c r="AD15" s="270" t="s">
        <v>76</v>
      </c>
      <c r="AE15" s="270" t="s">
        <v>77</v>
      </c>
      <c r="AF15" s="144" t="str">
        <f t="shared" si="0"/>
        <v/>
      </c>
      <c r="AG15" s="144" t="str">
        <f t="shared" si="1"/>
        <v/>
      </c>
      <c r="AH15" s="146">
        <f t="shared" si="2"/>
        <v>0.81159420289855078</v>
      </c>
      <c r="AI15" s="146" t="str">
        <f t="shared" si="3"/>
        <v/>
      </c>
      <c r="AJ15" s="303"/>
      <c r="AK15" s="303"/>
      <c r="AL15" s="303"/>
      <c r="AM15" s="303"/>
      <c r="AN15" s="303"/>
      <c r="AO15" s="303"/>
      <c r="AP15" s="303"/>
      <c r="AQ15" s="303"/>
      <c r="AR15" s="303"/>
      <c r="AS15" s="170"/>
      <c r="AT15" s="169">
        <f>6.21/0.001/1035</f>
        <v>6</v>
      </c>
      <c r="AU15" s="310" t="s">
        <v>78</v>
      </c>
      <c r="AW15" s="294"/>
      <c r="AX15" s="294"/>
      <c r="AY15" s="294"/>
      <c r="AZ15" s="294"/>
      <c r="BA15" s="294"/>
      <c r="BB15" s="294"/>
      <c r="BC15" s="294"/>
      <c r="BD15" s="294"/>
      <c r="BE15" s="294"/>
      <c r="BF15" s="384">
        <f>0.84/0.001/1035</f>
        <v>0.81159420289855078</v>
      </c>
      <c r="BG15" s="384">
        <f>1.05/0.001/1035</f>
        <v>1.0144927536231885</v>
      </c>
      <c r="BH15" s="278"/>
      <c r="BI15" s="365" t="s">
        <v>79</v>
      </c>
      <c r="BJ15" s="409"/>
    </row>
    <row r="16" spans="1:62" ht="15.75" customHeight="1" thickBot="1" x14ac:dyDescent="0.25">
      <c r="A16" s="154">
        <v>15</v>
      </c>
      <c r="B16" s="155">
        <v>1</v>
      </c>
      <c r="C16" s="148" t="s">
        <v>39</v>
      </c>
      <c r="D16" s="148" t="s">
        <v>40</v>
      </c>
      <c r="E16" s="148" t="s">
        <v>13</v>
      </c>
      <c r="F16" s="148" t="s">
        <v>50</v>
      </c>
      <c r="G16" s="148" t="s">
        <v>15</v>
      </c>
      <c r="H16" s="148" t="s">
        <v>80</v>
      </c>
      <c r="I16" s="161">
        <v>2013</v>
      </c>
      <c r="J16" s="161" t="s">
        <v>81</v>
      </c>
      <c r="K16" s="162" t="s">
        <v>82</v>
      </c>
      <c r="L16" s="161" t="s">
        <v>83</v>
      </c>
      <c r="M16" s="453" t="s">
        <v>4097</v>
      </c>
      <c r="N16" s="186" t="s">
        <v>20</v>
      </c>
      <c r="O16" s="186" t="s">
        <v>15</v>
      </c>
      <c r="P16" s="186" t="s">
        <v>15</v>
      </c>
      <c r="Q16" s="186" t="s">
        <v>15</v>
      </c>
      <c r="R16" s="186" t="s">
        <v>15</v>
      </c>
      <c r="S16" s="186" t="s">
        <v>15</v>
      </c>
      <c r="T16" s="186" t="s">
        <v>15</v>
      </c>
      <c r="U16" s="186" t="s">
        <v>15</v>
      </c>
      <c r="V16" s="186" t="s">
        <v>15</v>
      </c>
      <c r="W16" s="186" t="s">
        <v>15</v>
      </c>
      <c r="X16" s="186" t="s">
        <v>15</v>
      </c>
      <c r="Y16" s="186" t="s">
        <v>15</v>
      </c>
      <c r="Z16" s="186"/>
      <c r="AA16" s="186" t="s">
        <v>84</v>
      </c>
      <c r="AB16" s="186" t="s">
        <v>15</v>
      </c>
      <c r="AC16" s="186" t="s">
        <v>15</v>
      </c>
      <c r="AD16" s="270" t="s">
        <v>45</v>
      </c>
      <c r="AE16" s="270"/>
      <c r="AF16" s="144" t="str">
        <f t="shared" si="0"/>
        <v/>
      </c>
      <c r="AG16" s="144" t="str">
        <f t="shared" si="1"/>
        <v/>
      </c>
      <c r="AH16" s="146">
        <f t="shared" si="2"/>
        <v>1.8</v>
      </c>
      <c r="AI16" s="146" t="str">
        <f t="shared" si="3"/>
        <v/>
      </c>
      <c r="AJ16" s="303"/>
      <c r="AK16" s="303"/>
      <c r="AL16" s="303"/>
      <c r="AM16" s="303"/>
      <c r="AN16" s="303"/>
      <c r="AO16" s="303"/>
      <c r="AP16" s="303"/>
      <c r="AQ16" s="303"/>
      <c r="AR16" s="303"/>
      <c r="AS16" s="170"/>
      <c r="AT16" s="170"/>
      <c r="AU16" s="310"/>
      <c r="AW16" s="294"/>
      <c r="AX16" s="294"/>
      <c r="AY16" s="294"/>
      <c r="AZ16" s="294"/>
      <c r="BA16" s="294"/>
      <c r="BB16" s="294"/>
      <c r="BC16" s="294"/>
      <c r="BD16" s="294"/>
      <c r="BE16" s="294"/>
      <c r="BF16" s="382">
        <v>1.8</v>
      </c>
      <c r="BG16" s="383"/>
      <c r="BH16" s="278" t="s">
        <v>85</v>
      </c>
      <c r="BI16" s="365" t="s">
        <v>33</v>
      </c>
      <c r="BJ16" s="409"/>
    </row>
    <row r="17" spans="1:62" ht="15.75" customHeight="1" thickBot="1" x14ac:dyDescent="0.25">
      <c r="A17" s="156">
        <v>16</v>
      </c>
      <c r="B17" s="155">
        <v>1</v>
      </c>
      <c r="C17" s="148" t="s">
        <v>11</v>
      </c>
      <c r="D17" s="150" t="s">
        <v>12</v>
      </c>
      <c r="E17" s="148" t="s">
        <v>13</v>
      </c>
      <c r="F17" s="148" t="s">
        <v>86</v>
      </c>
      <c r="G17" s="148" t="s">
        <v>15</v>
      </c>
      <c r="H17" s="148" t="s">
        <v>87</v>
      </c>
      <c r="I17" s="163">
        <v>2013</v>
      </c>
      <c r="J17" s="161" t="s">
        <v>88</v>
      </c>
      <c r="K17" s="161" t="s">
        <v>89</v>
      </c>
      <c r="L17" s="161" t="s">
        <v>19</v>
      </c>
      <c r="M17" s="453" t="s">
        <v>4098</v>
      </c>
      <c r="N17" s="186" t="s">
        <v>20</v>
      </c>
      <c r="O17" s="186" t="s">
        <v>20</v>
      </c>
      <c r="P17" s="186" t="s">
        <v>20</v>
      </c>
      <c r="Q17" s="186" t="s">
        <v>15</v>
      </c>
      <c r="R17" s="186" t="s">
        <v>15</v>
      </c>
      <c r="S17" s="186" t="s">
        <v>15</v>
      </c>
      <c r="T17" s="186" t="s">
        <v>15</v>
      </c>
      <c r="U17" s="186" t="s">
        <v>15</v>
      </c>
      <c r="V17" s="186" t="s">
        <v>15</v>
      </c>
      <c r="W17" s="186" t="s">
        <v>15</v>
      </c>
      <c r="X17" s="186" t="s">
        <v>15</v>
      </c>
      <c r="Y17" s="186" t="s">
        <v>15</v>
      </c>
      <c r="Z17" s="186"/>
      <c r="AA17" s="186" t="s">
        <v>90</v>
      </c>
      <c r="AB17" s="186" t="s">
        <v>15</v>
      </c>
      <c r="AC17" s="186" t="s">
        <v>15</v>
      </c>
      <c r="AD17" s="270" t="s">
        <v>91</v>
      </c>
      <c r="AE17" s="270" t="s">
        <v>92</v>
      </c>
      <c r="AF17" s="144" t="str">
        <f t="shared" si="0"/>
        <v/>
      </c>
      <c r="AG17" s="144" t="str">
        <f t="shared" si="1"/>
        <v/>
      </c>
      <c r="AH17" s="146">
        <f t="shared" si="2"/>
        <v>1.1399999999999999</v>
      </c>
      <c r="AI17" s="146" t="str">
        <f t="shared" si="3"/>
        <v/>
      </c>
      <c r="AJ17" s="303"/>
      <c r="AK17" s="303"/>
      <c r="AL17" s="303"/>
      <c r="AM17" s="303"/>
      <c r="AN17" s="303"/>
      <c r="AO17" s="303"/>
      <c r="AP17" s="303"/>
      <c r="AQ17" s="303"/>
      <c r="AR17" s="303"/>
      <c r="AS17" s="170"/>
      <c r="AT17" s="170"/>
      <c r="AU17" s="310"/>
      <c r="AW17" s="294"/>
      <c r="AX17" s="294"/>
      <c r="AY17" s="294"/>
      <c r="AZ17" s="294"/>
      <c r="BA17" s="294"/>
      <c r="BB17" s="294"/>
      <c r="BC17" s="294"/>
      <c r="BD17" s="294"/>
      <c r="BE17" s="294"/>
      <c r="BF17" s="385">
        <v>1.1399999999999999</v>
      </c>
      <c r="BG17" s="383"/>
      <c r="BH17" s="278"/>
      <c r="BI17" s="365" t="s">
        <v>93</v>
      </c>
      <c r="BJ17" s="409"/>
    </row>
    <row r="18" spans="1:62" ht="15.75" customHeight="1" thickBot="1" x14ac:dyDescent="0.25">
      <c r="A18" s="154">
        <v>17</v>
      </c>
      <c r="B18" s="155">
        <v>1</v>
      </c>
      <c r="C18" s="148" t="s">
        <v>11</v>
      </c>
      <c r="D18" s="148" t="s">
        <v>426</v>
      </c>
      <c r="E18" s="148" t="s">
        <v>13</v>
      </c>
      <c r="F18" s="148" t="s">
        <v>94</v>
      </c>
      <c r="G18" s="148" t="s">
        <v>15</v>
      </c>
      <c r="H18" s="148" t="s">
        <v>16</v>
      </c>
      <c r="I18" s="163">
        <v>2013</v>
      </c>
      <c r="J18" s="161" t="s">
        <v>95</v>
      </c>
      <c r="K18" s="161"/>
      <c r="L18" s="161" t="s">
        <v>19</v>
      </c>
      <c r="M18" s="453" t="s">
        <v>4099</v>
      </c>
      <c r="N18" s="186" t="s">
        <v>20</v>
      </c>
      <c r="O18" s="186" t="s">
        <v>15</v>
      </c>
      <c r="P18" s="186" t="s">
        <v>20</v>
      </c>
      <c r="Q18" s="186" t="s">
        <v>20</v>
      </c>
      <c r="R18" s="186" t="s">
        <v>20</v>
      </c>
      <c r="S18" s="186" t="s">
        <v>20</v>
      </c>
      <c r="T18" s="186" t="s">
        <v>20</v>
      </c>
      <c r="U18" s="186" t="s">
        <v>20</v>
      </c>
      <c r="V18" s="186" t="s">
        <v>20</v>
      </c>
      <c r="W18" s="186" t="s">
        <v>15</v>
      </c>
      <c r="X18" s="186" t="s">
        <v>15</v>
      </c>
      <c r="Y18" s="186" t="s">
        <v>15</v>
      </c>
      <c r="Z18" s="186"/>
      <c r="AA18" s="186" t="s">
        <v>96</v>
      </c>
      <c r="AB18" s="186" t="s">
        <v>20</v>
      </c>
      <c r="AC18" s="186" t="s">
        <v>20</v>
      </c>
      <c r="AD18" s="458" t="s">
        <v>4431</v>
      </c>
      <c r="AE18" s="458" t="s">
        <v>4434</v>
      </c>
      <c r="AF18" s="144">
        <f t="shared" si="0"/>
        <v>23.567</v>
      </c>
      <c r="AG18" s="144">
        <f t="shared" si="1"/>
        <v>33.106000000000002</v>
      </c>
      <c r="AH18" s="146">
        <f t="shared" si="2"/>
        <v>6.28</v>
      </c>
      <c r="AI18" s="146">
        <f t="shared" si="3"/>
        <v>7.0293999999999999</v>
      </c>
      <c r="AJ18" s="304">
        <v>23.57</v>
      </c>
      <c r="AK18" s="303">
        <v>0.878</v>
      </c>
      <c r="AL18" s="303">
        <v>8.6579999999999995</v>
      </c>
      <c r="AM18" s="303">
        <v>1.226</v>
      </c>
      <c r="AN18" s="303">
        <v>3.0529999999999999</v>
      </c>
      <c r="AO18" s="303">
        <v>4.7270000000000003</v>
      </c>
      <c r="AP18" s="303">
        <v>6.38</v>
      </c>
      <c r="AQ18" s="303"/>
      <c r="AR18" s="303"/>
      <c r="AS18" s="171">
        <v>23.567</v>
      </c>
      <c r="AT18" s="171">
        <v>48.47</v>
      </c>
      <c r="AU18" s="310"/>
      <c r="AV18" s="328" t="s">
        <v>3235</v>
      </c>
      <c r="AW18" s="350">
        <v>6.28</v>
      </c>
      <c r="AX18" s="294">
        <v>6.1400000000000003E-2</v>
      </c>
      <c r="AY18" s="294">
        <v>0.68799999999999994</v>
      </c>
      <c r="AZ18" s="294">
        <v>7.8E-2</v>
      </c>
      <c r="BA18" s="294">
        <v>0.21360000000000001</v>
      </c>
      <c r="BB18" s="294">
        <v>0.63800000000000001</v>
      </c>
      <c r="BC18" s="294">
        <v>0.5302</v>
      </c>
      <c r="BD18" s="294"/>
      <c r="BE18" s="294"/>
      <c r="BF18" s="386">
        <v>6.28</v>
      </c>
      <c r="BG18" s="386">
        <v>8.4700000000000006</v>
      </c>
      <c r="BH18" s="278" t="s">
        <v>97</v>
      </c>
      <c r="BI18" s="365" t="s">
        <v>93</v>
      </c>
      <c r="BJ18" s="409"/>
    </row>
    <row r="19" spans="1:62" ht="15.75" customHeight="1" thickBot="1" x14ac:dyDescent="0.25">
      <c r="A19" s="156">
        <v>18</v>
      </c>
      <c r="B19" s="155">
        <v>1</v>
      </c>
      <c r="C19" s="148" t="s">
        <v>11</v>
      </c>
      <c r="D19" s="148" t="s">
        <v>426</v>
      </c>
      <c r="E19" s="148" t="s">
        <v>13</v>
      </c>
      <c r="F19" s="148" t="s">
        <v>98</v>
      </c>
      <c r="G19" s="148" t="s">
        <v>15</v>
      </c>
      <c r="H19" s="148" t="s">
        <v>16</v>
      </c>
      <c r="I19" s="163">
        <v>2013</v>
      </c>
      <c r="J19" s="161" t="s">
        <v>95</v>
      </c>
      <c r="K19" s="161"/>
      <c r="L19" s="161" t="s">
        <v>19</v>
      </c>
      <c r="M19" s="453" t="s">
        <v>4099</v>
      </c>
      <c r="N19" s="186" t="s">
        <v>20</v>
      </c>
      <c r="O19" s="186" t="s">
        <v>15</v>
      </c>
      <c r="P19" s="186" t="s">
        <v>20</v>
      </c>
      <c r="Q19" s="186" t="s">
        <v>20</v>
      </c>
      <c r="R19" s="186" t="s">
        <v>20</v>
      </c>
      <c r="S19" s="186" t="s">
        <v>20</v>
      </c>
      <c r="T19" s="186" t="s">
        <v>20</v>
      </c>
      <c r="U19" s="186" t="s">
        <v>20</v>
      </c>
      <c r="V19" s="186" t="s">
        <v>20</v>
      </c>
      <c r="W19" s="186" t="s">
        <v>15</v>
      </c>
      <c r="X19" s="186" t="s">
        <v>15</v>
      </c>
      <c r="Y19" s="186" t="s">
        <v>15</v>
      </c>
      <c r="Z19" s="186"/>
      <c r="AA19" s="186" t="s">
        <v>96</v>
      </c>
      <c r="AB19" s="186" t="s">
        <v>20</v>
      </c>
      <c r="AC19" s="186" t="s">
        <v>20</v>
      </c>
      <c r="AD19" s="458" t="s">
        <v>4432</v>
      </c>
      <c r="AE19" s="458" t="s">
        <v>4433</v>
      </c>
      <c r="AF19" s="144">
        <f t="shared" si="0"/>
        <v>17.55</v>
      </c>
      <c r="AG19" s="144">
        <f t="shared" si="1"/>
        <v>29.19</v>
      </c>
      <c r="AH19" s="146">
        <f t="shared" si="2"/>
        <v>4.68</v>
      </c>
      <c r="AI19" s="146">
        <f t="shared" si="3"/>
        <v>5.8</v>
      </c>
      <c r="AJ19" s="304">
        <v>17.55</v>
      </c>
      <c r="AK19" s="303">
        <v>1.1000000000000001</v>
      </c>
      <c r="AL19" s="303">
        <v>10.54</v>
      </c>
      <c r="AM19" s="303">
        <v>1.56</v>
      </c>
      <c r="AN19" s="303">
        <v>3.48</v>
      </c>
      <c r="AO19" s="303">
        <v>4.72</v>
      </c>
      <c r="AP19" s="303">
        <v>6.37</v>
      </c>
      <c r="AQ19" s="303"/>
      <c r="AR19" s="303"/>
      <c r="AS19" s="171">
        <v>17.55</v>
      </c>
      <c r="AT19" s="171">
        <v>45.39</v>
      </c>
      <c r="AU19" s="310"/>
      <c r="AV19" s="328" t="s">
        <v>3236</v>
      </c>
      <c r="AW19" s="350">
        <v>4.68</v>
      </c>
      <c r="AX19" s="294">
        <v>0.08</v>
      </c>
      <c r="AY19" s="294">
        <v>1.04</v>
      </c>
      <c r="AZ19" s="294">
        <v>0.11</v>
      </c>
      <c r="BA19" s="294">
        <v>0.24</v>
      </c>
      <c r="BB19" s="294">
        <v>0.64</v>
      </c>
      <c r="BC19" s="294">
        <v>0.53</v>
      </c>
      <c r="BD19" s="294"/>
      <c r="BE19" s="294"/>
      <c r="BF19" s="386">
        <v>4.68</v>
      </c>
      <c r="BG19" s="386">
        <v>7.3</v>
      </c>
      <c r="BH19" s="278" t="s">
        <v>99</v>
      </c>
      <c r="BI19" s="365" t="s">
        <v>93</v>
      </c>
      <c r="BJ19" s="409"/>
    </row>
    <row r="20" spans="1:62" ht="15.75" customHeight="1" thickBot="1" x14ac:dyDescent="0.25">
      <c r="A20" s="154">
        <v>19</v>
      </c>
      <c r="B20" s="155">
        <v>1</v>
      </c>
      <c r="C20" s="148" t="s">
        <v>39</v>
      </c>
      <c r="D20" s="148" t="s">
        <v>40</v>
      </c>
      <c r="E20" s="148" t="s">
        <v>13</v>
      </c>
      <c r="F20" s="148" t="s">
        <v>100</v>
      </c>
      <c r="G20" s="148" t="s">
        <v>15</v>
      </c>
      <c r="H20" s="148" t="s">
        <v>101</v>
      </c>
      <c r="I20" s="161">
        <v>2009</v>
      </c>
      <c r="J20" s="161" t="s">
        <v>102</v>
      </c>
      <c r="K20" s="161" t="s">
        <v>103</v>
      </c>
      <c r="L20" s="161" t="s">
        <v>104</v>
      </c>
      <c r="M20" s="453" t="s">
        <v>4100</v>
      </c>
      <c r="N20" s="186" t="s">
        <v>20</v>
      </c>
      <c r="O20" s="186" t="s">
        <v>15</v>
      </c>
      <c r="P20" s="186" t="s">
        <v>15</v>
      </c>
      <c r="Q20" s="186" t="s">
        <v>15</v>
      </c>
      <c r="R20" s="186" t="s">
        <v>15</v>
      </c>
      <c r="S20" s="186" t="s">
        <v>15</v>
      </c>
      <c r="T20" s="186" t="s">
        <v>15</v>
      </c>
      <c r="U20" s="186" t="s">
        <v>15</v>
      </c>
      <c r="V20" s="186" t="s">
        <v>15</v>
      </c>
      <c r="W20" s="186" t="s">
        <v>15</v>
      </c>
      <c r="X20" s="186" t="s">
        <v>15</v>
      </c>
      <c r="Y20" s="186" t="s">
        <v>15</v>
      </c>
      <c r="Z20" s="186"/>
      <c r="AA20" s="186" t="s">
        <v>105</v>
      </c>
      <c r="AB20" s="186" t="s">
        <v>15</v>
      </c>
      <c r="AC20" s="186" t="s">
        <v>20</v>
      </c>
      <c r="AD20" s="270" t="s">
        <v>106</v>
      </c>
      <c r="AE20" s="270"/>
      <c r="AF20" s="144" t="str">
        <f t="shared" si="0"/>
        <v/>
      </c>
      <c r="AG20" s="144" t="str">
        <f t="shared" si="1"/>
        <v/>
      </c>
      <c r="AH20" s="146">
        <f t="shared" si="2"/>
        <v>1.42</v>
      </c>
      <c r="AI20" s="146" t="str">
        <f t="shared" si="3"/>
        <v/>
      </c>
      <c r="AJ20" s="304"/>
      <c r="AK20" s="303"/>
      <c r="AL20" s="303"/>
      <c r="AM20" s="303"/>
      <c r="AN20" s="303"/>
      <c r="AO20" s="303"/>
      <c r="AP20" s="303"/>
      <c r="AQ20" s="303"/>
      <c r="AR20" s="303"/>
      <c r="AS20" s="171"/>
      <c r="AT20" s="171"/>
      <c r="AU20" s="310"/>
      <c r="AW20" s="350"/>
      <c r="AX20" s="294"/>
      <c r="AY20" s="294"/>
      <c r="AZ20" s="294"/>
      <c r="BA20" s="294"/>
      <c r="BB20" s="294"/>
      <c r="BC20" s="294"/>
      <c r="BD20" s="294"/>
      <c r="BE20" s="294"/>
      <c r="BF20" s="382">
        <v>1.42</v>
      </c>
      <c r="BG20" s="386"/>
      <c r="BH20" s="278"/>
      <c r="BI20" s="365" t="s">
        <v>47</v>
      </c>
      <c r="BJ20" s="409"/>
    </row>
    <row r="21" spans="1:62" ht="15.75" customHeight="1" thickBot="1" x14ac:dyDescent="0.25">
      <c r="A21" s="156">
        <v>20</v>
      </c>
      <c r="B21" s="155">
        <v>1</v>
      </c>
      <c r="C21" s="148" t="s">
        <v>39</v>
      </c>
      <c r="D21" s="148" t="s">
        <v>40</v>
      </c>
      <c r="E21" s="148" t="s">
        <v>13</v>
      </c>
      <c r="F21" s="148" t="s">
        <v>107</v>
      </c>
      <c r="G21" s="148" t="s">
        <v>15</v>
      </c>
      <c r="H21" s="148" t="s">
        <v>108</v>
      </c>
      <c r="I21" s="161">
        <v>2014</v>
      </c>
      <c r="J21" s="161" t="s">
        <v>109</v>
      </c>
      <c r="K21" s="161" t="s">
        <v>110</v>
      </c>
      <c r="L21" s="161" t="s">
        <v>19</v>
      </c>
      <c r="M21" s="453" t="s">
        <v>4101</v>
      </c>
      <c r="N21" s="186" t="s">
        <v>20</v>
      </c>
      <c r="O21" s="186" t="s">
        <v>15</v>
      </c>
      <c r="P21" s="186" t="s">
        <v>15</v>
      </c>
      <c r="Q21" s="186" t="s">
        <v>15</v>
      </c>
      <c r="R21" s="186" t="s">
        <v>20</v>
      </c>
      <c r="S21" s="186" t="s">
        <v>15</v>
      </c>
      <c r="T21" s="186" t="s">
        <v>15</v>
      </c>
      <c r="U21" s="186" t="s">
        <v>15</v>
      </c>
      <c r="V21" s="186" t="s">
        <v>15</v>
      </c>
      <c r="W21" s="186" t="s">
        <v>15</v>
      </c>
      <c r="X21" s="186" t="s">
        <v>15</v>
      </c>
      <c r="Y21" s="186" t="s">
        <v>15</v>
      </c>
      <c r="Z21" s="186"/>
      <c r="AA21" s="186" t="s">
        <v>111</v>
      </c>
      <c r="AB21" s="186" t="s">
        <v>15</v>
      </c>
      <c r="AC21" s="186" t="s">
        <v>20</v>
      </c>
      <c r="AD21" s="270" t="s">
        <v>112</v>
      </c>
      <c r="AE21" s="270"/>
      <c r="AF21" s="144" t="str">
        <f t="shared" si="0"/>
        <v/>
      </c>
      <c r="AG21" s="144" t="str">
        <f t="shared" si="1"/>
        <v/>
      </c>
      <c r="AH21" s="146">
        <f t="shared" si="2"/>
        <v>1.6</v>
      </c>
      <c r="AI21" s="146" t="str">
        <f t="shared" si="3"/>
        <v/>
      </c>
      <c r="AJ21" s="304"/>
      <c r="AK21" s="303"/>
      <c r="AL21" s="303"/>
      <c r="AM21" s="303"/>
      <c r="AN21" s="303"/>
      <c r="AO21" s="303"/>
      <c r="AP21" s="303"/>
      <c r="AQ21" s="303"/>
      <c r="AR21" s="303"/>
      <c r="AS21" s="171"/>
      <c r="AT21" s="171"/>
      <c r="AU21" s="310"/>
      <c r="AW21" s="350"/>
      <c r="AX21" s="294"/>
      <c r="AY21" s="294"/>
      <c r="AZ21" s="294"/>
      <c r="BA21" s="294"/>
      <c r="BB21" s="294"/>
      <c r="BC21" s="294"/>
      <c r="BD21" s="294"/>
      <c r="BE21" s="294"/>
      <c r="BF21" s="382">
        <v>1.6</v>
      </c>
      <c r="BG21" s="386"/>
      <c r="BH21" s="278"/>
      <c r="BI21" s="365" t="s">
        <v>113</v>
      </c>
      <c r="BJ21" s="409"/>
    </row>
    <row r="22" spans="1:62" ht="15.75" customHeight="1" thickBot="1" x14ac:dyDescent="0.25">
      <c r="A22" s="154">
        <v>21</v>
      </c>
      <c r="B22" s="155">
        <v>1</v>
      </c>
      <c r="C22" s="148" t="s">
        <v>11</v>
      </c>
      <c r="D22" s="148" t="s">
        <v>426</v>
      </c>
      <c r="E22" s="148" t="s">
        <v>13</v>
      </c>
      <c r="F22" s="148" t="s">
        <v>114</v>
      </c>
      <c r="G22" s="148" t="s">
        <v>15</v>
      </c>
      <c r="H22" s="148" t="s">
        <v>42</v>
      </c>
      <c r="I22" s="163">
        <v>2014</v>
      </c>
      <c r="J22" s="161" t="s">
        <v>115</v>
      </c>
      <c r="K22" s="161" t="s">
        <v>116</v>
      </c>
      <c r="L22" s="161" t="s">
        <v>117</v>
      </c>
      <c r="M22" s="453" t="s">
        <v>4102</v>
      </c>
      <c r="N22" s="186" t="s">
        <v>20</v>
      </c>
      <c r="O22" s="186" t="s">
        <v>20</v>
      </c>
      <c r="P22" s="186" t="s">
        <v>20</v>
      </c>
      <c r="Q22" s="186" t="s">
        <v>20</v>
      </c>
      <c r="R22" s="186" t="s">
        <v>20</v>
      </c>
      <c r="S22" s="186" t="s">
        <v>20</v>
      </c>
      <c r="T22" s="186" t="s">
        <v>20</v>
      </c>
      <c r="U22" s="186" t="s">
        <v>15</v>
      </c>
      <c r="V22" s="186" t="s">
        <v>15</v>
      </c>
      <c r="W22" s="186" t="s">
        <v>15</v>
      </c>
      <c r="X22" s="186" t="s">
        <v>15</v>
      </c>
      <c r="Y22" s="186" t="s">
        <v>15</v>
      </c>
      <c r="Z22" s="186"/>
      <c r="AA22" s="186" t="s">
        <v>118</v>
      </c>
      <c r="AB22" s="186" t="s">
        <v>20</v>
      </c>
      <c r="AC22" s="186" t="s">
        <v>15</v>
      </c>
      <c r="AD22" s="270" t="s">
        <v>119</v>
      </c>
      <c r="AE22" s="270"/>
      <c r="AF22" s="144" t="str">
        <f t="shared" si="0"/>
        <v/>
      </c>
      <c r="AG22" s="144" t="str">
        <f t="shared" si="1"/>
        <v/>
      </c>
      <c r="AH22" s="146">
        <f t="shared" si="2"/>
        <v>7.56</v>
      </c>
      <c r="AI22" s="146" t="str">
        <f t="shared" si="3"/>
        <v/>
      </c>
      <c r="AJ22" s="304"/>
      <c r="AK22" s="303"/>
      <c r="AL22" s="303"/>
      <c r="AM22" s="303"/>
      <c r="AN22" s="303"/>
      <c r="AO22" s="303"/>
      <c r="AP22" s="303"/>
      <c r="AQ22" s="303"/>
      <c r="AR22" s="303"/>
      <c r="AS22" s="171"/>
      <c r="AT22" s="171"/>
      <c r="AU22" s="310"/>
      <c r="AW22" s="350"/>
      <c r="AX22" s="294"/>
      <c r="AY22" s="294"/>
      <c r="AZ22" s="294"/>
      <c r="BA22" s="294"/>
      <c r="BB22" s="294"/>
      <c r="BC22" s="294"/>
      <c r="BD22" s="294"/>
      <c r="BE22" s="294"/>
      <c r="BF22" s="385">
        <v>7.56</v>
      </c>
      <c r="BG22" s="385">
        <v>8.67</v>
      </c>
      <c r="BH22" s="278" t="s">
        <v>120</v>
      </c>
      <c r="BI22" s="365" t="s">
        <v>113</v>
      </c>
      <c r="BJ22" s="409"/>
    </row>
    <row r="23" spans="1:62" ht="15.75" customHeight="1" thickBot="1" x14ac:dyDescent="0.25">
      <c r="A23" s="156">
        <v>22</v>
      </c>
      <c r="B23" s="155">
        <v>1</v>
      </c>
      <c r="C23" s="148" t="s">
        <v>11</v>
      </c>
      <c r="D23" s="150" t="s">
        <v>12</v>
      </c>
      <c r="E23" s="148" t="s">
        <v>13</v>
      </c>
      <c r="F23" s="148" t="s">
        <v>121</v>
      </c>
      <c r="G23" s="148" t="s">
        <v>15</v>
      </c>
      <c r="H23" s="148" t="s">
        <v>42</v>
      </c>
      <c r="I23" s="163">
        <v>2014</v>
      </c>
      <c r="J23" s="161" t="s">
        <v>115</v>
      </c>
      <c r="K23" s="161" t="s">
        <v>116</v>
      </c>
      <c r="L23" s="161" t="s">
        <v>117</v>
      </c>
      <c r="M23" s="453" t="s">
        <v>4102</v>
      </c>
      <c r="N23" s="186" t="s">
        <v>20</v>
      </c>
      <c r="O23" s="186" t="s">
        <v>122</v>
      </c>
      <c r="P23" s="186" t="s">
        <v>20</v>
      </c>
      <c r="Q23" s="186" t="s">
        <v>20</v>
      </c>
      <c r="R23" s="186" t="s">
        <v>20</v>
      </c>
      <c r="S23" s="186" t="s">
        <v>20</v>
      </c>
      <c r="T23" s="186" t="s">
        <v>20</v>
      </c>
      <c r="U23" s="186" t="s">
        <v>15</v>
      </c>
      <c r="V23" s="186" t="s">
        <v>15</v>
      </c>
      <c r="W23" s="186" t="s">
        <v>15</v>
      </c>
      <c r="X23" s="186" t="s">
        <v>15</v>
      </c>
      <c r="Y23" s="186" t="s">
        <v>15</v>
      </c>
      <c r="Z23" s="186"/>
      <c r="AA23" s="186" t="s">
        <v>123</v>
      </c>
      <c r="AB23" s="186" t="s">
        <v>20</v>
      </c>
      <c r="AC23" s="186" t="s">
        <v>15</v>
      </c>
      <c r="AD23" s="270" t="s">
        <v>124</v>
      </c>
      <c r="AE23" s="270"/>
      <c r="AF23" s="144" t="str">
        <f t="shared" si="0"/>
        <v/>
      </c>
      <c r="AG23" s="144" t="str">
        <f t="shared" si="1"/>
        <v/>
      </c>
      <c r="AH23" s="146">
        <f t="shared" si="2"/>
        <v>0.84</v>
      </c>
      <c r="AI23" s="146" t="str">
        <f t="shared" si="3"/>
        <v/>
      </c>
      <c r="AJ23" s="304"/>
      <c r="AK23" s="303"/>
      <c r="AL23" s="303"/>
      <c r="AM23" s="303"/>
      <c r="AN23" s="303"/>
      <c r="AO23" s="303"/>
      <c r="AP23" s="303"/>
      <c r="AQ23" s="303"/>
      <c r="AR23" s="303"/>
      <c r="AS23" s="171"/>
      <c r="AT23" s="171"/>
      <c r="AU23" s="310"/>
      <c r="AW23" s="350"/>
      <c r="AX23" s="294"/>
      <c r="AY23" s="294"/>
      <c r="AZ23" s="294"/>
      <c r="BA23" s="294"/>
      <c r="BB23" s="294"/>
      <c r="BC23" s="294"/>
      <c r="BD23" s="294"/>
      <c r="BE23" s="294"/>
      <c r="BF23" s="385">
        <v>0.84</v>
      </c>
      <c r="BG23" s="385">
        <v>1.1200000000000001</v>
      </c>
      <c r="BH23" s="278" t="s">
        <v>125</v>
      </c>
      <c r="BI23" s="365" t="s">
        <v>126</v>
      </c>
      <c r="BJ23" s="409"/>
    </row>
    <row r="24" spans="1:62" ht="15.75" customHeight="1" thickBot="1" x14ac:dyDescent="0.25">
      <c r="A24" s="154">
        <v>23</v>
      </c>
      <c r="B24" s="155">
        <v>1</v>
      </c>
      <c r="C24" s="148" t="s">
        <v>11</v>
      </c>
      <c r="D24" s="148" t="s">
        <v>426</v>
      </c>
      <c r="E24" s="148" t="s">
        <v>13</v>
      </c>
      <c r="F24" s="148" t="s">
        <v>127</v>
      </c>
      <c r="G24" s="148" t="s">
        <v>15</v>
      </c>
      <c r="H24" s="148" t="s">
        <v>101</v>
      </c>
      <c r="I24" s="163">
        <v>2002</v>
      </c>
      <c r="J24" s="161" t="s">
        <v>128</v>
      </c>
      <c r="K24" s="161" t="s">
        <v>129</v>
      </c>
      <c r="L24" s="161" t="s">
        <v>19</v>
      </c>
      <c r="M24" s="453" t="s">
        <v>4103</v>
      </c>
      <c r="N24" s="186" t="s">
        <v>20</v>
      </c>
      <c r="O24" s="186" t="s">
        <v>15</v>
      </c>
      <c r="P24" s="186" t="s">
        <v>20</v>
      </c>
      <c r="Q24" s="186" t="s">
        <v>20</v>
      </c>
      <c r="R24" s="186" t="s">
        <v>20</v>
      </c>
      <c r="S24" s="186" t="s">
        <v>20</v>
      </c>
      <c r="T24" s="186" t="s">
        <v>20</v>
      </c>
      <c r="U24" s="186" t="s">
        <v>20</v>
      </c>
      <c r="V24" s="186" t="s">
        <v>20</v>
      </c>
      <c r="W24" s="186" t="s">
        <v>15</v>
      </c>
      <c r="X24" s="186" t="s">
        <v>20</v>
      </c>
      <c r="Y24" s="186" t="s">
        <v>15</v>
      </c>
      <c r="Z24" s="186"/>
      <c r="AA24" s="186" t="s">
        <v>130</v>
      </c>
      <c r="AB24" s="186" t="s">
        <v>20</v>
      </c>
      <c r="AC24" s="186" t="s">
        <v>15</v>
      </c>
      <c r="AD24" s="270" t="s">
        <v>131</v>
      </c>
      <c r="AE24" s="270"/>
      <c r="AF24" s="144" t="str">
        <f t="shared" si="0"/>
        <v/>
      </c>
      <c r="AG24" s="144" t="str">
        <f t="shared" si="1"/>
        <v/>
      </c>
      <c r="AH24" s="146">
        <f t="shared" si="2"/>
        <v>8.3000000000000007</v>
      </c>
      <c r="AI24" s="146" t="str">
        <f t="shared" si="3"/>
        <v/>
      </c>
      <c r="AJ24" s="304"/>
      <c r="AK24" s="303"/>
      <c r="AL24" s="303"/>
      <c r="AM24" s="303"/>
      <c r="AN24" s="303"/>
      <c r="AO24" s="303"/>
      <c r="AP24" s="303"/>
      <c r="AQ24" s="303"/>
      <c r="AR24" s="303"/>
      <c r="AS24" s="171"/>
      <c r="AT24" s="172">
        <v>49.1</v>
      </c>
      <c r="AU24" s="310"/>
      <c r="AW24" s="350"/>
      <c r="AX24" s="294"/>
      <c r="AY24" s="294"/>
      <c r="AZ24" s="294"/>
      <c r="BA24" s="294"/>
      <c r="BB24" s="294"/>
      <c r="BC24" s="294"/>
      <c r="BD24" s="294"/>
      <c r="BE24" s="294"/>
      <c r="BF24" s="385">
        <v>8.3000000000000007</v>
      </c>
      <c r="BG24" s="385">
        <v>8.7940000000000005</v>
      </c>
      <c r="BH24" s="278"/>
      <c r="BI24" s="365" t="s">
        <v>132</v>
      </c>
      <c r="BJ24" s="409"/>
    </row>
    <row r="25" spans="1:62" ht="15.75" customHeight="1" thickBot="1" x14ac:dyDescent="0.25">
      <c r="A25" s="156">
        <v>24</v>
      </c>
      <c r="B25" s="155">
        <v>1</v>
      </c>
      <c r="C25" s="148" t="s">
        <v>11</v>
      </c>
      <c r="D25" s="148" t="s">
        <v>12</v>
      </c>
      <c r="E25" s="148" t="s">
        <v>13</v>
      </c>
      <c r="F25" s="148" t="s">
        <v>133</v>
      </c>
      <c r="G25" s="148" t="s">
        <v>15</v>
      </c>
      <c r="H25" s="148" t="s">
        <v>134</v>
      </c>
      <c r="I25" s="163">
        <v>2013</v>
      </c>
      <c r="J25" s="161" t="s">
        <v>135</v>
      </c>
      <c r="K25" s="161" t="s">
        <v>136</v>
      </c>
      <c r="L25" s="161" t="s">
        <v>19</v>
      </c>
      <c r="M25" s="453" t="s">
        <v>4104</v>
      </c>
      <c r="N25" s="186" t="s">
        <v>20</v>
      </c>
      <c r="O25" s="186" t="s">
        <v>15</v>
      </c>
      <c r="P25" s="186" t="s">
        <v>20</v>
      </c>
      <c r="Q25" s="186" t="s">
        <v>20</v>
      </c>
      <c r="R25" s="186" t="s">
        <v>20</v>
      </c>
      <c r="S25" s="186" t="s">
        <v>15</v>
      </c>
      <c r="T25" s="186" t="s">
        <v>15</v>
      </c>
      <c r="U25" s="186" t="s">
        <v>15</v>
      </c>
      <c r="V25" s="186" t="s">
        <v>15</v>
      </c>
      <c r="W25" s="186" t="s">
        <v>15</v>
      </c>
      <c r="X25" s="186" t="s">
        <v>15</v>
      </c>
      <c r="Y25" s="186" t="s">
        <v>15</v>
      </c>
      <c r="Z25" s="186"/>
      <c r="AA25" s="186" t="s">
        <v>137</v>
      </c>
      <c r="AB25" s="186" t="s">
        <v>20</v>
      </c>
      <c r="AC25" s="186" t="s">
        <v>15</v>
      </c>
      <c r="AD25" s="270" t="s">
        <v>138</v>
      </c>
      <c r="AE25" s="270" t="s">
        <v>92</v>
      </c>
      <c r="AF25" s="144" t="str">
        <f t="shared" si="0"/>
        <v/>
      </c>
      <c r="AG25" s="144" t="str">
        <f t="shared" si="1"/>
        <v/>
      </c>
      <c r="AH25" s="146" t="str">
        <f t="shared" si="2"/>
        <v/>
      </c>
      <c r="AI25" s="146" t="str">
        <f t="shared" si="3"/>
        <v/>
      </c>
      <c r="AJ25" s="304"/>
      <c r="AK25" s="303"/>
      <c r="AL25" s="303"/>
      <c r="AM25" s="303"/>
      <c r="AN25" s="303"/>
      <c r="AO25" s="303"/>
      <c r="AP25" s="303"/>
      <c r="AQ25" s="303"/>
      <c r="AR25" s="303"/>
      <c r="AS25" s="171"/>
      <c r="AT25" s="171"/>
      <c r="AU25" s="310"/>
      <c r="AW25" s="350"/>
      <c r="AX25" s="294"/>
      <c r="AY25" s="294"/>
      <c r="AZ25" s="294"/>
      <c r="BA25" s="294"/>
      <c r="BB25" s="294"/>
      <c r="BC25" s="294"/>
      <c r="BD25" s="294"/>
      <c r="BE25" s="294"/>
      <c r="BF25" s="386"/>
      <c r="BG25" s="385">
        <v>1.46</v>
      </c>
      <c r="BH25" s="278"/>
      <c r="BI25" s="365"/>
      <c r="BJ25" s="409"/>
    </row>
    <row r="26" spans="1:62" ht="15.75" customHeight="1" thickBot="1" x14ac:dyDescent="0.25">
      <c r="A26" s="154">
        <v>25</v>
      </c>
      <c r="B26" s="155">
        <v>1</v>
      </c>
      <c r="C26" s="148" t="s">
        <v>11</v>
      </c>
      <c r="D26" s="148" t="s">
        <v>12</v>
      </c>
      <c r="E26" s="148" t="s">
        <v>13</v>
      </c>
      <c r="F26" s="148" t="s">
        <v>139</v>
      </c>
      <c r="G26" s="148" t="s">
        <v>15</v>
      </c>
      <c r="H26" s="148" t="s">
        <v>134</v>
      </c>
      <c r="I26" s="163">
        <v>2013</v>
      </c>
      <c r="J26" s="161" t="s">
        <v>135</v>
      </c>
      <c r="K26" s="161" t="s">
        <v>136</v>
      </c>
      <c r="L26" s="161" t="s">
        <v>19</v>
      </c>
      <c r="M26" s="453" t="s">
        <v>4104</v>
      </c>
      <c r="N26" s="186" t="s">
        <v>20</v>
      </c>
      <c r="O26" s="186" t="s">
        <v>15</v>
      </c>
      <c r="P26" s="186" t="s">
        <v>20</v>
      </c>
      <c r="Q26" s="186" t="s">
        <v>20</v>
      </c>
      <c r="R26" s="186" t="s">
        <v>20</v>
      </c>
      <c r="S26" s="186" t="s">
        <v>15</v>
      </c>
      <c r="T26" s="186" t="s">
        <v>15</v>
      </c>
      <c r="U26" s="186" t="s">
        <v>15</v>
      </c>
      <c r="V26" s="186" t="s">
        <v>15</v>
      </c>
      <c r="W26" s="186" t="s">
        <v>15</v>
      </c>
      <c r="X26" s="186" t="s">
        <v>15</v>
      </c>
      <c r="Y26" s="186" t="s">
        <v>15</v>
      </c>
      <c r="Z26" s="186"/>
      <c r="AA26" s="186" t="s">
        <v>137</v>
      </c>
      <c r="AB26" s="186" t="s">
        <v>20</v>
      </c>
      <c r="AC26" s="186" t="s">
        <v>15</v>
      </c>
      <c r="AD26" s="270" t="s">
        <v>138</v>
      </c>
      <c r="AE26" s="270" t="s">
        <v>92</v>
      </c>
      <c r="AF26" s="144" t="str">
        <f t="shared" si="0"/>
        <v/>
      </c>
      <c r="AG26" s="144" t="str">
        <f t="shared" si="1"/>
        <v/>
      </c>
      <c r="AH26" s="146" t="str">
        <f t="shared" si="2"/>
        <v/>
      </c>
      <c r="AI26" s="146" t="str">
        <f t="shared" si="3"/>
        <v/>
      </c>
      <c r="AJ26" s="304"/>
      <c r="AK26" s="303"/>
      <c r="AL26" s="303"/>
      <c r="AM26" s="303"/>
      <c r="AN26" s="303"/>
      <c r="AO26" s="303"/>
      <c r="AP26" s="303"/>
      <c r="AQ26" s="303"/>
      <c r="AR26" s="303"/>
      <c r="AS26" s="171"/>
      <c r="AT26" s="171"/>
      <c r="AU26" s="310"/>
      <c r="AW26" s="350"/>
      <c r="AX26" s="294"/>
      <c r="AY26" s="294"/>
      <c r="AZ26" s="294"/>
      <c r="BA26" s="294"/>
      <c r="BB26" s="294"/>
      <c r="BC26" s="294"/>
      <c r="BD26" s="294"/>
      <c r="BE26" s="294"/>
      <c r="BF26" s="386"/>
      <c r="BG26" s="385">
        <v>1.31</v>
      </c>
      <c r="BH26" s="278"/>
      <c r="BI26" s="365"/>
      <c r="BJ26" s="409"/>
    </row>
    <row r="27" spans="1:62" ht="15.75" customHeight="1" thickBot="1" x14ac:dyDescent="0.25">
      <c r="A27" s="156">
        <v>26</v>
      </c>
      <c r="B27" s="155">
        <v>1</v>
      </c>
      <c r="C27" s="148" t="s">
        <v>11</v>
      </c>
      <c r="D27" s="148" t="s">
        <v>140</v>
      </c>
      <c r="E27" s="148" t="s">
        <v>13</v>
      </c>
      <c r="F27" s="148" t="s">
        <v>141</v>
      </c>
      <c r="G27" s="148" t="s">
        <v>15</v>
      </c>
      <c r="H27" s="148" t="s">
        <v>134</v>
      </c>
      <c r="I27" s="163">
        <v>2013</v>
      </c>
      <c r="J27" s="161" t="s">
        <v>135</v>
      </c>
      <c r="K27" s="161" t="s">
        <v>136</v>
      </c>
      <c r="L27" s="161" t="s">
        <v>19</v>
      </c>
      <c r="M27" s="453" t="s">
        <v>4104</v>
      </c>
      <c r="N27" s="186" t="s">
        <v>20</v>
      </c>
      <c r="O27" s="186" t="s">
        <v>15</v>
      </c>
      <c r="P27" s="186" t="s">
        <v>20</v>
      </c>
      <c r="Q27" s="186" t="s">
        <v>20</v>
      </c>
      <c r="R27" s="186" t="s">
        <v>20</v>
      </c>
      <c r="S27" s="186" t="s">
        <v>15</v>
      </c>
      <c r="T27" s="186" t="s">
        <v>15</v>
      </c>
      <c r="U27" s="186" t="s">
        <v>15</v>
      </c>
      <c r="V27" s="186" t="s">
        <v>15</v>
      </c>
      <c r="W27" s="186" t="s">
        <v>15</v>
      </c>
      <c r="X27" s="186" t="s">
        <v>15</v>
      </c>
      <c r="Y27" s="186" t="s">
        <v>15</v>
      </c>
      <c r="Z27" s="186"/>
      <c r="AA27" s="186" t="s">
        <v>137</v>
      </c>
      <c r="AB27" s="186" t="s">
        <v>20</v>
      </c>
      <c r="AC27" s="186" t="s">
        <v>15</v>
      </c>
      <c r="AD27" s="270" t="s">
        <v>138</v>
      </c>
      <c r="AE27" s="270" t="s">
        <v>92</v>
      </c>
      <c r="AF27" s="144" t="str">
        <f t="shared" si="0"/>
        <v/>
      </c>
      <c r="AG27" s="144" t="str">
        <f t="shared" si="1"/>
        <v/>
      </c>
      <c r="AH27" s="146" t="str">
        <f t="shared" si="2"/>
        <v/>
      </c>
      <c r="AI27" s="146" t="str">
        <f t="shared" si="3"/>
        <v/>
      </c>
      <c r="AJ27" s="304"/>
      <c r="AK27" s="303"/>
      <c r="AL27" s="303"/>
      <c r="AM27" s="303"/>
      <c r="AN27" s="303"/>
      <c r="AO27" s="303"/>
      <c r="AP27" s="303"/>
      <c r="AQ27" s="303"/>
      <c r="AR27" s="303"/>
      <c r="AS27" s="171"/>
      <c r="AT27" s="171"/>
      <c r="AU27" s="310"/>
      <c r="AW27" s="350"/>
      <c r="AX27" s="294"/>
      <c r="AY27" s="294"/>
      <c r="AZ27" s="294"/>
      <c r="BA27" s="294"/>
      <c r="BB27" s="294"/>
      <c r="BC27" s="294"/>
      <c r="BD27" s="294"/>
      <c r="BE27" s="294"/>
      <c r="BF27" s="386"/>
      <c r="BG27" s="385">
        <v>2.0249999999999999</v>
      </c>
      <c r="BH27" s="278"/>
      <c r="BI27" s="365"/>
      <c r="BJ27" s="409"/>
    </row>
    <row r="28" spans="1:62" ht="15.75" customHeight="1" thickBot="1" x14ac:dyDescent="0.25">
      <c r="A28" s="154">
        <v>27</v>
      </c>
      <c r="B28" s="155">
        <v>1</v>
      </c>
      <c r="C28" s="148" t="s">
        <v>11</v>
      </c>
      <c r="D28" s="148" t="s">
        <v>142</v>
      </c>
      <c r="E28" s="148" t="s">
        <v>13</v>
      </c>
      <c r="F28" s="148" t="s">
        <v>141</v>
      </c>
      <c r="G28" s="148" t="s">
        <v>15</v>
      </c>
      <c r="H28" s="148" t="s">
        <v>134</v>
      </c>
      <c r="I28" s="163">
        <v>2013</v>
      </c>
      <c r="J28" s="161" t="s">
        <v>135</v>
      </c>
      <c r="K28" s="161" t="s">
        <v>136</v>
      </c>
      <c r="L28" s="161" t="s">
        <v>19</v>
      </c>
      <c r="M28" s="453" t="s">
        <v>4104</v>
      </c>
      <c r="N28" s="186" t="s">
        <v>20</v>
      </c>
      <c r="O28" s="186" t="s">
        <v>15</v>
      </c>
      <c r="P28" s="186" t="s">
        <v>20</v>
      </c>
      <c r="Q28" s="186" t="s">
        <v>20</v>
      </c>
      <c r="R28" s="186" t="s">
        <v>20</v>
      </c>
      <c r="S28" s="186" t="s">
        <v>15</v>
      </c>
      <c r="T28" s="186" t="s">
        <v>15</v>
      </c>
      <c r="U28" s="186" t="s">
        <v>15</v>
      </c>
      <c r="V28" s="186" t="s">
        <v>15</v>
      </c>
      <c r="W28" s="186" t="s">
        <v>15</v>
      </c>
      <c r="X28" s="186" t="s">
        <v>15</v>
      </c>
      <c r="Y28" s="186" t="s">
        <v>15</v>
      </c>
      <c r="Z28" s="186"/>
      <c r="AA28" s="186" t="s">
        <v>137</v>
      </c>
      <c r="AB28" s="186" t="s">
        <v>20</v>
      </c>
      <c r="AC28" s="186" t="s">
        <v>15</v>
      </c>
      <c r="AD28" s="270" t="s">
        <v>138</v>
      </c>
      <c r="AE28" s="270" t="s">
        <v>92</v>
      </c>
      <c r="AF28" s="144" t="str">
        <f t="shared" si="0"/>
        <v/>
      </c>
      <c r="AG28" s="144" t="str">
        <f t="shared" si="1"/>
        <v/>
      </c>
      <c r="AH28" s="146" t="str">
        <f t="shared" si="2"/>
        <v/>
      </c>
      <c r="AI28" s="146" t="str">
        <f t="shared" si="3"/>
        <v/>
      </c>
      <c r="AJ28" s="304"/>
      <c r="AK28" s="303"/>
      <c r="AL28" s="303"/>
      <c r="AM28" s="303"/>
      <c r="AN28" s="303"/>
      <c r="AO28" s="303"/>
      <c r="AP28" s="303"/>
      <c r="AQ28" s="303"/>
      <c r="AR28" s="303"/>
      <c r="AS28" s="171"/>
      <c r="AT28" s="171"/>
      <c r="AU28" s="310"/>
      <c r="AW28" s="350"/>
      <c r="AX28" s="294"/>
      <c r="AY28" s="294"/>
      <c r="AZ28" s="294"/>
      <c r="BA28" s="294"/>
      <c r="BB28" s="294"/>
      <c r="BC28" s="294"/>
      <c r="BD28" s="294"/>
      <c r="BE28" s="294"/>
      <c r="BF28" s="386"/>
      <c r="BG28" s="385">
        <v>4.0250000000000004</v>
      </c>
      <c r="BH28" s="278"/>
      <c r="BI28" s="365"/>
      <c r="BJ28" s="409"/>
    </row>
    <row r="29" spans="1:62" ht="15.75" customHeight="1" thickBot="1" x14ac:dyDescent="0.25">
      <c r="A29" s="156">
        <v>28</v>
      </c>
      <c r="B29" s="155">
        <v>1</v>
      </c>
      <c r="C29" s="148" t="s">
        <v>11</v>
      </c>
      <c r="D29" s="148" t="s">
        <v>143</v>
      </c>
      <c r="E29" s="148" t="s">
        <v>13</v>
      </c>
      <c r="F29" s="148" t="s">
        <v>141</v>
      </c>
      <c r="G29" s="148" t="s">
        <v>15</v>
      </c>
      <c r="H29" s="148" t="s">
        <v>134</v>
      </c>
      <c r="I29" s="163">
        <v>2013</v>
      </c>
      <c r="J29" s="161" t="s">
        <v>135</v>
      </c>
      <c r="K29" s="161" t="s">
        <v>136</v>
      </c>
      <c r="L29" s="161" t="s">
        <v>19</v>
      </c>
      <c r="M29" s="453" t="s">
        <v>4104</v>
      </c>
      <c r="N29" s="186" t="s">
        <v>20</v>
      </c>
      <c r="O29" s="186" t="s">
        <v>15</v>
      </c>
      <c r="P29" s="186" t="s">
        <v>20</v>
      </c>
      <c r="Q29" s="186" t="s">
        <v>20</v>
      </c>
      <c r="R29" s="186" t="s">
        <v>20</v>
      </c>
      <c r="S29" s="186" t="s">
        <v>15</v>
      </c>
      <c r="T29" s="186" t="s">
        <v>15</v>
      </c>
      <c r="U29" s="186" t="s">
        <v>15</v>
      </c>
      <c r="V29" s="186" t="s">
        <v>15</v>
      </c>
      <c r="W29" s="186" t="s">
        <v>15</v>
      </c>
      <c r="X29" s="186" t="s">
        <v>15</v>
      </c>
      <c r="Y29" s="186" t="s">
        <v>15</v>
      </c>
      <c r="Z29" s="186"/>
      <c r="AA29" s="186" t="s">
        <v>137</v>
      </c>
      <c r="AB29" s="186" t="s">
        <v>20</v>
      </c>
      <c r="AC29" s="186" t="s">
        <v>15</v>
      </c>
      <c r="AD29" s="270" t="s">
        <v>138</v>
      </c>
      <c r="AE29" s="270" t="s">
        <v>92</v>
      </c>
      <c r="AF29" s="144" t="str">
        <f t="shared" si="0"/>
        <v/>
      </c>
      <c r="AG29" s="144" t="str">
        <f t="shared" si="1"/>
        <v/>
      </c>
      <c r="AH29" s="146" t="str">
        <f t="shared" si="2"/>
        <v/>
      </c>
      <c r="AI29" s="146" t="str">
        <f t="shared" si="3"/>
        <v/>
      </c>
      <c r="AJ29" s="304"/>
      <c r="AK29" s="303"/>
      <c r="AL29" s="303"/>
      <c r="AM29" s="303"/>
      <c r="AN29" s="303"/>
      <c r="AO29" s="303"/>
      <c r="AP29" s="303"/>
      <c r="AQ29" s="303"/>
      <c r="AR29" s="303"/>
      <c r="AS29" s="171"/>
      <c r="AT29" s="171"/>
      <c r="AU29" s="310"/>
      <c r="AW29" s="350"/>
      <c r="AX29" s="294"/>
      <c r="AY29" s="294"/>
      <c r="AZ29" s="294"/>
      <c r="BA29" s="294"/>
      <c r="BB29" s="294"/>
      <c r="BC29" s="294"/>
      <c r="BD29" s="294"/>
      <c r="BE29" s="294"/>
      <c r="BF29" s="386"/>
      <c r="BG29" s="385">
        <v>20.995000000000001</v>
      </c>
      <c r="BH29" s="278"/>
      <c r="BI29" s="365"/>
      <c r="BJ29" s="409"/>
    </row>
    <row r="30" spans="1:62" ht="15.75" customHeight="1" thickBot="1" x14ac:dyDescent="0.25">
      <c r="A30" s="154">
        <v>29</v>
      </c>
      <c r="B30" s="155">
        <v>1</v>
      </c>
      <c r="C30" s="148" t="s">
        <v>11</v>
      </c>
      <c r="D30" s="148" t="s">
        <v>426</v>
      </c>
      <c r="E30" s="148" t="s">
        <v>13</v>
      </c>
      <c r="F30" s="148" t="s">
        <v>141</v>
      </c>
      <c r="G30" s="148" t="s">
        <v>15</v>
      </c>
      <c r="H30" s="148" t="s">
        <v>134</v>
      </c>
      <c r="I30" s="163">
        <v>2013</v>
      </c>
      <c r="J30" s="161" t="s">
        <v>135</v>
      </c>
      <c r="K30" s="161" t="s">
        <v>136</v>
      </c>
      <c r="L30" s="161" t="s">
        <v>19</v>
      </c>
      <c r="M30" s="453" t="s">
        <v>4104</v>
      </c>
      <c r="N30" s="186" t="s">
        <v>20</v>
      </c>
      <c r="O30" s="186" t="s">
        <v>15</v>
      </c>
      <c r="P30" s="186" t="s">
        <v>20</v>
      </c>
      <c r="Q30" s="186" t="s">
        <v>20</v>
      </c>
      <c r="R30" s="186" t="s">
        <v>20</v>
      </c>
      <c r="S30" s="186" t="s">
        <v>15</v>
      </c>
      <c r="T30" s="186" t="s">
        <v>15</v>
      </c>
      <c r="U30" s="186" t="s">
        <v>15</v>
      </c>
      <c r="V30" s="186" t="s">
        <v>15</v>
      </c>
      <c r="W30" s="186" t="s">
        <v>15</v>
      </c>
      <c r="X30" s="186" t="s">
        <v>15</v>
      </c>
      <c r="Y30" s="186" t="s">
        <v>15</v>
      </c>
      <c r="Z30" s="186"/>
      <c r="AA30" s="186" t="s">
        <v>137</v>
      </c>
      <c r="AB30" s="186" t="s">
        <v>20</v>
      </c>
      <c r="AC30" s="186" t="s">
        <v>15</v>
      </c>
      <c r="AD30" s="270" t="s">
        <v>138</v>
      </c>
      <c r="AE30" s="270" t="s">
        <v>92</v>
      </c>
      <c r="AF30" s="144" t="str">
        <f t="shared" si="0"/>
        <v/>
      </c>
      <c r="AG30" s="144" t="str">
        <f t="shared" si="1"/>
        <v/>
      </c>
      <c r="AH30" s="146" t="str">
        <f t="shared" si="2"/>
        <v/>
      </c>
      <c r="AI30" s="146" t="str">
        <f t="shared" si="3"/>
        <v/>
      </c>
      <c r="AJ30" s="304"/>
      <c r="AK30" s="303"/>
      <c r="AL30" s="303"/>
      <c r="AM30" s="303"/>
      <c r="AN30" s="303"/>
      <c r="AO30" s="303"/>
      <c r="AP30" s="303"/>
      <c r="AQ30" s="303"/>
      <c r="AR30" s="303"/>
      <c r="AS30" s="171"/>
      <c r="AT30" s="171"/>
      <c r="AU30" s="310"/>
      <c r="AW30" s="350"/>
      <c r="AX30" s="294"/>
      <c r="AY30" s="294"/>
      <c r="AZ30" s="294"/>
      <c r="BA30" s="294"/>
      <c r="BB30" s="294"/>
      <c r="BC30" s="294"/>
      <c r="BD30" s="294"/>
      <c r="BE30" s="294"/>
      <c r="BF30" s="386"/>
      <c r="BG30" s="385">
        <v>8.1</v>
      </c>
      <c r="BH30" s="278"/>
      <c r="BI30" s="365"/>
      <c r="BJ30" s="409"/>
    </row>
    <row r="31" spans="1:62" ht="15.75" customHeight="1" thickBot="1" x14ac:dyDescent="0.25">
      <c r="A31" s="156">
        <v>30</v>
      </c>
      <c r="B31" s="155">
        <v>1</v>
      </c>
      <c r="C31" s="148" t="s">
        <v>39</v>
      </c>
      <c r="D31" s="148" t="s">
        <v>40</v>
      </c>
      <c r="E31" s="148" t="s">
        <v>144</v>
      </c>
      <c r="F31" s="148" t="s">
        <v>145</v>
      </c>
      <c r="G31" s="148" t="s">
        <v>15</v>
      </c>
      <c r="H31" s="148" t="s">
        <v>146</v>
      </c>
      <c r="I31" s="161">
        <v>2013</v>
      </c>
      <c r="J31" s="161" t="s">
        <v>147</v>
      </c>
      <c r="K31" s="161" t="s">
        <v>148</v>
      </c>
      <c r="L31" s="161" t="s">
        <v>19</v>
      </c>
      <c r="M31" s="453" t="s">
        <v>4105</v>
      </c>
      <c r="N31" s="186" t="s">
        <v>20</v>
      </c>
      <c r="O31" s="186" t="s">
        <v>15</v>
      </c>
      <c r="P31" s="186" t="s">
        <v>20</v>
      </c>
      <c r="Q31" s="186" t="s">
        <v>20</v>
      </c>
      <c r="R31" s="186" t="s">
        <v>20</v>
      </c>
      <c r="S31" s="186" t="s">
        <v>15</v>
      </c>
      <c r="T31" s="186" t="s">
        <v>15</v>
      </c>
      <c r="U31" s="186" t="s">
        <v>15</v>
      </c>
      <c r="V31" s="186" t="s">
        <v>15</v>
      </c>
      <c r="W31" s="186" t="s">
        <v>15</v>
      </c>
      <c r="X31" s="186" t="s">
        <v>15</v>
      </c>
      <c r="Y31" s="186" t="s">
        <v>15</v>
      </c>
      <c r="Z31" s="186"/>
      <c r="AA31" s="186" t="s">
        <v>149</v>
      </c>
      <c r="AB31" s="186" t="s">
        <v>15</v>
      </c>
      <c r="AC31" s="186" t="s">
        <v>20</v>
      </c>
      <c r="AD31" s="270" t="s">
        <v>150</v>
      </c>
      <c r="AE31" s="270" t="s">
        <v>151</v>
      </c>
      <c r="AF31" s="144" t="str">
        <f t="shared" si="0"/>
        <v/>
      </c>
      <c r="AG31" s="144" t="str">
        <f t="shared" si="1"/>
        <v/>
      </c>
      <c r="AH31" s="146">
        <f t="shared" si="2"/>
        <v>5.8680000000000003</v>
      </c>
      <c r="AI31" s="146">
        <f t="shared" si="3"/>
        <v>5.9710000000000001</v>
      </c>
      <c r="AJ31" s="303"/>
      <c r="AK31" s="303"/>
      <c r="AL31" s="303"/>
      <c r="AM31" s="303"/>
      <c r="AN31" s="303"/>
      <c r="AO31" s="303"/>
      <c r="AP31" s="303"/>
      <c r="AQ31" s="303"/>
      <c r="AR31" s="303"/>
      <c r="AS31" s="170"/>
      <c r="AT31" s="170"/>
      <c r="AU31" s="310"/>
      <c r="AW31" s="294">
        <v>5.8680000000000003</v>
      </c>
      <c r="AX31" s="294"/>
      <c r="AY31" s="294">
        <v>0.10299999999999976</v>
      </c>
      <c r="AZ31" s="294"/>
      <c r="BA31" s="294"/>
      <c r="BB31" s="294"/>
      <c r="BC31" s="294"/>
      <c r="BD31" s="294"/>
      <c r="BE31" s="294"/>
      <c r="BF31" s="383">
        <f>AW31</f>
        <v>5.8680000000000003</v>
      </c>
      <c r="BG31" s="383">
        <v>5.98</v>
      </c>
      <c r="BH31" s="278" t="s">
        <v>152</v>
      </c>
      <c r="BI31" s="365" t="s">
        <v>153</v>
      </c>
      <c r="BJ31" s="409"/>
    </row>
    <row r="32" spans="1:62" ht="14.25" customHeight="1" thickBot="1" x14ac:dyDescent="0.25">
      <c r="A32" s="154">
        <v>31</v>
      </c>
      <c r="B32" s="155">
        <v>1</v>
      </c>
      <c r="C32" s="148" t="s">
        <v>39</v>
      </c>
      <c r="D32" s="148" t="s">
        <v>40</v>
      </c>
      <c r="E32" s="148" t="s">
        <v>144</v>
      </c>
      <c r="F32" s="148" t="s">
        <v>154</v>
      </c>
      <c r="G32" s="148" t="s">
        <v>15</v>
      </c>
      <c r="H32" s="148" t="s">
        <v>146</v>
      </c>
      <c r="I32" s="161">
        <v>2013</v>
      </c>
      <c r="J32" s="161" t="s">
        <v>147</v>
      </c>
      <c r="K32" s="161" t="s">
        <v>148</v>
      </c>
      <c r="L32" s="161" t="s">
        <v>19</v>
      </c>
      <c r="M32" s="453" t="s">
        <v>4105</v>
      </c>
      <c r="N32" s="186" t="s">
        <v>20</v>
      </c>
      <c r="O32" s="186" t="s">
        <v>15</v>
      </c>
      <c r="P32" s="186" t="s">
        <v>20</v>
      </c>
      <c r="Q32" s="186" t="s">
        <v>20</v>
      </c>
      <c r="R32" s="186" t="s">
        <v>20</v>
      </c>
      <c r="S32" s="186" t="s">
        <v>15</v>
      </c>
      <c r="T32" s="186" t="s">
        <v>15</v>
      </c>
      <c r="U32" s="186" t="s">
        <v>15</v>
      </c>
      <c r="V32" s="186" t="s">
        <v>15</v>
      </c>
      <c r="W32" s="186" t="s">
        <v>15</v>
      </c>
      <c r="X32" s="186" t="s">
        <v>15</v>
      </c>
      <c r="Y32" s="186" t="s">
        <v>15</v>
      </c>
      <c r="Z32" s="186"/>
      <c r="AA32" s="186"/>
      <c r="AB32" s="186" t="s">
        <v>15</v>
      </c>
      <c r="AC32" s="186" t="s">
        <v>20</v>
      </c>
      <c r="AD32" s="270" t="s">
        <v>150</v>
      </c>
      <c r="AE32" s="270" t="s">
        <v>151</v>
      </c>
      <c r="AF32" s="144" t="str">
        <f t="shared" si="0"/>
        <v/>
      </c>
      <c r="AG32" s="144" t="str">
        <f t="shared" si="1"/>
        <v/>
      </c>
      <c r="AH32" s="146">
        <f t="shared" si="2"/>
        <v>5.0199999999999996</v>
      </c>
      <c r="AI32" s="146">
        <f t="shared" si="3"/>
        <v>5.1013200000000003</v>
      </c>
      <c r="AJ32" s="303"/>
      <c r="AK32" s="303"/>
      <c r="AL32" s="303"/>
      <c r="AM32" s="303"/>
      <c r="AN32" s="303"/>
      <c r="AO32" s="303"/>
      <c r="AP32" s="303"/>
      <c r="AQ32" s="303"/>
      <c r="AR32" s="303"/>
      <c r="AS32" s="170"/>
      <c r="AT32" s="170"/>
      <c r="AU32" s="310"/>
      <c r="AW32" s="294">
        <v>5.0199999999999996</v>
      </c>
      <c r="AX32" s="294"/>
      <c r="AY32" s="294">
        <v>8.1320000000000475E-2</v>
      </c>
      <c r="AZ32" s="294">
        <v>9.5680000000000001E-2</v>
      </c>
      <c r="BA32" s="294"/>
      <c r="BB32" s="294"/>
      <c r="BC32" s="294"/>
      <c r="BD32" s="294"/>
      <c r="BE32" s="294"/>
      <c r="BF32" s="383">
        <v>5.0199999999999996</v>
      </c>
      <c r="BG32" s="383">
        <v>5.19</v>
      </c>
      <c r="BH32" s="278" t="s">
        <v>155</v>
      </c>
      <c r="BI32" s="365" t="s">
        <v>153</v>
      </c>
      <c r="BJ32" s="409"/>
    </row>
    <row r="33" spans="1:62" ht="15.75" customHeight="1" thickBot="1" x14ac:dyDescent="0.25">
      <c r="A33" s="156">
        <v>32</v>
      </c>
      <c r="B33" s="155">
        <v>1</v>
      </c>
      <c r="C33" s="148" t="s">
        <v>39</v>
      </c>
      <c r="D33" s="148" t="s">
        <v>40</v>
      </c>
      <c r="E33" s="148" t="s">
        <v>13</v>
      </c>
      <c r="F33" s="148" t="s">
        <v>156</v>
      </c>
      <c r="G33" s="148" t="s">
        <v>15</v>
      </c>
      <c r="H33" s="148" t="s">
        <v>16</v>
      </c>
      <c r="I33" s="161">
        <v>2014</v>
      </c>
      <c r="J33" s="161" t="s">
        <v>157</v>
      </c>
      <c r="K33" s="161" t="s">
        <v>158</v>
      </c>
      <c r="L33" s="161" t="s">
        <v>19</v>
      </c>
      <c r="M33" s="453" t="s">
        <v>4106</v>
      </c>
      <c r="N33" s="186" t="s">
        <v>20</v>
      </c>
      <c r="O33" s="186" t="s">
        <v>15</v>
      </c>
      <c r="P33" s="186" t="s">
        <v>15</v>
      </c>
      <c r="Q33" s="186" t="s">
        <v>15</v>
      </c>
      <c r="R33" s="186" t="s">
        <v>15</v>
      </c>
      <c r="S33" s="186" t="s">
        <v>15</v>
      </c>
      <c r="T33" s="186" t="s">
        <v>15</v>
      </c>
      <c r="U33" s="186" t="s">
        <v>15</v>
      </c>
      <c r="V33" s="186" t="s">
        <v>15</v>
      </c>
      <c r="W33" s="186" t="s">
        <v>15</v>
      </c>
      <c r="X33" s="186" t="s">
        <v>15</v>
      </c>
      <c r="Y33" s="186" t="s">
        <v>15</v>
      </c>
      <c r="Z33" s="186"/>
      <c r="AA33" s="186" t="s">
        <v>159</v>
      </c>
      <c r="AB33" s="186" t="s">
        <v>15</v>
      </c>
      <c r="AC33" s="186" t="s">
        <v>20</v>
      </c>
      <c r="AD33" s="270" t="s">
        <v>160</v>
      </c>
      <c r="AE33" s="270" t="s">
        <v>151</v>
      </c>
      <c r="AF33" s="144" t="str">
        <f t="shared" si="0"/>
        <v/>
      </c>
      <c r="AG33" s="144" t="str">
        <f t="shared" si="1"/>
        <v/>
      </c>
      <c r="AH33" s="146">
        <f t="shared" si="2"/>
        <v>2.08</v>
      </c>
      <c r="AI33" s="146" t="str">
        <f t="shared" si="3"/>
        <v/>
      </c>
      <c r="AJ33" s="303"/>
      <c r="AK33" s="303"/>
      <c r="AL33" s="303"/>
      <c r="AM33" s="303"/>
      <c r="AN33" s="303"/>
      <c r="AO33" s="303"/>
      <c r="AP33" s="303"/>
      <c r="AQ33" s="303"/>
      <c r="AR33" s="303"/>
      <c r="AS33" s="170"/>
      <c r="AT33" s="170"/>
      <c r="AU33" s="310" t="s">
        <v>161</v>
      </c>
      <c r="AW33" s="294"/>
      <c r="AX33" s="294"/>
      <c r="AY33" s="294"/>
      <c r="AZ33" s="294"/>
      <c r="BA33" s="294"/>
      <c r="BB33" s="294"/>
      <c r="BC33" s="294"/>
      <c r="BD33" s="294"/>
      <c r="BE33" s="294"/>
      <c r="BF33" s="382">
        <v>2.08</v>
      </c>
      <c r="BG33" s="383"/>
      <c r="BH33" s="278"/>
      <c r="BI33" s="365" t="s">
        <v>153</v>
      </c>
      <c r="BJ33" s="409"/>
    </row>
    <row r="34" spans="1:62" ht="15.75" customHeight="1" thickBot="1" x14ac:dyDescent="0.25">
      <c r="A34" s="154">
        <v>33</v>
      </c>
      <c r="B34" s="155">
        <v>1</v>
      </c>
      <c r="C34" s="148" t="s">
        <v>162</v>
      </c>
      <c r="D34" s="148" t="s">
        <v>2318</v>
      </c>
      <c r="E34" s="148" t="s">
        <v>144</v>
      </c>
      <c r="F34" s="148" t="s">
        <v>164</v>
      </c>
      <c r="G34" s="148" t="s">
        <v>20</v>
      </c>
      <c r="H34" s="148" t="s">
        <v>165</v>
      </c>
      <c r="I34" s="161">
        <v>2014</v>
      </c>
      <c r="J34" s="161" t="s">
        <v>166</v>
      </c>
      <c r="K34" s="161" t="s">
        <v>167</v>
      </c>
      <c r="L34" s="161" t="s">
        <v>168</v>
      </c>
      <c r="M34" s="453" t="s">
        <v>4107</v>
      </c>
      <c r="N34" s="186" t="s">
        <v>20</v>
      </c>
      <c r="O34" s="186" t="s">
        <v>15</v>
      </c>
      <c r="P34" s="186" t="s">
        <v>20</v>
      </c>
      <c r="Q34" s="186" t="s">
        <v>20</v>
      </c>
      <c r="R34" s="186" t="s">
        <v>20</v>
      </c>
      <c r="S34" s="186" t="s">
        <v>20</v>
      </c>
      <c r="T34" s="186" t="s">
        <v>20</v>
      </c>
      <c r="U34" s="186" t="s">
        <v>20</v>
      </c>
      <c r="V34" s="186" t="s">
        <v>15</v>
      </c>
      <c r="W34" s="186" t="s">
        <v>15</v>
      </c>
      <c r="X34" s="186" t="s">
        <v>15</v>
      </c>
      <c r="Y34" s="186" t="s">
        <v>15</v>
      </c>
      <c r="Z34" s="186" t="s">
        <v>169</v>
      </c>
      <c r="AA34" s="186" t="s">
        <v>170</v>
      </c>
      <c r="AB34" s="186" t="s">
        <v>15</v>
      </c>
      <c r="AC34" s="186" t="s">
        <v>20</v>
      </c>
      <c r="AD34" s="270" t="s">
        <v>171</v>
      </c>
      <c r="AE34" s="270"/>
      <c r="AF34" s="144" t="str">
        <f t="shared" si="0"/>
        <v/>
      </c>
      <c r="AG34" s="144" t="str">
        <f t="shared" si="1"/>
        <v/>
      </c>
      <c r="AH34" s="146">
        <f t="shared" si="2"/>
        <v>5.0999999999999997E-2</v>
      </c>
      <c r="AI34" s="146">
        <f t="shared" si="3"/>
        <v>2.3714</v>
      </c>
      <c r="AJ34" s="303"/>
      <c r="AK34" s="303"/>
      <c r="AL34" s="303"/>
      <c r="AM34" s="303"/>
      <c r="AN34" s="303"/>
      <c r="AO34" s="303"/>
      <c r="AP34" s="303"/>
      <c r="AQ34" s="303"/>
      <c r="AR34" s="303"/>
      <c r="AS34" s="170"/>
      <c r="AT34" s="170"/>
      <c r="AU34" s="310"/>
      <c r="AW34" s="294">
        <v>5.11E-2</v>
      </c>
      <c r="AX34" s="294">
        <v>6.3E-3</v>
      </c>
      <c r="AY34" s="294">
        <f>0.0668+2.2472</f>
        <v>2.3140000000000001</v>
      </c>
      <c r="AZ34" s="294"/>
      <c r="BA34" s="294">
        <v>0.12189999999999999</v>
      </c>
      <c r="BB34" s="294">
        <v>2.2100000000000002E-2</v>
      </c>
      <c r="BC34" s="294">
        <v>0.18</v>
      </c>
      <c r="BD34" s="294"/>
      <c r="BE34" s="294"/>
      <c r="BF34" s="383">
        <v>5.0999999999999997E-2</v>
      </c>
      <c r="BG34" s="383">
        <v>2.6987000000000001</v>
      </c>
      <c r="BH34" s="278"/>
      <c r="BI34" s="365" t="s">
        <v>172</v>
      </c>
      <c r="BJ34" s="409"/>
    </row>
    <row r="35" spans="1:62" ht="15.75" customHeight="1" thickBot="1" x14ac:dyDescent="0.25">
      <c r="A35" s="156">
        <v>34</v>
      </c>
      <c r="B35" s="155">
        <v>1</v>
      </c>
      <c r="C35" s="148" t="s">
        <v>162</v>
      </c>
      <c r="D35" s="148" t="s">
        <v>2318</v>
      </c>
      <c r="E35" s="148" t="s">
        <v>144</v>
      </c>
      <c r="F35" s="148" t="s">
        <v>164</v>
      </c>
      <c r="G35" s="148" t="s">
        <v>20</v>
      </c>
      <c r="H35" s="148" t="s">
        <v>173</v>
      </c>
      <c r="I35" s="161">
        <v>2014</v>
      </c>
      <c r="J35" s="161" t="s">
        <v>166</v>
      </c>
      <c r="K35" s="161" t="s">
        <v>167</v>
      </c>
      <c r="L35" s="161" t="s">
        <v>168</v>
      </c>
      <c r="M35" s="453" t="s">
        <v>4107</v>
      </c>
      <c r="N35" s="186" t="s">
        <v>20</v>
      </c>
      <c r="O35" s="186" t="s">
        <v>15</v>
      </c>
      <c r="P35" s="186" t="s">
        <v>20</v>
      </c>
      <c r="Q35" s="186" t="s">
        <v>20</v>
      </c>
      <c r="R35" s="186" t="s">
        <v>20</v>
      </c>
      <c r="S35" s="186" t="s">
        <v>20</v>
      </c>
      <c r="T35" s="186" t="s">
        <v>20</v>
      </c>
      <c r="U35" s="186" t="s">
        <v>20</v>
      </c>
      <c r="V35" s="186" t="s">
        <v>15</v>
      </c>
      <c r="W35" s="186" t="s">
        <v>15</v>
      </c>
      <c r="X35" s="186" t="s">
        <v>15</v>
      </c>
      <c r="Y35" s="186" t="s">
        <v>15</v>
      </c>
      <c r="Z35" s="186" t="s">
        <v>169</v>
      </c>
      <c r="AA35" s="186" t="s">
        <v>170</v>
      </c>
      <c r="AB35" s="186" t="s">
        <v>15</v>
      </c>
      <c r="AC35" s="186" t="s">
        <v>20</v>
      </c>
      <c r="AD35" s="270" t="s">
        <v>171</v>
      </c>
      <c r="AE35" s="270"/>
      <c r="AF35" s="144" t="str">
        <f t="shared" si="0"/>
        <v/>
      </c>
      <c r="AG35" s="144" t="str">
        <f t="shared" si="1"/>
        <v/>
      </c>
      <c r="AH35" s="146">
        <f t="shared" si="2"/>
        <v>8.2299999999999998E-2</v>
      </c>
      <c r="AI35" s="146">
        <f t="shared" si="3"/>
        <v>2.7309999999999999</v>
      </c>
      <c r="AJ35" s="303"/>
      <c r="AK35" s="303"/>
      <c r="AL35" s="303"/>
      <c r="AM35" s="303"/>
      <c r="AN35" s="303"/>
      <c r="AO35" s="303"/>
      <c r="AP35" s="303"/>
      <c r="AQ35" s="303"/>
      <c r="AR35" s="303"/>
      <c r="AS35" s="170"/>
      <c r="AT35" s="170"/>
      <c r="AU35" s="310"/>
      <c r="AW35" s="294">
        <v>8.2299999999999998E-2</v>
      </c>
      <c r="AX35" s="294">
        <v>2.5899999999999999E-2</v>
      </c>
      <c r="AY35" s="294">
        <f>0.3756+2.2472</f>
        <v>2.6227999999999998</v>
      </c>
      <c r="AZ35" s="294"/>
      <c r="BA35" s="294">
        <v>0.12189999999999999</v>
      </c>
      <c r="BB35" s="294">
        <v>2.2100000000000002E-2</v>
      </c>
      <c r="BC35" s="294">
        <v>0.18</v>
      </c>
      <c r="BD35" s="294"/>
      <c r="BE35" s="294"/>
      <c r="BF35" s="383">
        <v>8.2299999999999998E-2</v>
      </c>
      <c r="BG35" s="383">
        <v>3.06</v>
      </c>
      <c r="BH35" s="278"/>
      <c r="BI35" s="365" t="s">
        <v>172</v>
      </c>
      <c r="BJ35" s="409"/>
    </row>
    <row r="36" spans="1:62" ht="15.75" customHeight="1" thickBot="1" x14ac:dyDescent="0.25">
      <c r="A36" s="154">
        <v>35</v>
      </c>
      <c r="B36" s="155">
        <v>1</v>
      </c>
      <c r="C36" s="148" t="s">
        <v>162</v>
      </c>
      <c r="D36" s="148" t="s">
        <v>2318</v>
      </c>
      <c r="E36" s="148" t="s">
        <v>144</v>
      </c>
      <c r="F36" s="148" t="s">
        <v>174</v>
      </c>
      <c r="G36" s="148" t="s">
        <v>15</v>
      </c>
      <c r="H36" s="148" t="s">
        <v>87</v>
      </c>
      <c r="I36" s="161">
        <v>2013</v>
      </c>
      <c r="J36" s="161" t="s">
        <v>175</v>
      </c>
      <c r="K36" s="161" t="s">
        <v>176</v>
      </c>
      <c r="L36" s="161" t="s">
        <v>19</v>
      </c>
      <c r="M36" s="453" t="s">
        <v>4108</v>
      </c>
      <c r="N36" s="186" t="s">
        <v>20</v>
      </c>
      <c r="O36" s="186" t="s">
        <v>15</v>
      </c>
      <c r="P36" s="186" t="s">
        <v>20</v>
      </c>
      <c r="Q36" s="186" t="s">
        <v>20</v>
      </c>
      <c r="R36" s="186" t="s">
        <v>20</v>
      </c>
      <c r="S36" s="186" t="s">
        <v>20</v>
      </c>
      <c r="T36" s="186" t="s">
        <v>15</v>
      </c>
      <c r="U36" s="186" t="s">
        <v>15</v>
      </c>
      <c r="V36" s="186" t="s">
        <v>15</v>
      </c>
      <c r="W36" s="186" t="s">
        <v>15</v>
      </c>
      <c r="X36" s="186" t="s">
        <v>15</v>
      </c>
      <c r="Y36" s="186" t="s">
        <v>15</v>
      </c>
      <c r="Z36" s="186" t="s">
        <v>169</v>
      </c>
      <c r="AA36" s="186" t="s">
        <v>177</v>
      </c>
      <c r="AB36" s="186" t="s">
        <v>15</v>
      </c>
      <c r="AC36" s="186" t="s">
        <v>20</v>
      </c>
      <c r="AD36" s="270" t="s">
        <v>178</v>
      </c>
      <c r="AE36" s="270" t="s">
        <v>179</v>
      </c>
      <c r="AF36" s="144">
        <f t="shared" si="0"/>
        <v>1.34</v>
      </c>
      <c r="AG36" s="144">
        <f t="shared" si="1"/>
        <v>3.9000000000000004</v>
      </c>
      <c r="AH36" s="146">
        <f t="shared" si="2"/>
        <v>0.25857142857142856</v>
      </c>
      <c r="AI36" s="146">
        <f t="shared" si="3"/>
        <v>0.41285714285714287</v>
      </c>
      <c r="AJ36" s="303">
        <f>0.94/0.7</f>
        <v>1.342857142857143</v>
      </c>
      <c r="AK36" s="303"/>
      <c r="AL36" s="303">
        <f>1.79/0.7</f>
        <v>2.5571428571428574</v>
      </c>
      <c r="AM36" s="303">
        <f>5.17/0.7</f>
        <v>7.3857142857142861</v>
      </c>
      <c r="AN36" s="303">
        <f>1.76/0.7</f>
        <v>2.5142857142857147</v>
      </c>
      <c r="AO36" s="303"/>
      <c r="AP36" s="303"/>
      <c r="AQ36" s="303"/>
      <c r="AR36" s="303"/>
      <c r="AS36" s="170">
        <v>1.34</v>
      </c>
      <c r="AT36" s="170">
        <v>13.785714285714286</v>
      </c>
      <c r="AU36" s="310" t="s">
        <v>180</v>
      </c>
      <c r="AW36" s="294">
        <f>0.181/0.7</f>
        <v>0.25857142857142856</v>
      </c>
      <c r="AX36" s="294"/>
      <c r="AY36" s="294">
        <f>0.108/0.7</f>
        <v>0.1542857142857143</v>
      </c>
      <c r="AZ36" s="294">
        <f>0.274/0.7</f>
        <v>0.39142857142857146</v>
      </c>
      <c r="BA36" s="294">
        <f>0.111/0.7</f>
        <v>0.15857142857142859</v>
      </c>
      <c r="BB36" s="294"/>
      <c r="BC36" s="294"/>
      <c r="BD36" s="294"/>
      <c r="BE36" s="294"/>
      <c r="BF36" s="383">
        <f>AW36</f>
        <v>0.25857142857142856</v>
      </c>
      <c r="BG36" s="383">
        <v>0.96285714285714297</v>
      </c>
      <c r="BH36" s="278"/>
      <c r="BI36" s="365" t="s">
        <v>181</v>
      </c>
      <c r="BJ36" s="409"/>
    </row>
    <row r="37" spans="1:62" ht="15.75" customHeight="1" thickBot="1" x14ac:dyDescent="0.25">
      <c r="A37" s="156">
        <v>36</v>
      </c>
      <c r="B37" s="155">
        <v>1</v>
      </c>
      <c r="C37" s="148" t="s">
        <v>11</v>
      </c>
      <c r="D37" s="148" t="s">
        <v>426</v>
      </c>
      <c r="E37" s="148" t="s">
        <v>13</v>
      </c>
      <c r="F37" s="148" t="s">
        <v>182</v>
      </c>
      <c r="G37" s="148" t="s">
        <v>15</v>
      </c>
      <c r="H37" s="148" t="s">
        <v>183</v>
      </c>
      <c r="I37" s="161">
        <v>2013</v>
      </c>
      <c r="J37" s="161" t="s">
        <v>184</v>
      </c>
      <c r="K37" s="161" t="s">
        <v>185</v>
      </c>
      <c r="L37" s="161" t="s">
        <v>19</v>
      </c>
      <c r="M37" s="453" t="s">
        <v>4109</v>
      </c>
      <c r="N37" s="186" t="s">
        <v>20</v>
      </c>
      <c r="O37" s="186" t="s">
        <v>15</v>
      </c>
      <c r="P37" s="186" t="s">
        <v>20</v>
      </c>
      <c r="Q37" s="186" t="s">
        <v>20</v>
      </c>
      <c r="R37" s="186" t="s">
        <v>15</v>
      </c>
      <c r="S37" s="186" t="s">
        <v>15</v>
      </c>
      <c r="T37" s="186" t="s">
        <v>15</v>
      </c>
      <c r="U37" s="186" t="s">
        <v>15</v>
      </c>
      <c r="V37" s="186" t="s">
        <v>15</v>
      </c>
      <c r="W37" s="186" t="s">
        <v>15</v>
      </c>
      <c r="X37" s="186" t="s">
        <v>15</v>
      </c>
      <c r="Y37" s="186" t="s">
        <v>15</v>
      </c>
      <c r="Z37" s="186"/>
      <c r="AA37" s="186" t="s">
        <v>186</v>
      </c>
      <c r="AB37" s="186" t="s">
        <v>15</v>
      </c>
      <c r="AC37" s="186" t="s">
        <v>15</v>
      </c>
      <c r="AD37" s="270" t="s">
        <v>138</v>
      </c>
      <c r="AE37" s="270" t="s">
        <v>92</v>
      </c>
      <c r="AF37" s="144" t="str">
        <f t="shared" si="0"/>
        <v/>
      </c>
      <c r="AG37" s="144" t="str">
        <f t="shared" si="1"/>
        <v/>
      </c>
      <c r="AH37" s="146" t="str">
        <f t="shared" si="2"/>
        <v/>
      </c>
      <c r="AI37" s="146" t="str">
        <f t="shared" si="3"/>
        <v/>
      </c>
      <c r="AJ37" s="303"/>
      <c r="AK37" s="303"/>
      <c r="AL37" s="303"/>
      <c r="AM37" s="303"/>
      <c r="AN37" s="303"/>
      <c r="AO37" s="303"/>
      <c r="AP37" s="303"/>
      <c r="AQ37" s="303"/>
      <c r="AR37" s="303"/>
      <c r="AS37" s="170"/>
      <c r="AT37" s="170"/>
      <c r="AU37" s="310"/>
      <c r="AW37" s="294"/>
      <c r="AX37" s="294"/>
      <c r="AY37" s="294"/>
      <c r="AZ37" s="294"/>
      <c r="BA37" s="294"/>
      <c r="BB37" s="294"/>
      <c r="BC37" s="294"/>
      <c r="BD37" s="294"/>
      <c r="BE37" s="294"/>
      <c r="BF37" s="383"/>
      <c r="BG37" s="382">
        <v>5.3</v>
      </c>
      <c r="BH37" s="278"/>
      <c r="BI37" s="365"/>
      <c r="BJ37" s="409"/>
    </row>
    <row r="38" spans="1:62" ht="15.75" customHeight="1" thickBot="1" x14ac:dyDescent="0.25">
      <c r="A38" s="154">
        <v>37</v>
      </c>
      <c r="B38" s="155">
        <v>1</v>
      </c>
      <c r="C38" s="148" t="s">
        <v>11</v>
      </c>
      <c r="D38" s="148" t="s">
        <v>187</v>
      </c>
      <c r="E38" s="148" t="s">
        <v>13</v>
      </c>
      <c r="F38" s="148" t="s">
        <v>182</v>
      </c>
      <c r="G38" s="148" t="s">
        <v>15</v>
      </c>
      <c r="H38" s="148" t="s">
        <v>183</v>
      </c>
      <c r="I38" s="161">
        <v>2013</v>
      </c>
      <c r="J38" s="161" t="s">
        <v>184</v>
      </c>
      <c r="K38" s="161" t="s">
        <v>185</v>
      </c>
      <c r="L38" s="161" t="s">
        <v>19</v>
      </c>
      <c r="M38" s="453" t="s">
        <v>4109</v>
      </c>
      <c r="N38" s="186" t="s">
        <v>20</v>
      </c>
      <c r="O38" s="186" t="s">
        <v>15</v>
      </c>
      <c r="P38" s="186" t="s">
        <v>20</v>
      </c>
      <c r="Q38" s="186" t="s">
        <v>20</v>
      </c>
      <c r="R38" s="186" t="s">
        <v>15</v>
      </c>
      <c r="S38" s="186" t="s">
        <v>15</v>
      </c>
      <c r="T38" s="186" t="s">
        <v>15</v>
      </c>
      <c r="U38" s="186" t="s">
        <v>15</v>
      </c>
      <c r="V38" s="186" t="s">
        <v>15</v>
      </c>
      <c r="W38" s="186" t="s">
        <v>15</v>
      </c>
      <c r="X38" s="186" t="s">
        <v>15</v>
      </c>
      <c r="Y38" s="186" t="s">
        <v>15</v>
      </c>
      <c r="Z38" s="186"/>
      <c r="AA38" s="186" t="s">
        <v>186</v>
      </c>
      <c r="AB38" s="186" t="s">
        <v>15</v>
      </c>
      <c r="AC38" s="186" t="s">
        <v>15</v>
      </c>
      <c r="AD38" s="270" t="s">
        <v>138</v>
      </c>
      <c r="AE38" s="270" t="s">
        <v>92</v>
      </c>
      <c r="AF38" s="144" t="str">
        <f t="shared" si="0"/>
        <v/>
      </c>
      <c r="AG38" s="144" t="str">
        <f t="shared" si="1"/>
        <v/>
      </c>
      <c r="AH38" s="146" t="str">
        <f t="shared" si="2"/>
        <v/>
      </c>
      <c r="AI38" s="146" t="str">
        <f t="shared" si="3"/>
        <v/>
      </c>
      <c r="AJ38" s="303"/>
      <c r="AK38" s="303"/>
      <c r="AL38" s="303"/>
      <c r="AM38" s="303"/>
      <c r="AN38" s="303"/>
      <c r="AO38" s="303"/>
      <c r="AP38" s="303"/>
      <c r="AQ38" s="303"/>
      <c r="AR38" s="303"/>
      <c r="AS38" s="170"/>
      <c r="AT38" s="170"/>
      <c r="AU38" s="310"/>
      <c r="AW38" s="294"/>
      <c r="AX38" s="294"/>
      <c r="AY38" s="294"/>
      <c r="AZ38" s="294"/>
      <c r="BA38" s="294"/>
      <c r="BB38" s="294"/>
      <c r="BC38" s="294"/>
      <c r="BD38" s="294"/>
      <c r="BE38" s="294"/>
      <c r="BF38" s="383"/>
      <c r="BG38" s="382">
        <v>1.8</v>
      </c>
      <c r="BH38" s="278"/>
      <c r="BI38" s="365"/>
      <c r="BJ38" s="409"/>
    </row>
    <row r="39" spans="1:62" ht="15.75" customHeight="1" thickBot="1" x14ac:dyDescent="0.25">
      <c r="A39" s="156">
        <v>38</v>
      </c>
      <c r="B39" s="155">
        <v>1</v>
      </c>
      <c r="C39" s="148" t="s">
        <v>11</v>
      </c>
      <c r="D39" s="148" t="s">
        <v>142</v>
      </c>
      <c r="E39" s="148" t="s">
        <v>13</v>
      </c>
      <c r="F39" s="148" t="s">
        <v>182</v>
      </c>
      <c r="G39" s="148" t="s">
        <v>15</v>
      </c>
      <c r="H39" s="148" t="s">
        <v>183</v>
      </c>
      <c r="I39" s="161">
        <v>2013</v>
      </c>
      <c r="J39" s="161" t="s">
        <v>184</v>
      </c>
      <c r="K39" s="161" t="s">
        <v>185</v>
      </c>
      <c r="L39" s="161" t="s">
        <v>19</v>
      </c>
      <c r="M39" s="453" t="s">
        <v>4109</v>
      </c>
      <c r="N39" s="186" t="s">
        <v>20</v>
      </c>
      <c r="O39" s="186" t="s">
        <v>15</v>
      </c>
      <c r="P39" s="186" t="s">
        <v>20</v>
      </c>
      <c r="Q39" s="186" t="s">
        <v>20</v>
      </c>
      <c r="R39" s="186" t="s">
        <v>15</v>
      </c>
      <c r="S39" s="186" t="s">
        <v>15</v>
      </c>
      <c r="T39" s="186" t="s">
        <v>15</v>
      </c>
      <c r="U39" s="186" t="s">
        <v>15</v>
      </c>
      <c r="V39" s="186" t="s">
        <v>15</v>
      </c>
      <c r="W39" s="186" t="s">
        <v>15</v>
      </c>
      <c r="X39" s="186" t="s">
        <v>15</v>
      </c>
      <c r="Y39" s="186" t="s">
        <v>15</v>
      </c>
      <c r="Z39" s="186"/>
      <c r="AA39" s="186" t="s">
        <v>186</v>
      </c>
      <c r="AB39" s="186" t="s">
        <v>15</v>
      </c>
      <c r="AC39" s="186" t="s">
        <v>15</v>
      </c>
      <c r="AD39" s="270" t="s">
        <v>138</v>
      </c>
      <c r="AE39" s="270" t="s">
        <v>92</v>
      </c>
      <c r="AF39" s="144" t="str">
        <f t="shared" si="0"/>
        <v/>
      </c>
      <c r="AG39" s="144" t="str">
        <f t="shared" si="1"/>
        <v/>
      </c>
      <c r="AH39" s="146" t="str">
        <f t="shared" si="2"/>
        <v/>
      </c>
      <c r="AI39" s="146" t="str">
        <f t="shared" si="3"/>
        <v/>
      </c>
      <c r="AJ39" s="303"/>
      <c r="AK39" s="303"/>
      <c r="AL39" s="303"/>
      <c r="AM39" s="303"/>
      <c r="AN39" s="303"/>
      <c r="AO39" s="303"/>
      <c r="AP39" s="303"/>
      <c r="AQ39" s="303"/>
      <c r="AR39" s="303"/>
      <c r="AS39" s="170"/>
      <c r="AT39" s="170"/>
      <c r="AU39" s="310"/>
      <c r="AW39" s="294"/>
      <c r="AX39" s="294"/>
      <c r="AY39" s="294"/>
      <c r="AZ39" s="294"/>
      <c r="BA39" s="294"/>
      <c r="BB39" s="294"/>
      <c r="BC39" s="294"/>
      <c r="BD39" s="294"/>
      <c r="BE39" s="294"/>
      <c r="BF39" s="383"/>
      <c r="BG39" s="382">
        <v>2.1</v>
      </c>
      <c r="BH39" s="278"/>
      <c r="BI39" s="365"/>
      <c r="BJ39" s="409"/>
    </row>
    <row r="40" spans="1:62" ht="15.75" customHeight="1" thickBot="1" x14ac:dyDescent="0.25">
      <c r="A40" s="154">
        <v>39</v>
      </c>
      <c r="B40" s="155">
        <v>1</v>
      </c>
      <c r="C40" s="148" t="s">
        <v>11</v>
      </c>
      <c r="D40" s="148" t="s">
        <v>188</v>
      </c>
      <c r="E40" s="148" t="s">
        <v>13</v>
      </c>
      <c r="F40" s="148" t="s">
        <v>182</v>
      </c>
      <c r="G40" s="148" t="s">
        <v>15</v>
      </c>
      <c r="H40" s="148" t="s">
        <v>183</v>
      </c>
      <c r="I40" s="161">
        <v>2013</v>
      </c>
      <c r="J40" s="161" t="s">
        <v>184</v>
      </c>
      <c r="K40" s="161" t="s">
        <v>185</v>
      </c>
      <c r="L40" s="161" t="s">
        <v>19</v>
      </c>
      <c r="M40" s="453" t="s">
        <v>4109</v>
      </c>
      <c r="N40" s="186" t="s">
        <v>20</v>
      </c>
      <c r="O40" s="186" t="s">
        <v>15</v>
      </c>
      <c r="P40" s="186" t="s">
        <v>20</v>
      </c>
      <c r="Q40" s="186" t="s">
        <v>20</v>
      </c>
      <c r="R40" s="186" t="s">
        <v>15</v>
      </c>
      <c r="S40" s="186" t="s">
        <v>15</v>
      </c>
      <c r="T40" s="186" t="s">
        <v>15</v>
      </c>
      <c r="U40" s="186" t="s">
        <v>15</v>
      </c>
      <c r="V40" s="186" t="s">
        <v>15</v>
      </c>
      <c r="W40" s="186" t="s">
        <v>15</v>
      </c>
      <c r="X40" s="186" t="s">
        <v>15</v>
      </c>
      <c r="Y40" s="186" t="s">
        <v>15</v>
      </c>
      <c r="Z40" s="186"/>
      <c r="AA40" s="186" t="s">
        <v>186</v>
      </c>
      <c r="AB40" s="186" t="s">
        <v>15</v>
      </c>
      <c r="AC40" s="186" t="s">
        <v>15</v>
      </c>
      <c r="AD40" s="270" t="s">
        <v>138</v>
      </c>
      <c r="AE40" s="270" t="s">
        <v>92</v>
      </c>
      <c r="AF40" s="144" t="str">
        <f t="shared" si="0"/>
        <v/>
      </c>
      <c r="AG40" s="144" t="str">
        <f t="shared" si="1"/>
        <v/>
      </c>
      <c r="AH40" s="146" t="str">
        <f t="shared" si="2"/>
        <v/>
      </c>
      <c r="AI40" s="146" t="str">
        <f t="shared" si="3"/>
        <v/>
      </c>
      <c r="AJ40" s="303"/>
      <c r="AK40" s="303"/>
      <c r="AL40" s="303"/>
      <c r="AM40" s="303"/>
      <c r="AN40" s="303"/>
      <c r="AO40" s="303"/>
      <c r="AP40" s="303"/>
      <c r="AQ40" s="303"/>
      <c r="AR40" s="303"/>
      <c r="AS40" s="170"/>
      <c r="AT40" s="170"/>
      <c r="AU40" s="310"/>
      <c r="AW40" s="294"/>
      <c r="AX40" s="294"/>
      <c r="AY40" s="294"/>
      <c r="AZ40" s="294"/>
      <c r="BA40" s="294"/>
      <c r="BB40" s="294"/>
      <c r="BC40" s="294"/>
      <c r="BD40" s="294"/>
      <c r="BE40" s="294"/>
      <c r="BF40" s="383"/>
      <c r="BG40" s="382">
        <v>2.5</v>
      </c>
      <c r="BH40" s="278"/>
      <c r="BI40" s="365"/>
      <c r="BJ40" s="409"/>
    </row>
    <row r="41" spans="1:62" ht="15.75" customHeight="1" thickBot="1" x14ac:dyDescent="0.25">
      <c r="A41" s="156">
        <v>40</v>
      </c>
      <c r="B41" s="155">
        <v>1</v>
      </c>
      <c r="C41" s="148" t="s">
        <v>11</v>
      </c>
      <c r="D41" s="148" t="s">
        <v>140</v>
      </c>
      <c r="E41" s="148" t="s">
        <v>13</v>
      </c>
      <c r="F41" s="148" t="s">
        <v>182</v>
      </c>
      <c r="G41" s="148" t="s">
        <v>15</v>
      </c>
      <c r="H41" s="148" t="s">
        <v>183</v>
      </c>
      <c r="I41" s="161">
        <v>2013</v>
      </c>
      <c r="J41" s="161" t="s">
        <v>184</v>
      </c>
      <c r="K41" s="161" t="s">
        <v>185</v>
      </c>
      <c r="L41" s="161" t="s">
        <v>19</v>
      </c>
      <c r="M41" s="453" t="s">
        <v>4109</v>
      </c>
      <c r="N41" s="186" t="s">
        <v>20</v>
      </c>
      <c r="O41" s="186" t="s">
        <v>15</v>
      </c>
      <c r="P41" s="186" t="s">
        <v>20</v>
      </c>
      <c r="Q41" s="186" t="s">
        <v>20</v>
      </c>
      <c r="R41" s="186" t="s">
        <v>15</v>
      </c>
      <c r="S41" s="186" t="s">
        <v>15</v>
      </c>
      <c r="T41" s="186" t="s">
        <v>15</v>
      </c>
      <c r="U41" s="186" t="s">
        <v>15</v>
      </c>
      <c r="V41" s="186" t="s">
        <v>15</v>
      </c>
      <c r="W41" s="186" t="s">
        <v>15</v>
      </c>
      <c r="X41" s="186" t="s">
        <v>15</v>
      </c>
      <c r="Y41" s="186" t="s">
        <v>15</v>
      </c>
      <c r="Z41" s="186"/>
      <c r="AA41" s="186" t="s">
        <v>186</v>
      </c>
      <c r="AB41" s="186" t="s">
        <v>15</v>
      </c>
      <c r="AC41" s="186" t="s">
        <v>20</v>
      </c>
      <c r="AD41" s="270" t="s">
        <v>138</v>
      </c>
      <c r="AE41" s="270" t="s">
        <v>92</v>
      </c>
      <c r="AF41" s="144" t="str">
        <f t="shared" si="0"/>
        <v/>
      </c>
      <c r="AG41" s="144" t="str">
        <f t="shared" si="1"/>
        <v/>
      </c>
      <c r="AH41" s="146">
        <f t="shared" si="2"/>
        <v>1.2635000000000001</v>
      </c>
      <c r="AI41" s="146">
        <f t="shared" si="3"/>
        <v>1.57325</v>
      </c>
      <c r="AJ41" s="303"/>
      <c r="AK41" s="303"/>
      <c r="AL41" s="303"/>
      <c r="AM41" s="303"/>
      <c r="AN41" s="303"/>
      <c r="AO41" s="303"/>
      <c r="AP41" s="303"/>
      <c r="AQ41" s="303"/>
      <c r="AR41" s="303"/>
      <c r="AS41" s="170"/>
      <c r="AT41" s="170"/>
      <c r="AU41" s="310"/>
      <c r="AW41" s="294">
        <v>1.2635000000000001</v>
      </c>
      <c r="AX41" s="294">
        <f>0.009*1.75</f>
        <v>1.575E-2</v>
      </c>
      <c r="AY41" s="294">
        <f>0.168*1.75</f>
        <v>0.29400000000000004</v>
      </c>
      <c r="AZ41" s="294">
        <f>0.101*1.75</f>
        <v>0.17675000000000002</v>
      </c>
      <c r="BA41" s="294"/>
      <c r="BB41" s="294"/>
      <c r="BC41" s="294"/>
      <c r="BD41" s="294"/>
      <c r="BE41" s="294"/>
      <c r="BF41" s="383">
        <v>1.2635000000000001</v>
      </c>
      <c r="BG41" s="383">
        <v>1.75</v>
      </c>
      <c r="BH41" s="278"/>
      <c r="BI41" s="365" t="s">
        <v>189</v>
      </c>
      <c r="BJ41" s="409"/>
    </row>
    <row r="42" spans="1:62" ht="15.75" customHeight="1" thickBot="1" x14ac:dyDescent="0.25">
      <c r="A42" s="154">
        <v>41</v>
      </c>
      <c r="B42" s="155">
        <v>1</v>
      </c>
      <c r="C42" s="148" t="s">
        <v>11</v>
      </c>
      <c r="D42" s="150" t="s">
        <v>12</v>
      </c>
      <c r="E42" s="148" t="s">
        <v>13</v>
      </c>
      <c r="F42" s="148" t="s">
        <v>182</v>
      </c>
      <c r="G42" s="148" t="s">
        <v>15</v>
      </c>
      <c r="H42" s="148" t="s">
        <v>183</v>
      </c>
      <c r="I42" s="161">
        <v>2013</v>
      </c>
      <c r="J42" s="161" t="s">
        <v>184</v>
      </c>
      <c r="K42" s="161" t="s">
        <v>185</v>
      </c>
      <c r="L42" s="161" t="s">
        <v>19</v>
      </c>
      <c r="M42" s="453" t="s">
        <v>4109</v>
      </c>
      <c r="N42" s="186" t="s">
        <v>20</v>
      </c>
      <c r="O42" s="186" t="s">
        <v>15</v>
      </c>
      <c r="P42" s="186" t="s">
        <v>20</v>
      </c>
      <c r="Q42" s="186" t="s">
        <v>20</v>
      </c>
      <c r="R42" s="186" t="s">
        <v>15</v>
      </c>
      <c r="S42" s="186" t="s">
        <v>15</v>
      </c>
      <c r="T42" s="186" t="s">
        <v>15</v>
      </c>
      <c r="U42" s="186" t="s">
        <v>15</v>
      </c>
      <c r="V42" s="186" t="s">
        <v>15</v>
      </c>
      <c r="W42" s="186" t="s">
        <v>15</v>
      </c>
      <c r="X42" s="186" t="s">
        <v>15</v>
      </c>
      <c r="Y42" s="186" t="s">
        <v>15</v>
      </c>
      <c r="Z42" s="186"/>
      <c r="AA42" s="186" t="s">
        <v>186</v>
      </c>
      <c r="AB42" s="186" t="s">
        <v>15</v>
      </c>
      <c r="AC42" s="186" t="s">
        <v>20</v>
      </c>
      <c r="AD42" s="270" t="s">
        <v>138</v>
      </c>
      <c r="AE42" s="270" t="s">
        <v>92</v>
      </c>
      <c r="AF42" s="144" t="str">
        <f t="shared" si="0"/>
        <v/>
      </c>
      <c r="AG42" s="144" t="str">
        <f t="shared" si="1"/>
        <v/>
      </c>
      <c r="AH42" s="146">
        <f t="shared" si="2"/>
        <v>0.86899999999999999</v>
      </c>
      <c r="AI42" s="146">
        <f t="shared" si="3"/>
        <v>0.94399999999999995</v>
      </c>
      <c r="AJ42" s="303"/>
      <c r="AK42" s="303"/>
      <c r="AL42" s="303"/>
      <c r="AM42" s="303"/>
      <c r="AN42" s="303"/>
      <c r="AO42" s="303"/>
      <c r="AP42" s="303"/>
      <c r="AQ42" s="303"/>
      <c r="AR42" s="303"/>
      <c r="AS42" s="170"/>
      <c r="AT42" s="170"/>
      <c r="AU42" s="310"/>
      <c r="AW42" s="294">
        <f>0.869*BG42</f>
        <v>0.86899999999999999</v>
      </c>
      <c r="AX42" s="294">
        <f>0.01*1</f>
        <v>0.01</v>
      </c>
      <c r="AY42" s="294">
        <f>0.065*1</f>
        <v>6.5000000000000002E-2</v>
      </c>
      <c r="AZ42" s="294">
        <f>0.055*1</f>
        <v>5.5E-2</v>
      </c>
      <c r="BA42" s="294"/>
      <c r="BB42" s="294"/>
      <c r="BC42" s="294"/>
      <c r="BD42" s="294"/>
      <c r="BE42" s="294"/>
      <c r="BF42" s="383">
        <v>0.86899999999999999</v>
      </c>
      <c r="BG42" s="383">
        <v>1</v>
      </c>
      <c r="BH42" s="278"/>
      <c r="BI42" s="365" t="s">
        <v>190</v>
      </c>
      <c r="BJ42" s="409"/>
    </row>
    <row r="43" spans="1:62" ht="15.75" customHeight="1" thickBot="1" x14ac:dyDescent="0.25">
      <c r="A43" s="156">
        <v>42</v>
      </c>
      <c r="B43" s="155">
        <v>1</v>
      </c>
      <c r="C43" s="148" t="s">
        <v>11</v>
      </c>
      <c r="D43" s="148" t="s">
        <v>191</v>
      </c>
      <c r="E43" s="148" t="s">
        <v>13</v>
      </c>
      <c r="F43" s="148" t="s">
        <v>192</v>
      </c>
      <c r="G43" s="148" t="s">
        <v>15</v>
      </c>
      <c r="H43" s="148" t="s">
        <v>183</v>
      </c>
      <c r="I43" s="161">
        <v>2013</v>
      </c>
      <c r="J43" s="161" t="s">
        <v>184</v>
      </c>
      <c r="K43" s="161" t="s">
        <v>185</v>
      </c>
      <c r="L43" s="161" t="s">
        <v>19</v>
      </c>
      <c r="M43" s="453" t="s">
        <v>4109</v>
      </c>
      <c r="N43" s="186" t="s">
        <v>20</v>
      </c>
      <c r="O43" s="186" t="s">
        <v>15</v>
      </c>
      <c r="P43" s="186" t="s">
        <v>20</v>
      </c>
      <c r="Q43" s="186" t="s">
        <v>20</v>
      </c>
      <c r="R43" s="186" t="s">
        <v>15</v>
      </c>
      <c r="S43" s="186" t="s">
        <v>15</v>
      </c>
      <c r="T43" s="186" t="s">
        <v>15</v>
      </c>
      <c r="U43" s="186" t="s">
        <v>15</v>
      </c>
      <c r="V43" s="186" t="s">
        <v>15</v>
      </c>
      <c r="W43" s="186" t="s">
        <v>15</v>
      </c>
      <c r="X43" s="186" t="s">
        <v>15</v>
      </c>
      <c r="Y43" s="186" t="s">
        <v>15</v>
      </c>
      <c r="Z43" s="186"/>
      <c r="AA43" s="186" t="s">
        <v>186</v>
      </c>
      <c r="AB43" s="186" t="s">
        <v>15</v>
      </c>
      <c r="AC43" s="186" t="s">
        <v>15</v>
      </c>
      <c r="AD43" s="270" t="s">
        <v>138</v>
      </c>
      <c r="AE43" s="270" t="s">
        <v>92</v>
      </c>
      <c r="AF43" s="144" t="str">
        <f t="shared" si="0"/>
        <v/>
      </c>
      <c r="AG43" s="144" t="str">
        <f t="shared" si="1"/>
        <v/>
      </c>
      <c r="AH43" s="146" t="str">
        <f t="shared" si="2"/>
        <v/>
      </c>
      <c r="AI43" s="146" t="str">
        <f t="shared" si="3"/>
        <v/>
      </c>
      <c r="AJ43" s="303"/>
      <c r="AK43" s="303"/>
      <c r="AL43" s="303"/>
      <c r="AM43" s="303"/>
      <c r="AN43" s="303"/>
      <c r="AO43" s="303"/>
      <c r="AP43" s="303"/>
      <c r="AQ43" s="303"/>
      <c r="AR43" s="303"/>
      <c r="AS43" s="170"/>
      <c r="AT43" s="170"/>
      <c r="AU43" s="310"/>
      <c r="AW43" s="294"/>
      <c r="AX43" s="294"/>
      <c r="AY43" s="294"/>
      <c r="AZ43" s="294"/>
      <c r="BA43" s="294"/>
      <c r="BB43" s="294"/>
      <c r="BC43" s="294"/>
      <c r="BD43" s="294"/>
      <c r="BE43" s="294"/>
      <c r="BF43" s="383"/>
      <c r="BG43" s="382">
        <v>1.1000000000000001</v>
      </c>
      <c r="BH43" s="278"/>
      <c r="BI43" s="365"/>
      <c r="BJ43" s="409"/>
    </row>
    <row r="44" spans="1:62" ht="15.75" customHeight="1" thickBot="1" x14ac:dyDescent="0.25">
      <c r="A44" s="154">
        <v>43</v>
      </c>
      <c r="B44" s="155">
        <v>1</v>
      </c>
      <c r="C44" s="148" t="s">
        <v>11</v>
      </c>
      <c r="D44" s="148" t="s">
        <v>193</v>
      </c>
      <c r="E44" s="148" t="s">
        <v>13</v>
      </c>
      <c r="F44" s="148" t="s">
        <v>182</v>
      </c>
      <c r="G44" s="148" t="s">
        <v>15</v>
      </c>
      <c r="H44" s="148" t="s">
        <v>183</v>
      </c>
      <c r="I44" s="161">
        <v>2013</v>
      </c>
      <c r="J44" s="161" t="s">
        <v>184</v>
      </c>
      <c r="K44" s="161" t="s">
        <v>185</v>
      </c>
      <c r="L44" s="161" t="s">
        <v>19</v>
      </c>
      <c r="M44" s="453" t="s">
        <v>4109</v>
      </c>
      <c r="N44" s="186" t="s">
        <v>20</v>
      </c>
      <c r="O44" s="186" t="s">
        <v>15</v>
      </c>
      <c r="P44" s="186" t="s">
        <v>20</v>
      </c>
      <c r="Q44" s="186" t="s">
        <v>20</v>
      </c>
      <c r="R44" s="186" t="s">
        <v>15</v>
      </c>
      <c r="S44" s="186" t="s">
        <v>15</v>
      </c>
      <c r="T44" s="186" t="s">
        <v>15</v>
      </c>
      <c r="U44" s="186" t="s">
        <v>15</v>
      </c>
      <c r="V44" s="186" t="s">
        <v>15</v>
      </c>
      <c r="W44" s="186" t="s">
        <v>15</v>
      </c>
      <c r="X44" s="186" t="s">
        <v>15</v>
      </c>
      <c r="Y44" s="186" t="s">
        <v>15</v>
      </c>
      <c r="Z44" s="186"/>
      <c r="AA44" s="186" t="s">
        <v>186</v>
      </c>
      <c r="AB44" s="186" t="s">
        <v>15</v>
      </c>
      <c r="AC44" s="186" t="s">
        <v>15</v>
      </c>
      <c r="AD44" s="270" t="s">
        <v>138</v>
      </c>
      <c r="AE44" s="270" t="s">
        <v>92</v>
      </c>
      <c r="AF44" s="144" t="str">
        <f t="shared" si="0"/>
        <v/>
      </c>
      <c r="AG44" s="144" t="str">
        <f t="shared" si="1"/>
        <v/>
      </c>
      <c r="AH44" s="146" t="str">
        <f t="shared" si="2"/>
        <v/>
      </c>
      <c r="AI44" s="146" t="str">
        <f t="shared" si="3"/>
        <v/>
      </c>
      <c r="AJ44" s="303"/>
      <c r="AK44" s="303"/>
      <c r="AL44" s="303"/>
      <c r="AM44" s="303"/>
      <c r="AN44" s="303"/>
      <c r="AO44" s="303"/>
      <c r="AP44" s="303"/>
      <c r="AQ44" s="303"/>
      <c r="AR44" s="303"/>
      <c r="AS44" s="170"/>
      <c r="AT44" s="170"/>
      <c r="AU44" s="310"/>
      <c r="AW44" s="294"/>
      <c r="AX44" s="294"/>
      <c r="AY44" s="294"/>
      <c r="AZ44" s="294"/>
      <c r="BA44" s="294"/>
      <c r="BB44" s="294"/>
      <c r="BC44" s="294"/>
      <c r="BD44" s="294"/>
      <c r="BE44" s="294"/>
      <c r="BF44" s="383"/>
      <c r="BG44" s="382">
        <v>2.1</v>
      </c>
      <c r="BH44" s="278"/>
      <c r="BI44" s="365"/>
      <c r="BJ44" s="409"/>
    </row>
    <row r="45" spans="1:62" ht="15.75" customHeight="1" thickBot="1" x14ac:dyDescent="0.25">
      <c r="A45" s="156">
        <v>44</v>
      </c>
      <c r="B45" s="155">
        <v>1</v>
      </c>
      <c r="C45" s="148" t="s">
        <v>11</v>
      </c>
      <c r="D45" s="148" t="s">
        <v>194</v>
      </c>
      <c r="E45" s="148" t="s">
        <v>13</v>
      </c>
      <c r="F45" s="148" t="s">
        <v>182</v>
      </c>
      <c r="G45" s="148" t="s">
        <v>15</v>
      </c>
      <c r="H45" s="148" t="s">
        <v>183</v>
      </c>
      <c r="I45" s="161">
        <v>2013</v>
      </c>
      <c r="J45" s="161" t="s">
        <v>184</v>
      </c>
      <c r="K45" s="161" t="s">
        <v>185</v>
      </c>
      <c r="L45" s="161" t="s">
        <v>19</v>
      </c>
      <c r="M45" s="453" t="s">
        <v>4109</v>
      </c>
      <c r="N45" s="186" t="s">
        <v>20</v>
      </c>
      <c r="O45" s="186" t="s">
        <v>15</v>
      </c>
      <c r="P45" s="186" t="s">
        <v>20</v>
      </c>
      <c r="Q45" s="186" t="s">
        <v>20</v>
      </c>
      <c r="R45" s="186" t="s">
        <v>15</v>
      </c>
      <c r="S45" s="186" t="s">
        <v>15</v>
      </c>
      <c r="T45" s="186" t="s">
        <v>15</v>
      </c>
      <c r="U45" s="186" t="s">
        <v>15</v>
      </c>
      <c r="V45" s="186" t="s">
        <v>15</v>
      </c>
      <c r="W45" s="186" t="s">
        <v>15</v>
      </c>
      <c r="X45" s="186" t="s">
        <v>15</v>
      </c>
      <c r="Y45" s="186" t="s">
        <v>15</v>
      </c>
      <c r="Z45" s="186"/>
      <c r="AA45" s="186" t="s">
        <v>186</v>
      </c>
      <c r="AB45" s="186" t="s">
        <v>15</v>
      </c>
      <c r="AC45" s="186" t="s">
        <v>15</v>
      </c>
      <c r="AD45" s="270" t="s">
        <v>138</v>
      </c>
      <c r="AE45" s="270" t="s">
        <v>92</v>
      </c>
      <c r="AF45" s="144" t="str">
        <f t="shared" si="0"/>
        <v/>
      </c>
      <c r="AG45" s="144" t="str">
        <f t="shared" si="1"/>
        <v/>
      </c>
      <c r="AH45" s="146" t="str">
        <f t="shared" si="2"/>
        <v/>
      </c>
      <c r="AI45" s="146" t="str">
        <f t="shared" si="3"/>
        <v/>
      </c>
      <c r="AJ45" s="303"/>
      <c r="AK45" s="303"/>
      <c r="AL45" s="303"/>
      <c r="AM45" s="303"/>
      <c r="AN45" s="303"/>
      <c r="AO45" s="303"/>
      <c r="AP45" s="303"/>
      <c r="AQ45" s="303"/>
      <c r="AR45" s="303"/>
      <c r="AS45" s="170"/>
      <c r="AT45" s="170"/>
      <c r="AU45" s="310"/>
      <c r="AW45" s="294"/>
      <c r="AX45" s="294"/>
      <c r="AY45" s="294"/>
      <c r="AZ45" s="294"/>
      <c r="BA45" s="294"/>
      <c r="BB45" s="294"/>
      <c r="BC45" s="294"/>
      <c r="BD45" s="294"/>
      <c r="BE45" s="294"/>
      <c r="BF45" s="383"/>
      <c r="BG45" s="382">
        <v>10.1</v>
      </c>
      <c r="BH45" s="278"/>
      <c r="BI45" s="365"/>
      <c r="BJ45" s="409"/>
    </row>
    <row r="46" spans="1:62" ht="15.75" customHeight="1" thickBot="1" x14ac:dyDescent="0.25">
      <c r="A46" s="154">
        <v>45</v>
      </c>
      <c r="B46" s="155">
        <v>1</v>
      </c>
      <c r="C46" s="148" t="s">
        <v>11</v>
      </c>
      <c r="D46" s="148" t="s">
        <v>195</v>
      </c>
      <c r="E46" s="148" t="s">
        <v>13</v>
      </c>
      <c r="F46" s="148" t="s">
        <v>182</v>
      </c>
      <c r="G46" s="148" t="s">
        <v>15</v>
      </c>
      <c r="H46" s="148" t="s">
        <v>183</v>
      </c>
      <c r="I46" s="161">
        <v>2013</v>
      </c>
      <c r="J46" s="161" t="s">
        <v>184</v>
      </c>
      <c r="K46" s="161" t="s">
        <v>185</v>
      </c>
      <c r="L46" s="161" t="s">
        <v>19</v>
      </c>
      <c r="M46" s="453" t="s">
        <v>4109</v>
      </c>
      <c r="N46" s="186" t="s">
        <v>20</v>
      </c>
      <c r="O46" s="186" t="s">
        <v>15</v>
      </c>
      <c r="P46" s="186" t="s">
        <v>20</v>
      </c>
      <c r="Q46" s="186" t="s">
        <v>20</v>
      </c>
      <c r="R46" s="186" t="s">
        <v>15</v>
      </c>
      <c r="S46" s="186" t="s">
        <v>15</v>
      </c>
      <c r="T46" s="186" t="s">
        <v>15</v>
      </c>
      <c r="U46" s="186" t="s">
        <v>15</v>
      </c>
      <c r="V46" s="186" t="s">
        <v>15</v>
      </c>
      <c r="W46" s="186" t="s">
        <v>15</v>
      </c>
      <c r="X46" s="186" t="s">
        <v>15</v>
      </c>
      <c r="Y46" s="186" t="s">
        <v>15</v>
      </c>
      <c r="Z46" s="186"/>
      <c r="AA46" s="186" t="s">
        <v>186</v>
      </c>
      <c r="AB46" s="186" t="s">
        <v>15</v>
      </c>
      <c r="AC46" s="186" t="s">
        <v>15</v>
      </c>
      <c r="AD46" s="270" t="s">
        <v>138</v>
      </c>
      <c r="AE46" s="270" t="s">
        <v>92</v>
      </c>
      <c r="AF46" s="144" t="str">
        <f t="shared" si="0"/>
        <v/>
      </c>
      <c r="AG46" s="144" t="str">
        <f t="shared" si="1"/>
        <v/>
      </c>
      <c r="AH46" s="146" t="str">
        <f t="shared" si="2"/>
        <v/>
      </c>
      <c r="AI46" s="146" t="str">
        <f t="shared" si="3"/>
        <v/>
      </c>
      <c r="AJ46" s="303"/>
      <c r="AK46" s="303"/>
      <c r="AL46" s="303"/>
      <c r="AM46" s="303"/>
      <c r="AN46" s="303"/>
      <c r="AO46" s="303"/>
      <c r="AP46" s="303"/>
      <c r="AQ46" s="303"/>
      <c r="AR46" s="303"/>
      <c r="AS46" s="170"/>
      <c r="AT46" s="170"/>
      <c r="AU46" s="310"/>
      <c r="AW46" s="294"/>
      <c r="AX46" s="294"/>
      <c r="AY46" s="294"/>
      <c r="AZ46" s="294"/>
      <c r="BA46" s="294"/>
      <c r="BB46" s="294"/>
      <c r="BC46" s="294"/>
      <c r="BD46" s="294"/>
      <c r="BE46" s="294"/>
      <c r="BF46" s="383"/>
      <c r="BG46" s="382">
        <v>3.1</v>
      </c>
      <c r="BH46" s="278"/>
      <c r="BI46" s="365"/>
      <c r="BJ46" s="409"/>
    </row>
    <row r="47" spans="1:62" ht="15.75" customHeight="1" thickBot="1" x14ac:dyDescent="0.25">
      <c r="A47" s="156">
        <v>46</v>
      </c>
      <c r="B47" s="155">
        <v>1</v>
      </c>
      <c r="C47" s="148" t="s">
        <v>11</v>
      </c>
      <c r="D47" s="148" t="s">
        <v>143</v>
      </c>
      <c r="E47" s="148" t="s">
        <v>13</v>
      </c>
      <c r="F47" s="148" t="s">
        <v>182</v>
      </c>
      <c r="G47" s="148" t="s">
        <v>15</v>
      </c>
      <c r="H47" s="148" t="s">
        <v>183</v>
      </c>
      <c r="I47" s="161">
        <v>2013</v>
      </c>
      <c r="J47" s="161" t="s">
        <v>184</v>
      </c>
      <c r="K47" s="161" t="s">
        <v>185</v>
      </c>
      <c r="L47" s="161" t="s">
        <v>19</v>
      </c>
      <c r="M47" s="453" t="s">
        <v>4109</v>
      </c>
      <c r="N47" s="186" t="s">
        <v>20</v>
      </c>
      <c r="O47" s="186" t="s">
        <v>15</v>
      </c>
      <c r="P47" s="186" t="s">
        <v>20</v>
      </c>
      <c r="Q47" s="186" t="s">
        <v>20</v>
      </c>
      <c r="R47" s="186" t="s">
        <v>15</v>
      </c>
      <c r="S47" s="186" t="s">
        <v>15</v>
      </c>
      <c r="T47" s="186" t="s">
        <v>15</v>
      </c>
      <c r="U47" s="186" t="s">
        <v>15</v>
      </c>
      <c r="V47" s="186" t="s">
        <v>15</v>
      </c>
      <c r="W47" s="186" t="s">
        <v>15</v>
      </c>
      <c r="X47" s="186" t="s">
        <v>15</v>
      </c>
      <c r="Y47" s="186" t="s">
        <v>15</v>
      </c>
      <c r="Z47" s="186"/>
      <c r="AA47" s="186" t="s">
        <v>186</v>
      </c>
      <c r="AB47" s="186" t="s">
        <v>15</v>
      </c>
      <c r="AC47" s="186" t="s">
        <v>15</v>
      </c>
      <c r="AD47" s="270" t="s">
        <v>138</v>
      </c>
      <c r="AE47" s="270" t="s">
        <v>92</v>
      </c>
      <c r="AF47" s="144" t="str">
        <f t="shared" si="0"/>
        <v/>
      </c>
      <c r="AG47" s="144" t="str">
        <f t="shared" si="1"/>
        <v/>
      </c>
      <c r="AH47" s="146" t="str">
        <f t="shared" si="2"/>
        <v/>
      </c>
      <c r="AI47" s="146" t="str">
        <f t="shared" si="3"/>
        <v/>
      </c>
      <c r="AJ47" s="303"/>
      <c r="AK47" s="303"/>
      <c r="AL47" s="303"/>
      <c r="AM47" s="303"/>
      <c r="AN47" s="303"/>
      <c r="AO47" s="303"/>
      <c r="AP47" s="303"/>
      <c r="AQ47" s="303"/>
      <c r="AR47" s="303"/>
      <c r="AS47" s="170"/>
      <c r="AT47" s="170"/>
      <c r="AU47" s="310"/>
      <c r="AW47" s="294"/>
      <c r="AX47" s="294"/>
      <c r="AY47" s="294"/>
      <c r="AZ47" s="294"/>
      <c r="BA47" s="294"/>
      <c r="BB47" s="294"/>
      <c r="BC47" s="294"/>
      <c r="BD47" s="294"/>
      <c r="BE47" s="294"/>
      <c r="BF47" s="383"/>
      <c r="BG47" s="382">
        <v>7.3</v>
      </c>
      <c r="BH47" s="278"/>
      <c r="BI47" s="365"/>
      <c r="BJ47" s="409"/>
    </row>
    <row r="48" spans="1:62" ht="15.75" customHeight="1" thickBot="1" x14ac:dyDescent="0.25">
      <c r="A48" s="154">
        <v>47</v>
      </c>
      <c r="B48" s="155">
        <v>1</v>
      </c>
      <c r="C48" s="148" t="s">
        <v>162</v>
      </c>
      <c r="D48" s="148" t="s">
        <v>2318</v>
      </c>
      <c r="E48" s="148" t="s">
        <v>196</v>
      </c>
      <c r="F48" s="148" t="s">
        <v>197</v>
      </c>
      <c r="G48" s="148" t="s">
        <v>15</v>
      </c>
      <c r="H48" s="148" t="s">
        <v>87</v>
      </c>
      <c r="I48" s="161">
        <v>2014</v>
      </c>
      <c r="J48" s="161" t="s">
        <v>198</v>
      </c>
      <c r="K48" s="161" t="s">
        <v>199</v>
      </c>
      <c r="L48" s="161" t="s">
        <v>19</v>
      </c>
      <c r="M48" s="453" t="s">
        <v>4110</v>
      </c>
      <c r="N48" s="186" t="s">
        <v>20</v>
      </c>
      <c r="O48" s="186" t="s">
        <v>20</v>
      </c>
      <c r="P48" s="186" t="s">
        <v>20</v>
      </c>
      <c r="Q48" s="186" t="s">
        <v>20</v>
      </c>
      <c r="R48" s="186" t="s">
        <v>20</v>
      </c>
      <c r="S48" s="186" t="s">
        <v>20</v>
      </c>
      <c r="T48" s="186" t="s">
        <v>15</v>
      </c>
      <c r="U48" s="186" t="s">
        <v>15</v>
      </c>
      <c r="V48" s="186" t="s">
        <v>15</v>
      </c>
      <c r="W48" s="186" t="s">
        <v>15</v>
      </c>
      <c r="X48" s="186" t="s">
        <v>15</v>
      </c>
      <c r="Y48" s="186" t="s">
        <v>15</v>
      </c>
      <c r="Z48" s="186" t="s">
        <v>200</v>
      </c>
      <c r="AA48" s="186" t="s">
        <v>201</v>
      </c>
      <c r="AB48" s="186" t="s">
        <v>20</v>
      </c>
      <c r="AC48" s="186" t="s">
        <v>20</v>
      </c>
      <c r="AD48" s="270" t="s">
        <v>202</v>
      </c>
      <c r="AE48" s="270" t="s">
        <v>92</v>
      </c>
      <c r="AF48" s="144">
        <f t="shared" si="0"/>
        <v>4.5528000000000004</v>
      </c>
      <c r="AG48" s="144">
        <f t="shared" si="1"/>
        <v>7.6028000000000002</v>
      </c>
      <c r="AH48" s="146">
        <f t="shared" si="2"/>
        <v>0.38</v>
      </c>
      <c r="AI48" s="146">
        <f t="shared" si="3"/>
        <v>0.56830000000000003</v>
      </c>
      <c r="AJ48" s="303">
        <v>4.5528000000000004</v>
      </c>
      <c r="AK48" s="303"/>
      <c r="AL48" s="303">
        <v>3.05</v>
      </c>
      <c r="AM48" s="303">
        <v>7.9802</v>
      </c>
      <c r="AN48" s="303"/>
      <c r="AO48" s="303"/>
      <c r="AP48" s="303"/>
      <c r="AQ48" s="303"/>
      <c r="AR48" s="303"/>
      <c r="AS48" s="171">
        <v>4.5528000000000004</v>
      </c>
      <c r="AT48" s="171">
        <v>15.583</v>
      </c>
      <c r="AU48" s="310" t="s">
        <v>203</v>
      </c>
      <c r="AV48" s="323"/>
      <c r="AW48" s="294">
        <v>0.38</v>
      </c>
      <c r="AX48" s="294"/>
      <c r="AY48" s="294">
        <v>0.1883</v>
      </c>
      <c r="AZ48" s="294">
        <v>0.4985</v>
      </c>
      <c r="BA48" s="294"/>
      <c r="BB48" s="294"/>
      <c r="BC48" s="294"/>
      <c r="BD48" s="294"/>
      <c r="BE48" s="294"/>
      <c r="BF48" s="386">
        <v>0.38</v>
      </c>
      <c r="BG48" s="386">
        <v>1.0649</v>
      </c>
      <c r="BH48" s="278"/>
      <c r="BI48" s="365" t="s">
        <v>203</v>
      </c>
      <c r="BJ48" s="409"/>
    </row>
    <row r="49" spans="1:62" ht="15.75" customHeight="1" thickBot="1" x14ac:dyDescent="0.25">
      <c r="A49" s="156">
        <v>48</v>
      </c>
      <c r="B49" s="155">
        <v>1</v>
      </c>
      <c r="C49" s="148" t="s">
        <v>162</v>
      </c>
      <c r="D49" s="148" t="s">
        <v>2318</v>
      </c>
      <c r="E49" s="148" t="s">
        <v>196</v>
      </c>
      <c r="F49" s="148" t="s">
        <v>197</v>
      </c>
      <c r="G49" s="148" t="s">
        <v>15</v>
      </c>
      <c r="H49" s="148" t="s">
        <v>87</v>
      </c>
      <c r="I49" s="161">
        <v>2014</v>
      </c>
      <c r="J49" s="161" t="s">
        <v>198</v>
      </c>
      <c r="K49" s="161" t="s">
        <v>199</v>
      </c>
      <c r="L49" s="161" t="s">
        <v>19</v>
      </c>
      <c r="M49" s="453" t="s">
        <v>4110</v>
      </c>
      <c r="N49" s="186" t="s">
        <v>20</v>
      </c>
      <c r="O49" s="186" t="s">
        <v>20</v>
      </c>
      <c r="P49" s="186" t="s">
        <v>20</v>
      </c>
      <c r="Q49" s="186" t="s">
        <v>20</v>
      </c>
      <c r="R49" s="186" t="s">
        <v>20</v>
      </c>
      <c r="S49" s="186" t="s">
        <v>20</v>
      </c>
      <c r="T49" s="186" t="s">
        <v>15</v>
      </c>
      <c r="U49" s="186" t="s">
        <v>15</v>
      </c>
      <c r="V49" s="186" t="s">
        <v>15</v>
      </c>
      <c r="W49" s="186" t="s">
        <v>15</v>
      </c>
      <c r="X49" s="186" t="s">
        <v>15</v>
      </c>
      <c r="Y49" s="186" t="s">
        <v>15</v>
      </c>
      <c r="Z49" s="186" t="s">
        <v>200</v>
      </c>
      <c r="AA49" s="186" t="s">
        <v>204</v>
      </c>
      <c r="AB49" s="186" t="s">
        <v>20</v>
      </c>
      <c r="AC49" s="186" t="s">
        <v>20</v>
      </c>
      <c r="AD49" s="270" t="s">
        <v>202</v>
      </c>
      <c r="AE49" s="270" t="s">
        <v>92</v>
      </c>
      <c r="AF49" s="144">
        <f t="shared" si="0"/>
        <v>7.1342999999999996</v>
      </c>
      <c r="AG49" s="144">
        <f t="shared" si="1"/>
        <v>12.2843</v>
      </c>
      <c r="AH49" s="146">
        <f t="shared" si="2"/>
        <v>0.59240000000000004</v>
      </c>
      <c r="AI49" s="146">
        <f t="shared" si="3"/>
        <v>0.93830000000000002</v>
      </c>
      <c r="AJ49" s="303">
        <v>7.1342999999999996</v>
      </c>
      <c r="AK49" s="303"/>
      <c r="AL49" s="303">
        <v>5.15</v>
      </c>
      <c r="AM49" s="303">
        <v>11.0403</v>
      </c>
      <c r="AN49" s="303"/>
      <c r="AO49" s="303"/>
      <c r="AP49" s="303"/>
      <c r="AQ49" s="303"/>
      <c r="AR49" s="303"/>
      <c r="AS49" s="171">
        <v>7.1342999999999996</v>
      </c>
      <c r="AT49" s="171">
        <v>23.3247</v>
      </c>
      <c r="AU49" s="310" t="s">
        <v>203</v>
      </c>
      <c r="AV49" s="323"/>
      <c r="AW49" s="294">
        <v>0.59240000000000004</v>
      </c>
      <c r="AX49" s="294"/>
      <c r="AY49" s="294">
        <v>0.34589999999999999</v>
      </c>
      <c r="AZ49" s="294">
        <v>0.69240000000000002</v>
      </c>
      <c r="BA49" s="294"/>
      <c r="BB49" s="294"/>
      <c r="BC49" s="294"/>
      <c r="BD49" s="294"/>
      <c r="BE49" s="294"/>
      <c r="BF49" s="386">
        <v>0.59240000000000004</v>
      </c>
      <c r="BG49" s="386">
        <v>1.6307</v>
      </c>
      <c r="BH49" s="278"/>
      <c r="BI49" s="365" t="s">
        <v>203</v>
      </c>
      <c r="BJ49" s="409"/>
    </row>
    <row r="50" spans="1:62" ht="15.75" customHeight="1" thickBot="1" x14ac:dyDescent="0.25">
      <c r="A50" s="154">
        <v>49</v>
      </c>
      <c r="B50" s="155">
        <v>1</v>
      </c>
      <c r="C50" s="148" t="s">
        <v>162</v>
      </c>
      <c r="D50" s="148" t="s">
        <v>2318</v>
      </c>
      <c r="E50" s="148" t="s">
        <v>196</v>
      </c>
      <c r="F50" s="148" t="s">
        <v>197</v>
      </c>
      <c r="G50" s="148" t="s">
        <v>15</v>
      </c>
      <c r="H50" s="148" t="s">
        <v>87</v>
      </c>
      <c r="I50" s="161">
        <v>2014</v>
      </c>
      <c r="J50" s="161" t="s">
        <v>198</v>
      </c>
      <c r="K50" s="161" t="s">
        <v>199</v>
      </c>
      <c r="L50" s="161" t="s">
        <v>19</v>
      </c>
      <c r="M50" s="453" t="s">
        <v>4110</v>
      </c>
      <c r="N50" s="186" t="s">
        <v>20</v>
      </c>
      <c r="O50" s="186" t="s">
        <v>20</v>
      </c>
      <c r="P50" s="186" t="s">
        <v>20</v>
      </c>
      <c r="Q50" s="186" t="s">
        <v>20</v>
      </c>
      <c r="R50" s="186" t="s">
        <v>20</v>
      </c>
      <c r="S50" s="186" t="s">
        <v>20</v>
      </c>
      <c r="T50" s="186" t="s">
        <v>15</v>
      </c>
      <c r="U50" s="186" t="s">
        <v>15</v>
      </c>
      <c r="V50" s="186" t="s">
        <v>15</v>
      </c>
      <c r="W50" s="186" t="s">
        <v>15</v>
      </c>
      <c r="X50" s="186" t="s">
        <v>15</v>
      </c>
      <c r="Y50" s="186" t="s">
        <v>15</v>
      </c>
      <c r="Z50" s="186" t="s">
        <v>200</v>
      </c>
      <c r="AA50" s="186" t="s">
        <v>201</v>
      </c>
      <c r="AB50" s="186" t="s">
        <v>20</v>
      </c>
      <c r="AC50" s="186" t="s">
        <v>20</v>
      </c>
      <c r="AD50" s="270" t="s">
        <v>202</v>
      </c>
      <c r="AE50" s="270" t="s">
        <v>92</v>
      </c>
      <c r="AF50" s="144">
        <f t="shared" si="0"/>
        <v>6.5640000000000001</v>
      </c>
      <c r="AG50" s="144">
        <f t="shared" si="1"/>
        <v>11.944099999999999</v>
      </c>
      <c r="AH50" s="146">
        <f t="shared" si="2"/>
        <v>0.54469999999999996</v>
      </c>
      <c r="AI50" s="146">
        <f t="shared" si="3"/>
        <v>0.87399999999999989</v>
      </c>
      <c r="AJ50" s="303">
        <v>6.5640000000000001</v>
      </c>
      <c r="AK50" s="303"/>
      <c r="AL50" s="303">
        <v>5.3800999999999997</v>
      </c>
      <c r="AM50" s="303">
        <v>8.2302</v>
      </c>
      <c r="AN50" s="303"/>
      <c r="AO50" s="303"/>
      <c r="AP50" s="303"/>
      <c r="AQ50" s="303"/>
      <c r="AR50" s="303"/>
      <c r="AS50" s="171">
        <v>6.5640000000000001</v>
      </c>
      <c r="AT50" s="171">
        <v>20.164300000000001</v>
      </c>
      <c r="AU50" s="310" t="s">
        <v>203</v>
      </c>
      <c r="AV50" s="323"/>
      <c r="AW50" s="294">
        <v>0.54469999999999996</v>
      </c>
      <c r="AX50" s="294"/>
      <c r="AY50" s="294">
        <v>0.32929999999999998</v>
      </c>
      <c r="AZ50" s="294">
        <v>0.50719999999999998</v>
      </c>
      <c r="BA50" s="294"/>
      <c r="BB50" s="294"/>
      <c r="BC50" s="294"/>
      <c r="BD50" s="294"/>
      <c r="BE50" s="294"/>
      <c r="BF50" s="386">
        <v>0.54469999999999996</v>
      </c>
      <c r="BG50" s="386">
        <v>1.3813</v>
      </c>
      <c r="BH50" s="278"/>
      <c r="BI50" s="365" t="s">
        <v>203</v>
      </c>
      <c r="BJ50" s="409"/>
    </row>
    <row r="51" spans="1:62" ht="15.75" customHeight="1" thickBot="1" x14ac:dyDescent="0.25">
      <c r="A51" s="156">
        <v>50</v>
      </c>
      <c r="B51" s="155">
        <v>1</v>
      </c>
      <c r="C51" s="148" t="s">
        <v>162</v>
      </c>
      <c r="D51" s="148" t="s">
        <v>2318</v>
      </c>
      <c r="E51" s="148" t="s">
        <v>196</v>
      </c>
      <c r="F51" s="148" t="s">
        <v>197</v>
      </c>
      <c r="G51" s="148" t="s">
        <v>15</v>
      </c>
      <c r="H51" s="148" t="s">
        <v>87</v>
      </c>
      <c r="I51" s="161">
        <v>2014</v>
      </c>
      <c r="J51" s="161" t="s">
        <v>198</v>
      </c>
      <c r="K51" s="161" t="s">
        <v>199</v>
      </c>
      <c r="L51" s="161" t="s">
        <v>19</v>
      </c>
      <c r="M51" s="453" t="s">
        <v>4110</v>
      </c>
      <c r="N51" s="186" t="s">
        <v>20</v>
      </c>
      <c r="O51" s="186" t="s">
        <v>20</v>
      </c>
      <c r="P51" s="186" t="s">
        <v>20</v>
      </c>
      <c r="Q51" s="186" t="s">
        <v>20</v>
      </c>
      <c r="R51" s="186" t="s">
        <v>20</v>
      </c>
      <c r="S51" s="186" t="s">
        <v>20</v>
      </c>
      <c r="T51" s="186" t="s">
        <v>15</v>
      </c>
      <c r="U51" s="186" t="s">
        <v>15</v>
      </c>
      <c r="V51" s="186" t="s">
        <v>15</v>
      </c>
      <c r="W51" s="186" t="s">
        <v>15</v>
      </c>
      <c r="X51" s="186" t="s">
        <v>15</v>
      </c>
      <c r="Y51" s="186" t="s">
        <v>15</v>
      </c>
      <c r="Z51" s="186" t="s">
        <v>200</v>
      </c>
      <c r="AA51" s="186" t="s">
        <v>201</v>
      </c>
      <c r="AB51" s="186" t="s">
        <v>20</v>
      </c>
      <c r="AC51" s="186" t="s">
        <v>20</v>
      </c>
      <c r="AD51" s="270" t="s">
        <v>202</v>
      </c>
      <c r="AE51" s="270" t="s">
        <v>92</v>
      </c>
      <c r="AF51" s="144">
        <f t="shared" si="0"/>
        <v>6.7039999999999997</v>
      </c>
      <c r="AG51" s="144">
        <f t="shared" si="1"/>
        <v>11.674200000000001</v>
      </c>
      <c r="AH51" s="146">
        <f t="shared" si="2"/>
        <v>0.55649999999999999</v>
      </c>
      <c r="AI51" s="146">
        <f t="shared" si="3"/>
        <v>0.8609</v>
      </c>
      <c r="AJ51" s="303">
        <v>6.7041000000000004</v>
      </c>
      <c r="AK51" s="303"/>
      <c r="AL51" s="303">
        <v>4.9701000000000004</v>
      </c>
      <c r="AM51" s="303">
        <v>7.8301999999999996</v>
      </c>
      <c r="AN51" s="303"/>
      <c r="AO51" s="303"/>
      <c r="AP51" s="303"/>
      <c r="AQ51" s="303"/>
      <c r="AR51" s="303"/>
      <c r="AS51" s="171">
        <v>6.7039999999999997</v>
      </c>
      <c r="AT51" s="171">
        <v>19.5044</v>
      </c>
      <c r="AU51" s="310" t="s">
        <v>203</v>
      </c>
      <c r="AV51" s="323"/>
      <c r="AW51" s="294">
        <v>0.55649999999999999</v>
      </c>
      <c r="AX51" s="294"/>
      <c r="AY51" s="294">
        <v>0.3044</v>
      </c>
      <c r="AZ51" s="294">
        <v>0.49070000000000003</v>
      </c>
      <c r="BA51" s="294"/>
      <c r="BB51" s="294"/>
      <c r="BC51" s="294"/>
      <c r="BD51" s="294"/>
      <c r="BE51" s="294"/>
      <c r="BF51" s="386">
        <v>0.55649999999999999</v>
      </c>
      <c r="BG51" s="386">
        <v>1.3515999999999999</v>
      </c>
      <c r="BH51" s="278"/>
      <c r="BI51" s="365" t="s">
        <v>203</v>
      </c>
      <c r="BJ51" s="409"/>
    </row>
    <row r="52" spans="1:62" ht="15.75" customHeight="1" thickBot="1" x14ac:dyDescent="0.25">
      <c r="A52" s="154">
        <v>51</v>
      </c>
      <c r="B52" s="155">
        <v>1</v>
      </c>
      <c r="C52" s="148" t="s">
        <v>162</v>
      </c>
      <c r="D52" s="148" t="s">
        <v>2318</v>
      </c>
      <c r="E52" s="148" t="s">
        <v>196</v>
      </c>
      <c r="F52" s="148" t="s">
        <v>197</v>
      </c>
      <c r="G52" s="148" t="s">
        <v>15</v>
      </c>
      <c r="H52" s="148" t="s">
        <v>87</v>
      </c>
      <c r="I52" s="161">
        <v>2014</v>
      </c>
      <c r="J52" s="161" t="s">
        <v>198</v>
      </c>
      <c r="K52" s="161" t="s">
        <v>199</v>
      </c>
      <c r="L52" s="161" t="s">
        <v>19</v>
      </c>
      <c r="M52" s="453" t="s">
        <v>4110</v>
      </c>
      <c r="N52" s="186" t="s">
        <v>20</v>
      </c>
      <c r="O52" s="186" t="s">
        <v>20</v>
      </c>
      <c r="P52" s="186" t="s">
        <v>20</v>
      </c>
      <c r="Q52" s="186" t="s">
        <v>20</v>
      </c>
      <c r="R52" s="186" t="s">
        <v>20</v>
      </c>
      <c r="S52" s="186" t="s">
        <v>20</v>
      </c>
      <c r="T52" s="186" t="s">
        <v>15</v>
      </c>
      <c r="U52" s="186" t="s">
        <v>15</v>
      </c>
      <c r="V52" s="186" t="s">
        <v>15</v>
      </c>
      <c r="W52" s="186" t="s">
        <v>15</v>
      </c>
      <c r="X52" s="186" t="s">
        <v>15</v>
      </c>
      <c r="Y52" s="186" t="s">
        <v>15</v>
      </c>
      <c r="Z52" s="186" t="s">
        <v>200</v>
      </c>
      <c r="AA52" s="186" t="s">
        <v>205</v>
      </c>
      <c r="AB52" s="186" t="s">
        <v>20</v>
      </c>
      <c r="AC52" s="186" t="s">
        <v>20</v>
      </c>
      <c r="AD52" s="270" t="s">
        <v>202</v>
      </c>
      <c r="AE52" s="270" t="s">
        <v>92</v>
      </c>
      <c r="AF52" s="144">
        <f t="shared" si="0"/>
        <v>6.6741000000000001</v>
      </c>
      <c r="AG52" s="144">
        <f t="shared" si="1"/>
        <v>11.900141000000001</v>
      </c>
      <c r="AH52" s="146">
        <f t="shared" si="2"/>
        <v>0.55420000000000003</v>
      </c>
      <c r="AI52" s="146">
        <f t="shared" si="3"/>
        <v>0.87519999999999998</v>
      </c>
      <c r="AJ52" s="303">
        <v>6.6700410000000003</v>
      </c>
      <c r="AK52" s="303"/>
      <c r="AL52" s="303">
        <v>5.2301000000000002</v>
      </c>
      <c r="AM52" s="303">
        <v>2.1800000000000002</v>
      </c>
      <c r="AN52" s="303"/>
      <c r="AO52" s="303"/>
      <c r="AP52" s="303"/>
      <c r="AQ52" s="303"/>
      <c r="AR52" s="303"/>
      <c r="AS52" s="171">
        <v>6.6741000000000001</v>
      </c>
      <c r="AT52" s="171">
        <v>14.084199999999999</v>
      </c>
      <c r="AU52" s="310" t="s">
        <v>203</v>
      </c>
      <c r="AV52" s="323"/>
      <c r="AW52" s="294">
        <v>0.55420000000000003</v>
      </c>
      <c r="AX52" s="294"/>
      <c r="AY52" s="294">
        <v>0.32100000000000001</v>
      </c>
      <c r="AZ52" s="294">
        <v>0.1202</v>
      </c>
      <c r="BA52" s="294"/>
      <c r="BB52" s="294"/>
      <c r="BC52" s="294"/>
      <c r="BD52" s="294"/>
      <c r="BE52" s="294"/>
      <c r="BF52" s="386">
        <v>0.55420000000000003</v>
      </c>
      <c r="BG52" s="386">
        <v>0.99539999999999995</v>
      </c>
      <c r="BH52" s="278"/>
      <c r="BI52" s="365" t="s">
        <v>203</v>
      </c>
      <c r="BJ52" s="409"/>
    </row>
    <row r="53" spans="1:62" ht="15.75" customHeight="1" thickBot="1" x14ac:dyDescent="0.25">
      <c r="A53" s="156">
        <v>52</v>
      </c>
      <c r="B53" s="155">
        <v>1</v>
      </c>
      <c r="C53" s="148" t="s">
        <v>162</v>
      </c>
      <c r="D53" s="148" t="s">
        <v>2318</v>
      </c>
      <c r="E53" s="148" t="s">
        <v>196</v>
      </c>
      <c r="F53" s="148" t="s">
        <v>197</v>
      </c>
      <c r="G53" s="148" t="s">
        <v>15</v>
      </c>
      <c r="H53" s="148" t="s">
        <v>87</v>
      </c>
      <c r="I53" s="161">
        <v>2014</v>
      </c>
      <c r="J53" s="161" t="s">
        <v>198</v>
      </c>
      <c r="K53" s="161" t="s">
        <v>199</v>
      </c>
      <c r="L53" s="161" t="s">
        <v>19</v>
      </c>
      <c r="M53" s="453" t="s">
        <v>4110</v>
      </c>
      <c r="N53" s="186" t="s">
        <v>20</v>
      </c>
      <c r="O53" s="186" t="s">
        <v>20</v>
      </c>
      <c r="P53" s="186" t="s">
        <v>20</v>
      </c>
      <c r="Q53" s="186" t="s">
        <v>20</v>
      </c>
      <c r="R53" s="186" t="s">
        <v>20</v>
      </c>
      <c r="S53" s="186" t="s">
        <v>20</v>
      </c>
      <c r="T53" s="186" t="s">
        <v>15</v>
      </c>
      <c r="U53" s="186" t="s">
        <v>15</v>
      </c>
      <c r="V53" s="186" t="s">
        <v>15</v>
      </c>
      <c r="W53" s="186" t="s">
        <v>15</v>
      </c>
      <c r="X53" s="186" t="s">
        <v>15</v>
      </c>
      <c r="Y53" s="186" t="s">
        <v>15</v>
      </c>
      <c r="Z53" s="186" t="s">
        <v>200</v>
      </c>
      <c r="AA53" s="186" t="s">
        <v>206</v>
      </c>
      <c r="AB53" s="186" t="s">
        <v>20</v>
      </c>
      <c r="AC53" s="186" t="s">
        <v>20</v>
      </c>
      <c r="AD53" s="270" t="s">
        <v>202</v>
      </c>
      <c r="AE53" s="270" t="s">
        <v>92</v>
      </c>
      <c r="AF53" s="144">
        <f t="shared" si="0"/>
        <v>6.6741000000000001</v>
      </c>
      <c r="AG53" s="144">
        <f t="shared" si="1"/>
        <v>12.460141</v>
      </c>
      <c r="AH53" s="146">
        <f t="shared" si="2"/>
        <v>0.55420000000000003</v>
      </c>
      <c r="AI53" s="146">
        <f t="shared" si="3"/>
        <v>0.90739999999999998</v>
      </c>
      <c r="AJ53" s="303">
        <v>6.6700410000000003</v>
      </c>
      <c r="AK53" s="303"/>
      <c r="AL53" s="303">
        <v>5.7900999999999998</v>
      </c>
      <c r="AM53" s="303">
        <v>1.79</v>
      </c>
      <c r="AN53" s="303"/>
      <c r="AO53" s="303"/>
      <c r="AP53" s="303"/>
      <c r="AQ53" s="303"/>
      <c r="AR53" s="303"/>
      <c r="AS53" s="171">
        <v>6.6741000000000001</v>
      </c>
      <c r="AT53" s="171">
        <v>14.244199999999999</v>
      </c>
      <c r="AU53" s="310" t="s">
        <v>203</v>
      </c>
      <c r="AV53" s="323"/>
      <c r="AW53" s="294">
        <v>0.55420000000000003</v>
      </c>
      <c r="AX53" s="294"/>
      <c r="AY53" s="294">
        <v>0.35320000000000001</v>
      </c>
      <c r="AZ53" s="294">
        <v>9.7000000000000003E-2</v>
      </c>
      <c r="BA53" s="294"/>
      <c r="BB53" s="294"/>
      <c r="BC53" s="294"/>
      <c r="BD53" s="294"/>
      <c r="BE53" s="294"/>
      <c r="BF53" s="386">
        <v>0.55420000000000003</v>
      </c>
      <c r="BG53" s="386">
        <v>1.0043</v>
      </c>
      <c r="BH53" s="278"/>
      <c r="BI53" s="365" t="s">
        <v>203</v>
      </c>
      <c r="BJ53" s="409"/>
    </row>
    <row r="54" spans="1:62" ht="15.75" customHeight="1" thickBot="1" x14ac:dyDescent="0.25">
      <c r="A54" s="154">
        <v>53</v>
      </c>
      <c r="B54" s="155">
        <v>1</v>
      </c>
      <c r="C54" s="148" t="s">
        <v>162</v>
      </c>
      <c r="D54" s="148" t="s">
        <v>2318</v>
      </c>
      <c r="E54" s="148" t="s">
        <v>196</v>
      </c>
      <c r="F54" s="148" t="s">
        <v>197</v>
      </c>
      <c r="G54" s="148" t="s">
        <v>15</v>
      </c>
      <c r="H54" s="148" t="s">
        <v>87</v>
      </c>
      <c r="I54" s="161">
        <v>2014</v>
      </c>
      <c r="J54" s="161" t="s">
        <v>198</v>
      </c>
      <c r="K54" s="161" t="s">
        <v>199</v>
      </c>
      <c r="L54" s="161" t="s">
        <v>19</v>
      </c>
      <c r="M54" s="453" t="s">
        <v>4110</v>
      </c>
      <c r="N54" s="186" t="s">
        <v>20</v>
      </c>
      <c r="O54" s="186" t="s">
        <v>20</v>
      </c>
      <c r="P54" s="186" t="s">
        <v>20</v>
      </c>
      <c r="Q54" s="186" t="s">
        <v>20</v>
      </c>
      <c r="R54" s="186" t="s">
        <v>20</v>
      </c>
      <c r="S54" s="186" t="s">
        <v>20</v>
      </c>
      <c r="T54" s="186" t="s">
        <v>15</v>
      </c>
      <c r="U54" s="186" t="s">
        <v>15</v>
      </c>
      <c r="V54" s="186" t="s">
        <v>15</v>
      </c>
      <c r="W54" s="186" t="s">
        <v>15</v>
      </c>
      <c r="X54" s="186" t="s">
        <v>15</v>
      </c>
      <c r="Y54" s="186" t="s">
        <v>15</v>
      </c>
      <c r="Z54" s="186" t="s">
        <v>200</v>
      </c>
      <c r="AA54" s="186" t="s">
        <v>207</v>
      </c>
      <c r="AB54" s="186" t="s">
        <v>20</v>
      </c>
      <c r="AC54" s="186" t="s">
        <v>20</v>
      </c>
      <c r="AD54" s="270" t="s">
        <v>202</v>
      </c>
      <c r="AE54" s="270" t="s">
        <v>92</v>
      </c>
      <c r="AF54" s="144">
        <f t="shared" si="0"/>
        <v>6.8041</v>
      </c>
      <c r="AG54" s="144">
        <f t="shared" si="1"/>
        <v>12.8842</v>
      </c>
      <c r="AH54" s="146">
        <f t="shared" si="2"/>
        <v>0.56520000000000004</v>
      </c>
      <c r="AI54" s="146">
        <f t="shared" si="3"/>
        <v>0.9355</v>
      </c>
      <c r="AJ54" s="303">
        <v>6.8041</v>
      </c>
      <c r="AK54" s="303"/>
      <c r="AL54" s="303">
        <v>6.0800999999999998</v>
      </c>
      <c r="AM54" s="303">
        <v>1.78</v>
      </c>
      <c r="AN54" s="303"/>
      <c r="AO54" s="303"/>
      <c r="AP54" s="303"/>
      <c r="AQ54" s="303"/>
      <c r="AR54" s="303"/>
      <c r="AS54" s="171">
        <v>6.8041</v>
      </c>
      <c r="AT54" s="171">
        <v>14.674300000000001</v>
      </c>
      <c r="AU54" s="310" t="s">
        <v>203</v>
      </c>
      <c r="AV54" s="323"/>
      <c r="AW54" s="294">
        <v>0.56520000000000004</v>
      </c>
      <c r="AX54" s="294"/>
      <c r="AY54" s="294">
        <v>0.37030000000000002</v>
      </c>
      <c r="AZ54" s="294">
        <v>0.1007</v>
      </c>
      <c r="BA54" s="294"/>
      <c r="BB54" s="294"/>
      <c r="BC54" s="294"/>
      <c r="BD54" s="294"/>
      <c r="BE54" s="294"/>
      <c r="BF54" s="386">
        <v>0.56520000000000004</v>
      </c>
      <c r="BG54" s="386">
        <v>1.0362</v>
      </c>
      <c r="BH54" s="278"/>
      <c r="BI54" s="365" t="s">
        <v>203</v>
      </c>
      <c r="BJ54" s="409"/>
    </row>
    <row r="55" spans="1:62" ht="15.75" customHeight="1" thickBot="1" x14ac:dyDescent="0.25">
      <c r="A55" s="156">
        <v>54</v>
      </c>
      <c r="B55" s="155">
        <v>1</v>
      </c>
      <c r="C55" s="148" t="s">
        <v>162</v>
      </c>
      <c r="D55" s="148" t="s">
        <v>3073</v>
      </c>
      <c r="E55" s="148" t="s">
        <v>196</v>
      </c>
      <c r="F55" s="148" t="s">
        <v>208</v>
      </c>
      <c r="G55" s="148" t="s">
        <v>15</v>
      </c>
      <c r="H55" s="148" t="s">
        <v>87</v>
      </c>
      <c r="I55" s="161">
        <v>2014</v>
      </c>
      <c r="J55" s="161" t="s">
        <v>198</v>
      </c>
      <c r="K55" s="161" t="s">
        <v>199</v>
      </c>
      <c r="L55" s="161" t="s">
        <v>19</v>
      </c>
      <c r="M55" s="453" t="s">
        <v>4110</v>
      </c>
      <c r="N55" s="186" t="s">
        <v>20</v>
      </c>
      <c r="O55" s="186" t="s">
        <v>20</v>
      </c>
      <c r="P55" s="186" t="s">
        <v>20</v>
      </c>
      <c r="Q55" s="186" t="s">
        <v>20</v>
      </c>
      <c r="R55" s="186" t="s">
        <v>20</v>
      </c>
      <c r="S55" s="186" t="s">
        <v>20</v>
      </c>
      <c r="T55" s="186" t="s">
        <v>15</v>
      </c>
      <c r="U55" s="186" t="s">
        <v>15</v>
      </c>
      <c r="V55" s="186" t="s">
        <v>15</v>
      </c>
      <c r="W55" s="186" t="s">
        <v>15</v>
      </c>
      <c r="X55" s="186" t="s">
        <v>15</v>
      </c>
      <c r="Y55" s="186" t="s">
        <v>15</v>
      </c>
      <c r="Z55" s="186" t="s">
        <v>200</v>
      </c>
      <c r="AA55" s="186" t="s">
        <v>209</v>
      </c>
      <c r="AB55" s="186" t="s">
        <v>20</v>
      </c>
      <c r="AC55" s="186" t="s">
        <v>20</v>
      </c>
      <c r="AD55" s="270" t="s">
        <v>202</v>
      </c>
      <c r="AE55" s="270" t="s">
        <v>92</v>
      </c>
      <c r="AF55" s="144">
        <f t="shared" si="0"/>
        <v>6.6340000000000003</v>
      </c>
      <c r="AG55" s="144">
        <f t="shared" si="1"/>
        <v>11.824000000000002</v>
      </c>
      <c r="AH55" s="146">
        <f t="shared" si="2"/>
        <v>0.55049999999999999</v>
      </c>
      <c r="AI55" s="146">
        <f t="shared" si="3"/>
        <v>0.86030000000000006</v>
      </c>
      <c r="AJ55" s="303">
        <v>6.6340000000000003</v>
      </c>
      <c r="AK55" s="303"/>
      <c r="AL55" s="303">
        <v>5.19</v>
      </c>
      <c r="AM55" s="303">
        <v>12.1203</v>
      </c>
      <c r="AN55" s="303"/>
      <c r="AO55" s="303"/>
      <c r="AP55" s="303"/>
      <c r="AQ55" s="303"/>
      <c r="AR55" s="303"/>
      <c r="AS55" s="171">
        <v>6.6340000000000003</v>
      </c>
      <c r="AT55" s="171">
        <v>23.944400000000002</v>
      </c>
      <c r="AU55" s="310" t="s">
        <v>203</v>
      </c>
      <c r="AV55" s="323"/>
      <c r="AW55" s="294">
        <v>0.55049999999999999</v>
      </c>
      <c r="AX55" s="294"/>
      <c r="AY55" s="294">
        <v>0.30980000000000002</v>
      </c>
      <c r="AZ55" s="294">
        <v>0.74760000000000004</v>
      </c>
      <c r="BA55" s="294"/>
      <c r="BB55" s="294"/>
      <c r="BC55" s="294"/>
      <c r="BD55" s="294"/>
      <c r="BE55" s="294"/>
      <c r="BF55" s="386">
        <v>0.55049999999999999</v>
      </c>
      <c r="BG55" s="386">
        <v>1.6077999999999999</v>
      </c>
      <c r="BH55" s="278"/>
      <c r="BI55" s="365" t="s">
        <v>203</v>
      </c>
      <c r="BJ55" s="409"/>
    </row>
    <row r="56" spans="1:62" ht="15.75" customHeight="1" thickBot="1" x14ac:dyDescent="0.25">
      <c r="A56" s="154">
        <v>55</v>
      </c>
      <c r="B56" s="155">
        <v>1</v>
      </c>
      <c r="C56" s="148" t="s">
        <v>162</v>
      </c>
      <c r="D56" s="148" t="s">
        <v>3073</v>
      </c>
      <c r="E56" s="148" t="s">
        <v>196</v>
      </c>
      <c r="F56" s="148" t="s">
        <v>208</v>
      </c>
      <c r="G56" s="148" t="s">
        <v>15</v>
      </c>
      <c r="H56" s="148" t="s">
        <v>87</v>
      </c>
      <c r="I56" s="161">
        <v>2014</v>
      </c>
      <c r="J56" s="161" t="s">
        <v>198</v>
      </c>
      <c r="K56" s="161" t="s">
        <v>199</v>
      </c>
      <c r="L56" s="161" t="s">
        <v>19</v>
      </c>
      <c r="M56" s="453" t="s">
        <v>4110</v>
      </c>
      <c r="N56" s="186" t="s">
        <v>20</v>
      </c>
      <c r="O56" s="186" t="s">
        <v>20</v>
      </c>
      <c r="P56" s="186" t="s">
        <v>20</v>
      </c>
      <c r="Q56" s="186" t="s">
        <v>20</v>
      </c>
      <c r="R56" s="186" t="s">
        <v>20</v>
      </c>
      <c r="S56" s="186" t="s">
        <v>20</v>
      </c>
      <c r="T56" s="186" t="s">
        <v>15</v>
      </c>
      <c r="U56" s="186" t="s">
        <v>15</v>
      </c>
      <c r="V56" s="186" t="s">
        <v>15</v>
      </c>
      <c r="W56" s="186" t="s">
        <v>15</v>
      </c>
      <c r="X56" s="186" t="s">
        <v>15</v>
      </c>
      <c r="Y56" s="186" t="s">
        <v>15</v>
      </c>
      <c r="Z56" s="186" t="s">
        <v>200</v>
      </c>
      <c r="AA56" s="186" t="s">
        <v>210</v>
      </c>
      <c r="AB56" s="186" t="s">
        <v>20</v>
      </c>
      <c r="AC56" s="186" t="s">
        <v>20</v>
      </c>
      <c r="AD56" s="270" t="s">
        <v>202</v>
      </c>
      <c r="AE56" s="270" t="s">
        <v>92</v>
      </c>
      <c r="AF56" s="144">
        <f t="shared" si="0"/>
        <v>5.4733000000000001</v>
      </c>
      <c r="AG56" s="144">
        <f t="shared" si="1"/>
        <v>9.1533999999999995</v>
      </c>
      <c r="AH56" s="146">
        <f t="shared" si="2"/>
        <v>0.45419999999999999</v>
      </c>
      <c r="AI56" s="146">
        <f t="shared" si="3"/>
        <v>0.67730000000000001</v>
      </c>
      <c r="AJ56" s="303">
        <v>5.4733000000000001</v>
      </c>
      <c r="AK56" s="303"/>
      <c r="AL56" s="303">
        <v>3.6800999999999999</v>
      </c>
      <c r="AM56" s="303">
        <v>12.2705</v>
      </c>
      <c r="AN56" s="303"/>
      <c r="AO56" s="303"/>
      <c r="AP56" s="303"/>
      <c r="AQ56" s="303"/>
      <c r="AR56" s="303"/>
      <c r="AS56" s="171">
        <v>5.4733000000000001</v>
      </c>
      <c r="AT56" s="171">
        <v>21.4239</v>
      </c>
      <c r="AU56" s="310" t="s">
        <v>203</v>
      </c>
      <c r="AV56" s="323"/>
      <c r="AW56" s="294">
        <v>0.45419999999999999</v>
      </c>
      <c r="AX56" s="294"/>
      <c r="AY56" s="294">
        <v>0.22309999999999999</v>
      </c>
      <c r="AZ56" s="294">
        <v>0.82540000000000002</v>
      </c>
      <c r="BA56" s="294"/>
      <c r="BB56" s="294"/>
      <c r="BC56" s="294"/>
      <c r="BD56" s="294"/>
      <c r="BE56" s="294"/>
      <c r="BF56" s="386">
        <v>0.45419999999999999</v>
      </c>
      <c r="BG56" s="386">
        <v>1.5025999999999999</v>
      </c>
      <c r="BH56" s="278"/>
      <c r="BI56" s="365" t="s">
        <v>203</v>
      </c>
      <c r="BJ56" s="409"/>
    </row>
    <row r="57" spans="1:62" ht="15.75" customHeight="1" thickBot="1" x14ac:dyDescent="0.25">
      <c r="A57" s="156">
        <v>56</v>
      </c>
      <c r="B57" s="155">
        <v>1</v>
      </c>
      <c r="C57" s="148" t="s">
        <v>162</v>
      </c>
      <c r="D57" s="148" t="s">
        <v>3073</v>
      </c>
      <c r="E57" s="148" t="s">
        <v>196</v>
      </c>
      <c r="F57" s="148" t="s">
        <v>208</v>
      </c>
      <c r="G57" s="148" t="s">
        <v>15</v>
      </c>
      <c r="H57" s="148" t="s">
        <v>87</v>
      </c>
      <c r="I57" s="161">
        <v>2014</v>
      </c>
      <c r="J57" s="161" t="s">
        <v>198</v>
      </c>
      <c r="K57" s="161" t="s">
        <v>199</v>
      </c>
      <c r="L57" s="161" t="s">
        <v>19</v>
      </c>
      <c r="M57" s="453" t="s">
        <v>4110</v>
      </c>
      <c r="N57" s="186" t="s">
        <v>20</v>
      </c>
      <c r="O57" s="186" t="s">
        <v>20</v>
      </c>
      <c r="P57" s="186" t="s">
        <v>20</v>
      </c>
      <c r="Q57" s="186" t="s">
        <v>20</v>
      </c>
      <c r="R57" s="186" t="s">
        <v>20</v>
      </c>
      <c r="S57" s="186" t="s">
        <v>20</v>
      </c>
      <c r="T57" s="186" t="s">
        <v>15</v>
      </c>
      <c r="U57" s="186" t="s">
        <v>15</v>
      </c>
      <c r="V57" s="186" t="s">
        <v>15</v>
      </c>
      <c r="W57" s="186" t="s">
        <v>15</v>
      </c>
      <c r="X57" s="186" t="s">
        <v>15</v>
      </c>
      <c r="Y57" s="186" t="s">
        <v>15</v>
      </c>
      <c r="Z57" s="186" t="s">
        <v>200</v>
      </c>
      <c r="AA57" s="186" t="s">
        <v>210</v>
      </c>
      <c r="AB57" s="186" t="s">
        <v>20</v>
      </c>
      <c r="AC57" s="186" t="s">
        <v>20</v>
      </c>
      <c r="AD57" s="270" t="s">
        <v>202</v>
      </c>
      <c r="AE57" s="270" t="s">
        <v>92</v>
      </c>
      <c r="AF57" s="144">
        <f t="shared" si="0"/>
        <v>5.4733000000000001</v>
      </c>
      <c r="AG57" s="144">
        <f t="shared" si="1"/>
        <v>9.1533999999999995</v>
      </c>
      <c r="AH57" s="146">
        <f t="shared" si="2"/>
        <v>0.4551</v>
      </c>
      <c r="AI57" s="146">
        <f t="shared" si="3"/>
        <v>0.67820000000000003</v>
      </c>
      <c r="AJ57" s="303">
        <v>5.4733000000000001</v>
      </c>
      <c r="AK57" s="303"/>
      <c r="AL57" s="303">
        <v>3.6800999999999999</v>
      </c>
      <c r="AM57" s="303">
        <v>12.2005</v>
      </c>
      <c r="AN57" s="303"/>
      <c r="AO57" s="303"/>
      <c r="AP57" s="303"/>
      <c r="AQ57" s="303"/>
      <c r="AR57" s="303"/>
      <c r="AS57" s="171">
        <v>5.4733000000000001</v>
      </c>
      <c r="AT57" s="171">
        <v>21.353899999999999</v>
      </c>
      <c r="AU57" s="310" t="s">
        <v>203</v>
      </c>
      <c r="AV57" s="323"/>
      <c r="AW57" s="294">
        <v>0.4551</v>
      </c>
      <c r="AX57" s="294"/>
      <c r="AY57" s="294">
        <v>0.22309999999999999</v>
      </c>
      <c r="AZ57" s="294">
        <v>0.82650000000000001</v>
      </c>
      <c r="BA57" s="294"/>
      <c r="BB57" s="294"/>
      <c r="BC57" s="294"/>
      <c r="BD57" s="294"/>
      <c r="BE57" s="294"/>
      <c r="BF57" s="386">
        <v>0.4551</v>
      </c>
      <c r="BG57" s="386">
        <v>1.5038</v>
      </c>
      <c r="BH57" s="278"/>
      <c r="BI57" s="365" t="s">
        <v>203</v>
      </c>
      <c r="BJ57" s="409"/>
    </row>
    <row r="58" spans="1:62" ht="15.75" customHeight="1" thickBot="1" x14ac:dyDescent="0.25">
      <c r="A58" s="154">
        <v>57</v>
      </c>
      <c r="B58" s="155">
        <v>1</v>
      </c>
      <c r="C58" s="148" t="s">
        <v>162</v>
      </c>
      <c r="D58" s="148" t="s">
        <v>3074</v>
      </c>
      <c r="E58" s="148" t="s">
        <v>196</v>
      </c>
      <c r="F58" s="148" t="s">
        <v>211</v>
      </c>
      <c r="G58" s="148" t="s">
        <v>15</v>
      </c>
      <c r="H58" s="148" t="s">
        <v>87</v>
      </c>
      <c r="I58" s="161">
        <v>2014</v>
      </c>
      <c r="J58" s="161" t="s">
        <v>198</v>
      </c>
      <c r="K58" s="161" t="s">
        <v>199</v>
      </c>
      <c r="L58" s="161" t="s">
        <v>19</v>
      </c>
      <c r="M58" s="453" t="s">
        <v>4110</v>
      </c>
      <c r="N58" s="186" t="s">
        <v>20</v>
      </c>
      <c r="O58" s="186" t="s">
        <v>20</v>
      </c>
      <c r="P58" s="186" t="s">
        <v>20</v>
      </c>
      <c r="Q58" s="186" t="s">
        <v>20</v>
      </c>
      <c r="R58" s="186" t="s">
        <v>20</v>
      </c>
      <c r="S58" s="186" t="s">
        <v>20</v>
      </c>
      <c r="T58" s="186" t="s">
        <v>15</v>
      </c>
      <c r="U58" s="186" t="s">
        <v>15</v>
      </c>
      <c r="V58" s="186" t="s">
        <v>15</v>
      </c>
      <c r="W58" s="186" t="s">
        <v>15</v>
      </c>
      <c r="X58" s="186" t="s">
        <v>15</v>
      </c>
      <c r="Y58" s="186" t="s">
        <v>15</v>
      </c>
      <c r="Z58" s="186" t="s">
        <v>200</v>
      </c>
      <c r="AA58" s="186" t="s">
        <v>210</v>
      </c>
      <c r="AB58" s="186" t="s">
        <v>20</v>
      </c>
      <c r="AC58" s="186" t="s">
        <v>20</v>
      </c>
      <c r="AD58" s="270" t="s">
        <v>202</v>
      </c>
      <c r="AE58" s="270" t="s">
        <v>92</v>
      </c>
      <c r="AF58" s="144">
        <f t="shared" si="0"/>
        <v>4.883</v>
      </c>
      <c r="AG58" s="144">
        <f t="shared" si="1"/>
        <v>8.343</v>
      </c>
      <c r="AH58" s="146">
        <f t="shared" si="2"/>
        <v>0.4052</v>
      </c>
      <c r="AI58" s="146">
        <f t="shared" si="3"/>
        <v>0.64639999999999997</v>
      </c>
      <c r="AJ58" s="303">
        <v>4.883</v>
      </c>
      <c r="AK58" s="303"/>
      <c r="AL58" s="303">
        <v>3.46</v>
      </c>
      <c r="AM58" s="303">
        <v>10.1904</v>
      </c>
      <c r="AN58" s="303"/>
      <c r="AO58" s="303"/>
      <c r="AP58" s="303"/>
      <c r="AQ58" s="303"/>
      <c r="AR58" s="303"/>
      <c r="AS58" s="171">
        <v>4.883</v>
      </c>
      <c r="AT58" s="171">
        <v>18.5334</v>
      </c>
      <c r="AU58" s="310" t="s">
        <v>203</v>
      </c>
      <c r="AV58" s="323"/>
      <c r="AW58" s="294">
        <v>0.4052</v>
      </c>
      <c r="AX58" s="294"/>
      <c r="AY58" s="294">
        <v>0.2412</v>
      </c>
      <c r="AZ58" s="294">
        <v>0.68320000000000003</v>
      </c>
      <c r="BA58" s="294"/>
      <c r="BB58" s="294"/>
      <c r="BC58" s="294"/>
      <c r="BD58" s="294"/>
      <c r="BE58" s="294"/>
      <c r="BF58" s="386">
        <v>0.4052</v>
      </c>
      <c r="BG58" s="386">
        <v>1.3295999999999999</v>
      </c>
      <c r="BH58" s="278"/>
      <c r="BI58" s="365" t="s">
        <v>203</v>
      </c>
      <c r="BJ58" s="409"/>
    </row>
    <row r="59" spans="1:62" ht="15.75" customHeight="1" thickBot="1" x14ac:dyDescent="0.25">
      <c r="A59" s="156">
        <v>58</v>
      </c>
      <c r="B59" s="155">
        <v>1</v>
      </c>
      <c r="C59" s="148" t="s">
        <v>162</v>
      </c>
      <c r="D59" s="148" t="s">
        <v>3074</v>
      </c>
      <c r="E59" s="148" t="s">
        <v>196</v>
      </c>
      <c r="F59" s="148" t="s">
        <v>211</v>
      </c>
      <c r="G59" s="148" t="s">
        <v>15</v>
      </c>
      <c r="H59" s="148" t="s">
        <v>87</v>
      </c>
      <c r="I59" s="161">
        <v>2014</v>
      </c>
      <c r="J59" s="161" t="s">
        <v>198</v>
      </c>
      <c r="K59" s="161" t="s">
        <v>199</v>
      </c>
      <c r="L59" s="161" t="s">
        <v>19</v>
      </c>
      <c r="M59" s="453" t="s">
        <v>4110</v>
      </c>
      <c r="N59" s="186" t="s">
        <v>20</v>
      </c>
      <c r="O59" s="186" t="s">
        <v>20</v>
      </c>
      <c r="P59" s="186" t="s">
        <v>20</v>
      </c>
      <c r="Q59" s="186" t="s">
        <v>20</v>
      </c>
      <c r="R59" s="186" t="s">
        <v>20</v>
      </c>
      <c r="S59" s="186" t="s">
        <v>20</v>
      </c>
      <c r="T59" s="186" t="s">
        <v>15</v>
      </c>
      <c r="U59" s="186" t="s">
        <v>15</v>
      </c>
      <c r="V59" s="186" t="s">
        <v>15</v>
      </c>
      <c r="W59" s="186" t="s">
        <v>15</v>
      </c>
      <c r="X59" s="186" t="s">
        <v>15</v>
      </c>
      <c r="Y59" s="186" t="s">
        <v>15</v>
      </c>
      <c r="Z59" s="186" t="s">
        <v>200</v>
      </c>
      <c r="AA59" s="186" t="s">
        <v>210</v>
      </c>
      <c r="AB59" s="186" t="s">
        <v>20</v>
      </c>
      <c r="AC59" s="186" t="s">
        <v>20</v>
      </c>
      <c r="AD59" s="270" t="s">
        <v>202</v>
      </c>
      <c r="AE59" s="270" t="s">
        <v>92</v>
      </c>
      <c r="AF59" s="144">
        <f t="shared" si="0"/>
        <v>4.883</v>
      </c>
      <c r="AG59" s="144">
        <f t="shared" si="1"/>
        <v>8.343</v>
      </c>
      <c r="AH59" s="146">
        <f t="shared" si="2"/>
        <v>0.4052</v>
      </c>
      <c r="AI59" s="146">
        <f t="shared" si="3"/>
        <v>0.64670000000000005</v>
      </c>
      <c r="AJ59" s="303">
        <v>4.883</v>
      </c>
      <c r="AK59" s="303"/>
      <c r="AL59" s="303">
        <v>3.46</v>
      </c>
      <c r="AM59" s="303">
        <v>10.010400000000001</v>
      </c>
      <c r="AN59" s="303"/>
      <c r="AO59" s="303"/>
      <c r="AP59" s="303"/>
      <c r="AQ59" s="303"/>
      <c r="AR59" s="303"/>
      <c r="AS59" s="171">
        <v>4.883</v>
      </c>
      <c r="AT59" s="171">
        <v>18.353400000000001</v>
      </c>
      <c r="AU59" s="310" t="s">
        <v>203</v>
      </c>
      <c r="AV59" s="323"/>
      <c r="AW59" s="294">
        <v>0.4052</v>
      </c>
      <c r="AX59" s="294"/>
      <c r="AY59" s="294">
        <v>0.24149999999999999</v>
      </c>
      <c r="AZ59" s="294">
        <v>0.6855</v>
      </c>
      <c r="BA59" s="294"/>
      <c r="BB59" s="294"/>
      <c r="BC59" s="294"/>
      <c r="BD59" s="294"/>
      <c r="BE59" s="294"/>
      <c r="BF59" s="386">
        <v>0.4052</v>
      </c>
      <c r="BG59" s="386">
        <v>1.3321000000000001</v>
      </c>
      <c r="BH59" s="278"/>
      <c r="BI59" s="365" t="s">
        <v>203</v>
      </c>
      <c r="BJ59" s="409"/>
    </row>
    <row r="60" spans="1:62" ht="15.75" customHeight="1" thickBot="1" x14ac:dyDescent="0.25">
      <c r="A60" s="154">
        <v>59</v>
      </c>
      <c r="B60" s="155">
        <v>1</v>
      </c>
      <c r="C60" s="148" t="s">
        <v>162</v>
      </c>
      <c r="D60" s="148" t="s">
        <v>3074</v>
      </c>
      <c r="E60" s="148" t="s">
        <v>196</v>
      </c>
      <c r="F60" s="148" t="s">
        <v>211</v>
      </c>
      <c r="G60" s="148" t="s">
        <v>15</v>
      </c>
      <c r="H60" s="148" t="s">
        <v>87</v>
      </c>
      <c r="I60" s="161">
        <v>2015</v>
      </c>
      <c r="J60" s="161" t="s">
        <v>198</v>
      </c>
      <c r="K60" s="161" t="s">
        <v>199</v>
      </c>
      <c r="L60" s="161" t="s">
        <v>19</v>
      </c>
      <c r="M60" s="453" t="s">
        <v>4110</v>
      </c>
      <c r="N60" s="186" t="s">
        <v>20</v>
      </c>
      <c r="O60" s="186" t="s">
        <v>20</v>
      </c>
      <c r="P60" s="186" t="s">
        <v>20</v>
      </c>
      <c r="Q60" s="186" t="s">
        <v>20</v>
      </c>
      <c r="R60" s="186" t="s">
        <v>20</v>
      </c>
      <c r="S60" s="186" t="s">
        <v>20</v>
      </c>
      <c r="T60" s="186" t="s">
        <v>15</v>
      </c>
      <c r="U60" s="186" t="s">
        <v>15</v>
      </c>
      <c r="V60" s="186" t="s">
        <v>15</v>
      </c>
      <c r="W60" s="186" t="s">
        <v>15</v>
      </c>
      <c r="X60" s="186" t="s">
        <v>15</v>
      </c>
      <c r="Y60" s="186" t="s">
        <v>15</v>
      </c>
      <c r="Z60" s="186" t="s">
        <v>200</v>
      </c>
      <c r="AA60" s="186" t="s">
        <v>212</v>
      </c>
      <c r="AB60" s="186" t="s">
        <v>20</v>
      </c>
      <c r="AC60" s="186" t="s">
        <v>20</v>
      </c>
      <c r="AD60" s="270" t="s">
        <v>202</v>
      </c>
      <c r="AE60" s="270" t="s">
        <v>92</v>
      </c>
      <c r="AF60" s="144">
        <f t="shared" si="0"/>
        <v>5.2831999999999999</v>
      </c>
      <c r="AG60" s="144">
        <f t="shared" si="1"/>
        <v>8.5332000000000008</v>
      </c>
      <c r="AH60" s="146">
        <f t="shared" si="2"/>
        <v>0.43869999999999998</v>
      </c>
      <c r="AI60" s="146">
        <f t="shared" si="3"/>
        <v>0.66649999999999998</v>
      </c>
      <c r="AJ60" s="303">
        <v>5.2831999999999999</v>
      </c>
      <c r="AK60" s="303"/>
      <c r="AL60" s="303">
        <v>3.25</v>
      </c>
      <c r="AM60" s="303">
        <v>8.6203000000000003</v>
      </c>
      <c r="AN60" s="303"/>
      <c r="AO60" s="303"/>
      <c r="AP60" s="303"/>
      <c r="AQ60" s="303"/>
      <c r="AR60" s="303"/>
      <c r="AS60" s="171">
        <v>5.2831999999999999</v>
      </c>
      <c r="AT60" s="171">
        <v>17.153600000000001</v>
      </c>
      <c r="AU60" s="310" t="s">
        <v>203</v>
      </c>
      <c r="AV60" s="323"/>
      <c r="AW60" s="294">
        <v>0.43869999999999998</v>
      </c>
      <c r="AX60" s="294"/>
      <c r="AY60" s="294">
        <v>0.2278</v>
      </c>
      <c r="AZ60" s="294">
        <v>0.56910000000000005</v>
      </c>
      <c r="BA60" s="294"/>
      <c r="BB60" s="294"/>
      <c r="BC60" s="294"/>
      <c r="BD60" s="294"/>
      <c r="BE60" s="294"/>
      <c r="BF60" s="386">
        <v>0.43869999999999998</v>
      </c>
      <c r="BG60" s="386">
        <v>1.2357</v>
      </c>
      <c r="BH60" s="278"/>
      <c r="BI60" s="365" t="s">
        <v>203</v>
      </c>
      <c r="BJ60" s="409"/>
    </row>
    <row r="61" spans="1:62" ht="15.75" customHeight="1" thickBot="1" x14ac:dyDescent="0.25">
      <c r="A61" s="156">
        <v>60</v>
      </c>
      <c r="B61" s="155">
        <v>1</v>
      </c>
      <c r="C61" s="148" t="s">
        <v>162</v>
      </c>
      <c r="D61" s="148" t="s">
        <v>2316</v>
      </c>
      <c r="E61" s="148" t="s">
        <v>196</v>
      </c>
      <c r="F61" s="148" t="s">
        <v>213</v>
      </c>
      <c r="G61" s="148" t="s">
        <v>20</v>
      </c>
      <c r="H61" s="148" t="s">
        <v>16</v>
      </c>
      <c r="I61" s="161">
        <v>2013</v>
      </c>
      <c r="J61" s="161" t="s">
        <v>214</v>
      </c>
      <c r="K61" s="161" t="s">
        <v>215</v>
      </c>
      <c r="L61" s="161" t="s">
        <v>19</v>
      </c>
      <c r="M61" s="453" t="s">
        <v>4111</v>
      </c>
      <c r="N61" s="186" t="s">
        <v>20</v>
      </c>
      <c r="O61" s="186" t="s">
        <v>15</v>
      </c>
      <c r="P61" s="186" t="s">
        <v>20</v>
      </c>
      <c r="Q61" s="186" t="s">
        <v>20</v>
      </c>
      <c r="R61" s="186" t="s">
        <v>20</v>
      </c>
      <c r="S61" s="186" t="s">
        <v>20</v>
      </c>
      <c r="T61" s="186" t="s">
        <v>15</v>
      </c>
      <c r="U61" s="186" t="s">
        <v>15</v>
      </c>
      <c r="V61" s="186" t="s">
        <v>15</v>
      </c>
      <c r="W61" s="186" t="s">
        <v>15</v>
      </c>
      <c r="X61" s="186" t="s">
        <v>15</v>
      </c>
      <c r="Y61" s="186" t="s">
        <v>15</v>
      </c>
      <c r="Z61" s="186"/>
      <c r="AA61" s="186" t="s">
        <v>216</v>
      </c>
      <c r="AB61" s="186" t="s">
        <v>15</v>
      </c>
      <c r="AC61" s="186" t="s">
        <v>15</v>
      </c>
      <c r="AD61" s="270" t="s">
        <v>217</v>
      </c>
      <c r="AE61" s="270" t="s">
        <v>92</v>
      </c>
      <c r="AF61" s="144" t="str">
        <f t="shared" si="0"/>
        <v/>
      </c>
      <c r="AG61" s="144" t="str">
        <f t="shared" si="1"/>
        <v/>
      </c>
      <c r="AH61" s="146" t="str">
        <f t="shared" si="2"/>
        <v/>
      </c>
      <c r="AI61" s="146" t="str">
        <f t="shared" si="3"/>
        <v/>
      </c>
      <c r="AJ61" s="303"/>
      <c r="AK61" s="303"/>
      <c r="AL61" s="303"/>
      <c r="AM61" s="303"/>
      <c r="AN61" s="303"/>
      <c r="AO61" s="303"/>
      <c r="AP61" s="303"/>
      <c r="AQ61" s="303"/>
      <c r="AR61" s="303"/>
      <c r="AS61" s="171"/>
      <c r="AT61" s="169">
        <v>19.600000000000001</v>
      </c>
      <c r="AU61" s="310" t="s">
        <v>218</v>
      </c>
      <c r="AW61" s="294"/>
      <c r="AX61" s="294"/>
      <c r="AY61" s="294"/>
      <c r="AZ61" s="294"/>
      <c r="BA61" s="294"/>
      <c r="BB61" s="294"/>
      <c r="BC61" s="294"/>
      <c r="BD61" s="294"/>
      <c r="BE61" s="294"/>
      <c r="BF61" s="386"/>
      <c r="BG61" s="382">
        <v>1.5</v>
      </c>
      <c r="BH61" s="278"/>
      <c r="BI61" s="365" t="s">
        <v>219</v>
      </c>
      <c r="BJ61" s="409"/>
    </row>
    <row r="62" spans="1:62" ht="15.75" customHeight="1" thickBot="1" x14ac:dyDescent="0.25">
      <c r="A62" s="154">
        <v>61</v>
      </c>
      <c r="B62" s="155">
        <v>1</v>
      </c>
      <c r="C62" s="148" t="s">
        <v>162</v>
      </c>
      <c r="D62" s="148" t="s">
        <v>3073</v>
      </c>
      <c r="E62" s="148" t="s">
        <v>196</v>
      </c>
      <c r="F62" s="148" t="s">
        <v>220</v>
      </c>
      <c r="G62" s="148" t="s">
        <v>20</v>
      </c>
      <c r="H62" s="148" t="s">
        <v>16</v>
      </c>
      <c r="I62" s="161">
        <v>2013</v>
      </c>
      <c r="J62" s="161" t="s">
        <v>214</v>
      </c>
      <c r="K62" s="161" t="s">
        <v>215</v>
      </c>
      <c r="L62" s="161" t="s">
        <v>19</v>
      </c>
      <c r="M62" s="453" t="s">
        <v>4111</v>
      </c>
      <c r="N62" s="186" t="s">
        <v>20</v>
      </c>
      <c r="O62" s="186" t="s">
        <v>15</v>
      </c>
      <c r="P62" s="186" t="s">
        <v>20</v>
      </c>
      <c r="Q62" s="186" t="s">
        <v>20</v>
      </c>
      <c r="R62" s="186" t="s">
        <v>20</v>
      </c>
      <c r="S62" s="186" t="s">
        <v>20</v>
      </c>
      <c r="T62" s="186" t="s">
        <v>15</v>
      </c>
      <c r="U62" s="186" t="s">
        <v>15</v>
      </c>
      <c r="V62" s="186" t="s">
        <v>15</v>
      </c>
      <c r="W62" s="186" t="s">
        <v>15</v>
      </c>
      <c r="X62" s="186" t="s">
        <v>15</v>
      </c>
      <c r="Y62" s="186" t="s">
        <v>15</v>
      </c>
      <c r="Z62" s="186"/>
      <c r="AA62" s="186" t="s">
        <v>216</v>
      </c>
      <c r="AB62" s="186" t="s">
        <v>15</v>
      </c>
      <c r="AC62" s="186" t="s">
        <v>15</v>
      </c>
      <c r="AD62" s="270" t="s">
        <v>217</v>
      </c>
      <c r="AE62" s="270" t="s">
        <v>92</v>
      </c>
      <c r="AF62" s="144" t="str">
        <f t="shared" si="0"/>
        <v/>
      </c>
      <c r="AG62" s="144" t="str">
        <f t="shared" si="1"/>
        <v/>
      </c>
      <c r="AH62" s="146" t="str">
        <f t="shared" si="2"/>
        <v/>
      </c>
      <c r="AI62" s="146" t="str">
        <f t="shared" si="3"/>
        <v/>
      </c>
      <c r="AJ62" s="303"/>
      <c r="AK62" s="303"/>
      <c r="AL62" s="303"/>
      <c r="AM62" s="303"/>
      <c r="AN62" s="303"/>
      <c r="AO62" s="303"/>
      <c r="AP62" s="303"/>
      <c r="AQ62" s="303"/>
      <c r="AR62" s="303"/>
      <c r="AS62" s="171"/>
      <c r="AT62" s="169">
        <v>9.36</v>
      </c>
      <c r="AU62" s="310" t="s">
        <v>218</v>
      </c>
      <c r="AW62" s="294"/>
      <c r="AX62" s="294"/>
      <c r="AY62" s="294"/>
      <c r="AZ62" s="294"/>
      <c r="BA62" s="294"/>
      <c r="BB62" s="294"/>
      <c r="BC62" s="294"/>
      <c r="BD62" s="294"/>
      <c r="BE62" s="294"/>
      <c r="BF62" s="386"/>
      <c r="BG62" s="382">
        <v>0.71099999999999997</v>
      </c>
      <c r="BH62" s="278"/>
      <c r="BI62" s="365" t="s">
        <v>219</v>
      </c>
      <c r="BJ62" s="409"/>
    </row>
    <row r="63" spans="1:62" ht="15.75" customHeight="1" thickBot="1" x14ac:dyDescent="0.25">
      <c r="A63" s="156">
        <v>62</v>
      </c>
      <c r="B63" s="155">
        <v>1</v>
      </c>
      <c r="C63" s="148" t="s">
        <v>162</v>
      </c>
      <c r="D63" s="148" t="s">
        <v>2316</v>
      </c>
      <c r="E63" s="148" t="s">
        <v>196</v>
      </c>
      <c r="F63" s="148" t="s">
        <v>221</v>
      </c>
      <c r="G63" s="148" t="s">
        <v>20</v>
      </c>
      <c r="H63" s="148" t="s">
        <v>16</v>
      </c>
      <c r="I63" s="161">
        <v>2013</v>
      </c>
      <c r="J63" s="161" t="s">
        <v>214</v>
      </c>
      <c r="K63" s="161" t="s">
        <v>215</v>
      </c>
      <c r="L63" s="161" t="s">
        <v>19</v>
      </c>
      <c r="M63" s="453" t="s">
        <v>4111</v>
      </c>
      <c r="N63" s="186" t="s">
        <v>20</v>
      </c>
      <c r="O63" s="186" t="s">
        <v>15</v>
      </c>
      <c r="P63" s="186" t="s">
        <v>20</v>
      </c>
      <c r="Q63" s="186" t="s">
        <v>20</v>
      </c>
      <c r="R63" s="186" t="s">
        <v>20</v>
      </c>
      <c r="S63" s="186" t="s">
        <v>20</v>
      </c>
      <c r="T63" s="186" t="s">
        <v>15</v>
      </c>
      <c r="U63" s="186" t="s">
        <v>15</v>
      </c>
      <c r="V63" s="186" t="s">
        <v>15</v>
      </c>
      <c r="W63" s="186" t="s">
        <v>15</v>
      </c>
      <c r="X63" s="186" t="s">
        <v>15</v>
      </c>
      <c r="Y63" s="186" t="s">
        <v>15</v>
      </c>
      <c r="Z63" s="186"/>
      <c r="AA63" s="186" t="s">
        <v>222</v>
      </c>
      <c r="AB63" s="186" t="s">
        <v>15</v>
      </c>
      <c r="AC63" s="186" t="s">
        <v>15</v>
      </c>
      <c r="AD63" s="270" t="s">
        <v>217</v>
      </c>
      <c r="AE63" s="270" t="s">
        <v>92</v>
      </c>
      <c r="AF63" s="144" t="str">
        <f t="shared" si="0"/>
        <v/>
      </c>
      <c r="AG63" s="144" t="str">
        <f t="shared" si="1"/>
        <v/>
      </c>
      <c r="AH63" s="146" t="str">
        <f t="shared" si="2"/>
        <v/>
      </c>
      <c r="AI63" s="146" t="str">
        <f t="shared" si="3"/>
        <v/>
      </c>
      <c r="AJ63" s="303"/>
      <c r="AK63" s="303"/>
      <c r="AL63" s="303"/>
      <c r="AM63" s="303"/>
      <c r="AN63" s="303"/>
      <c r="AO63" s="303"/>
      <c r="AP63" s="303"/>
      <c r="AQ63" s="303"/>
      <c r="AR63" s="303"/>
      <c r="AS63" s="171"/>
      <c r="AT63" s="169">
        <v>20.399999999999999</v>
      </c>
      <c r="AU63" s="310" t="s">
        <v>218</v>
      </c>
      <c r="AW63" s="294"/>
      <c r="AX63" s="294"/>
      <c r="AY63" s="294"/>
      <c r="AZ63" s="294"/>
      <c r="BA63" s="294"/>
      <c r="BB63" s="294"/>
      <c r="BC63" s="294"/>
      <c r="BD63" s="294"/>
      <c r="BE63" s="294"/>
      <c r="BF63" s="386"/>
      <c r="BG63" s="382">
        <v>1.43</v>
      </c>
      <c r="BH63" s="278"/>
      <c r="BI63" s="365" t="s">
        <v>219</v>
      </c>
      <c r="BJ63" s="409"/>
    </row>
    <row r="64" spans="1:62" ht="15.75" customHeight="1" thickBot="1" x14ac:dyDescent="0.25">
      <c r="A64" s="154">
        <v>63</v>
      </c>
      <c r="B64" s="155">
        <v>1</v>
      </c>
      <c r="C64" s="148" t="s">
        <v>162</v>
      </c>
      <c r="D64" s="148" t="s">
        <v>3073</v>
      </c>
      <c r="E64" s="148" t="s">
        <v>196</v>
      </c>
      <c r="F64" s="148" t="s">
        <v>223</v>
      </c>
      <c r="G64" s="148" t="s">
        <v>20</v>
      </c>
      <c r="H64" s="148" t="s">
        <v>16</v>
      </c>
      <c r="I64" s="161">
        <v>2013</v>
      </c>
      <c r="J64" s="161" t="s">
        <v>214</v>
      </c>
      <c r="K64" s="161" t="s">
        <v>215</v>
      </c>
      <c r="L64" s="161" t="s">
        <v>19</v>
      </c>
      <c r="M64" s="453" t="s">
        <v>4111</v>
      </c>
      <c r="N64" s="186" t="s">
        <v>20</v>
      </c>
      <c r="O64" s="186" t="s">
        <v>15</v>
      </c>
      <c r="P64" s="186" t="s">
        <v>20</v>
      </c>
      <c r="Q64" s="186" t="s">
        <v>20</v>
      </c>
      <c r="R64" s="186" t="s">
        <v>20</v>
      </c>
      <c r="S64" s="186" t="s">
        <v>20</v>
      </c>
      <c r="T64" s="186" t="s">
        <v>15</v>
      </c>
      <c r="U64" s="186" t="s">
        <v>15</v>
      </c>
      <c r="V64" s="186" t="s">
        <v>15</v>
      </c>
      <c r="W64" s="186" t="s">
        <v>15</v>
      </c>
      <c r="X64" s="186" t="s">
        <v>15</v>
      </c>
      <c r="Y64" s="186" t="s">
        <v>15</v>
      </c>
      <c r="Z64" s="186"/>
      <c r="AA64" s="186" t="s">
        <v>222</v>
      </c>
      <c r="AB64" s="186" t="s">
        <v>15</v>
      </c>
      <c r="AC64" s="186" t="s">
        <v>15</v>
      </c>
      <c r="AD64" s="270" t="s">
        <v>217</v>
      </c>
      <c r="AE64" s="270" t="s">
        <v>92</v>
      </c>
      <c r="AF64" s="144" t="str">
        <f t="shared" si="0"/>
        <v/>
      </c>
      <c r="AG64" s="144" t="str">
        <f t="shared" si="1"/>
        <v/>
      </c>
      <c r="AH64" s="146" t="str">
        <f t="shared" si="2"/>
        <v/>
      </c>
      <c r="AI64" s="146" t="str">
        <f t="shared" si="3"/>
        <v/>
      </c>
      <c r="AJ64" s="303"/>
      <c r="AK64" s="303"/>
      <c r="AL64" s="303"/>
      <c r="AM64" s="303"/>
      <c r="AN64" s="303"/>
      <c r="AO64" s="303"/>
      <c r="AP64" s="303"/>
      <c r="AQ64" s="303"/>
      <c r="AR64" s="303"/>
      <c r="AS64" s="171"/>
      <c r="AT64" s="169">
        <v>11</v>
      </c>
      <c r="AU64" s="310" t="s">
        <v>218</v>
      </c>
      <c r="AW64" s="294"/>
      <c r="AX64" s="294"/>
      <c r="AY64" s="294"/>
      <c r="AZ64" s="294"/>
      <c r="BA64" s="294"/>
      <c r="BB64" s="294"/>
      <c r="BC64" s="294"/>
      <c r="BD64" s="294"/>
      <c r="BE64" s="294"/>
      <c r="BF64" s="386"/>
      <c r="BG64" s="382">
        <v>0.76500000000000001</v>
      </c>
      <c r="BH64" s="278"/>
      <c r="BI64" s="365" t="s">
        <v>219</v>
      </c>
      <c r="BJ64" s="409"/>
    </row>
    <row r="65" spans="1:62" ht="15.75" customHeight="1" thickBot="1" x14ac:dyDescent="0.25">
      <c r="A65" s="156">
        <v>64</v>
      </c>
      <c r="B65" s="155">
        <v>1</v>
      </c>
      <c r="C65" s="148" t="s">
        <v>162</v>
      </c>
      <c r="D65" s="148" t="s">
        <v>4055</v>
      </c>
      <c r="E65" s="148" t="s">
        <v>13</v>
      </c>
      <c r="F65" s="148" t="s">
        <v>224</v>
      </c>
      <c r="G65" s="148" t="s">
        <v>20</v>
      </c>
      <c r="H65" s="148" t="s">
        <v>225</v>
      </c>
      <c r="I65" s="161">
        <v>2013</v>
      </c>
      <c r="J65" s="161" t="s">
        <v>226</v>
      </c>
      <c r="K65" s="161" t="s">
        <v>227</v>
      </c>
      <c r="L65" s="161" t="s">
        <v>19</v>
      </c>
      <c r="M65" s="453" t="s">
        <v>4112</v>
      </c>
      <c r="N65" s="186" t="s">
        <v>20</v>
      </c>
      <c r="O65" s="186" t="s">
        <v>15</v>
      </c>
      <c r="P65" s="186" t="s">
        <v>20</v>
      </c>
      <c r="Q65" s="186" t="s">
        <v>15</v>
      </c>
      <c r="R65" s="186" t="s">
        <v>15</v>
      </c>
      <c r="S65" s="186" t="s">
        <v>20</v>
      </c>
      <c r="T65" s="186" t="s">
        <v>15</v>
      </c>
      <c r="U65" s="186" t="s">
        <v>15</v>
      </c>
      <c r="V65" s="186" t="s">
        <v>15</v>
      </c>
      <c r="W65" s="186" t="s">
        <v>15</v>
      </c>
      <c r="X65" s="186" t="s">
        <v>15</v>
      </c>
      <c r="Y65" s="186" t="s">
        <v>20</v>
      </c>
      <c r="Z65" s="186"/>
      <c r="AA65" s="186" t="s">
        <v>228</v>
      </c>
      <c r="AB65" s="186" t="s">
        <v>15</v>
      </c>
      <c r="AC65" s="186" t="s">
        <v>20</v>
      </c>
      <c r="AD65" s="270" t="s">
        <v>229</v>
      </c>
      <c r="AE65" s="270" t="s">
        <v>92</v>
      </c>
      <c r="AF65" s="144" t="str">
        <f t="shared" si="0"/>
        <v/>
      </c>
      <c r="AG65" s="144" t="str">
        <f t="shared" si="1"/>
        <v/>
      </c>
      <c r="AH65" s="146">
        <f t="shared" si="2"/>
        <v>1.2849999999999999</v>
      </c>
      <c r="AI65" s="146">
        <f t="shared" si="3"/>
        <v>1.2919999999999998</v>
      </c>
      <c r="AJ65" s="303"/>
      <c r="AK65" s="303"/>
      <c r="AL65" s="303"/>
      <c r="AM65" s="303"/>
      <c r="AN65" s="303"/>
      <c r="AO65" s="303"/>
      <c r="AP65" s="303"/>
      <c r="AQ65" s="303"/>
      <c r="AR65" s="303"/>
      <c r="AS65" s="170"/>
      <c r="AT65" s="170"/>
      <c r="AU65" s="310"/>
      <c r="AW65" s="294">
        <v>1.2849999999999999</v>
      </c>
      <c r="AX65" s="294">
        <v>7.0000000000000001E-3</v>
      </c>
      <c r="AY65" s="294"/>
      <c r="AZ65" s="294">
        <v>7.0999999999999994E-2</v>
      </c>
      <c r="BA65" s="294"/>
      <c r="BB65" s="294"/>
      <c r="BC65" s="294"/>
      <c r="BD65" s="294"/>
      <c r="BE65" s="294"/>
      <c r="BF65" s="383">
        <v>1.2849999999999999</v>
      </c>
      <c r="BG65" s="383">
        <v>1.367</v>
      </c>
      <c r="BH65" s="278"/>
      <c r="BI65" s="365" t="s">
        <v>230</v>
      </c>
      <c r="BJ65" s="409"/>
    </row>
    <row r="66" spans="1:62" ht="15.75" customHeight="1" thickBot="1" x14ac:dyDescent="0.25">
      <c r="A66" s="154">
        <v>65</v>
      </c>
      <c r="B66" s="155">
        <v>1</v>
      </c>
      <c r="C66" s="148" t="s">
        <v>162</v>
      </c>
      <c r="D66" s="148" t="s">
        <v>2311</v>
      </c>
      <c r="E66" s="148" t="s">
        <v>13</v>
      </c>
      <c r="F66" s="148" t="s">
        <v>231</v>
      </c>
      <c r="G66" s="148" t="s">
        <v>20</v>
      </c>
      <c r="H66" s="148" t="s">
        <v>225</v>
      </c>
      <c r="I66" s="161">
        <v>2013</v>
      </c>
      <c r="J66" s="161" t="s">
        <v>226</v>
      </c>
      <c r="K66" s="161" t="s">
        <v>227</v>
      </c>
      <c r="L66" s="161" t="s">
        <v>19</v>
      </c>
      <c r="M66" s="453" t="s">
        <v>4112</v>
      </c>
      <c r="N66" s="186" t="s">
        <v>20</v>
      </c>
      <c r="O66" s="186" t="s">
        <v>15</v>
      </c>
      <c r="P66" s="186" t="s">
        <v>20</v>
      </c>
      <c r="Q66" s="186" t="s">
        <v>15</v>
      </c>
      <c r="R66" s="186" t="s">
        <v>15</v>
      </c>
      <c r="S66" s="186" t="s">
        <v>20</v>
      </c>
      <c r="T66" s="186" t="s">
        <v>15</v>
      </c>
      <c r="U66" s="186" t="s">
        <v>15</v>
      </c>
      <c r="V66" s="186" t="s">
        <v>15</v>
      </c>
      <c r="W66" s="186" t="s">
        <v>15</v>
      </c>
      <c r="X66" s="186" t="s">
        <v>15</v>
      </c>
      <c r="Y66" s="186" t="s">
        <v>20</v>
      </c>
      <c r="Z66" s="186"/>
      <c r="AA66" s="186" t="s">
        <v>228</v>
      </c>
      <c r="AB66" s="186" t="s">
        <v>15</v>
      </c>
      <c r="AC66" s="186" t="s">
        <v>20</v>
      </c>
      <c r="AD66" s="270" t="s">
        <v>229</v>
      </c>
      <c r="AE66" s="270" t="s">
        <v>92</v>
      </c>
      <c r="AF66" s="144" t="str">
        <f t="shared" ref="AF66:AF129" si="4">IF(AS66&lt;&gt;0,AS66,"")</f>
        <v/>
      </c>
      <c r="AG66" s="144" t="str">
        <f t="shared" ref="AG66:AG129" si="5">IF(AND(SUM(AJ66:AL66)&lt;&gt;0,SUM(AJ66:AL66)&lt;&gt;AJ66),SUM(AJ66:AL66),"")</f>
        <v/>
      </c>
      <c r="AH66" s="146">
        <f t="shared" ref="AH66:AH129" si="6">IF(BF66&lt;&gt;0,BF66,"")</f>
        <v>2.1000000000000001E-2</v>
      </c>
      <c r="AI66" s="146" t="str">
        <f t="shared" ref="AI66:AI129" si="7">IF(AND(SUM(AW66:AY66)&lt;&gt;0,SUM(AW66:AY66)&lt;&gt;AW66),SUM(AW66:AY66),"")</f>
        <v/>
      </c>
      <c r="AJ66" s="303"/>
      <c r="AK66" s="303"/>
      <c r="AL66" s="303"/>
      <c r="AM66" s="303"/>
      <c r="AN66" s="303"/>
      <c r="AO66" s="303"/>
      <c r="AP66" s="303"/>
      <c r="AQ66" s="303"/>
      <c r="AR66" s="303"/>
      <c r="AS66" s="170"/>
      <c r="AT66" s="170"/>
      <c r="AU66" s="310"/>
      <c r="AW66" s="294"/>
      <c r="AX66" s="294"/>
      <c r="AY66" s="294"/>
      <c r="AZ66" s="294"/>
      <c r="BA66" s="294"/>
      <c r="BB66" s="294"/>
      <c r="BC66" s="294"/>
      <c r="BD66" s="294"/>
      <c r="BE66" s="294"/>
      <c r="BF66" s="382">
        <f>0.008+0.008+0.005</f>
        <v>2.1000000000000001E-2</v>
      </c>
      <c r="BG66" s="382">
        <v>0.109</v>
      </c>
      <c r="BH66" s="278"/>
      <c r="BI66" s="365" t="s">
        <v>230</v>
      </c>
      <c r="BJ66" s="409"/>
    </row>
    <row r="67" spans="1:62" ht="15.75" customHeight="1" thickBot="1" x14ac:dyDescent="0.25">
      <c r="A67" s="156">
        <v>66</v>
      </c>
      <c r="B67" s="155">
        <v>1</v>
      </c>
      <c r="C67" s="148" t="s">
        <v>162</v>
      </c>
      <c r="D67" s="148" t="s">
        <v>2311</v>
      </c>
      <c r="E67" s="148" t="s">
        <v>13</v>
      </c>
      <c r="F67" s="148" t="s">
        <v>232</v>
      </c>
      <c r="G67" s="148" t="s">
        <v>20</v>
      </c>
      <c r="H67" s="148" t="s">
        <v>225</v>
      </c>
      <c r="I67" s="161">
        <v>2013</v>
      </c>
      <c r="J67" s="161" t="s">
        <v>226</v>
      </c>
      <c r="K67" s="161" t="s">
        <v>227</v>
      </c>
      <c r="L67" s="161" t="s">
        <v>19</v>
      </c>
      <c r="M67" s="453" t="s">
        <v>4112</v>
      </c>
      <c r="N67" s="186" t="s">
        <v>20</v>
      </c>
      <c r="O67" s="186" t="s">
        <v>15</v>
      </c>
      <c r="P67" s="186" t="s">
        <v>20</v>
      </c>
      <c r="Q67" s="186" t="s">
        <v>15</v>
      </c>
      <c r="R67" s="186" t="s">
        <v>15</v>
      </c>
      <c r="S67" s="186" t="s">
        <v>20</v>
      </c>
      <c r="T67" s="186" t="s">
        <v>15</v>
      </c>
      <c r="U67" s="186" t="s">
        <v>15</v>
      </c>
      <c r="V67" s="186" t="s">
        <v>15</v>
      </c>
      <c r="W67" s="186" t="s">
        <v>15</v>
      </c>
      <c r="X67" s="186" t="s">
        <v>15</v>
      </c>
      <c r="Y67" s="186" t="s">
        <v>20</v>
      </c>
      <c r="Z67" s="186"/>
      <c r="AA67" s="186" t="s">
        <v>228</v>
      </c>
      <c r="AB67" s="186" t="s">
        <v>15</v>
      </c>
      <c r="AC67" s="186" t="s">
        <v>20</v>
      </c>
      <c r="AD67" s="270" t="s">
        <v>229</v>
      </c>
      <c r="AE67" s="270" t="s">
        <v>92</v>
      </c>
      <c r="AF67" s="144" t="str">
        <f t="shared" si="4"/>
        <v/>
      </c>
      <c r="AG67" s="144" t="str">
        <f t="shared" si="5"/>
        <v/>
      </c>
      <c r="AH67" s="146">
        <f t="shared" si="6"/>
        <v>0.29299999999999998</v>
      </c>
      <c r="AI67" s="146" t="str">
        <f t="shared" si="7"/>
        <v/>
      </c>
      <c r="AJ67" s="303"/>
      <c r="AK67" s="303"/>
      <c r="AL67" s="303"/>
      <c r="AM67" s="303"/>
      <c r="AN67" s="303"/>
      <c r="AO67" s="303"/>
      <c r="AP67" s="303"/>
      <c r="AQ67" s="303"/>
      <c r="AR67" s="303"/>
      <c r="AS67" s="170"/>
      <c r="AT67" s="170"/>
      <c r="AU67" s="310"/>
      <c r="AW67" s="294"/>
      <c r="AX67" s="294"/>
      <c r="AY67" s="294"/>
      <c r="AZ67" s="294"/>
      <c r="BA67" s="294"/>
      <c r="BB67" s="294"/>
      <c r="BC67" s="294"/>
      <c r="BD67" s="294"/>
      <c r="BE67" s="294"/>
      <c r="BF67" s="382">
        <f>0.07+0.061+0.103+0.059</f>
        <v>0.29299999999999998</v>
      </c>
      <c r="BG67" s="382">
        <v>0.60899999999999999</v>
      </c>
      <c r="BH67" s="278"/>
      <c r="BI67" s="365" t="s">
        <v>230</v>
      </c>
      <c r="BJ67" s="409"/>
    </row>
    <row r="68" spans="1:62" ht="15.75" customHeight="1" thickBot="1" x14ac:dyDescent="0.25">
      <c r="A68" s="154">
        <v>67</v>
      </c>
      <c r="B68" s="155">
        <v>1</v>
      </c>
      <c r="C68" s="148" t="s">
        <v>162</v>
      </c>
      <c r="D68" s="148" t="s">
        <v>2311</v>
      </c>
      <c r="E68" s="148" t="s">
        <v>13</v>
      </c>
      <c r="F68" s="148" t="s">
        <v>233</v>
      </c>
      <c r="G68" s="148" t="s">
        <v>20</v>
      </c>
      <c r="H68" s="148" t="s">
        <v>225</v>
      </c>
      <c r="I68" s="161">
        <v>2013</v>
      </c>
      <c r="J68" s="161" t="s">
        <v>226</v>
      </c>
      <c r="K68" s="161" t="s">
        <v>227</v>
      </c>
      <c r="L68" s="161" t="s">
        <v>19</v>
      </c>
      <c r="M68" s="453" t="s">
        <v>4112</v>
      </c>
      <c r="N68" s="186" t="s">
        <v>20</v>
      </c>
      <c r="O68" s="186" t="s">
        <v>15</v>
      </c>
      <c r="P68" s="186" t="s">
        <v>20</v>
      </c>
      <c r="Q68" s="186" t="s">
        <v>20</v>
      </c>
      <c r="R68" s="186" t="s">
        <v>20</v>
      </c>
      <c r="S68" s="186" t="s">
        <v>20</v>
      </c>
      <c r="T68" s="186" t="s">
        <v>15</v>
      </c>
      <c r="U68" s="186" t="s">
        <v>15</v>
      </c>
      <c r="V68" s="186" t="s">
        <v>15</v>
      </c>
      <c r="W68" s="186" t="s">
        <v>15</v>
      </c>
      <c r="X68" s="186" t="s">
        <v>15</v>
      </c>
      <c r="Y68" s="186" t="s">
        <v>20</v>
      </c>
      <c r="Z68" s="186"/>
      <c r="AA68" s="186" t="s">
        <v>228</v>
      </c>
      <c r="AB68" s="186" t="s">
        <v>15</v>
      </c>
      <c r="AC68" s="186" t="s">
        <v>20</v>
      </c>
      <c r="AD68" s="270" t="s">
        <v>229</v>
      </c>
      <c r="AE68" s="270" t="s">
        <v>92</v>
      </c>
      <c r="AF68" s="144" t="str">
        <f t="shared" si="4"/>
        <v/>
      </c>
      <c r="AG68" s="144" t="str">
        <f t="shared" si="5"/>
        <v/>
      </c>
      <c r="AH68" s="146">
        <f t="shared" si="6"/>
        <v>8.5999999999999993E-2</v>
      </c>
      <c r="AI68" s="146" t="str">
        <f t="shared" si="7"/>
        <v/>
      </c>
      <c r="AJ68" s="303"/>
      <c r="AK68" s="303"/>
      <c r="AL68" s="303"/>
      <c r="AM68" s="303"/>
      <c r="AN68" s="303"/>
      <c r="AO68" s="303"/>
      <c r="AP68" s="303"/>
      <c r="AQ68" s="303"/>
      <c r="AR68" s="303"/>
      <c r="AS68" s="170"/>
      <c r="AT68" s="170"/>
      <c r="AU68" s="310"/>
      <c r="AW68" s="294"/>
      <c r="AX68" s="294"/>
      <c r="AY68" s="294"/>
      <c r="AZ68" s="294"/>
      <c r="BA68" s="294"/>
      <c r="BB68" s="294"/>
      <c r="BC68" s="294"/>
      <c r="BD68" s="294"/>
      <c r="BE68" s="294"/>
      <c r="BF68" s="382">
        <f>0.038+0.036+0.012</f>
        <v>8.5999999999999993E-2</v>
      </c>
      <c r="BG68" s="382">
        <v>0.28100000000000003</v>
      </c>
      <c r="BH68" s="278"/>
      <c r="BI68" s="365" t="s">
        <v>230</v>
      </c>
      <c r="BJ68" s="409"/>
    </row>
    <row r="69" spans="1:62" ht="15.75" customHeight="1" thickBot="1" x14ac:dyDescent="0.25">
      <c r="A69" s="156">
        <v>68</v>
      </c>
      <c r="B69" s="155">
        <v>1</v>
      </c>
      <c r="C69" s="148" t="s">
        <v>162</v>
      </c>
      <c r="D69" s="148" t="s">
        <v>4055</v>
      </c>
      <c r="E69" s="148" t="s">
        <v>144</v>
      </c>
      <c r="F69" s="148" t="s">
        <v>224</v>
      </c>
      <c r="G69" s="148" t="s">
        <v>20</v>
      </c>
      <c r="H69" s="148" t="s">
        <v>225</v>
      </c>
      <c r="I69" s="161">
        <v>2013</v>
      </c>
      <c r="J69" s="161" t="s">
        <v>226</v>
      </c>
      <c r="K69" s="161" t="s">
        <v>227</v>
      </c>
      <c r="L69" s="161" t="s">
        <v>19</v>
      </c>
      <c r="M69" s="453" t="s">
        <v>4112</v>
      </c>
      <c r="N69" s="186" t="s">
        <v>20</v>
      </c>
      <c r="O69" s="186" t="s">
        <v>15</v>
      </c>
      <c r="P69" s="186" t="s">
        <v>20</v>
      </c>
      <c r="Q69" s="186" t="s">
        <v>15</v>
      </c>
      <c r="R69" s="186" t="s">
        <v>20</v>
      </c>
      <c r="S69" s="186" t="s">
        <v>20</v>
      </c>
      <c r="T69" s="186" t="s">
        <v>15</v>
      </c>
      <c r="U69" s="186" t="s">
        <v>15</v>
      </c>
      <c r="V69" s="186" t="s">
        <v>15</v>
      </c>
      <c r="W69" s="186" t="s">
        <v>15</v>
      </c>
      <c r="X69" s="186" t="s">
        <v>15</v>
      </c>
      <c r="Y69" s="186" t="s">
        <v>20</v>
      </c>
      <c r="Z69" s="186"/>
      <c r="AA69" s="186" t="s">
        <v>228</v>
      </c>
      <c r="AB69" s="186" t="s">
        <v>15</v>
      </c>
      <c r="AC69" s="186" t="s">
        <v>20</v>
      </c>
      <c r="AD69" s="270" t="s">
        <v>234</v>
      </c>
      <c r="AE69" s="270" t="s">
        <v>92</v>
      </c>
      <c r="AF69" s="144" t="str">
        <f t="shared" si="4"/>
        <v/>
      </c>
      <c r="AG69" s="144" t="str">
        <f t="shared" si="5"/>
        <v/>
      </c>
      <c r="AH69" s="146" t="str">
        <f t="shared" si="6"/>
        <v/>
      </c>
      <c r="AI69" s="146" t="str">
        <f t="shared" si="7"/>
        <v/>
      </c>
      <c r="AJ69" s="303"/>
      <c r="AK69" s="303"/>
      <c r="AL69" s="303"/>
      <c r="AM69" s="303"/>
      <c r="AN69" s="303"/>
      <c r="AO69" s="303"/>
      <c r="AP69" s="303"/>
      <c r="AQ69" s="303"/>
      <c r="AR69" s="303"/>
      <c r="AS69" s="170"/>
      <c r="AT69" s="170"/>
      <c r="AU69" s="310"/>
      <c r="AW69" s="294"/>
      <c r="AX69" s="294"/>
      <c r="AY69" s="294"/>
      <c r="AZ69" s="294"/>
      <c r="BA69" s="294"/>
      <c r="BB69" s="294"/>
      <c r="BC69" s="294"/>
      <c r="BD69" s="294"/>
      <c r="BE69" s="294"/>
      <c r="BF69" s="383"/>
      <c r="BG69" s="382">
        <v>1.367</v>
      </c>
      <c r="BH69" s="278"/>
      <c r="BI69" s="365" t="s">
        <v>230</v>
      </c>
      <c r="BJ69" s="409"/>
    </row>
    <row r="70" spans="1:62" ht="15.75" customHeight="1" thickBot="1" x14ac:dyDescent="0.25">
      <c r="A70" s="154">
        <v>69</v>
      </c>
      <c r="B70" s="155">
        <v>1</v>
      </c>
      <c r="C70" s="148" t="s">
        <v>162</v>
      </c>
      <c r="D70" s="148" t="s">
        <v>2311</v>
      </c>
      <c r="E70" s="148" t="s">
        <v>144</v>
      </c>
      <c r="F70" s="148" t="s">
        <v>231</v>
      </c>
      <c r="G70" s="148" t="s">
        <v>20</v>
      </c>
      <c r="H70" s="148" t="s">
        <v>225</v>
      </c>
      <c r="I70" s="161">
        <v>2013</v>
      </c>
      <c r="J70" s="161" t="s">
        <v>226</v>
      </c>
      <c r="K70" s="161" t="s">
        <v>227</v>
      </c>
      <c r="L70" s="161" t="s">
        <v>19</v>
      </c>
      <c r="M70" s="453" t="s">
        <v>4112</v>
      </c>
      <c r="N70" s="186" t="s">
        <v>20</v>
      </c>
      <c r="O70" s="186" t="s">
        <v>15</v>
      </c>
      <c r="P70" s="186" t="s">
        <v>20</v>
      </c>
      <c r="Q70" s="186" t="s">
        <v>15</v>
      </c>
      <c r="R70" s="186" t="s">
        <v>20</v>
      </c>
      <c r="S70" s="186" t="s">
        <v>20</v>
      </c>
      <c r="T70" s="186" t="s">
        <v>15</v>
      </c>
      <c r="U70" s="186" t="s">
        <v>15</v>
      </c>
      <c r="V70" s="186" t="s">
        <v>15</v>
      </c>
      <c r="W70" s="186" t="s">
        <v>15</v>
      </c>
      <c r="X70" s="186" t="s">
        <v>15</v>
      </c>
      <c r="Y70" s="186" t="s">
        <v>20</v>
      </c>
      <c r="Z70" s="186"/>
      <c r="AA70" s="186" t="s">
        <v>228</v>
      </c>
      <c r="AB70" s="186" t="s">
        <v>15</v>
      </c>
      <c r="AC70" s="186" t="s">
        <v>20</v>
      </c>
      <c r="AD70" s="270" t="s">
        <v>234</v>
      </c>
      <c r="AE70" s="270" t="s">
        <v>92</v>
      </c>
      <c r="AF70" s="144" t="str">
        <f t="shared" si="4"/>
        <v/>
      </c>
      <c r="AG70" s="144" t="str">
        <f t="shared" si="5"/>
        <v/>
      </c>
      <c r="AH70" s="146">
        <f t="shared" si="6"/>
        <v>2.1000000000000001E-2</v>
      </c>
      <c r="AI70" s="146">
        <f t="shared" si="7"/>
        <v>0.10600000000000001</v>
      </c>
      <c r="AJ70" s="303"/>
      <c r="AK70" s="303"/>
      <c r="AL70" s="303"/>
      <c r="AM70" s="303"/>
      <c r="AN70" s="303"/>
      <c r="AO70" s="303"/>
      <c r="AP70" s="303"/>
      <c r="AQ70" s="303"/>
      <c r="AR70" s="303"/>
      <c r="AS70" s="170"/>
      <c r="AT70" s="170"/>
      <c r="AU70" s="310"/>
      <c r="AW70" s="294">
        <v>2.1000000000000001E-2</v>
      </c>
      <c r="AX70" s="294">
        <v>8.5000000000000006E-2</v>
      </c>
      <c r="AY70" s="294"/>
      <c r="AZ70" s="294">
        <v>7.0999999999999994E-2</v>
      </c>
      <c r="BA70" s="294"/>
      <c r="BB70" s="294"/>
      <c r="BC70" s="294"/>
      <c r="BD70" s="294"/>
      <c r="BE70" s="294"/>
      <c r="BF70" s="383">
        <v>2.1000000000000001E-2</v>
      </c>
      <c r="BG70" s="383">
        <v>0.18</v>
      </c>
      <c r="BH70" s="278"/>
      <c r="BI70" s="365" t="s">
        <v>230</v>
      </c>
      <c r="BJ70" s="409"/>
    </row>
    <row r="71" spans="1:62" ht="15.75" customHeight="1" thickBot="1" x14ac:dyDescent="0.25">
      <c r="A71" s="156">
        <v>70</v>
      </c>
      <c r="B71" s="155">
        <v>1</v>
      </c>
      <c r="C71" s="148" t="s">
        <v>162</v>
      </c>
      <c r="D71" s="148" t="s">
        <v>2311</v>
      </c>
      <c r="E71" s="148" t="s">
        <v>144</v>
      </c>
      <c r="F71" s="148" t="s">
        <v>232</v>
      </c>
      <c r="G71" s="148" t="s">
        <v>20</v>
      </c>
      <c r="H71" s="148" t="s">
        <v>225</v>
      </c>
      <c r="I71" s="161">
        <v>2013</v>
      </c>
      <c r="J71" s="161" t="s">
        <v>226</v>
      </c>
      <c r="K71" s="161" t="s">
        <v>227</v>
      </c>
      <c r="L71" s="161" t="s">
        <v>19</v>
      </c>
      <c r="M71" s="453" t="s">
        <v>4112</v>
      </c>
      <c r="N71" s="186" t="s">
        <v>20</v>
      </c>
      <c r="O71" s="186" t="s">
        <v>15</v>
      </c>
      <c r="P71" s="186" t="s">
        <v>20</v>
      </c>
      <c r="Q71" s="186" t="s">
        <v>15</v>
      </c>
      <c r="R71" s="186" t="s">
        <v>20</v>
      </c>
      <c r="S71" s="186" t="s">
        <v>20</v>
      </c>
      <c r="T71" s="186" t="s">
        <v>15</v>
      </c>
      <c r="U71" s="186" t="s">
        <v>15</v>
      </c>
      <c r="V71" s="186" t="s">
        <v>15</v>
      </c>
      <c r="W71" s="186" t="s">
        <v>15</v>
      </c>
      <c r="X71" s="186" t="s">
        <v>15</v>
      </c>
      <c r="Y71" s="186" t="s">
        <v>20</v>
      </c>
      <c r="Z71" s="186"/>
      <c r="AA71" s="186" t="s">
        <v>228</v>
      </c>
      <c r="AB71" s="186" t="s">
        <v>15</v>
      </c>
      <c r="AC71" s="186" t="s">
        <v>20</v>
      </c>
      <c r="AD71" s="270" t="s">
        <v>234</v>
      </c>
      <c r="AE71" s="270" t="s">
        <v>92</v>
      </c>
      <c r="AF71" s="144" t="str">
        <f t="shared" si="4"/>
        <v/>
      </c>
      <c r="AG71" s="144" t="str">
        <f t="shared" si="5"/>
        <v/>
      </c>
      <c r="AH71" s="146">
        <f t="shared" si="6"/>
        <v>0.29299999999999998</v>
      </c>
      <c r="AI71" s="146">
        <f t="shared" si="7"/>
        <v>0.68500000000000005</v>
      </c>
      <c r="AJ71" s="303"/>
      <c r="AK71" s="303"/>
      <c r="AL71" s="303"/>
      <c r="AM71" s="303"/>
      <c r="AN71" s="303"/>
      <c r="AO71" s="303"/>
      <c r="AP71" s="303"/>
      <c r="AQ71" s="303"/>
      <c r="AR71" s="303"/>
      <c r="AS71" s="170"/>
      <c r="AT71" s="170"/>
      <c r="AU71" s="310"/>
      <c r="AW71" s="294">
        <v>0.29299999999999998</v>
      </c>
      <c r="AX71" s="294">
        <v>0.39200000000000002</v>
      </c>
      <c r="AY71" s="294"/>
      <c r="AZ71" s="294">
        <v>7.0999999999999994E-2</v>
      </c>
      <c r="BA71" s="294"/>
      <c r="BB71" s="294"/>
      <c r="BC71" s="294"/>
      <c r="BD71" s="294"/>
      <c r="BE71" s="294"/>
      <c r="BF71" s="383">
        <v>0.29299999999999998</v>
      </c>
      <c r="BG71" s="383">
        <v>0.75900000000000001</v>
      </c>
      <c r="BH71" s="278"/>
      <c r="BI71" s="365" t="s">
        <v>230</v>
      </c>
      <c r="BJ71" s="409"/>
    </row>
    <row r="72" spans="1:62" ht="15.75" customHeight="1" thickBot="1" x14ac:dyDescent="0.25">
      <c r="A72" s="154">
        <v>71</v>
      </c>
      <c r="B72" s="155">
        <v>1</v>
      </c>
      <c r="C72" s="148" t="s">
        <v>162</v>
      </c>
      <c r="D72" s="148" t="s">
        <v>3074</v>
      </c>
      <c r="E72" s="148" t="s">
        <v>196</v>
      </c>
      <c r="F72" s="148" t="s">
        <v>233</v>
      </c>
      <c r="G72" s="148" t="s">
        <v>20</v>
      </c>
      <c r="H72" s="148" t="s">
        <v>225</v>
      </c>
      <c r="I72" s="161">
        <v>2013</v>
      </c>
      <c r="J72" s="161" t="s">
        <v>226</v>
      </c>
      <c r="K72" s="161" t="s">
        <v>227</v>
      </c>
      <c r="L72" s="161" t="s">
        <v>19</v>
      </c>
      <c r="M72" s="453" t="s">
        <v>4112</v>
      </c>
      <c r="N72" s="186" t="s">
        <v>20</v>
      </c>
      <c r="O72" s="186" t="s">
        <v>15</v>
      </c>
      <c r="P72" s="186" t="s">
        <v>20</v>
      </c>
      <c r="Q72" s="186" t="s">
        <v>20</v>
      </c>
      <c r="R72" s="186" t="s">
        <v>20</v>
      </c>
      <c r="S72" s="186" t="s">
        <v>20</v>
      </c>
      <c r="T72" s="186" t="s">
        <v>15</v>
      </c>
      <c r="U72" s="186" t="s">
        <v>15</v>
      </c>
      <c r="V72" s="186" t="s">
        <v>15</v>
      </c>
      <c r="W72" s="186" t="s">
        <v>15</v>
      </c>
      <c r="X72" s="186" t="s">
        <v>15</v>
      </c>
      <c r="Y72" s="186" t="s">
        <v>20</v>
      </c>
      <c r="Z72" s="186"/>
      <c r="AA72" s="186" t="s">
        <v>228</v>
      </c>
      <c r="AB72" s="186" t="s">
        <v>15</v>
      </c>
      <c r="AC72" s="186" t="s">
        <v>20</v>
      </c>
      <c r="AD72" s="270" t="s">
        <v>235</v>
      </c>
      <c r="AE72" s="270" t="s">
        <v>92</v>
      </c>
      <c r="AF72" s="144" t="str">
        <f t="shared" si="4"/>
        <v/>
      </c>
      <c r="AG72" s="144" t="str">
        <f t="shared" si="5"/>
        <v/>
      </c>
      <c r="AH72" s="146">
        <f t="shared" si="6"/>
        <v>8.500000000000002E-2</v>
      </c>
      <c r="AI72" s="146">
        <f t="shared" si="7"/>
        <v>0.24200000000000005</v>
      </c>
      <c r="AJ72" s="303"/>
      <c r="AK72" s="303"/>
      <c r="AL72" s="303"/>
      <c r="AM72" s="303"/>
      <c r="AN72" s="303"/>
      <c r="AO72" s="303"/>
      <c r="AP72" s="303"/>
      <c r="AQ72" s="303"/>
      <c r="AR72" s="303"/>
      <c r="AS72" s="170"/>
      <c r="AT72" s="170"/>
      <c r="AU72" s="310"/>
      <c r="AW72" s="294">
        <f>0.281-0.196</f>
        <v>8.500000000000002E-2</v>
      </c>
      <c r="AX72" s="294">
        <v>1.7999999999999999E-2</v>
      </c>
      <c r="AY72" s="294">
        <v>0.13900000000000001</v>
      </c>
      <c r="AZ72" s="294">
        <v>0.44700000000000001</v>
      </c>
      <c r="BA72" s="294">
        <v>0.17799999999999999</v>
      </c>
      <c r="BB72" s="294"/>
      <c r="BC72" s="294"/>
      <c r="BD72" s="294"/>
      <c r="BE72" s="294"/>
      <c r="BF72" s="383">
        <f>0.281-0.196</f>
        <v>8.500000000000002E-2</v>
      </c>
      <c r="BG72" s="383">
        <v>0.86799999999999999</v>
      </c>
      <c r="BH72" s="278"/>
      <c r="BI72" s="365" t="s">
        <v>230</v>
      </c>
      <c r="BJ72" s="409"/>
    </row>
    <row r="73" spans="1:62" ht="15.75" customHeight="1" thickBot="1" x14ac:dyDescent="0.25">
      <c r="A73" s="156">
        <v>72</v>
      </c>
      <c r="B73" s="155">
        <v>1</v>
      </c>
      <c r="C73" s="148" t="s">
        <v>236</v>
      </c>
      <c r="D73" s="148" t="s">
        <v>1769</v>
      </c>
      <c r="E73" s="148" t="s">
        <v>13</v>
      </c>
      <c r="F73" s="148" t="s">
        <v>238</v>
      </c>
      <c r="G73" s="148" t="s">
        <v>20</v>
      </c>
      <c r="H73" s="148" t="s">
        <v>239</v>
      </c>
      <c r="I73" s="161">
        <v>2015</v>
      </c>
      <c r="J73" s="161" t="s">
        <v>240</v>
      </c>
      <c r="K73" s="161" t="s">
        <v>241</v>
      </c>
      <c r="L73" s="161" t="s">
        <v>19</v>
      </c>
      <c r="M73" s="453" t="s">
        <v>4113</v>
      </c>
      <c r="N73" s="186" t="s">
        <v>20</v>
      </c>
      <c r="O73" s="186" t="s">
        <v>15</v>
      </c>
      <c r="P73" s="186" t="s">
        <v>20</v>
      </c>
      <c r="Q73" s="186" t="s">
        <v>15</v>
      </c>
      <c r="R73" s="186" t="s">
        <v>20</v>
      </c>
      <c r="S73" s="186" t="s">
        <v>20</v>
      </c>
      <c r="T73" s="186" t="s">
        <v>20</v>
      </c>
      <c r="U73" s="186" t="s">
        <v>15</v>
      </c>
      <c r="V73" s="186" t="s">
        <v>15</v>
      </c>
      <c r="W73" s="186" t="s">
        <v>15</v>
      </c>
      <c r="X73" s="186" t="s">
        <v>15</v>
      </c>
      <c r="Y73" s="186" t="s">
        <v>15</v>
      </c>
      <c r="Z73" s="186" t="s">
        <v>242</v>
      </c>
      <c r="AA73" s="186" t="s">
        <v>243</v>
      </c>
      <c r="AB73" s="186" t="s">
        <v>15</v>
      </c>
      <c r="AC73" s="186" t="s">
        <v>20</v>
      </c>
      <c r="AD73" s="270" t="s">
        <v>244</v>
      </c>
      <c r="AE73" s="270" t="s">
        <v>92</v>
      </c>
      <c r="AF73" s="144" t="str">
        <f t="shared" si="4"/>
        <v/>
      </c>
      <c r="AG73" s="144" t="str">
        <f t="shared" si="5"/>
        <v/>
      </c>
      <c r="AH73" s="146">
        <f t="shared" si="6"/>
        <v>0.249</v>
      </c>
      <c r="AI73" s="146" t="str">
        <f t="shared" si="7"/>
        <v/>
      </c>
      <c r="AJ73" s="303"/>
      <c r="AK73" s="303"/>
      <c r="AL73" s="303"/>
      <c r="AM73" s="303"/>
      <c r="AN73" s="303"/>
      <c r="AO73" s="303"/>
      <c r="AP73" s="303"/>
      <c r="AQ73" s="303"/>
      <c r="AR73" s="303"/>
      <c r="AS73" s="170"/>
      <c r="AT73" s="170"/>
      <c r="AU73" s="310"/>
      <c r="AW73" s="294">
        <v>0.249</v>
      </c>
      <c r="AX73" s="294"/>
      <c r="AY73" s="294"/>
      <c r="AZ73" s="294">
        <v>0.08</v>
      </c>
      <c r="BA73" s="294">
        <f>1.28*0.49</f>
        <v>0.62719999999999998</v>
      </c>
      <c r="BB73" s="294">
        <f>1.28*0.05</f>
        <v>6.4000000000000001E-2</v>
      </c>
      <c r="BC73" s="294">
        <f>1.28*0.19</f>
        <v>0.2432</v>
      </c>
      <c r="BD73" s="294"/>
      <c r="BE73" s="294"/>
      <c r="BF73" s="383">
        <v>0.249</v>
      </c>
      <c r="BG73" s="383">
        <v>1.28</v>
      </c>
      <c r="BH73" s="367">
        <v>2.9000000000000001E-2</v>
      </c>
      <c r="BI73" s="365" t="s">
        <v>245</v>
      </c>
      <c r="BJ73" s="409" t="s">
        <v>3227</v>
      </c>
    </row>
    <row r="74" spans="1:62" ht="15.75" customHeight="1" thickBot="1" x14ac:dyDescent="0.25">
      <c r="A74" s="154">
        <v>73</v>
      </c>
      <c r="B74" s="155">
        <v>1</v>
      </c>
      <c r="C74" s="148" t="s">
        <v>236</v>
      </c>
      <c r="D74" s="148" t="s">
        <v>1769</v>
      </c>
      <c r="E74" s="148" t="s">
        <v>13</v>
      </c>
      <c r="F74" s="148" t="s">
        <v>246</v>
      </c>
      <c r="G74" s="148" t="s">
        <v>20</v>
      </c>
      <c r="H74" s="148" t="s">
        <v>239</v>
      </c>
      <c r="I74" s="161">
        <v>2015</v>
      </c>
      <c r="J74" s="161" t="s">
        <v>240</v>
      </c>
      <c r="K74" s="161" t="s">
        <v>241</v>
      </c>
      <c r="L74" s="161" t="s">
        <v>19</v>
      </c>
      <c r="M74" s="453" t="s">
        <v>4113</v>
      </c>
      <c r="N74" s="186" t="s">
        <v>20</v>
      </c>
      <c r="O74" s="186" t="s">
        <v>15</v>
      </c>
      <c r="P74" s="186" t="s">
        <v>20</v>
      </c>
      <c r="Q74" s="186" t="s">
        <v>15</v>
      </c>
      <c r="R74" s="186" t="s">
        <v>20</v>
      </c>
      <c r="S74" s="186" t="s">
        <v>20</v>
      </c>
      <c r="T74" s="186" t="s">
        <v>20</v>
      </c>
      <c r="U74" s="186" t="s">
        <v>15</v>
      </c>
      <c r="V74" s="186" t="s">
        <v>15</v>
      </c>
      <c r="W74" s="186" t="s">
        <v>15</v>
      </c>
      <c r="X74" s="186" t="s">
        <v>15</v>
      </c>
      <c r="Y74" s="186" t="s">
        <v>15</v>
      </c>
      <c r="Z74" s="186" t="s">
        <v>242</v>
      </c>
      <c r="AA74" s="186" t="s">
        <v>243</v>
      </c>
      <c r="AB74" s="186" t="s">
        <v>15</v>
      </c>
      <c r="AC74" s="186" t="s">
        <v>20</v>
      </c>
      <c r="AD74" s="270" t="s">
        <v>244</v>
      </c>
      <c r="AE74" s="270" t="s">
        <v>92</v>
      </c>
      <c r="AF74" s="144" t="str">
        <f t="shared" si="4"/>
        <v/>
      </c>
      <c r="AG74" s="144" t="str">
        <f t="shared" si="5"/>
        <v/>
      </c>
      <c r="AH74" s="146">
        <f t="shared" si="6"/>
        <v>0.30199999999999999</v>
      </c>
      <c r="AI74" s="146" t="str">
        <f t="shared" si="7"/>
        <v/>
      </c>
      <c r="AJ74" s="303"/>
      <c r="AK74" s="303"/>
      <c r="AL74" s="303"/>
      <c r="AM74" s="303"/>
      <c r="AN74" s="303"/>
      <c r="AO74" s="303"/>
      <c r="AP74" s="303"/>
      <c r="AQ74" s="303"/>
      <c r="AR74" s="303"/>
      <c r="AS74" s="170"/>
      <c r="AT74" s="170"/>
      <c r="AU74" s="310"/>
      <c r="AW74" s="294">
        <v>0.30199999999999999</v>
      </c>
      <c r="AX74" s="294"/>
      <c r="AY74" s="294"/>
      <c r="AZ74" s="294">
        <v>0.08</v>
      </c>
      <c r="BA74" s="294">
        <f>1.28*0.49</f>
        <v>0.62719999999999998</v>
      </c>
      <c r="BB74" s="294">
        <f>1.28*0.05</f>
        <v>6.4000000000000001E-2</v>
      </c>
      <c r="BC74" s="294">
        <f>1.28*0.19</f>
        <v>0.2432</v>
      </c>
      <c r="BD74" s="294"/>
      <c r="BE74" s="294"/>
      <c r="BF74" s="383">
        <v>0.30199999999999999</v>
      </c>
      <c r="BG74" s="383">
        <v>1.28</v>
      </c>
      <c r="BH74" s="367">
        <v>0.1</v>
      </c>
      <c r="BI74" s="365" t="s">
        <v>247</v>
      </c>
      <c r="BJ74" s="409" t="s">
        <v>3227</v>
      </c>
    </row>
    <row r="75" spans="1:62" ht="15.75" customHeight="1" thickBot="1" x14ac:dyDescent="0.25">
      <c r="A75" s="156">
        <v>74</v>
      </c>
      <c r="B75" s="155">
        <v>1</v>
      </c>
      <c r="C75" s="148" t="s">
        <v>11</v>
      </c>
      <c r="D75" s="150" t="s">
        <v>12</v>
      </c>
      <c r="E75" s="148" t="s">
        <v>13</v>
      </c>
      <c r="F75" s="148" t="s">
        <v>14</v>
      </c>
      <c r="G75" s="148" t="s">
        <v>15</v>
      </c>
      <c r="H75" s="148" t="s">
        <v>248</v>
      </c>
      <c r="I75" s="161">
        <v>2010</v>
      </c>
      <c r="J75" s="161" t="s">
        <v>249</v>
      </c>
      <c r="K75" s="161" t="s">
        <v>250</v>
      </c>
      <c r="L75" s="161" t="s">
        <v>19</v>
      </c>
      <c r="M75" s="453" t="s">
        <v>4114</v>
      </c>
      <c r="N75" s="186" t="s">
        <v>20</v>
      </c>
      <c r="O75" s="186" t="s">
        <v>20</v>
      </c>
      <c r="P75" s="186" t="s">
        <v>20</v>
      </c>
      <c r="Q75" s="186" t="s">
        <v>20</v>
      </c>
      <c r="R75" s="186" t="s">
        <v>20</v>
      </c>
      <c r="S75" s="186" t="s">
        <v>20</v>
      </c>
      <c r="T75" s="186" t="s">
        <v>15</v>
      </c>
      <c r="U75" s="186" t="s">
        <v>15</v>
      </c>
      <c r="V75" s="186" t="s">
        <v>15</v>
      </c>
      <c r="W75" s="186" t="s">
        <v>15</v>
      </c>
      <c r="X75" s="186" t="s">
        <v>15</v>
      </c>
      <c r="Y75" s="186" t="s">
        <v>15</v>
      </c>
      <c r="Z75" s="186"/>
      <c r="AA75" s="186" t="s">
        <v>251</v>
      </c>
      <c r="AB75" s="186" t="s">
        <v>15</v>
      </c>
      <c r="AC75" s="186" t="s">
        <v>15</v>
      </c>
      <c r="AD75" s="270" t="s">
        <v>252</v>
      </c>
      <c r="AE75" s="270" t="s">
        <v>92</v>
      </c>
      <c r="AF75" s="144" t="str">
        <f t="shared" si="4"/>
        <v/>
      </c>
      <c r="AG75" s="144" t="str">
        <f t="shared" si="5"/>
        <v/>
      </c>
      <c r="AH75" s="146" t="str">
        <f t="shared" si="6"/>
        <v/>
      </c>
      <c r="AI75" s="146" t="str">
        <f t="shared" si="7"/>
        <v/>
      </c>
      <c r="AJ75" s="303"/>
      <c r="AK75" s="303"/>
      <c r="AL75" s="303"/>
      <c r="AM75" s="303"/>
      <c r="AN75" s="303"/>
      <c r="AO75" s="303"/>
      <c r="AP75" s="303"/>
      <c r="AQ75" s="303"/>
      <c r="AR75" s="303"/>
      <c r="AS75" s="170"/>
      <c r="AT75" s="170"/>
      <c r="AU75" s="310"/>
      <c r="AW75" s="294"/>
      <c r="AX75" s="294"/>
      <c r="AY75" s="294"/>
      <c r="AZ75" s="294"/>
      <c r="BA75" s="294"/>
      <c r="BB75" s="294"/>
      <c r="BC75" s="294"/>
      <c r="BD75" s="294"/>
      <c r="BE75" s="294"/>
      <c r="BF75" s="383"/>
      <c r="BG75" s="385">
        <v>2.4</v>
      </c>
      <c r="BH75" s="278" t="s">
        <v>253</v>
      </c>
      <c r="BI75" s="365" t="s">
        <v>93</v>
      </c>
      <c r="BJ75" s="409"/>
    </row>
    <row r="76" spans="1:62" ht="15.75" customHeight="1" thickBot="1" x14ac:dyDescent="0.25">
      <c r="A76" s="154">
        <v>75</v>
      </c>
      <c r="B76" s="155">
        <v>1</v>
      </c>
      <c r="C76" s="148" t="s">
        <v>11</v>
      </c>
      <c r="D76" s="148" t="s">
        <v>254</v>
      </c>
      <c r="E76" s="148" t="s">
        <v>13</v>
      </c>
      <c r="F76" s="148" t="s">
        <v>254</v>
      </c>
      <c r="G76" s="148" t="s">
        <v>15</v>
      </c>
      <c r="H76" s="148" t="s">
        <v>108</v>
      </c>
      <c r="I76" s="161">
        <v>2010</v>
      </c>
      <c r="J76" s="161" t="s">
        <v>255</v>
      </c>
      <c r="K76" s="161"/>
      <c r="L76" s="161" t="s">
        <v>19</v>
      </c>
      <c r="M76" s="453" t="s">
        <v>4115</v>
      </c>
      <c r="N76" s="186" t="s">
        <v>20</v>
      </c>
      <c r="O76" s="186" t="s">
        <v>15</v>
      </c>
      <c r="P76" s="186" t="s">
        <v>20</v>
      </c>
      <c r="Q76" s="186" t="s">
        <v>20</v>
      </c>
      <c r="R76" s="186" t="s">
        <v>20</v>
      </c>
      <c r="S76" s="186" t="s">
        <v>15</v>
      </c>
      <c r="T76" s="186" t="s">
        <v>15</v>
      </c>
      <c r="U76" s="186" t="s">
        <v>15</v>
      </c>
      <c r="V76" s="186" t="s">
        <v>15</v>
      </c>
      <c r="W76" s="186" t="s">
        <v>15</v>
      </c>
      <c r="X76" s="186" t="s">
        <v>15</v>
      </c>
      <c r="Y76" s="186" t="s">
        <v>15</v>
      </c>
      <c r="Z76" s="186"/>
      <c r="AA76" s="186" t="s">
        <v>186</v>
      </c>
      <c r="AB76" s="186" t="s">
        <v>15</v>
      </c>
      <c r="AC76" s="186" t="s">
        <v>15</v>
      </c>
      <c r="AD76" s="270" t="s">
        <v>256</v>
      </c>
      <c r="AE76" s="270" t="s">
        <v>257</v>
      </c>
      <c r="AF76" s="144" t="str">
        <f t="shared" si="4"/>
        <v/>
      </c>
      <c r="AG76" s="144" t="str">
        <f t="shared" si="5"/>
        <v/>
      </c>
      <c r="AH76" s="146" t="str">
        <f t="shared" si="6"/>
        <v/>
      </c>
      <c r="AI76" s="146" t="str">
        <f t="shared" si="7"/>
        <v/>
      </c>
      <c r="AJ76" s="303"/>
      <c r="AK76" s="303"/>
      <c r="AL76" s="303"/>
      <c r="AM76" s="303"/>
      <c r="AN76" s="303"/>
      <c r="AO76" s="303"/>
      <c r="AP76" s="303"/>
      <c r="AQ76" s="303"/>
      <c r="AR76" s="303"/>
      <c r="AS76" s="170"/>
      <c r="AT76" s="172">
        <v>18.2</v>
      </c>
      <c r="AU76" s="310"/>
      <c r="AW76" s="294"/>
      <c r="AX76" s="294"/>
      <c r="AY76" s="294"/>
      <c r="AZ76" s="294"/>
      <c r="BA76" s="294"/>
      <c r="BB76" s="294"/>
      <c r="BC76" s="294"/>
      <c r="BD76" s="294"/>
      <c r="BE76" s="294"/>
      <c r="BF76" s="383"/>
      <c r="BG76" s="385">
        <v>1.1000000000000001</v>
      </c>
      <c r="BH76" s="278"/>
      <c r="BI76" s="365" t="s">
        <v>93</v>
      </c>
      <c r="BJ76" s="409"/>
    </row>
    <row r="77" spans="1:62" ht="15.75" customHeight="1" thickBot="1" x14ac:dyDescent="0.25">
      <c r="A77" s="156">
        <v>76</v>
      </c>
      <c r="B77" s="155">
        <v>1</v>
      </c>
      <c r="C77" s="148" t="s">
        <v>11</v>
      </c>
      <c r="D77" s="148" t="s">
        <v>143</v>
      </c>
      <c r="E77" s="148" t="s">
        <v>13</v>
      </c>
      <c r="F77" s="148" t="s">
        <v>143</v>
      </c>
      <c r="G77" s="148" t="s">
        <v>15</v>
      </c>
      <c r="H77" s="148" t="s">
        <v>108</v>
      </c>
      <c r="I77" s="161">
        <v>2010</v>
      </c>
      <c r="J77" s="161" t="s">
        <v>255</v>
      </c>
      <c r="K77" s="161"/>
      <c r="L77" s="161" t="s">
        <v>19</v>
      </c>
      <c r="M77" s="453" t="s">
        <v>4115</v>
      </c>
      <c r="N77" s="186" t="s">
        <v>20</v>
      </c>
      <c r="O77" s="186" t="s">
        <v>15</v>
      </c>
      <c r="P77" s="186" t="s">
        <v>20</v>
      </c>
      <c r="Q77" s="186" t="s">
        <v>20</v>
      </c>
      <c r="R77" s="186" t="s">
        <v>20</v>
      </c>
      <c r="S77" s="186" t="s">
        <v>15</v>
      </c>
      <c r="T77" s="186" t="s">
        <v>15</v>
      </c>
      <c r="U77" s="186" t="s">
        <v>15</v>
      </c>
      <c r="V77" s="186" t="s">
        <v>15</v>
      </c>
      <c r="W77" s="186" t="s">
        <v>15</v>
      </c>
      <c r="X77" s="186" t="s">
        <v>15</v>
      </c>
      <c r="Y77" s="186" t="s">
        <v>15</v>
      </c>
      <c r="Z77" s="186"/>
      <c r="AA77" s="186" t="s">
        <v>186</v>
      </c>
      <c r="AB77" s="186" t="s">
        <v>15</v>
      </c>
      <c r="AC77" s="186" t="s">
        <v>15</v>
      </c>
      <c r="AD77" s="270" t="s">
        <v>256</v>
      </c>
      <c r="AE77" s="270" t="s">
        <v>257</v>
      </c>
      <c r="AF77" s="144" t="str">
        <f t="shared" si="4"/>
        <v/>
      </c>
      <c r="AG77" s="144" t="str">
        <f t="shared" si="5"/>
        <v/>
      </c>
      <c r="AH77" s="146" t="str">
        <f t="shared" si="6"/>
        <v/>
      </c>
      <c r="AI77" s="146" t="str">
        <f t="shared" si="7"/>
        <v/>
      </c>
      <c r="AJ77" s="303"/>
      <c r="AK77" s="303"/>
      <c r="AL77" s="303"/>
      <c r="AM77" s="303"/>
      <c r="AN77" s="303"/>
      <c r="AO77" s="303"/>
      <c r="AP77" s="303"/>
      <c r="AQ77" s="303"/>
      <c r="AR77" s="303"/>
      <c r="AS77" s="170"/>
      <c r="AT77" s="172">
        <v>42</v>
      </c>
      <c r="AU77" s="310"/>
      <c r="AW77" s="294"/>
      <c r="AX77" s="294"/>
      <c r="AY77" s="294"/>
      <c r="AZ77" s="294"/>
      <c r="BA77" s="294"/>
      <c r="BB77" s="294"/>
      <c r="BC77" s="294"/>
      <c r="BD77" s="294"/>
      <c r="BE77" s="294"/>
      <c r="BF77" s="383"/>
      <c r="BG77" s="385">
        <v>9.6</v>
      </c>
      <c r="BH77" s="278"/>
      <c r="BI77" s="365" t="s">
        <v>93</v>
      </c>
      <c r="BJ77" s="409"/>
    </row>
    <row r="78" spans="1:62" ht="15.75" customHeight="1" thickBot="1" x14ac:dyDescent="0.25">
      <c r="A78" s="154">
        <v>77</v>
      </c>
      <c r="B78" s="155">
        <v>1</v>
      </c>
      <c r="C78" s="148" t="s">
        <v>11</v>
      </c>
      <c r="D78" s="148" t="s">
        <v>254</v>
      </c>
      <c r="E78" s="148" t="s">
        <v>13</v>
      </c>
      <c r="F78" s="148" t="s">
        <v>254</v>
      </c>
      <c r="G78" s="148" t="s">
        <v>15</v>
      </c>
      <c r="H78" s="148" t="s">
        <v>258</v>
      </c>
      <c r="I78" s="161">
        <v>2010</v>
      </c>
      <c r="J78" s="161" t="s">
        <v>255</v>
      </c>
      <c r="K78" s="161"/>
      <c r="L78" s="161" t="s">
        <v>19</v>
      </c>
      <c r="M78" s="453" t="s">
        <v>4115</v>
      </c>
      <c r="N78" s="186" t="s">
        <v>20</v>
      </c>
      <c r="O78" s="186" t="s">
        <v>15</v>
      </c>
      <c r="P78" s="186" t="s">
        <v>20</v>
      </c>
      <c r="Q78" s="186" t="s">
        <v>20</v>
      </c>
      <c r="R78" s="186" t="s">
        <v>20</v>
      </c>
      <c r="S78" s="186" t="s">
        <v>15</v>
      </c>
      <c r="T78" s="186" t="s">
        <v>15</v>
      </c>
      <c r="U78" s="186" t="s">
        <v>15</v>
      </c>
      <c r="V78" s="186" t="s">
        <v>15</v>
      </c>
      <c r="W78" s="186" t="s">
        <v>15</v>
      </c>
      <c r="X78" s="186" t="s">
        <v>15</v>
      </c>
      <c r="Y78" s="186" t="s">
        <v>15</v>
      </c>
      <c r="Z78" s="186"/>
      <c r="AA78" s="186" t="s">
        <v>186</v>
      </c>
      <c r="AB78" s="186" t="s">
        <v>15</v>
      </c>
      <c r="AC78" s="186" t="s">
        <v>15</v>
      </c>
      <c r="AD78" s="270" t="s">
        <v>256</v>
      </c>
      <c r="AE78" s="270" t="s">
        <v>257</v>
      </c>
      <c r="AF78" s="144" t="str">
        <f t="shared" si="4"/>
        <v/>
      </c>
      <c r="AG78" s="144" t="str">
        <f t="shared" si="5"/>
        <v/>
      </c>
      <c r="AH78" s="146" t="str">
        <f t="shared" si="6"/>
        <v/>
      </c>
      <c r="AI78" s="146" t="str">
        <f t="shared" si="7"/>
        <v/>
      </c>
      <c r="AJ78" s="303"/>
      <c r="AK78" s="303"/>
      <c r="AL78" s="303"/>
      <c r="AM78" s="303"/>
      <c r="AN78" s="303"/>
      <c r="AO78" s="303"/>
      <c r="AP78" s="303"/>
      <c r="AQ78" s="303"/>
      <c r="AR78" s="303"/>
      <c r="AS78" s="170"/>
      <c r="AT78" s="172">
        <v>22</v>
      </c>
      <c r="AU78" s="310"/>
      <c r="AW78" s="294"/>
      <c r="AX78" s="294"/>
      <c r="AY78" s="294"/>
      <c r="AZ78" s="294"/>
      <c r="BA78" s="294"/>
      <c r="BB78" s="294"/>
      <c r="BC78" s="294"/>
      <c r="BD78" s="294"/>
      <c r="BE78" s="294"/>
      <c r="BF78" s="383"/>
      <c r="BG78" s="385">
        <v>1.32</v>
      </c>
      <c r="BH78" s="278"/>
      <c r="BI78" s="365" t="s">
        <v>93</v>
      </c>
      <c r="BJ78" s="409"/>
    </row>
    <row r="79" spans="1:62" ht="15.75" customHeight="1" thickBot="1" x14ac:dyDescent="0.25">
      <c r="A79" s="156">
        <v>78</v>
      </c>
      <c r="B79" s="155">
        <v>1</v>
      </c>
      <c r="C79" s="148" t="s">
        <v>11</v>
      </c>
      <c r="D79" s="148" t="s">
        <v>143</v>
      </c>
      <c r="E79" s="148" t="s">
        <v>13</v>
      </c>
      <c r="F79" s="148" t="s">
        <v>143</v>
      </c>
      <c r="G79" s="148" t="s">
        <v>15</v>
      </c>
      <c r="H79" s="148" t="s">
        <v>258</v>
      </c>
      <c r="I79" s="161">
        <v>2010</v>
      </c>
      <c r="J79" s="161" t="s">
        <v>255</v>
      </c>
      <c r="K79" s="161"/>
      <c r="L79" s="161" t="s">
        <v>19</v>
      </c>
      <c r="M79" s="453" t="s">
        <v>4115</v>
      </c>
      <c r="N79" s="186" t="s">
        <v>20</v>
      </c>
      <c r="O79" s="186" t="s">
        <v>15</v>
      </c>
      <c r="P79" s="186" t="s">
        <v>20</v>
      </c>
      <c r="Q79" s="186" t="s">
        <v>20</v>
      </c>
      <c r="R79" s="186" t="s">
        <v>20</v>
      </c>
      <c r="S79" s="186" t="s">
        <v>15</v>
      </c>
      <c r="T79" s="186" t="s">
        <v>15</v>
      </c>
      <c r="U79" s="186" t="s">
        <v>15</v>
      </c>
      <c r="V79" s="186" t="s">
        <v>15</v>
      </c>
      <c r="W79" s="186" t="s">
        <v>15</v>
      </c>
      <c r="X79" s="186" t="s">
        <v>15</v>
      </c>
      <c r="Y79" s="186" t="s">
        <v>15</v>
      </c>
      <c r="Z79" s="186"/>
      <c r="AA79" s="186" t="s">
        <v>186</v>
      </c>
      <c r="AB79" s="186" t="s">
        <v>15</v>
      </c>
      <c r="AC79" s="186" t="s">
        <v>15</v>
      </c>
      <c r="AD79" s="270" t="s">
        <v>256</v>
      </c>
      <c r="AE79" s="270" t="s">
        <v>257</v>
      </c>
      <c r="AF79" s="144" t="str">
        <f t="shared" si="4"/>
        <v/>
      </c>
      <c r="AG79" s="144" t="str">
        <f t="shared" si="5"/>
        <v/>
      </c>
      <c r="AH79" s="146" t="str">
        <f t="shared" si="6"/>
        <v/>
      </c>
      <c r="AI79" s="146" t="str">
        <f t="shared" si="7"/>
        <v/>
      </c>
      <c r="AJ79" s="303"/>
      <c r="AK79" s="303"/>
      <c r="AL79" s="303"/>
      <c r="AM79" s="303"/>
      <c r="AN79" s="303"/>
      <c r="AO79" s="303"/>
      <c r="AP79" s="303"/>
      <c r="AQ79" s="303"/>
      <c r="AR79" s="303"/>
      <c r="AS79" s="170"/>
      <c r="AT79" s="172">
        <v>30</v>
      </c>
      <c r="AU79" s="310"/>
      <c r="AW79" s="294"/>
      <c r="AX79" s="294"/>
      <c r="AY79" s="294"/>
      <c r="AZ79" s="294"/>
      <c r="BA79" s="294"/>
      <c r="BB79" s="294"/>
      <c r="BC79" s="294"/>
      <c r="BD79" s="294"/>
      <c r="BE79" s="294"/>
      <c r="BF79" s="383"/>
      <c r="BG79" s="385">
        <v>9</v>
      </c>
      <c r="BH79" s="278"/>
      <c r="BI79" s="365" t="s">
        <v>93</v>
      </c>
      <c r="BJ79" s="409"/>
    </row>
    <row r="80" spans="1:62" ht="15.75" customHeight="1" thickBot="1" x14ac:dyDescent="0.25">
      <c r="A80" s="154">
        <v>79</v>
      </c>
      <c r="B80" s="155">
        <v>1</v>
      </c>
      <c r="C80" s="148" t="s">
        <v>11</v>
      </c>
      <c r="D80" s="148" t="s">
        <v>254</v>
      </c>
      <c r="E80" s="148" t="s">
        <v>13</v>
      </c>
      <c r="F80" s="148" t="s">
        <v>254</v>
      </c>
      <c r="G80" s="148" t="s">
        <v>15</v>
      </c>
      <c r="H80" s="148" t="s">
        <v>165</v>
      </c>
      <c r="I80" s="161">
        <v>2010</v>
      </c>
      <c r="J80" s="161" t="s">
        <v>255</v>
      </c>
      <c r="K80" s="161"/>
      <c r="L80" s="161" t="s">
        <v>19</v>
      </c>
      <c r="M80" s="453" t="s">
        <v>4115</v>
      </c>
      <c r="N80" s="186" t="s">
        <v>20</v>
      </c>
      <c r="O80" s="186" t="s">
        <v>15</v>
      </c>
      <c r="P80" s="186" t="s">
        <v>20</v>
      </c>
      <c r="Q80" s="186" t="s">
        <v>20</v>
      </c>
      <c r="R80" s="186" t="s">
        <v>20</v>
      </c>
      <c r="S80" s="186" t="s">
        <v>15</v>
      </c>
      <c r="T80" s="186" t="s">
        <v>15</v>
      </c>
      <c r="U80" s="186" t="s">
        <v>15</v>
      </c>
      <c r="V80" s="186" t="s">
        <v>15</v>
      </c>
      <c r="W80" s="186" t="s">
        <v>15</v>
      </c>
      <c r="X80" s="186" t="s">
        <v>15</v>
      </c>
      <c r="Y80" s="186" t="s">
        <v>15</v>
      </c>
      <c r="Z80" s="186"/>
      <c r="AA80" s="186" t="s">
        <v>186</v>
      </c>
      <c r="AB80" s="186" t="s">
        <v>15</v>
      </c>
      <c r="AC80" s="186" t="s">
        <v>15</v>
      </c>
      <c r="AD80" s="270" t="s">
        <v>256</v>
      </c>
      <c r="AE80" s="270" t="s">
        <v>257</v>
      </c>
      <c r="AF80" s="144" t="str">
        <f t="shared" si="4"/>
        <v/>
      </c>
      <c r="AG80" s="144" t="str">
        <f t="shared" si="5"/>
        <v/>
      </c>
      <c r="AH80" s="146" t="str">
        <f t="shared" si="6"/>
        <v/>
      </c>
      <c r="AI80" s="146" t="str">
        <f t="shared" si="7"/>
        <v/>
      </c>
      <c r="AJ80" s="303"/>
      <c r="AK80" s="303"/>
      <c r="AL80" s="303"/>
      <c r="AM80" s="303"/>
      <c r="AN80" s="303"/>
      <c r="AO80" s="303"/>
      <c r="AP80" s="303"/>
      <c r="AQ80" s="303"/>
      <c r="AR80" s="303"/>
      <c r="AS80" s="170"/>
      <c r="AT80" s="172">
        <v>26</v>
      </c>
      <c r="AU80" s="310"/>
      <c r="AW80" s="294"/>
      <c r="AX80" s="294"/>
      <c r="AY80" s="294"/>
      <c r="AZ80" s="294"/>
      <c r="BA80" s="294"/>
      <c r="BB80" s="294"/>
      <c r="BC80" s="294"/>
      <c r="BD80" s="294"/>
      <c r="BE80" s="294"/>
      <c r="BF80" s="383"/>
      <c r="BG80" s="385">
        <v>1.66</v>
      </c>
      <c r="BH80" s="278"/>
      <c r="BI80" s="365" t="s">
        <v>93</v>
      </c>
      <c r="BJ80" s="409"/>
    </row>
    <row r="81" spans="1:62" ht="15.75" customHeight="1" thickBot="1" x14ac:dyDescent="0.25">
      <c r="A81" s="156">
        <v>80</v>
      </c>
      <c r="B81" s="155">
        <v>1</v>
      </c>
      <c r="C81" s="148" t="s">
        <v>11</v>
      </c>
      <c r="D81" s="148" t="s">
        <v>143</v>
      </c>
      <c r="E81" s="148" t="s">
        <v>13</v>
      </c>
      <c r="F81" s="148" t="s">
        <v>143</v>
      </c>
      <c r="G81" s="148" t="s">
        <v>15</v>
      </c>
      <c r="H81" s="148" t="s">
        <v>165</v>
      </c>
      <c r="I81" s="161">
        <v>2010</v>
      </c>
      <c r="J81" s="161" t="s">
        <v>255</v>
      </c>
      <c r="K81" s="161"/>
      <c r="L81" s="161" t="s">
        <v>19</v>
      </c>
      <c r="M81" s="453" t="s">
        <v>4115</v>
      </c>
      <c r="N81" s="186" t="s">
        <v>20</v>
      </c>
      <c r="O81" s="186" t="s">
        <v>15</v>
      </c>
      <c r="P81" s="186" t="s">
        <v>20</v>
      </c>
      <c r="Q81" s="186" t="s">
        <v>20</v>
      </c>
      <c r="R81" s="186" t="s">
        <v>20</v>
      </c>
      <c r="S81" s="186" t="s">
        <v>15</v>
      </c>
      <c r="T81" s="186" t="s">
        <v>15</v>
      </c>
      <c r="U81" s="186" t="s">
        <v>15</v>
      </c>
      <c r="V81" s="186" t="s">
        <v>15</v>
      </c>
      <c r="W81" s="186" t="s">
        <v>15</v>
      </c>
      <c r="X81" s="186" t="s">
        <v>15</v>
      </c>
      <c r="Y81" s="186" t="s">
        <v>15</v>
      </c>
      <c r="Z81" s="186"/>
      <c r="AA81" s="186" t="s">
        <v>186</v>
      </c>
      <c r="AB81" s="186" t="s">
        <v>15</v>
      </c>
      <c r="AC81" s="186" t="s">
        <v>15</v>
      </c>
      <c r="AD81" s="270" t="s">
        <v>256</v>
      </c>
      <c r="AE81" s="270" t="s">
        <v>257</v>
      </c>
      <c r="AF81" s="144" t="str">
        <f t="shared" si="4"/>
        <v/>
      </c>
      <c r="AG81" s="144" t="str">
        <f t="shared" si="5"/>
        <v/>
      </c>
      <c r="AH81" s="146" t="str">
        <f t="shared" si="6"/>
        <v/>
      </c>
      <c r="AI81" s="146" t="str">
        <f t="shared" si="7"/>
        <v/>
      </c>
      <c r="AJ81" s="303"/>
      <c r="AK81" s="303"/>
      <c r="AL81" s="303"/>
      <c r="AM81" s="303"/>
      <c r="AN81" s="303"/>
      <c r="AO81" s="303"/>
      <c r="AP81" s="303"/>
      <c r="AQ81" s="303"/>
      <c r="AR81" s="303"/>
      <c r="AS81" s="170"/>
      <c r="AT81" s="172">
        <v>32</v>
      </c>
      <c r="AU81" s="310"/>
      <c r="AW81" s="294"/>
      <c r="AX81" s="294"/>
      <c r="AY81" s="294"/>
      <c r="AZ81" s="294"/>
      <c r="BA81" s="294"/>
      <c r="BB81" s="294"/>
      <c r="BC81" s="294"/>
      <c r="BD81" s="294"/>
      <c r="BE81" s="294"/>
      <c r="BF81" s="383"/>
      <c r="BG81" s="385">
        <v>7.2</v>
      </c>
      <c r="BH81" s="278"/>
      <c r="BI81" s="365" t="s">
        <v>93</v>
      </c>
      <c r="BJ81" s="409"/>
    </row>
    <row r="82" spans="1:62" ht="15.75" customHeight="1" thickBot="1" x14ac:dyDescent="0.25">
      <c r="A82" s="154">
        <v>81</v>
      </c>
      <c r="B82" s="155">
        <v>1</v>
      </c>
      <c r="C82" s="148" t="s">
        <v>259</v>
      </c>
      <c r="D82" s="148" t="s">
        <v>260</v>
      </c>
      <c r="E82" s="148" t="s">
        <v>13</v>
      </c>
      <c r="F82" s="148" t="s">
        <v>261</v>
      </c>
      <c r="G82" s="148" t="s">
        <v>15</v>
      </c>
      <c r="H82" s="148" t="s">
        <v>108</v>
      </c>
      <c r="I82" s="161">
        <v>2011</v>
      </c>
      <c r="J82" s="161" t="s">
        <v>262</v>
      </c>
      <c r="K82" s="161"/>
      <c r="L82" s="161" t="s">
        <v>19</v>
      </c>
      <c r="M82" s="453" t="s">
        <v>4116</v>
      </c>
      <c r="N82" s="186" t="s">
        <v>20</v>
      </c>
      <c r="O82" s="186" t="s">
        <v>15</v>
      </c>
      <c r="P82" s="186" t="s">
        <v>20</v>
      </c>
      <c r="Q82" s="186" t="s">
        <v>20</v>
      </c>
      <c r="R82" s="186" t="s">
        <v>20</v>
      </c>
      <c r="S82" s="186" t="s">
        <v>20</v>
      </c>
      <c r="T82" s="186" t="s">
        <v>20</v>
      </c>
      <c r="U82" s="186" t="s">
        <v>20</v>
      </c>
      <c r="V82" s="186" t="s">
        <v>20</v>
      </c>
      <c r="W82" s="186" t="s">
        <v>20</v>
      </c>
      <c r="X82" s="186" t="s">
        <v>15</v>
      </c>
      <c r="Y82" s="186" t="s">
        <v>15</v>
      </c>
      <c r="Z82" s="186"/>
      <c r="AA82" s="186" t="s">
        <v>243</v>
      </c>
      <c r="AB82" s="186" t="s">
        <v>20</v>
      </c>
      <c r="AC82" s="186" t="s">
        <v>20</v>
      </c>
      <c r="AD82" s="270" t="s">
        <v>263</v>
      </c>
      <c r="AE82" s="270" t="s">
        <v>264</v>
      </c>
      <c r="AF82" s="144" t="str">
        <f t="shared" si="4"/>
        <v/>
      </c>
      <c r="AG82" s="144" t="str">
        <f t="shared" si="5"/>
        <v/>
      </c>
      <c r="AH82" s="146">
        <f t="shared" si="6"/>
        <v>0.56147683749999999</v>
      </c>
      <c r="AI82" s="146">
        <f t="shared" si="7"/>
        <v>0.93009182499999998</v>
      </c>
      <c r="AJ82" s="306"/>
      <c r="AK82" s="306"/>
      <c r="AL82" s="306"/>
      <c r="AM82" s="306"/>
      <c r="AN82" s="306"/>
      <c r="AO82" s="306"/>
      <c r="AP82" s="306"/>
      <c r="AQ82" s="306"/>
      <c r="AR82" s="306"/>
      <c r="AS82" s="170"/>
      <c r="AT82" s="170"/>
      <c r="AU82" s="310"/>
      <c r="AW82" s="351">
        <v>0.56147683749999999</v>
      </c>
      <c r="AX82" s="294"/>
      <c r="AY82" s="351">
        <v>0.36861498749999999</v>
      </c>
      <c r="AZ82" s="351">
        <v>2.4885400000000002E-2</v>
      </c>
      <c r="BA82" s="351">
        <v>6.2057966249999999E-2</v>
      </c>
      <c r="BB82" s="351">
        <v>6.2213500000000005E-2</v>
      </c>
      <c r="BC82" s="351">
        <v>0.40376561500000002</v>
      </c>
      <c r="BD82" s="351">
        <v>7.450066625E-2</v>
      </c>
      <c r="BE82" s="351"/>
      <c r="BF82" s="383">
        <f>AW82</f>
        <v>0.56147683749999999</v>
      </c>
      <c r="BG82" s="383">
        <v>1.5553375</v>
      </c>
      <c r="BH82" s="278"/>
      <c r="BI82" s="365" t="s">
        <v>265</v>
      </c>
      <c r="BJ82" s="409"/>
    </row>
    <row r="83" spans="1:62" ht="15.75" customHeight="1" thickBot="1" x14ac:dyDescent="0.25">
      <c r="A83" s="156">
        <v>82</v>
      </c>
      <c r="B83" s="155">
        <v>1</v>
      </c>
      <c r="C83" s="148" t="s">
        <v>259</v>
      </c>
      <c r="D83" s="148" t="s">
        <v>260</v>
      </c>
      <c r="E83" s="148" t="s">
        <v>13</v>
      </c>
      <c r="F83" s="148" t="s">
        <v>266</v>
      </c>
      <c r="G83" s="148" t="s">
        <v>15</v>
      </c>
      <c r="H83" s="148" t="s">
        <v>108</v>
      </c>
      <c r="I83" s="161">
        <v>2011</v>
      </c>
      <c r="J83" s="161" t="s">
        <v>262</v>
      </c>
      <c r="K83" s="161"/>
      <c r="L83" s="161" t="s">
        <v>19</v>
      </c>
      <c r="M83" s="453" t="s">
        <v>4116</v>
      </c>
      <c r="N83" s="186" t="s">
        <v>20</v>
      </c>
      <c r="O83" s="186" t="s">
        <v>15</v>
      </c>
      <c r="P83" s="186" t="s">
        <v>20</v>
      </c>
      <c r="Q83" s="186" t="s">
        <v>20</v>
      </c>
      <c r="R83" s="186" t="s">
        <v>20</v>
      </c>
      <c r="S83" s="186" t="s">
        <v>20</v>
      </c>
      <c r="T83" s="186" t="s">
        <v>20</v>
      </c>
      <c r="U83" s="186" t="s">
        <v>20</v>
      </c>
      <c r="V83" s="186" t="s">
        <v>20</v>
      </c>
      <c r="W83" s="186" t="s">
        <v>20</v>
      </c>
      <c r="X83" s="186" t="s">
        <v>15</v>
      </c>
      <c r="Y83" s="186" t="s">
        <v>15</v>
      </c>
      <c r="Z83" s="186"/>
      <c r="AA83" s="186" t="s">
        <v>243</v>
      </c>
      <c r="AB83" s="186" t="s">
        <v>20</v>
      </c>
      <c r="AC83" s="186" t="s">
        <v>20</v>
      </c>
      <c r="AD83" s="270" t="s">
        <v>263</v>
      </c>
      <c r="AE83" s="270" t="s">
        <v>264</v>
      </c>
      <c r="AF83" s="144" t="str">
        <f t="shared" si="4"/>
        <v/>
      </c>
      <c r="AG83" s="144" t="str">
        <f t="shared" si="5"/>
        <v/>
      </c>
      <c r="AH83" s="146">
        <f t="shared" si="6"/>
        <v>0.57533104874999996</v>
      </c>
      <c r="AI83" s="146">
        <f t="shared" si="7"/>
        <v>0.94453064875000003</v>
      </c>
      <c r="AJ83" s="303"/>
      <c r="AK83" s="303"/>
      <c r="AL83" s="303"/>
      <c r="AM83" s="303"/>
      <c r="AN83" s="303"/>
      <c r="AO83" s="303"/>
      <c r="AP83" s="303"/>
      <c r="AQ83" s="303"/>
      <c r="AR83" s="303"/>
      <c r="AS83" s="170"/>
      <c r="AT83" s="170"/>
      <c r="AU83" s="310"/>
      <c r="AW83" s="351">
        <v>0.57533104874999996</v>
      </c>
      <c r="AX83" s="294"/>
      <c r="AY83" s="351">
        <v>0.36919960000000002</v>
      </c>
      <c r="AZ83" s="351">
        <v>1.4983750000000001E-2</v>
      </c>
      <c r="BA83" s="351">
        <v>6.2587123750000001E-2</v>
      </c>
      <c r="BB83" s="351">
        <v>6.8775412500000008E-2</v>
      </c>
      <c r="BC83" s="351">
        <v>0.35046991249999998</v>
      </c>
      <c r="BD83" s="351">
        <v>6.8775412500000008E-2</v>
      </c>
      <c r="BE83" s="294"/>
      <c r="BF83" s="383">
        <f>AW83</f>
        <v>0.57533104874999996</v>
      </c>
      <c r="BG83" s="383">
        <v>1.498375</v>
      </c>
      <c r="BH83" s="278"/>
      <c r="BI83" s="365" t="s">
        <v>265</v>
      </c>
      <c r="BJ83" s="409"/>
    </row>
    <row r="84" spans="1:62" ht="15.75" customHeight="1" thickBot="1" x14ac:dyDescent="0.25">
      <c r="A84" s="154">
        <v>83</v>
      </c>
      <c r="B84" s="155">
        <v>1</v>
      </c>
      <c r="C84" s="148" t="s">
        <v>259</v>
      </c>
      <c r="D84" s="148" t="s">
        <v>260</v>
      </c>
      <c r="E84" s="148" t="s">
        <v>13</v>
      </c>
      <c r="F84" s="148" t="s">
        <v>267</v>
      </c>
      <c r="G84" s="148" t="s">
        <v>15</v>
      </c>
      <c r="H84" s="148" t="s">
        <v>108</v>
      </c>
      <c r="I84" s="161">
        <v>2011</v>
      </c>
      <c r="J84" s="161" t="s">
        <v>262</v>
      </c>
      <c r="K84" s="161"/>
      <c r="L84" s="161" t="s">
        <v>19</v>
      </c>
      <c r="M84" s="453" t="s">
        <v>4116</v>
      </c>
      <c r="N84" s="186" t="s">
        <v>20</v>
      </c>
      <c r="O84" s="186" t="s">
        <v>15</v>
      </c>
      <c r="P84" s="186" t="s">
        <v>20</v>
      </c>
      <c r="Q84" s="186" t="s">
        <v>20</v>
      </c>
      <c r="R84" s="186" t="s">
        <v>20</v>
      </c>
      <c r="S84" s="186" t="s">
        <v>20</v>
      </c>
      <c r="T84" s="186" t="s">
        <v>20</v>
      </c>
      <c r="U84" s="186" t="s">
        <v>20</v>
      </c>
      <c r="V84" s="186" t="s">
        <v>20</v>
      </c>
      <c r="W84" s="186" t="s">
        <v>20</v>
      </c>
      <c r="X84" s="186" t="s">
        <v>15</v>
      </c>
      <c r="Y84" s="186" t="s">
        <v>15</v>
      </c>
      <c r="Z84" s="186"/>
      <c r="AA84" s="186" t="s">
        <v>243</v>
      </c>
      <c r="AB84" s="186" t="s">
        <v>20</v>
      </c>
      <c r="AC84" s="186" t="s">
        <v>20</v>
      </c>
      <c r="AD84" s="270" t="s">
        <v>263</v>
      </c>
      <c r="AE84" s="270" t="s">
        <v>264</v>
      </c>
      <c r="AF84" s="144" t="str">
        <f t="shared" si="4"/>
        <v/>
      </c>
      <c r="AG84" s="144" t="str">
        <f t="shared" si="5"/>
        <v/>
      </c>
      <c r="AH84" s="146">
        <f t="shared" si="6"/>
        <v>0.4567740500000001</v>
      </c>
      <c r="AI84" s="146">
        <f t="shared" si="7"/>
        <v>0.83780455500000017</v>
      </c>
      <c r="AJ84" s="303"/>
      <c r="AK84" s="303"/>
      <c r="AL84" s="303"/>
      <c r="AM84" s="303"/>
      <c r="AN84" s="303"/>
      <c r="AO84" s="303"/>
      <c r="AP84" s="303"/>
      <c r="AQ84" s="303"/>
      <c r="AR84" s="303"/>
      <c r="AS84" s="170"/>
      <c r="AT84" s="170"/>
      <c r="AU84" s="310"/>
      <c r="AW84" s="351">
        <v>0.4567740500000001</v>
      </c>
      <c r="AX84" s="294"/>
      <c r="AY84" s="351">
        <v>0.38103050500000007</v>
      </c>
      <c r="AZ84" s="351">
        <v>2.5035843500000002E-2</v>
      </c>
      <c r="BA84" s="351">
        <v>5.6316193000000014E-2</v>
      </c>
      <c r="BB84" s="351">
        <v>5.6316193000000014E-2</v>
      </c>
      <c r="BC84" s="351">
        <v>0.40618198750000012</v>
      </c>
      <c r="BD84" s="351">
        <v>6.8805205000000022E-2</v>
      </c>
      <c r="BE84" s="294"/>
      <c r="BF84" s="388">
        <f>AW84</f>
        <v>0.4567740500000001</v>
      </c>
      <c r="BG84" s="383">
        <v>1.4454875000000003</v>
      </c>
      <c r="BH84" s="278"/>
      <c r="BI84" s="365" t="s">
        <v>265</v>
      </c>
      <c r="BJ84" s="409"/>
    </row>
    <row r="85" spans="1:62" ht="15.75" customHeight="1" thickBot="1" x14ac:dyDescent="0.25">
      <c r="A85" s="156">
        <v>84</v>
      </c>
      <c r="B85" s="155">
        <v>1</v>
      </c>
      <c r="C85" s="148" t="s">
        <v>259</v>
      </c>
      <c r="D85" s="148" t="s">
        <v>260</v>
      </c>
      <c r="E85" s="148" t="s">
        <v>13</v>
      </c>
      <c r="F85" s="148" t="s">
        <v>268</v>
      </c>
      <c r="G85" s="148" t="s">
        <v>15</v>
      </c>
      <c r="H85" s="148" t="s">
        <v>108</v>
      </c>
      <c r="I85" s="161">
        <v>2011</v>
      </c>
      <c r="J85" s="161" t="s">
        <v>262</v>
      </c>
      <c r="K85" s="161"/>
      <c r="L85" s="161" t="s">
        <v>19</v>
      </c>
      <c r="M85" s="453" t="s">
        <v>4116</v>
      </c>
      <c r="N85" s="186" t="s">
        <v>20</v>
      </c>
      <c r="O85" s="186" t="s">
        <v>15</v>
      </c>
      <c r="P85" s="186" t="s">
        <v>20</v>
      </c>
      <c r="Q85" s="186" t="s">
        <v>20</v>
      </c>
      <c r="R85" s="186" t="s">
        <v>20</v>
      </c>
      <c r="S85" s="186" t="s">
        <v>20</v>
      </c>
      <c r="T85" s="186" t="s">
        <v>20</v>
      </c>
      <c r="U85" s="186" t="s">
        <v>20</v>
      </c>
      <c r="V85" s="186" t="s">
        <v>20</v>
      </c>
      <c r="W85" s="186" t="s">
        <v>20</v>
      </c>
      <c r="X85" s="186" t="s">
        <v>15</v>
      </c>
      <c r="Y85" s="186" t="s">
        <v>15</v>
      </c>
      <c r="Z85" s="186"/>
      <c r="AA85" s="186" t="s">
        <v>243</v>
      </c>
      <c r="AB85" s="186" t="s">
        <v>20</v>
      </c>
      <c r="AC85" s="186" t="s">
        <v>20</v>
      </c>
      <c r="AD85" s="270" t="s">
        <v>263</v>
      </c>
      <c r="AE85" s="270" t="s">
        <v>264</v>
      </c>
      <c r="AF85" s="144" t="str">
        <f t="shared" si="4"/>
        <v/>
      </c>
      <c r="AG85" s="144" t="str">
        <f t="shared" si="5"/>
        <v/>
      </c>
      <c r="AH85" s="146">
        <f t="shared" si="6"/>
        <v>0.45680005000000001</v>
      </c>
      <c r="AI85" s="146">
        <f t="shared" si="7"/>
        <v>0.83251461999999998</v>
      </c>
      <c r="AJ85" s="303"/>
      <c r="AK85" s="303"/>
      <c r="AL85" s="303"/>
      <c r="AM85" s="303"/>
      <c r="AN85" s="303"/>
      <c r="AO85" s="303"/>
      <c r="AP85" s="303"/>
      <c r="AQ85" s="303"/>
      <c r="AR85" s="303"/>
      <c r="AS85" s="170"/>
      <c r="AT85" s="170"/>
      <c r="AU85" s="310"/>
      <c r="AW85" s="351">
        <v>0.45680005000000001</v>
      </c>
      <c r="AX85" s="294"/>
      <c r="AY85" s="351">
        <v>0.37571457000000003</v>
      </c>
      <c r="AZ85" s="351">
        <v>2.4992099999999996E-2</v>
      </c>
      <c r="BA85" s="351">
        <v>5.6232224999999997E-2</v>
      </c>
      <c r="BB85" s="351">
        <v>5.6232224999999997E-2</v>
      </c>
      <c r="BC85" s="351">
        <v>0.35960855000000003</v>
      </c>
      <c r="BD85" s="351">
        <v>6.2480249999999994E-2</v>
      </c>
      <c r="BE85" s="294"/>
      <c r="BF85" s="383">
        <f>AW85</f>
        <v>0.45680005000000001</v>
      </c>
      <c r="BG85" s="383">
        <v>1.38845</v>
      </c>
      <c r="BH85" s="278"/>
      <c r="BI85" s="365" t="s">
        <v>265</v>
      </c>
      <c r="BJ85" s="409"/>
    </row>
    <row r="86" spans="1:62" ht="15.75" customHeight="1" thickBot="1" x14ac:dyDescent="0.25">
      <c r="A86" s="154">
        <v>85</v>
      </c>
      <c r="B86" s="155">
        <v>1</v>
      </c>
      <c r="C86" s="148" t="s">
        <v>24</v>
      </c>
      <c r="D86" s="148" t="s">
        <v>269</v>
      </c>
      <c r="E86" s="148" t="s">
        <v>13</v>
      </c>
      <c r="F86" s="148" t="s">
        <v>270</v>
      </c>
      <c r="G86" s="148" t="s">
        <v>122</v>
      </c>
      <c r="H86" s="148" t="s">
        <v>271</v>
      </c>
      <c r="I86" s="161">
        <v>2013</v>
      </c>
      <c r="J86" s="161" t="s">
        <v>272</v>
      </c>
      <c r="K86" s="161" t="s">
        <v>273</v>
      </c>
      <c r="L86" s="161" t="s">
        <v>274</v>
      </c>
      <c r="M86" s="453" t="s">
        <v>4117</v>
      </c>
      <c r="N86" s="186" t="s">
        <v>20</v>
      </c>
      <c r="O86" s="186" t="s">
        <v>15</v>
      </c>
      <c r="P86" s="186" t="s">
        <v>20</v>
      </c>
      <c r="Q86" s="186" t="s">
        <v>15</v>
      </c>
      <c r="R86" s="186" t="s">
        <v>15</v>
      </c>
      <c r="S86" s="186" t="s">
        <v>15</v>
      </c>
      <c r="T86" s="186" t="s">
        <v>15</v>
      </c>
      <c r="U86" s="186" t="s">
        <v>15</v>
      </c>
      <c r="V86" s="186" t="s">
        <v>15</v>
      </c>
      <c r="W86" s="186" t="s">
        <v>15</v>
      </c>
      <c r="X86" s="186" t="s">
        <v>15</v>
      </c>
      <c r="Y86" s="186" t="s">
        <v>15</v>
      </c>
      <c r="Z86" s="186"/>
      <c r="AA86" s="263"/>
      <c r="AB86" s="186" t="s">
        <v>15</v>
      </c>
      <c r="AC86" s="186" t="s">
        <v>20</v>
      </c>
      <c r="AD86" s="270" t="s">
        <v>275</v>
      </c>
      <c r="AE86" s="270" t="s">
        <v>276</v>
      </c>
      <c r="AF86" s="144" t="str">
        <f t="shared" si="4"/>
        <v/>
      </c>
      <c r="AG86" s="144" t="str">
        <f t="shared" si="5"/>
        <v/>
      </c>
      <c r="AH86" s="146">
        <f t="shared" si="6"/>
        <v>7.5445816186556929</v>
      </c>
      <c r="AI86" s="146" t="str">
        <f t="shared" si="7"/>
        <v/>
      </c>
      <c r="AJ86" s="303"/>
      <c r="AK86" s="303"/>
      <c r="AL86" s="303"/>
      <c r="AM86" s="303"/>
      <c r="AN86" s="303"/>
      <c r="AO86" s="303"/>
      <c r="AP86" s="303"/>
      <c r="AQ86" s="303"/>
      <c r="AR86" s="303"/>
      <c r="AS86" s="170"/>
      <c r="AT86" s="170"/>
      <c r="AU86" s="310"/>
      <c r="AW86" s="351"/>
      <c r="AX86" s="294"/>
      <c r="AY86" s="351"/>
      <c r="AZ86" s="351"/>
      <c r="BA86" s="351"/>
      <c r="BB86" s="351"/>
      <c r="BC86" s="351"/>
      <c r="BD86" s="351"/>
      <c r="BE86" s="294"/>
      <c r="BF86" s="382">
        <f>5.5/0.729</f>
        <v>7.5445816186556929</v>
      </c>
      <c r="BG86" s="382">
        <f>5.5/0.729</f>
        <v>7.5445816186556929</v>
      </c>
      <c r="BH86" s="278"/>
      <c r="BI86" s="365"/>
      <c r="BJ86" s="409"/>
    </row>
    <row r="87" spans="1:62" ht="15.75" customHeight="1" thickBot="1" x14ac:dyDescent="0.25">
      <c r="A87" s="156">
        <v>86</v>
      </c>
      <c r="B87" s="155">
        <v>1</v>
      </c>
      <c r="C87" s="148" t="s">
        <v>24</v>
      </c>
      <c r="D87" s="148" t="s">
        <v>269</v>
      </c>
      <c r="E87" s="148" t="s">
        <v>13</v>
      </c>
      <c r="F87" s="148" t="s">
        <v>277</v>
      </c>
      <c r="G87" s="148" t="s">
        <v>122</v>
      </c>
      <c r="H87" s="148" t="s">
        <v>271</v>
      </c>
      <c r="I87" s="161">
        <v>2013</v>
      </c>
      <c r="J87" s="161" t="s">
        <v>272</v>
      </c>
      <c r="K87" s="161" t="s">
        <v>273</v>
      </c>
      <c r="L87" s="161" t="s">
        <v>274</v>
      </c>
      <c r="M87" s="453" t="s">
        <v>4117</v>
      </c>
      <c r="N87" s="186" t="s">
        <v>20</v>
      </c>
      <c r="O87" s="186" t="s">
        <v>20</v>
      </c>
      <c r="P87" s="186" t="s">
        <v>20</v>
      </c>
      <c r="Q87" s="186" t="s">
        <v>20</v>
      </c>
      <c r="R87" s="186" t="s">
        <v>15</v>
      </c>
      <c r="S87" s="186" t="s">
        <v>20</v>
      </c>
      <c r="T87" s="186" t="s">
        <v>15</v>
      </c>
      <c r="U87" s="186" t="s">
        <v>15</v>
      </c>
      <c r="V87" s="186" t="s">
        <v>15</v>
      </c>
      <c r="W87" s="186" t="s">
        <v>15</v>
      </c>
      <c r="X87" s="186" t="s">
        <v>15</v>
      </c>
      <c r="Y87" s="186" t="s">
        <v>15</v>
      </c>
      <c r="Z87" s="186"/>
      <c r="AA87" s="186" t="s">
        <v>278</v>
      </c>
      <c r="AB87" s="186" t="s">
        <v>15</v>
      </c>
      <c r="AC87" s="186" t="s">
        <v>20</v>
      </c>
      <c r="AD87" s="270" t="s">
        <v>275</v>
      </c>
      <c r="AE87" s="270" t="s">
        <v>276</v>
      </c>
      <c r="AF87" s="144" t="str">
        <f t="shared" si="4"/>
        <v/>
      </c>
      <c r="AG87" s="144" t="str">
        <f t="shared" si="5"/>
        <v/>
      </c>
      <c r="AH87" s="146">
        <f t="shared" si="6"/>
        <v>8.3676268861454037</v>
      </c>
      <c r="AI87" s="146" t="str">
        <f t="shared" si="7"/>
        <v/>
      </c>
      <c r="AJ87" s="303"/>
      <c r="AK87" s="303"/>
      <c r="AL87" s="303"/>
      <c r="AM87" s="303"/>
      <c r="AN87" s="303"/>
      <c r="AO87" s="303"/>
      <c r="AP87" s="303"/>
      <c r="AQ87" s="303"/>
      <c r="AR87" s="303"/>
      <c r="AS87" s="170"/>
      <c r="AT87" s="170"/>
      <c r="AU87" s="310"/>
      <c r="AW87" s="351"/>
      <c r="AX87" s="294"/>
      <c r="AY87" s="351"/>
      <c r="AZ87" s="351"/>
      <c r="BA87" s="351"/>
      <c r="BB87" s="351"/>
      <c r="BC87" s="351"/>
      <c r="BD87" s="351"/>
      <c r="BE87" s="294"/>
      <c r="BF87" s="382">
        <f>6.1/0.729</f>
        <v>8.3676268861454037</v>
      </c>
      <c r="BG87" s="382">
        <f>6.5/0.729</f>
        <v>8.9163237311385455</v>
      </c>
      <c r="BH87" s="278"/>
      <c r="BI87" s="365" t="s">
        <v>279</v>
      </c>
      <c r="BJ87" s="409"/>
    </row>
    <row r="88" spans="1:62" ht="15.75" customHeight="1" thickBot="1" x14ac:dyDescent="0.25">
      <c r="A88" s="154">
        <v>87</v>
      </c>
      <c r="B88" s="155">
        <v>1</v>
      </c>
      <c r="C88" s="148" t="s">
        <v>24</v>
      </c>
      <c r="D88" s="148" t="s">
        <v>269</v>
      </c>
      <c r="E88" s="148" t="s">
        <v>13</v>
      </c>
      <c r="F88" s="148" t="s">
        <v>280</v>
      </c>
      <c r="G88" s="148" t="s">
        <v>122</v>
      </c>
      <c r="H88" s="148" t="s">
        <v>271</v>
      </c>
      <c r="I88" s="161">
        <v>2013</v>
      </c>
      <c r="J88" s="161" t="s">
        <v>272</v>
      </c>
      <c r="K88" s="161" t="s">
        <v>273</v>
      </c>
      <c r="L88" s="161" t="s">
        <v>274</v>
      </c>
      <c r="M88" s="453" t="s">
        <v>4117</v>
      </c>
      <c r="N88" s="186" t="s">
        <v>20</v>
      </c>
      <c r="O88" s="186" t="s">
        <v>20</v>
      </c>
      <c r="P88" s="186" t="s">
        <v>20</v>
      </c>
      <c r="Q88" s="186" t="s">
        <v>20</v>
      </c>
      <c r="R88" s="186" t="s">
        <v>15</v>
      </c>
      <c r="S88" s="186" t="s">
        <v>20</v>
      </c>
      <c r="T88" s="186" t="s">
        <v>15</v>
      </c>
      <c r="U88" s="186" t="s">
        <v>15</v>
      </c>
      <c r="V88" s="186" t="s">
        <v>15</v>
      </c>
      <c r="W88" s="186" t="s">
        <v>15</v>
      </c>
      <c r="X88" s="186" t="s">
        <v>15</v>
      </c>
      <c r="Y88" s="186" t="s">
        <v>15</v>
      </c>
      <c r="Z88" s="186"/>
      <c r="AA88" s="186" t="s">
        <v>281</v>
      </c>
      <c r="AB88" s="186" t="s">
        <v>15</v>
      </c>
      <c r="AC88" s="186" t="s">
        <v>20</v>
      </c>
      <c r="AD88" s="270" t="s">
        <v>275</v>
      </c>
      <c r="AE88" s="270" t="s">
        <v>276</v>
      </c>
      <c r="AF88" s="144" t="str">
        <f t="shared" si="4"/>
        <v/>
      </c>
      <c r="AG88" s="144" t="str">
        <f t="shared" si="5"/>
        <v/>
      </c>
      <c r="AH88" s="146">
        <f t="shared" si="6"/>
        <v>7.6817558299039774</v>
      </c>
      <c r="AI88" s="146" t="str">
        <f t="shared" si="7"/>
        <v/>
      </c>
      <c r="AJ88" s="303"/>
      <c r="AK88" s="303"/>
      <c r="AL88" s="303"/>
      <c r="AM88" s="303"/>
      <c r="AN88" s="303"/>
      <c r="AO88" s="303"/>
      <c r="AP88" s="303"/>
      <c r="AQ88" s="303"/>
      <c r="AR88" s="303"/>
      <c r="AS88" s="170"/>
      <c r="AT88" s="170"/>
      <c r="AU88" s="310"/>
      <c r="AW88" s="351"/>
      <c r="AX88" s="294"/>
      <c r="AY88" s="351"/>
      <c r="AZ88" s="351"/>
      <c r="BA88" s="351"/>
      <c r="BB88" s="351"/>
      <c r="BC88" s="351"/>
      <c r="BD88" s="351"/>
      <c r="BE88" s="294"/>
      <c r="BF88" s="382">
        <f>5.6/0.729</f>
        <v>7.6817558299039774</v>
      </c>
      <c r="BG88" s="382">
        <f>6.1/0.729</f>
        <v>8.3676268861454037</v>
      </c>
      <c r="BH88" s="278"/>
      <c r="BI88" s="365" t="s">
        <v>279</v>
      </c>
      <c r="BJ88" s="409"/>
    </row>
    <row r="89" spans="1:62" ht="15.75" customHeight="1" thickBot="1" x14ac:dyDescent="0.25">
      <c r="A89" s="156">
        <v>88</v>
      </c>
      <c r="B89" s="155">
        <v>1</v>
      </c>
      <c r="C89" s="148" t="s">
        <v>24</v>
      </c>
      <c r="D89" s="148" t="s">
        <v>269</v>
      </c>
      <c r="E89" s="148" t="s">
        <v>13</v>
      </c>
      <c r="F89" s="148" t="s">
        <v>280</v>
      </c>
      <c r="G89" s="148" t="s">
        <v>122</v>
      </c>
      <c r="H89" s="148" t="s">
        <v>282</v>
      </c>
      <c r="I89" s="161">
        <v>2013</v>
      </c>
      <c r="J89" s="161" t="s">
        <v>272</v>
      </c>
      <c r="K89" s="161" t="s">
        <v>273</v>
      </c>
      <c r="L89" s="161" t="s">
        <v>274</v>
      </c>
      <c r="M89" s="453" t="s">
        <v>4117</v>
      </c>
      <c r="N89" s="186" t="s">
        <v>20</v>
      </c>
      <c r="O89" s="186" t="s">
        <v>15</v>
      </c>
      <c r="P89" s="186" t="s">
        <v>20</v>
      </c>
      <c r="Q89" s="186" t="s">
        <v>20</v>
      </c>
      <c r="R89" s="186" t="s">
        <v>15</v>
      </c>
      <c r="S89" s="186" t="s">
        <v>20</v>
      </c>
      <c r="T89" s="186" t="s">
        <v>15</v>
      </c>
      <c r="U89" s="186" t="s">
        <v>15</v>
      </c>
      <c r="V89" s="186" t="s">
        <v>15</v>
      </c>
      <c r="W89" s="186" t="s">
        <v>15</v>
      </c>
      <c r="X89" s="186" t="s">
        <v>15</v>
      </c>
      <c r="Y89" s="186" t="s">
        <v>15</v>
      </c>
      <c r="Z89" s="263"/>
      <c r="AA89" s="263"/>
      <c r="AB89" s="186" t="s">
        <v>15</v>
      </c>
      <c r="AC89" s="186" t="s">
        <v>20</v>
      </c>
      <c r="AD89" s="270" t="s">
        <v>275</v>
      </c>
      <c r="AE89" s="270" t="s">
        <v>276</v>
      </c>
      <c r="AF89" s="144" t="str">
        <f t="shared" si="4"/>
        <v/>
      </c>
      <c r="AG89" s="144" t="str">
        <f t="shared" si="5"/>
        <v/>
      </c>
      <c r="AH89" s="146">
        <f t="shared" si="6"/>
        <v>5.6241426611796976</v>
      </c>
      <c r="AI89" s="146" t="str">
        <f t="shared" si="7"/>
        <v/>
      </c>
      <c r="AJ89" s="303"/>
      <c r="AK89" s="303"/>
      <c r="AL89" s="303"/>
      <c r="AM89" s="303"/>
      <c r="AN89" s="303"/>
      <c r="AO89" s="303"/>
      <c r="AP89" s="303"/>
      <c r="AQ89" s="303"/>
      <c r="AR89" s="303"/>
      <c r="AS89" s="170"/>
      <c r="AT89" s="170"/>
      <c r="AU89" s="310"/>
      <c r="AW89" s="351"/>
      <c r="AX89" s="294"/>
      <c r="AY89" s="351"/>
      <c r="AZ89" s="351"/>
      <c r="BA89" s="351"/>
      <c r="BB89" s="351"/>
      <c r="BC89" s="351"/>
      <c r="BD89" s="351"/>
      <c r="BE89" s="294"/>
      <c r="BF89" s="382">
        <f>4.1/0.729</f>
        <v>5.6241426611796976</v>
      </c>
      <c r="BG89" s="382">
        <f>4.6/0.729</f>
        <v>6.3100137174211248</v>
      </c>
      <c r="BH89" s="278"/>
      <c r="BI89" s="365" t="s">
        <v>279</v>
      </c>
      <c r="BJ89" s="409"/>
    </row>
    <row r="90" spans="1:62" ht="15.75" customHeight="1" thickBot="1" x14ac:dyDescent="0.25">
      <c r="A90" s="154">
        <v>89</v>
      </c>
      <c r="B90" s="155">
        <v>1</v>
      </c>
      <c r="C90" s="148" t="s">
        <v>24</v>
      </c>
      <c r="D90" s="148" t="s">
        <v>283</v>
      </c>
      <c r="E90" s="148" t="s">
        <v>13</v>
      </c>
      <c r="F90" s="200" t="s">
        <v>280</v>
      </c>
      <c r="G90" s="148" t="s">
        <v>122</v>
      </c>
      <c r="H90" s="148" t="s">
        <v>248</v>
      </c>
      <c r="I90" s="161">
        <v>2013</v>
      </c>
      <c r="J90" s="161" t="s">
        <v>272</v>
      </c>
      <c r="K90" s="161" t="s">
        <v>273</v>
      </c>
      <c r="L90" s="161" t="s">
        <v>274</v>
      </c>
      <c r="M90" s="453" t="s">
        <v>4117</v>
      </c>
      <c r="N90" s="186" t="s">
        <v>20</v>
      </c>
      <c r="O90" s="186" t="s">
        <v>20</v>
      </c>
      <c r="P90" s="186" t="s">
        <v>20</v>
      </c>
      <c r="Q90" s="186" t="s">
        <v>20</v>
      </c>
      <c r="R90" s="186" t="s">
        <v>15</v>
      </c>
      <c r="S90" s="186" t="s">
        <v>20</v>
      </c>
      <c r="T90" s="186" t="s">
        <v>15</v>
      </c>
      <c r="U90" s="186" t="s">
        <v>15</v>
      </c>
      <c r="V90" s="186" t="s">
        <v>15</v>
      </c>
      <c r="W90" s="186" t="s">
        <v>15</v>
      </c>
      <c r="X90" s="186" t="s">
        <v>15</v>
      </c>
      <c r="Y90" s="186" t="s">
        <v>15</v>
      </c>
      <c r="Z90" s="263"/>
      <c r="AA90" s="263" t="s">
        <v>284</v>
      </c>
      <c r="AB90" s="186" t="s">
        <v>15</v>
      </c>
      <c r="AC90" s="186" t="s">
        <v>20</v>
      </c>
      <c r="AD90" s="268" t="s">
        <v>275</v>
      </c>
      <c r="AE90" s="271" t="s">
        <v>2854</v>
      </c>
      <c r="AF90" s="144" t="str">
        <f t="shared" si="4"/>
        <v/>
      </c>
      <c r="AG90" s="144" t="str">
        <f t="shared" si="5"/>
        <v/>
      </c>
      <c r="AH90" s="146">
        <f t="shared" si="6"/>
        <v>6.3636363636363642</v>
      </c>
      <c r="AI90" s="146" t="str">
        <f t="shared" si="7"/>
        <v/>
      </c>
      <c r="AJ90" s="303"/>
      <c r="AK90" s="303"/>
      <c r="AL90" s="303"/>
      <c r="AM90" s="303"/>
      <c r="AN90" s="303"/>
      <c r="AO90" s="303"/>
      <c r="AP90" s="303"/>
      <c r="AQ90" s="303"/>
      <c r="AR90" s="303"/>
      <c r="AS90" s="170"/>
      <c r="AT90" s="170"/>
      <c r="AU90" s="310"/>
      <c r="AW90" s="351"/>
      <c r="AX90" s="294"/>
      <c r="AY90" s="351"/>
      <c r="AZ90" s="351"/>
      <c r="BA90" s="351"/>
      <c r="BB90" s="351"/>
      <c r="BC90" s="351"/>
      <c r="BD90" s="351"/>
      <c r="BE90" s="294"/>
      <c r="BF90" s="382">
        <f>4.9/0.77</f>
        <v>6.3636363636363642</v>
      </c>
      <c r="BG90" s="382">
        <v>5.2</v>
      </c>
      <c r="BH90" s="278"/>
      <c r="BI90" s="365" t="s">
        <v>279</v>
      </c>
      <c r="BJ90" s="409"/>
    </row>
    <row r="91" spans="1:62" ht="15.75" customHeight="1" thickBot="1" x14ac:dyDescent="0.25">
      <c r="A91" s="156">
        <v>90</v>
      </c>
      <c r="B91" s="155">
        <v>1</v>
      </c>
      <c r="C91" s="148" t="s">
        <v>24</v>
      </c>
      <c r="D91" s="148" t="s">
        <v>283</v>
      </c>
      <c r="E91" s="148" t="s">
        <v>13</v>
      </c>
      <c r="F91" s="200" t="s">
        <v>280</v>
      </c>
      <c r="G91" s="148" t="s">
        <v>122</v>
      </c>
      <c r="H91" s="148" t="s">
        <v>285</v>
      </c>
      <c r="I91" s="161">
        <v>2013</v>
      </c>
      <c r="J91" s="161" t="s">
        <v>272</v>
      </c>
      <c r="K91" s="161" t="s">
        <v>273</v>
      </c>
      <c r="L91" s="161" t="s">
        <v>274</v>
      </c>
      <c r="M91" s="453" t="s">
        <v>4117</v>
      </c>
      <c r="N91" s="186" t="s">
        <v>20</v>
      </c>
      <c r="O91" s="186" t="s">
        <v>15</v>
      </c>
      <c r="P91" s="186" t="s">
        <v>20</v>
      </c>
      <c r="Q91" s="186" t="s">
        <v>20</v>
      </c>
      <c r="R91" s="186" t="s">
        <v>15</v>
      </c>
      <c r="S91" s="186" t="s">
        <v>20</v>
      </c>
      <c r="T91" s="186" t="s">
        <v>15</v>
      </c>
      <c r="U91" s="186" t="s">
        <v>15</v>
      </c>
      <c r="V91" s="186" t="s">
        <v>15</v>
      </c>
      <c r="W91" s="186" t="s">
        <v>15</v>
      </c>
      <c r="X91" s="186" t="s">
        <v>15</v>
      </c>
      <c r="Y91" s="186" t="s">
        <v>15</v>
      </c>
      <c r="Z91" s="263"/>
      <c r="AA91" s="263"/>
      <c r="AB91" s="186" t="s">
        <v>15</v>
      </c>
      <c r="AC91" s="186" t="s">
        <v>20</v>
      </c>
      <c r="AD91" s="268" t="s">
        <v>275</v>
      </c>
      <c r="AE91" s="271" t="s">
        <v>2854</v>
      </c>
      <c r="AF91" s="144" t="str">
        <f t="shared" si="4"/>
        <v/>
      </c>
      <c r="AG91" s="144" t="str">
        <f t="shared" si="5"/>
        <v/>
      </c>
      <c r="AH91" s="146">
        <f t="shared" si="6"/>
        <v>5.1948051948051948</v>
      </c>
      <c r="AI91" s="146" t="str">
        <f t="shared" si="7"/>
        <v/>
      </c>
      <c r="AJ91" s="303"/>
      <c r="AK91" s="303"/>
      <c r="AL91" s="303"/>
      <c r="AM91" s="303"/>
      <c r="AN91" s="303"/>
      <c r="AO91" s="303"/>
      <c r="AP91" s="303"/>
      <c r="AQ91" s="303"/>
      <c r="AR91" s="303"/>
      <c r="AS91" s="170"/>
      <c r="AT91" s="170"/>
      <c r="AU91" s="310"/>
      <c r="AW91" s="351"/>
      <c r="AX91" s="294"/>
      <c r="AY91" s="351"/>
      <c r="AZ91" s="351"/>
      <c r="BA91" s="351"/>
      <c r="BB91" s="351"/>
      <c r="BC91" s="351"/>
      <c r="BD91" s="351"/>
      <c r="BE91" s="294"/>
      <c r="BF91" s="382">
        <f>4/0.77</f>
        <v>5.1948051948051948</v>
      </c>
      <c r="BG91" s="382">
        <v>4.4000000000000004</v>
      </c>
      <c r="BH91" s="278"/>
      <c r="BI91" s="365" t="s">
        <v>279</v>
      </c>
      <c r="BJ91" s="409"/>
    </row>
    <row r="92" spans="1:62" ht="15.75" customHeight="1" thickBot="1" x14ac:dyDescent="0.25">
      <c r="A92" s="154">
        <v>91</v>
      </c>
      <c r="B92" s="155">
        <v>1</v>
      </c>
      <c r="C92" s="148" t="s">
        <v>39</v>
      </c>
      <c r="D92" s="148" t="s">
        <v>40</v>
      </c>
      <c r="E92" s="148" t="s">
        <v>13</v>
      </c>
      <c r="F92" s="200" t="s">
        <v>280</v>
      </c>
      <c r="G92" s="148" t="s">
        <v>122</v>
      </c>
      <c r="H92" s="148" t="s">
        <v>248</v>
      </c>
      <c r="I92" s="161">
        <v>2013</v>
      </c>
      <c r="J92" s="161" t="s">
        <v>272</v>
      </c>
      <c r="K92" s="161" t="s">
        <v>273</v>
      </c>
      <c r="L92" s="161" t="s">
        <v>274</v>
      </c>
      <c r="M92" s="453" t="s">
        <v>4117</v>
      </c>
      <c r="N92" s="186" t="s">
        <v>20</v>
      </c>
      <c r="O92" s="186" t="s">
        <v>20</v>
      </c>
      <c r="P92" s="186" t="s">
        <v>20</v>
      </c>
      <c r="Q92" s="186" t="s">
        <v>20</v>
      </c>
      <c r="R92" s="186" t="s">
        <v>15</v>
      </c>
      <c r="S92" s="186" t="s">
        <v>20</v>
      </c>
      <c r="T92" s="186" t="s">
        <v>15</v>
      </c>
      <c r="U92" s="186" t="s">
        <v>15</v>
      </c>
      <c r="V92" s="186" t="s">
        <v>15</v>
      </c>
      <c r="W92" s="186" t="s">
        <v>15</v>
      </c>
      <c r="X92" s="186" t="s">
        <v>15</v>
      </c>
      <c r="Y92" s="186" t="s">
        <v>15</v>
      </c>
      <c r="Z92" s="263"/>
      <c r="AA92" s="263" t="s">
        <v>286</v>
      </c>
      <c r="AB92" s="186" t="s">
        <v>15</v>
      </c>
      <c r="AC92" s="186" t="s">
        <v>20</v>
      </c>
      <c r="AD92" s="268" t="s">
        <v>287</v>
      </c>
      <c r="AE92" s="268"/>
      <c r="AF92" s="144" t="str">
        <f t="shared" si="4"/>
        <v/>
      </c>
      <c r="AG92" s="144" t="str">
        <f t="shared" si="5"/>
        <v/>
      </c>
      <c r="AH92" s="146">
        <f t="shared" si="6"/>
        <v>3.4</v>
      </c>
      <c r="AI92" s="146" t="str">
        <f t="shared" si="7"/>
        <v/>
      </c>
      <c r="AJ92" s="303"/>
      <c r="AK92" s="303"/>
      <c r="AL92" s="303"/>
      <c r="AM92" s="303"/>
      <c r="AN92" s="303"/>
      <c r="AO92" s="303"/>
      <c r="AP92" s="303"/>
      <c r="AQ92" s="303"/>
      <c r="AR92" s="303"/>
      <c r="AS92" s="170"/>
      <c r="AT92" s="170"/>
      <c r="AU92" s="310"/>
      <c r="AW92" s="351"/>
      <c r="AX92" s="294"/>
      <c r="AY92" s="351"/>
      <c r="AZ92" s="351"/>
      <c r="BA92" s="351"/>
      <c r="BB92" s="351"/>
      <c r="BC92" s="351"/>
      <c r="BD92" s="351"/>
      <c r="BE92" s="294"/>
      <c r="BF92" s="382">
        <v>3.4</v>
      </c>
      <c r="BG92" s="382">
        <v>3.7</v>
      </c>
      <c r="BH92" s="278"/>
      <c r="BI92" s="365" t="s">
        <v>279</v>
      </c>
      <c r="BJ92" s="409"/>
    </row>
    <row r="93" spans="1:62" ht="15.75" customHeight="1" thickBot="1" x14ac:dyDescent="0.25">
      <c r="A93" s="156">
        <v>92</v>
      </c>
      <c r="B93" s="155">
        <v>1</v>
      </c>
      <c r="C93" s="148" t="s">
        <v>39</v>
      </c>
      <c r="D93" s="148" t="s">
        <v>40</v>
      </c>
      <c r="E93" s="148" t="s">
        <v>13</v>
      </c>
      <c r="F93" s="200" t="s">
        <v>280</v>
      </c>
      <c r="G93" s="148" t="s">
        <v>122</v>
      </c>
      <c r="H93" s="148" t="s">
        <v>285</v>
      </c>
      <c r="I93" s="161">
        <v>2013</v>
      </c>
      <c r="J93" s="161" t="s">
        <v>272</v>
      </c>
      <c r="K93" s="161" t="s">
        <v>273</v>
      </c>
      <c r="L93" s="161" t="s">
        <v>274</v>
      </c>
      <c r="M93" s="453" t="s">
        <v>4117</v>
      </c>
      <c r="N93" s="186" t="s">
        <v>20</v>
      </c>
      <c r="O93" s="186" t="s">
        <v>15</v>
      </c>
      <c r="P93" s="186" t="s">
        <v>20</v>
      </c>
      <c r="Q93" s="186" t="s">
        <v>20</v>
      </c>
      <c r="R93" s="186" t="s">
        <v>15</v>
      </c>
      <c r="S93" s="186" t="s">
        <v>20</v>
      </c>
      <c r="T93" s="186" t="s">
        <v>15</v>
      </c>
      <c r="U93" s="186" t="s">
        <v>15</v>
      </c>
      <c r="V93" s="186" t="s">
        <v>15</v>
      </c>
      <c r="W93" s="186" t="s">
        <v>15</v>
      </c>
      <c r="X93" s="186" t="s">
        <v>15</v>
      </c>
      <c r="Y93" s="186" t="s">
        <v>15</v>
      </c>
      <c r="Z93" s="263"/>
      <c r="AA93" s="263"/>
      <c r="AB93" s="186" t="s">
        <v>15</v>
      </c>
      <c r="AC93" s="186" t="s">
        <v>20</v>
      </c>
      <c r="AD93" s="268" t="s">
        <v>287</v>
      </c>
      <c r="AE93" s="268"/>
      <c r="AF93" s="144" t="str">
        <f t="shared" si="4"/>
        <v/>
      </c>
      <c r="AG93" s="144" t="str">
        <f t="shared" si="5"/>
        <v/>
      </c>
      <c r="AH93" s="146">
        <f t="shared" si="6"/>
        <v>2.75</v>
      </c>
      <c r="AI93" s="146" t="str">
        <f t="shared" si="7"/>
        <v/>
      </c>
      <c r="AJ93" s="303"/>
      <c r="AK93" s="303"/>
      <c r="AL93" s="303"/>
      <c r="AM93" s="303"/>
      <c r="AN93" s="303"/>
      <c r="AO93" s="303"/>
      <c r="AP93" s="303"/>
      <c r="AQ93" s="303"/>
      <c r="AR93" s="303"/>
      <c r="AS93" s="170"/>
      <c r="AT93" s="170"/>
      <c r="AU93" s="310"/>
      <c r="AW93" s="351"/>
      <c r="AX93" s="294"/>
      <c r="AY93" s="351"/>
      <c r="AZ93" s="351"/>
      <c r="BA93" s="351"/>
      <c r="BB93" s="351"/>
      <c r="BC93" s="351"/>
      <c r="BD93" s="351"/>
      <c r="BE93" s="294"/>
      <c r="BF93" s="382">
        <v>2.75</v>
      </c>
      <c r="BG93" s="382">
        <v>2.85</v>
      </c>
      <c r="BH93" s="278"/>
      <c r="BI93" s="365" t="s">
        <v>279</v>
      </c>
      <c r="BJ93" s="409"/>
    </row>
    <row r="94" spans="1:62" ht="15.75" customHeight="1" thickBot="1" x14ac:dyDescent="0.25">
      <c r="A94" s="154">
        <v>93</v>
      </c>
      <c r="B94" s="155">
        <v>1</v>
      </c>
      <c r="C94" s="148" t="s">
        <v>24</v>
      </c>
      <c r="D94" s="148" t="s">
        <v>53</v>
      </c>
      <c r="E94" s="148" t="s">
        <v>13</v>
      </c>
      <c r="F94" s="148" t="s">
        <v>288</v>
      </c>
      <c r="G94" s="148" t="s">
        <v>122</v>
      </c>
      <c r="H94" s="148" t="s">
        <v>289</v>
      </c>
      <c r="I94" s="161">
        <v>2013</v>
      </c>
      <c r="J94" s="161" t="s">
        <v>290</v>
      </c>
      <c r="K94" s="161" t="s">
        <v>291</v>
      </c>
      <c r="L94" s="161" t="s">
        <v>19</v>
      </c>
      <c r="M94" s="453" t="s">
        <v>4118</v>
      </c>
      <c r="N94" s="186" t="s">
        <v>20</v>
      </c>
      <c r="O94" s="186" t="s">
        <v>15</v>
      </c>
      <c r="P94" s="186" t="s">
        <v>15</v>
      </c>
      <c r="Q94" s="186" t="s">
        <v>15</v>
      </c>
      <c r="R94" s="186" t="s">
        <v>15</v>
      </c>
      <c r="S94" s="186" t="s">
        <v>15</v>
      </c>
      <c r="T94" s="186" t="s">
        <v>15</v>
      </c>
      <c r="U94" s="186" t="s">
        <v>15</v>
      </c>
      <c r="V94" s="186" t="s">
        <v>15</v>
      </c>
      <c r="W94" s="186" t="s">
        <v>15</v>
      </c>
      <c r="X94" s="186" t="s">
        <v>15</v>
      </c>
      <c r="Y94" s="186" t="s">
        <v>15</v>
      </c>
      <c r="Z94" s="186"/>
      <c r="AA94" s="186"/>
      <c r="AB94" s="186" t="s">
        <v>292</v>
      </c>
      <c r="AC94" s="186" t="s">
        <v>292</v>
      </c>
      <c r="AD94" s="268" t="s">
        <v>293</v>
      </c>
      <c r="AE94" s="268" t="s">
        <v>294</v>
      </c>
      <c r="AF94" s="144" t="str">
        <f t="shared" si="4"/>
        <v/>
      </c>
      <c r="AG94" s="144" t="str">
        <f t="shared" si="5"/>
        <v/>
      </c>
      <c r="AH94" s="146">
        <f t="shared" si="6"/>
        <v>34.482758620689651</v>
      </c>
      <c r="AI94" s="146" t="str">
        <f t="shared" si="7"/>
        <v/>
      </c>
      <c r="AJ94" s="303"/>
      <c r="AK94" s="303"/>
      <c r="AL94" s="303"/>
      <c r="AM94" s="303"/>
      <c r="AN94" s="303"/>
      <c r="AO94" s="303"/>
      <c r="AP94" s="303"/>
      <c r="AQ94" s="303"/>
      <c r="AR94" s="303"/>
      <c r="AS94" s="170"/>
      <c r="AT94" s="170"/>
      <c r="AU94" s="310"/>
      <c r="AW94" s="351"/>
      <c r="AX94" s="294"/>
      <c r="AY94" s="351"/>
      <c r="AZ94" s="351"/>
      <c r="BA94" s="351"/>
      <c r="BB94" s="351"/>
      <c r="BC94" s="351"/>
      <c r="BD94" s="351"/>
      <c r="BE94" s="294"/>
      <c r="BF94" s="382">
        <f>23/0.667</f>
        <v>34.482758620689651</v>
      </c>
      <c r="BG94" s="383"/>
      <c r="BH94" s="278"/>
      <c r="BI94" s="365" t="s">
        <v>295</v>
      </c>
      <c r="BJ94" s="409"/>
    </row>
    <row r="95" spans="1:62" ht="15.75" customHeight="1" thickBot="1" x14ac:dyDescent="0.25">
      <c r="A95" s="156">
        <v>94</v>
      </c>
      <c r="B95" s="155">
        <v>1</v>
      </c>
      <c r="C95" s="148" t="s">
        <v>24</v>
      </c>
      <c r="D95" s="148" t="s">
        <v>53</v>
      </c>
      <c r="E95" s="148" t="s">
        <v>13</v>
      </c>
      <c r="F95" s="148" t="s">
        <v>296</v>
      </c>
      <c r="G95" s="148" t="s">
        <v>122</v>
      </c>
      <c r="H95" s="148" t="s">
        <v>289</v>
      </c>
      <c r="I95" s="161">
        <v>2013</v>
      </c>
      <c r="J95" s="161" t="s">
        <v>290</v>
      </c>
      <c r="K95" s="161" t="s">
        <v>291</v>
      </c>
      <c r="L95" s="161" t="s">
        <v>19</v>
      </c>
      <c r="M95" s="453" t="s">
        <v>4118</v>
      </c>
      <c r="N95" s="186" t="s">
        <v>20</v>
      </c>
      <c r="O95" s="186" t="s">
        <v>15</v>
      </c>
      <c r="P95" s="186" t="s">
        <v>15</v>
      </c>
      <c r="Q95" s="186" t="s">
        <v>15</v>
      </c>
      <c r="R95" s="186" t="s">
        <v>15</v>
      </c>
      <c r="S95" s="186" t="s">
        <v>15</v>
      </c>
      <c r="T95" s="186" t="s">
        <v>15</v>
      </c>
      <c r="U95" s="186" t="s">
        <v>15</v>
      </c>
      <c r="V95" s="186" t="s">
        <v>15</v>
      </c>
      <c r="W95" s="186" t="s">
        <v>15</v>
      </c>
      <c r="X95" s="186" t="s">
        <v>15</v>
      </c>
      <c r="Y95" s="186" t="s">
        <v>15</v>
      </c>
      <c r="Z95" s="186"/>
      <c r="AA95" s="186"/>
      <c r="AB95" s="186" t="s">
        <v>292</v>
      </c>
      <c r="AC95" s="186" t="s">
        <v>292</v>
      </c>
      <c r="AD95" s="268" t="s">
        <v>293</v>
      </c>
      <c r="AE95" s="268" t="s">
        <v>294</v>
      </c>
      <c r="AF95" s="144" t="str">
        <f t="shared" si="4"/>
        <v/>
      </c>
      <c r="AG95" s="144" t="str">
        <f t="shared" si="5"/>
        <v/>
      </c>
      <c r="AH95" s="146">
        <f t="shared" si="6"/>
        <v>36.131934032983509</v>
      </c>
      <c r="AI95" s="146" t="str">
        <f t="shared" si="7"/>
        <v/>
      </c>
      <c r="AJ95" s="303"/>
      <c r="AK95" s="303"/>
      <c r="AL95" s="303"/>
      <c r="AM95" s="303"/>
      <c r="AN95" s="303"/>
      <c r="AO95" s="303"/>
      <c r="AP95" s="303"/>
      <c r="AQ95" s="303"/>
      <c r="AR95" s="303"/>
      <c r="AS95" s="170"/>
      <c r="AT95" s="170"/>
      <c r="AU95" s="310"/>
      <c r="AW95" s="351"/>
      <c r="AX95" s="294"/>
      <c r="AY95" s="351"/>
      <c r="AZ95" s="351"/>
      <c r="BA95" s="351"/>
      <c r="BB95" s="351"/>
      <c r="BC95" s="351"/>
      <c r="BD95" s="351"/>
      <c r="BE95" s="294"/>
      <c r="BF95" s="382">
        <f>24.1/0.667</f>
        <v>36.131934032983509</v>
      </c>
      <c r="BG95" s="383"/>
      <c r="BH95" s="278"/>
      <c r="BI95" s="365" t="s">
        <v>295</v>
      </c>
      <c r="BJ95" s="409"/>
    </row>
    <row r="96" spans="1:62" ht="15.75" customHeight="1" thickBot="1" x14ac:dyDescent="0.25">
      <c r="A96" s="154">
        <v>95</v>
      </c>
      <c r="B96" s="155">
        <v>1</v>
      </c>
      <c r="C96" s="148" t="s">
        <v>24</v>
      </c>
      <c r="D96" s="148" t="s">
        <v>53</v>
      </c>
      <c r="E96" s="148" t="s">
        <v>13</v>
      </c>
      <c r="F96" s="148" t="s">
        <v>297</v>
      </c>
      <c r="G96" s="148" t="s">
        <v>122</v>
      </c>
      <c r="H96" s="148" t="s">
        <v>289</v>
      </c>
      <c r="I96" s="161">
        <v>2013</v>
      </c>
      <c r="J96" s="161" t="s">
        <v>290</v>
      </c>
      <c r="K96" s="161" t="s">
        <v>291</v>
      </c>
      <c r="L96" s="161" t="s">
        <v>19</v>
      </c>
      <c r="M96" s="453" t="s">
        <v>4118</v>
      </c>
      <c r="N96" s="186" t="s">
        <v>20</v>
      </c>
      <c r="O96" s="186" t="s">
        <v>15</v>
      </c>
      <c r="P96" s="186" t="s">
        <v>15</v>
      </c>
      <c r="Q96" s="186" t="s">
        <v>15</v>
      </c>
      <c r="R96" s="186" t="s">
        <v>15</v>
      </c>
      <c r="S96" s="186" t="s">
        <v>15</v>
      </c>
      <c r="T96" s="186" t="s">
        <v>15</v>
      </c>
      <c r="U96" s="186" t="s">
        <v>15</v>
      </c>
      <c r="V96" s="186" t="s">
        <v>15</v>
      </c>
      <c r="W96" s="186" t="s">
        <v>15</v>
      </c>
      <c r="X96" s="186" t="s">
        <v>15</v>
      </c>
      <c r="Y96" s="186" t="s">
        <v>15</v>
      </c>
      <c r="Z96" s="186"/>
      <c r="AA96" s="186"/>
      <c r="AB96" s="186" t="s">
        <v>292</v>
      </c>
      <c r="AC96" s="186" t="s">
        <v>292</v>
      </c>
      <c r="AD96" s="268" t="s">
        <v>293</v>
      </c>
      <c r="AE96" s="268" t="s">
        <v>294</v>
      </c>
      <c r="AF96" s="144" t="str">
        <f t="shared" si="4"/>
        <v/>
      </c>
      <c r="AG96" s="144" t="str">
        <f t="shared" si="5"/>
        <v/>
      </c>
      <c r="AH96" s="146">
        <f t="shared" si="6"/>
        <v>34.332833583208391</v>
      </c>
      <c r="AI96" s="146" t="str">
        <f t="shared" si="7"/>
        <v/>
      </c>
      <c r="AJ96" s="303"/>
      <c r="AK96" s="303"/>
      <c r="AL96" s="303"/>
      <c r="AM96" s="303"/>
      <c r="AN96" s="303"/>
      <c r="AO96" s="303"/>
      <c r="AP96" s="303"/>
      <c r="AQ96" s="303"/>
      <c r="AR96" s="303"/>
      <c r="AS96" s="170"/>
      <c r="AT96" s="170"/>
      <c r="AU96" s="310"/>
      <c r="AW96" s="351"/>
      <c r="AX96" s="294"/>
      <c r="AY96" s="351"/>
      <c r="AZ96" s="351"/>
      <c r="BA96" s="351"/>
      <c r="BB96" s="351"/>
      <c r="BC96" s="351"/>
      <c r="BD96" s="351"/>
      <c r="BE96" s="294"/>
      <c r="BF96" s="382">
        <f>22.9/0.667</f>
        <v>34.332833583208391</v>
      </c>
      <c r="BG96" s="383"/>
      <c r="BH96" s="278"/>
      <c r="BI96" s="365" t="s">
        <v>295</v>
      </c>
      <c r="BJ96" s="409"/>
    </row>
    <row r="97" spans="1:62" ht="15.75" customHeight="1" thickBot="1" x14ac:dyDescent="0.25">
      <c r="A97" s="156">
        <v>96</v>
      </c>
      <c r="B97" s="155">
        <v>1</v>
      </c>
      <c r="C97" s="148" t="s">
        <v>24</v>
      </c>
      <c r="D97" s="148" t="s">
        <v>53</v>
      </c>
      <c r="E97" s="148" t="s">
        <v>13</v>
      </c>
      <c r="F97" s="148" t="s">
        <v>298</v>
      </c>
      <c r="G97" s="148" t="s">
        <v>122</v>
      </c>
      <c r="H97" s="148" t="s">
        <v>289</v>
      </c>
      <c r="I97" s="161">
        <v>2013</v>
      </c>
      <c r="J97" s="161" t="s">
        <v>290</v>
      </c>
      <c r="K97" s="161" t="s">
        <v>291</v>
      </c>
      <c r="L97" s="161" t="s">
        <v>19</v>
      </c>
      <c r="M97" s="453" t="s">
        <v>4118</v>
      </c>
      <c r="N97" s="186" t="s">
        <v>20</v>
      </c>
      <c r="O97" s="186" t="s">
        <v>15</v>
      </c>
      <c r="P97" s="186" t="s">
        <v>15</v>
      </c>
      <c r="Q97" s="186" t="s">
        <v>15</v>
      </c>
      <c r="R97" s="186" t="s">
        <v>15</v>
      </c>
      <c r="S97" s="186" t="s">
        <v>15</v>
      </c>
      <c r="T97" s="186" t="s">
        <v>15</v>
      </c>
      <c r="U97" s="186" t="s">
        <v>15</v>
      </c>
      <c r="V97" s="186" t="s">
        <v>15</v>
      </c>
      <c r="W97" s="186" t="s">
        <v>15</v>
      </c>
      <c r="X97" s="186" t="s">
        <v>15</v>
      </c>
      <c r="Y97" s="186" t="s">
        <v>15</v>
      </c>
      <c r="Z97" s="186"/>
      <c r="AA97" s="186"/>
      <c r="AB97" s="186" t="s">
        <v>292</v>
      </c>
      <c r="AC97" s="186" t="s">
        <v>292</v>
      </c>
      <c r="AD97" s="268" t="s">
        <v>293</v>
      </c>
      <c r="AE97" s="268" t="s">
        <v>294</v>
      </c>
      <c r="AF97" s="144" t="str">
        <f t="shared" si="4"/>
        <v/>
      </c>
      <c r="AG97" s="144" t="str">
        <f t="shared" si="5"/>
        <v/>
      </c>
      <c r="AH97" s="146">
        <f t="shared" si="6"/>
        <v>47.376311844077961</v>
      </c>
      <c r="AI97" s="146" t="str">
        <f t="shared" si="7"/>
        <v/>
      </c>
      <c r="AJ97" s="303"/>
      <c r="AK97" s="303"/>
      <c r="AL97" s="303"/>
      <c r="AM97" s="303"/>
      <c r="AN97" s="303"/>
      <c r="AO97" s="303"/>
      <c r="AP97" s="303"/>
      <c r="AQ97" s="303"/>
      <c r="AR97" s="303"/>
      <c r="AS97" s="170"/>
      <c r="AT97" s="170"/>
      <c r="AU97" s="310"/>
      <c r="AW97" s="351"/>
      <c r="AX97" s="294"/>
      <c r="AY97" s="351"/>
      <c r="AZ97" s="351"/>
      <c r="BA97" s="351"/>
      <c r="BB97" s="351"/>
      <c r="BC97" s="351"/>
      <c r="BD97" s="351"/>
      <c r="BE97" s="294"/>
      <c r="BF97" s="382">
        <f>31.6/0.667</f>
        <v>47.376311844077961</v>
      </c>
      <c r="BG97" s="383"/>
      <c r="BH97" s="278"/>
      <c r="BI97" s="365" t="s">
        <v>295</v>
      </c>
      <c r="BJ97" s="409"/>
    </row>
    <row r="98" spans="1:62" ht="15.75" customHeight="1" thickBot="1" x14ac:dyDescent="0.25">
      <c r="A98" s="154">
        <v>97</v>
      </c>
      <c r="B98" s="155">
        <v>1</v>
      </c>
      <c r="C98" s="148" t="s">
        <v>24</v>
      </c>
      <c r="D98" s="148" t="s">
        <v>53</v>
      </c>
      <c r="E98" s="148" t="s">
        <v>13</v>
      </c>
      <c r="F98" s="148" t="s">
        <v>299</v>
      </c>
      <c r="G98" s="148" t="s">
        <v>122</v>
      </c>
      <c r="H98" s="148" t="s">
        <v>300</v>
      </c>
      <c r="I98" s="161">
        <v>2010</v>
      </c>
      <c r="J98" s="161" t="s">
        <v>301</v>
      </c>
      <c r="K98" s="161" t="s">
        <v>302</v>
      </c>
      <c r="L98" s="161" t="s">
        <v>19</v>
      </c>
      <c r="M98" s="453" t="s">
        <v>4119</v>
      </c>
      <c r="N98" s="186" t="s">
        <v>20</v>
      </c>
      <c r="O98" s="186" t="s">
        <v>15</v>
      </c>
      <c r="P98" s="186" t="s">
        <v>15</v>
      </c>
      <c r="Q98" s="186" t="s">
        <v>15</v>
      </c>
      <c r="R98" s="186" t="s">
        <v>15</v>
      </c>
      <c r="S98" s="186" t="s">
        <v>15</v>
      </c>
      <c r="T98" s="186" t="s">
        <v>15</v>
      </c>
      <c r="U98" s="186" t="s">
        <v>15</v>
      </c>
      <c r="V98" s="186" t="s">
        <v>15</v>
      </c>
      <c r="W98" s="186" t="s">
        <v>15</v>
      </c>
      <c r="X98" s="186" t="s">
        <v>15</v>
      </c>
      <c r="Y98" s="186" t="s">
        <v>15</v>
      </c>
      <c r="Z98" s="186"/>
      <c r="AA98" s="186" t="s">
        <v>303</v>
      </c>
      <c r="AB98" s="186" t="s">
        <v>292</v>
      </c>
      <c r="AC98" s="186" t="s">
        <v>292</v>
      </c>
      <c r="AD98" s="268" t="s">
        <v>304</v>
      </c>
      <c r="AE98" s="268" t="s">
        <v>305</v>
      </c>
      <c r="AF98" s="144" t="str">
        <f t="shared" si="4"/>
        <v/>
      </c>
      <c r="AG98" s="144" t="str">
        <f t="shared" si="5"/>
        <v/>
      </c>
      <c r="AH98" s="146">
        <f t="shared" si="6"/>
        <v>36.815920398009951</v>
      </c>
      <c r="AI98" s="146" t="str">
        <f t="shared" si="7"/>
        <v/>
      </c>
      <c r="AJ98" s="303"/>
      <c r="AK98" s="303"/>
      <c r="AL98" s="303"/>
      <c r="AM98" s="303"/>
      <c r="AN98" s="303"/>
      <c r="AO98" s="303"/>
      <c r="AP98" s="303"/>
      <c r="AQ98" s="303"/>
      <c r="AR98" s="303"/>
      <c r="AS98" s="170"/>
      <c r="AT98" s="170"/>
      <c r="AU98" s="310"/>
      <c r="AW98" s="351"/>
      <c r="AX98" s="294"/>
      <c r="AY98" s="351"/>
      <c r="AZ98" s="351"/>
      <c r="BA98" s="351"/>
      <c r="BB98" s="351"/>
      <c r="BC98" s="351"/>
      <c r="BD98" s="351"/>
      <c r="BE98" s="294"/>
      <c r="BF98" s="382">
        <f>14.8/0.402</f>
        <v>36.815920398009951</v>
      </c>
      <c r="BG98" s="383"/>
      <c r="BH98" s="278"/>
      <c r="BI98" s="365" t="s">
        <v>279</v>
      </c>
      <c r="BJ98" s="409"/>
    </row>
    <row r="99" spans="1:62" ht="15.75" customHeight="1" thickBot="1" x14ac:dyDescent="0.25">
      <c r="A99" s="156">
        <v>98</v>
      </c>
      <c r="B99" s="155">
        <v>1</v>
      </c>
      <c r="C99" s="148" t="s">
        <v>24</v>
      </c>
      <c r="D99" s="148" t="s">
        <v>53</v>
      </c>
      <c r="E99" s="148" t="s">
        <v>13</v>
      </c>
      <c r="F99" s="148" t="s">
        <v>306</v>
      </c>
      <c r="G99" s="148" t="s">
        <v>122</v>
      </c>
      <c r="H99" s="148" t="s">
        <v>300</v>
      </c>
      <c r="I99" s="161">
        <v>2010</v>
      </c>
      <c r="J99" s="161" t="s">
        <v>301</v>
      </c>
      <c r="K99" s="161" t="s">
        <v>302</v>
      </c>
      <c r="L99" s="161" t="s">
        <v>19</v>
      </c>
      <c r="M99" s="453" t="s">
        <v>4119</v>
      </c>
      <c r="N99" s="186" t="s">
        <v>20</v>
      </c>
      <c r="O99" s="186" t="s">
        <v>15</v>
      </c>
      <c r="P99" s="186" t="s">
        <v>15</v>
      </c>
      <c r="Q99" s="186" t="s">
        <v>15</v>
      </c>
      <c r="R99" s="186" t="s">
        <v>15</v>
      </c>
      <c r="S99" s="186" t="s">
        <v>15</v>
      </c>
      <c r="T99" s="186" t="s">
        <v>15</v>
      </c>
      <c r="U99" s="186" t="s">
        <v>15</v>
      </c>
      <c r="V99" s="186" t="s">
        <v>15</v>
      </c>
      <c r="W99" s="186" t="s">
        <v>15</v>
      </c>
      <c r="X99" s="186" t="s">
        <v>15</v>
      </c>
      <c r="Y99" s="186" t="s">
        <v>15</v>
      </c>
      <c r="Z99" s="186"/>
      <c r="AA99" s="186" t="s">
        <v>303</v>
      </c>
      <c r="AB99" s="186" t="s">
        <v>292</v>
      </c>
      <c r="AC99" s="186" t="s">
        <v>292</v>
      </c>
      <c r="AD99" s="268" t="s">
        <v>304</v>
      </c>
      <c r="AE99" s="268" t="s">
        <v>305</v>
      </c>
      <c r="AF99" s="144" t="str">
        <f t="shared" si="4"/>
        <v/>
      </c>
      <c r="AG99" s="144" t="str">
        <f t="shared" si="5"/>
        <v/>
      </c>
      <c r="AH99" s="146">
        <f t="shared" si="6"/>
        <v>40.298507462686565</v>
      </c>
      <c r="AI99" s="146" t="str">
        <f t="shared" si="7"/>
        <v/>
      </c>
      <c r="AJ99" s="303"/>
      <c r="AK99" s="303"/>
      <c r="AL99" s="303"/>
      <c r="AM99" s="303"/>
      <c r="AN99" s="303"/>
      <c r="AO99" s="303"/>
      <c r="AP99" s="303"/>
      <c r="AQ99" s="303"/>
      <c r="AR99" s="303"/>
      <c r="AS99" s="170"/>
      <c r="AT99" s="170"/>
      <c r="AU99" s="310"/>
      <c r="AW99" s="351"/>
      <c r="AX99" s="294"/>
      <c r="AY99" s="351"/>
      <c r="AZ99" s="351"/>
      <c r="BA99" s="351"/>
      <c r="BB99" s="351"/>
      <c r="BC99" s="351"/>
      <c r="BD99" s="351"/>
      <c r="BE99" s="294"/>
      <c r="BF99" s="382">
        <f>16.2/0.402</f>
        <v>40.298507462686565</v>
      </c>
      <c r="BG99" s="383"/>
      <c r="BH99" s="278"/>
      <c r="BI99" s="365" t="s">
        <v>279</v>
      </c>
      <c r="BJ99" s="409"/>
    </row>
    <row r="100" spans="1:62" ht="15.75" customHeight="1" thickBot="1" x14ac:dyDescent="0.25">
      <c r="A100" s="154">
        <v>99</v>
      </c>
      <c r="B100" s="155">
        <v>1</v>
      </c>
      <c r="C100" s="148" t="s">
        <v>24</v>
      </c>
      <c r="D100" s="148" t="s">
        <v>53</v>
      </c>
      <c r="E100" s="148" t="s">
        <v>13</v>
      </c>
      <c r="F100" s="148" t="s">
        <v>307</v>
      </c>
      <c r="G100" s="148" t="s">
        <v>122</v>
      </c>
      <c r="H100" s="148" t="s">
        <v>300</v>
      </c>
      <c r="I100" s="161">
        <v>2010</v>
      </c>
      <c r="J100" s="161" t="s">
        <v>301</v>
      </c>
      <c r="K100" s="161" t="s">
        <v>302</v>
      </c>
      <c r="L100" s="161" t="s">
        <v>19</v>
      </c>
      <c r="M100" s="453" t="s">
        <v>4119</v>
      </c>
      <c r="N100" s="186" t="s">
        <v>20</v>
      </c>
      <c r="O100" s="186" t="s">
        <v>15</v>
      </c>
      <c r="P100" s="186" t="s">
        <v>15</v>
      </c>
      <c r="Q100" s="186" t="s">
        <v>15</v>
      </c>
      <c r="R100" s="186" t="s">
        <v>15</v>
      </c>
      <c r="S100" s="186" t="s">
        <v>15</v>
      </c>
      <c r="T100" s="186" t="s">
        <v>15</v>
      </c>
      <c r="U100" s="186" t="s">
        <v>15</v>
      </c>
      <c r="V100" s="186" t="s">
        <v>15</v>
      </c>
      <c r="W100" s="186" t="s">
        <v>15</v>
      </c>
      <c r="X100" s="186" t="s">
        <v>15</v>
      </c>
      <c r="Y100" s="186" t="s">
        <v>15</v>
      </c>
      <c r="Z100" s="186"/>
      <c r="AA100" s="186" t="s">
        <v>303</v>
      </c>
      <c r="AB100" s="186" t="s">
        <v>292</v>
      </c>
      <c r="AC100" s="186" t="s">
        <v>292</v>
      </c>
      <c r="AD100" s="268" t="s">
        <v>304</v>
      </c>
      <c r="AE100" s="268" t="s">
        <v>305</v>
      </c>
      <c r="AF100" s="144" t="str">
        <f t="shared" si="4"/>
        <v/>
      </c>
      <c r="AG100" s="144" t="str">
        <f t="shared" si="5"/>
        <v/>
      </c>
      <c r="AH100" s="146">
        <f t="shared" si="6"/>
        <v>47.761194029850742</v>
      </c>
      <c r="AI100" s="146" t="str">
        <f t="shared" si="7"/>
        <v/>
      </c>
      <c r="AJ100" s="303"/>
      <c r="AK100" s="303"/>
      <c r="AL100" s="303"/>
      <c r="AM100" s="303"/>
      <c r="AN100" s="303"/>
      <c r="AO100" s="303"/>
      <c r="AP100" s="303"/>
      <c r="AQ100" s="303"/>
      <c r="AR100" s="303"/>
      <c r="AS100" s="170"/>
      <c r="AT100" s="170"/>
      <c r="AU100" s="310"/>
      <c r="AW100" s="351"/>
      <c r="AX100" s="294"/>
      <c r="AY100" s="351"/>
      <c r="AZ100" s="351"/>
      <c r="BA100" s="351"/>
      <c r="BB100" s="351"/>
      <c r="BC100" s="351"/>
      <c r="BD100" s="351"/>
      <c r="BE100" s="294"/>
      <c r="BF100" s="382">
        <f>19.2/0.402</f>
        <v>47.761194029850742</v>
      </c>
      <c r="BG100" s="383"/>
      <c r="BH100" s="278"/>
      <c r="BI100" s="365" t="s">
        <v>279</v>
      </c>
      <c r="BJ100" s="409"/>
    </row>
    <row r="101" spans="1:62" ht="15.75" customHeight="1" thickBot="1" x14ac:dyDescent="0.25">
      <c r="A101" s="156">
        <v>100</v>
      </c>
      <c r="B101" s="155">
        <v>1</v>
      </c>
      <c r="C101" s="148" t="s">
        <v>24</v>
      </c>
      <c r="D101" s="148" t="s">
        <v>53</v>
      </c>
      <c r="E101" s="148" t="s">
        <v>13</v>
      </c>
      <c r="F101" s="148" t="s">
        <v>308</v>
      </c>
      <c r="G101" s="148" t="s">
        <v>15</v>
      </c>
      <c r="H101" s="148" t="s">
        <v>309</v>
      </c>
      <c r="I101" s="161">
        <v>2010</v>
      </c>
      <c r="J101" s="161" t="s">
        <v>310</v>
      </c>
      <c r="K101" s="161" t="s">
        <v>311</v>
      </c>
      <c r="L101" s="161" t="s">
        <v>19</v>
      </c>
      <c r="M101" s="453" t="s">
        <v>4120</v>
      </c>
      <c r="N101" s="186" t="s">
        <v>20</v>
      </c>
      <c r="O101" s="186" t="s">
        <v>15</v>
      </c>
      <c r="P101" s="186" t="s">
        <v>20</v>
      </c>
      <c r="Q101" s="186" t="s">
        <v>20</v>
      </c>
      <c r="R101" s="186" t="s">
        <v>15</v>
      </c>
      <c r="S101" s="186" t="s">
        <v>15</v>
      </c>
      <c r="T101" s="186" t="s">
        <v>15</v>
      </c>
      <c r="U101" s="186" t="s">
        <v>15</v>
      </c>
      <c r="V101" s="186" t="s">
        <v>15</v>
      </c>
      <c r="W101" s="186" t="s">
        <v>15</v>
      </c>
      <c r="X101" s="186" t="s">
        <v>15</v>
      </c>
      <c r="Y101" s="186" t="s">
        <v>15</v>
      </c>
      <c r="Z101" s="186"/>
      <c r="AA101" s="186" t="s">
        <v>312</v>
      </c>
      <c r="AB101" s="186" t="s">
        <v>292</v>
      </c>
      <c r="AC101" s="186" t="s">
        <v>292</v>
      </c>
      <c r="AD101" s="268" t="s">
        <v>313</v>
      </c>
      <c r="AE101" s="268" t="s">
        <v>294</v>
      </c>
      <c r="AF101" s="144" t="str">
        <f t="shared" si="4"/>
        <v/>
      </c>
      <c r="AG101" s="144" t="str">
        <f t="shared" si="5"/>
        <v/>
      </c>
      <c r="AH101" s="146">
        <f t="shared" si="6"/>
        <v>22.788605697151421</v>
      </c>
      <c r="AI101" s="146" t="str">
        <f t="shared" si="7"/>
        <v/>
      </c>
      <c r="AJ101" s="303"/>
      <c r="AK101" s="303"/>
      <c r="AL101" s="303"/>
      <c r="AM101" s="303"/>
      <c r="AN101" s="303"/>
      <c r="AO101" s="303"/>
      <c r="AP101" s="303"/>
      <c r="AQ101" s="303"/>
      <c r="AR101" s="303"/>
      <c r="AS101" s="170"/>
      <c r="AT101" s="170"/>
      <c r="AU101" s="310" t="s">
        <v>314</v>
      </c>
      <c r="AW101" s="351"/>
      <c r="AX101" s="294"/>
      <c r="AY101" s="351"/>
      <c r="AZ101" s="351"/>
      <c r="BA101" s="351"/>
      <c r="BB101" s="351"/>
      <c r="BC101" s="351"/>
      <c r="BD101" s="351"/>
      <c r="BE101" s="294"/>
      <c r="BF101" s="382">
        <f>15.2/0.667</f>
        <v>22.788605697151421</v>
      </c>
      <c r="BG101" s="383"/>
      <c r="BH101" s="278"/>
      <c r="BI101" s="365"/>
      <c r="BJ101" s="409"/>
    </row>
    <row r="102" spans="1:62" ht="15.75" customHeight="1" thickBot="1" x14ac:dyDescent="0.25">
      <c r="A102" s="154">
        <v>101</v>
      </c>
      <c r="B102" s="155">
        <v>1</v>
      </c>
      <c r="C102" s="148" t="s">
        <v>24</v>
      </c>
      <c r="D102" s="148" t="s">
        <v>53</v>
      </c>
      <c r="E102" s="148" t="s">
        <v>13</v>
      </c>
      <c r="F102" s="148" t="s">
        <v>315</v>
      </c>
      <c r="G102" s="148" t="s">
        <v>15</v>
      </c>
      <c r="H102" s="148" t="s">
        <v>316</v>
      </c>
      <c r="I102" s="161">
        <v>2010</v>
      </c>
      <c r="J102" s="161" t="s">
        <v>310</v>
      </c>
      <c r="K102" s="161" t="s">
        <v>311</v>
      </c>
      <c r="L102" s="161" t="s">
        <v>19</v>
      </c>
      <c r="M102" s="453" t="s">
        <v>4120</v>
      </c>
      <c r="N102" s="186" t="s">
        <v>20</v>
      </c>
      <c r="O102" s="186" t="s">
        <v>15</v>
      </c>
      <c r="P102" s="186" t="s">
        <v>20</v>
      </c>
      <c r="Q102" s="186" t="s">
        <v>20</v>
      </c>
      <c r="R102" s="186" t="s">
        <v>15</v>
      </c>
      <c r="S102" s="186" t="s">
        <v>15</v>
      </c>
      <c r="T102" s="186" t="s">
        <v>15</v>
      </c>
      <c r="U102" s="186" t="s">
        <v>15</v>
      </c>
      <c r="V102" s="186" t="s">
        <v>15</v>
      </c>
      <c r="W102" s="186" t="s">
        <v>15</v>
      </c>
      <c r="X102" s="186" t="s">
        <v>15</v>
      </c>
      <c r="Y102" s="186" t="s">
        <v>15</v>
      </c>
      <c r="Z102" s="186"/>
      <c r="AA102" s="186" t="s">
        <v>312</v>
      </c>
      <c r="AB102" s="186" t="s">
        <v>292</v>
      </c>
      <c r="AC102" s="186" t="s">
        <v>292</v>
      </c>
      <c r="AD102" s="268" t="s">
        <v>313</v>
      </c>
      <c r="AE102" s="268" t="s">
        <v>294</v>
      </c>
      <c r="AF102" s="144" t="str">
        <f t="shared" si="4"/>
        <v/>
      </c>
      <c r="AG102" s="144" t="str">
        <f t="shared" si="5"/>
        <v/>
      </c>
      <c r="AH102" s="146">
        <f t="shared" si="6"/>
        <v>22.263868065967014</v>
      </c>
      <c r="AI102" s="146" t="str">
        <f t="shared" si="7"/>
        <v/>
      </c>
      <c r="AJ102" s="303"/>
      <c r="AK102" s="303"/>
      <c r="AL102" s="303"/>
      <c r="AM102" s="303"/>
      <c r="AN102" s="303"/>
      <c r="AO102" s="303"/>
      <c r="AP102" s="303"/>
      <c r="AQ102" s="303"/>
      <c r="AR102" s="303"/>
      <c r="AS102" s="170"/>
      <c r="AT102" s="170"/>
      <c r="AU102" s="310"/>
      <c r="AW102" s="351"/>
      <c r="AX102" s="294"/>
      <c r="AY102" s="351"/>
      <c r="AZ102" s="351"/>
      <c r="BA102" s="351"/>
      <c r="BB102" s="351"/>
      <c r="BC102" s="351"/>
      <c r="BD102" s="351"/>
      <c r="BE102" s="294"/>
      <c r="BF102" s="382">
        <f>14.85/0.667</f>
        <v>22.263868065967014</v>
      </c>
      <c r="BG102" s="383"/>
      <c r="BH102" s="278"/>
      <c r="BI102" s="365"/>
      <c r="BJ102" s="409"/>
    </row>
    <row r="103" spans="1:62" ht="15.75" customHeight="1" thickBot="1" x14ac:dyDescent="0.25">
      <c r="A103" s="156">
        <v>102</v>
      </c>
      <c r="B103" s="155">
        <v>1</v>
      </c>
      <c r="C103" s="148" t="s">
        <v>24</v>
      </c>
      <c r="D103" s="148" t="s">
        <v>346</v>
      </c>
      <c r="E103" s="148" t="s">
        <v>13</v>
      </c>
      <c r="F103" s="148" t="s">
        <v>317</v>
      </c>
      <c r="G103" s="148" t="s">
        <v>15</v>
      </c>
      <c r="H103" s="200" t="s">
        <v>318</v>
      </c>
      <c r="I103" s="161">
        <v>2010</v>
      </c>
      <c r="J103" s="161" t="s">
        <v>310</v>
      </c>
      <c r="K103" s="161" t="s">
        <v>311</v>
      </c>
      <c r="L103" s="161" t="s">
        <v>19</v>
      </c>
      <c r="M103" s="453" t="s">
        <v>4120</v>
      </c>
      <c r="N103" s="186" t="s">
        <v>20</v>
      </c>
      <c r="O103" s="186" t="s">
        <v>15</v>
      </c>
      <c r="P103" s="186" t="s">
        <v>20</v>
      </c>
      <c r="Q103" s="186" t="s">
        <v>20</v>
      </c>
      <c r="R103" s="186" t="s">
        <v>15</v>
      </c>
      <c r="S103" s="186" t="s">
        <v>15</v>
      </c>
      <c r="T103" s="186" t="s">
        <v>15</v>
      </c>
      <c r="U103" s="186" t="s">
        <v>15</v>
      </c>
      <c r="V103" s="186" t="s">
        <v>15</v>
      </c>
      <c r="W103" s="186" t="s">
        <v>15</v>
      </c>
      <c r="X103" s="186" t="s">
        <v>15</v>
      </c>
      <c r="Y103" s="186" t="s">
        <v>15</v>
      </c>
      <c r="Z103" s="186"/>
      <c r="AA103" s="186" t="s">
        <v>312</v>
      </c>
      <c r="AB103" s="186" t="s">
        <v>292</v>
      </c>
      <c r="AC103" s="186" t="s">
        <v>292</v>
      </c>
      <c r="AD103" s="268" t="s">
        <v>313</v>
      </c>
      <c r="AE103" s="268" t="s">
        <v>63</v>
      </c>
      <c r="AF103" s="144" t="str">
        <f t="shared" si="4"/>
        <v/>
      </c>
      <c r="AG103" s="144" t="str">
        <f t="shared" si="5"/>
        <v/>
      </c>
      <c r="AH103" s="146">
        <f t="shared" si="6"/>
        <v>15.957446808510637</v>
      </c>
      <c r="AI103" s="146" t="str">
        <f t="shared" si="7"/>
        <v/>
      </c>
      <c r="AJ103" s="303"/>
      <c r="AK103" s="303"/>
      <c r="AL103" s="303"/>
      <c r="AM103" s="303"/>
      <c r="AN103" s="303"/>
      <c r="AO103" s="303"/>
      <c r="AP103" s="303"/>
      <c r="AQ103" s="303"/>
      <c r="AR103" s="303"/>
      <c r="AS103" s="170"/>
      <c r="AT103" s="170"/>
      <c r="AU103" s="310"/>
      <c r="AW103" s="351"/>
      <c r="AX103" s="294"/>
      <c r="AY103" s="351"/>
      <c r="AZ103" s="351"/>
      <c r="BA103" s="351"/>
      <c r="BB103" s="351"/>
      <c r="BC103" s="351"/>
      <c r="BD103" s="351"/>
      <c r="BE103" s="294"/>
      <c r="BF103" s="382">
        <f>10.5/0.658</f>
        <v>15.957446808510637</v>
      </c>
      <c r="BG103" s="383"/>
      <c r="BH103" s="278"/>
      <c r="BI103" s="365"/>
      <c r="BJ103" s="409"/>
    </row>
    <row r="104" spans="1:62" ht="15.75" customHeight="1" thickBot="1" x14ac:dyDescent="0.25">
      <c r="A104" s="154">
        <v>103</v>
      </c>
      <c r="B104" s="155">
        <v>1</v>
      </c>
      <c r="C104" s="148" t="s">
        <v>24</v>
      </c>
      <c r="D104" s="148" t="s">
        <v>53</v>
      </c>
      <c r="E104" s="148" t="s">
        <v>13</v>
      </c>
      <c r="F104" s="148" t="s">
        <v>319</v>
      </c>
      <c r="G104" s="148" t="s">
        <v>320</v>
      </c>
      <c r="H104" s="148" t="s">
        <v>16</v>
      </c>
      <c r="I104" s="161">
        <v>2013</v>
      </c>
      <c r="J104" s="161" t="s">
        <v>321</v>
      </c>
      <c r="K104" s="161" t="s">
        <v>322</v>
      </c>
      <c r="L104" s="161" t="s">
        <v>104</v>
      </c>
      <c r="M104" s="453" t="s">
        <v>4121</v>
      </c>
      <c r="N104" s="186" t="s">
        <v>122</v>
      </c>
      <c r="O104" s="186" t="s">
        <v>292</v>
      </c>
      <c r="P104" s="186" t="s">
        <v>20</v>
      </c>
      <c r="Q104" s="186" t="s">
        <v>20</v>
      </c>
      <c r="R104" s="186" t="s">
        <v>20</v>
      </c>
      <c r="S104" s="186" t="s">
        <v>20</v>
      </c>
      <c r="T104" s="186" t="s">
        <v>20</v>
      </c>
      <c r="U104" s="186" t="s">
        <v>20</v>
      </c>
      <c r="V104" s="186" t="s">
        <v>20</v>
      </c>
      <c r="W104" s="186" t="s">
        <v>20</v>
      </c>
      <c r="X104" s="186" t="s">
        <v>15</v>
      </c>
      <c r="Y104" s="186" t="s">
        <v>15</v>
      </c>
      <c r="Z104" s="186"/>
      <c r="AA104" s="186"/>
      <c r="AB104" s="186" t="s">
        <v>20</v>
      </c>
      <c r="AC104" s="186" t="s">
        <v>20</v>
      </c>
      <c r="AD104" s="268" t="s">
        <v>323</v>
      </c>
      <c r="AE104" s="268" t="s">
        <v>324</v>
      </c>
      <c r="AF104" s="144">
        <f t="shared" si="4"/>
        <v>43.805851496135176</v>
      </c>
      <c r="AG104" s="144">
        <f t="shared" si="5"/>
        <v>54.828964605379056</v>
      </c>
      <c r="AH104" s="146">
        <f t="shared" si="6"/>
        <v>41.226443028572106</v>
      </c>
      <c r="AI104" s="146">
        <f t="shared" si="7"/>
        <v>41.667367552941862</v>
      </c>
      <c r="AJ104" s="304">
        <f>19.87/0.45359237</f>
        <v>43.805851496135176</v>
      </c>
      <c r="AK104" s="303"/>
      <c r="AL104" s="304">
        <f>5/0.45359237</f>
        <v>11.023113109243878</v>
      </c>
      <c r="AM104" s="303">
        <f>8/0.45359237</f>
        <v>17.636980974790205</v>
      </c>
      <c r="AN104" s="303"/>
      <c r="AO104" s="304">
        <f>25/0.45359237</f>
        <v>55.115565546219393</v>
      </c>
      <c r="AP104" s="304">
        <f>28/0.45359237</f>
        <v>61.729433411765719</v>
      </c>
      <c r="AQ104" s="303"/>
      <c r="AR104" s="303"/>
      <c r="AS104" s="171">
        <f>AJ104</f>
        <v>43.805851496135176</v>
      </c>
      <c r="AT104" s="171">
        <f>SUM(AJ104:AR104)</f>
        <v>189.31094453815436</v>
      </c>
      <c r="AU104" s="310"/>
      <c r="AV104" s="323"/>
      <c r="AW104" s="294">
        <f>18.7/0.45359237</f>
        <v>41.226443028572106</v>
      </c>
      <c r="AX104" s="294"/>
      <c r="AY104" s="294">
        <f>0.2/0.45359237</f>
        <v>0.44092452436975516</v>
      </c>
      <c r="AZ104" s="294">
        <f>0.3/0.45359237</f>
        <v>0.66138678655463268</v>
      </c>
      <c r="BA104" s="294"/>
      <c r="BB104" s="294">
        <f>2.45/0.45359237</f>
        <v>5.4013254235295012</v>
      </c>
      <c r="BC104" s="294">
        <f>1.9/0.45359237</f>
        <v>4.1887829815126736</v>
      </c>
      <c r="BD104" s="294"/>
      <c r="BE104" s="294"/>
      <c r="BF104" s="383">
        <f>AW104</f>
        <v>41.226443028572106</v>
      </c>
      <c r="BG104" s="383">
        <v>52.029093875631112</v>
      </c>
      <c r="BH104" s="278"/>
      <c r="BI104" s="365"/>
      <c r="BJ104" s="410" t="s">
        <v>3228</v>
      </c>
    </row>
    <row r="105" spans="1:62" ht="15.75" customHeight="1" thickBot="1" x14ac:dyDescent="0.25">
      <c r="A105" s="156">
        <v>104</v>
      </c>
      <c r="B105" s="155">
        <v>1</v>
      </c>
      <c r="C105" s="148" t="s">
        <v>24</v>
      </c>
      <c r="D105" s="148" t="s">
        <v>53</v>
      </c>
      <c r="E105" s="148" t="s">
        <v>13</v>
      </c>
      <c r="F105" s="148"/>
      <c r="G105" s="148" t="s">
        <v>320</v>
      </c>
      <c r="H105" s="148" t="s">
        <v>183</v>
      </c>
      <c r="I105" s="161">
        <v>2010</v>
      </c>
      <c r="J105" s="161" t="s">
        <v>325</v>
      </c>
      <c r="K105" s="161" t="s">
        <v>326</v>
      </c>
      <c r="L105" s="161" t="s">
        <v>19</v>
      </c>
      <c r="M105" s="453" t="s">
        <v>4122</v>
      </c>
      <c r="N105" s="186" t="s">
        <v>20</v>
      </c>
      <c r="O105" s="186" t="s">
        <v>15</v>
      </c>
      <c r="P105" s="186" t="s">
        <v>15</v>
      </c>
      <c r="Q105" s="186" t="s">
        <v>15</v>
      </c>
      <c r="R105" s="186" t="s">
        <v>15</v>
      </c>
      <c r="S105" s="186" t="s">
        <v>15</v>
      </c>
      <c r="T105" s="186" t="s">
        <v>15</v>
      </c>
      <c r="U105" s="186" t="s">
        <v>15</v>
      </c>
      <c r="V105" s="186" t="s">
        <v>15</v>
      </c>
      <c r="W105" s="186" t="s">
        <v>15</v>
      </c>
      <c r="X105" s="186" t="s">
        <v>15</v>
      </c>
      <c r="Y105" s="186" t="s">
        <v>15</v>
      </c>
      <c r="Z105" s="186"/>
      <c r="AA105" s="186" t="s">
        <v>327</v>
      </c>
      <c r="AB105" s="186" t="s">
        <v>292</v>
      </c>
      <c r="AC105" s="186" t="s">
        <v>292</v>
      </c>
      <c r="AD105" s="268" t="s">
        <v>275</v>
      </c>
      <c r="AE105" s="268" t="s">
        <v>294</v>
      </c>
      <c r="AF105" s="144" t="str">
        <f t="shared" si="4"/>
        <v/>
      </c>
      <c r="AG105" s="144" t="str">
        <f t="shared" si="5"/>
        <v/>
      </c>
      <c r="AH105" s="146">
        <f t="shared" si="6"/>
        <v>32.53373313343328</v>
      </c>
      <c r="AI105" s="146" t="str">
        <f t="shared" si="7"/>
        <v/>
      </c>
      <c r="AJ105" s="304"/>
      <c r="AK105" s="303"/>
      <c r="AL105" s="304"/>
      <c r="AM105" s="303"/>
      <c r="AN105" s="303"/>
      <c r="AO105" s="304"/>
      <c r="AP105" s="304"/>
      <c r="AQ105" s="303"/>
      <c r="AR105" s="303"/>
      <c r="AS105" s="171"/>
      <c r="AT105" s="171"/>
      <c r="AU105" s="310"/>
      <c r="AW105" s="294"/>
      <c r="AX105" s="294"/>
      <c r="AY105" s="294"/>
      <c r="AZ105" s="294"/>
      <c r="BA105" s="294"/>
      <c r="BB105" s="294"/>
      <c r="BC105" s="294"/>
      <c r="BD105" s="294"/>
      <c r="BE105" s="294"/>
      <c r="BF105" s="382">
        <f>21.7/0.667</f>
        <v>32.53373313343328</v>
      </c>
      <c r="BG105" s="383"/>
      <c r="BH105" s="278"/>
      <c r="BI105" s="365" t="s">
        <v>328</v>
      </c>
      <c r="BJ105" s="409"/>
    </row>
    <row r="106" spans="1:62" ht="15.75" customHeight="1" thickBot="1" x14ac:dyDescent="0.25">
      <c r="A106" s="154">
        <v>105</v>
      </c>
      <c r="B106" s="155">
        <v>1</v>
      </c>
      <c r="C106" s="148" t="s">
        <v>24</v>
      </c>
      <c r="D106" s="148" t="s">
        <v>53</v>
      </c>
      <c r="E106" s="148" t="s">
        <v>13</v>
      </c>
      <c r="F106" s="148" t="s">
        <v>329</v>
      </c>
      <c r="G106" s="148" t="s">
        <v>320</v>
      </c>
      <c r="H106" s="148" t="s">
        <v>330</v>
      </c>
      <c r="I106" s="161">
        <v>2010</v>
      </c>
      <c r="J106" s="161" t="s">
        <v>331</v>
      </c>
      <c r="K106" s="161" t="s">
        <v>332</v>
      </c>
      <c r="L106" s="161" t="s">
        <v>19</v>
      </c>
      <c r="M106" s="453" t="s">
        <v>4123</v>
      </c>
      <c r="N106" s="186" t="s">
        <v>20</v>
      </c>
      <c r="O106" s="186" t="s">
        <v>20</v>
      </c>
      <c r="P106" s="186" t="s">
        <v>15</v>
      </c>
      <c r="Q106" s="186" t="s">
        <v>15</v>
      </c>
      <c r="R106" s="186" t="s">
        <v>15</v>
      </c>
      <c r="S106" s="186" t="s">
        <v>15</v>
      </c>
      <c r="T106" s="186" t="s">
        <v>15</v>
      </c>
      <c r="U106" s="186" t="s">
        <v>15</v>
      </c>
      <c r="V106" s="186" t="s">
        <v>15</v>
      </c>
      <c r="W106" s="186" t="s">
        <v>15</v>
      </c>
      <c r="X106" s="186" t="s">
        <v>15</v>
      </c>
      <c r="Y106" s="186" t="s">
        <v>15</v>
      </c>
      <c r="Z106" s="186"/>
      <c r="AA106" s="186" t="s">
        <v>333</v>
      </c>
      <c r="AB106" s="186" t="s">
        <v>292</v>
      </c>
      <c r="AC106" s="186" t="s">
        <v>292</v>
      </c>
      <c r="AD106" s="268" t="s">
        <v>334</v>
      </c>
      <c r="AE106" s="268"/>
      <c r="AF106" s="144" t="str">
        <f t="shared" si="4"/>
        <v/>
      </c>
      <c r="AG106" s="144" t="str">
        <f t="shared" si="5"/>
        <v/>
      </c>
      <c r="AH106" s="146">
        <f t="shared" si="6"/>
        <v>27.3</v>
      </c>
      <c r="AI106" s="146" t="str">
        <f t="shared" si="7"/>
        <v/>
      </c>
      <c r="AJ106" s="304"/>
      <c r="AK106" s="303"/>
      <c r="AL106" s="304"/>
      <c r="AM106" s="303"/>
      <c r="AN106" s="303"/>
      <c r="AO106" s="304"/>
      <c r="AP106" s="304"/>
      <c r="AQ106" s="303"/>
      <c r="AR106" s="303"/>
      <c r="AS106" s="171"/>
      <c r="AT106" s="171"/>
      <c r="AU106" s="310" t="s">
        <v>335</v>
      </c>
      <c r="AW106" s="294"/>
      <c r="AX106" s="294"/>
      <c r="AY106" s="294"/>
      <c r="AZ106" s="294"/>
      <c r="BA106" s="294"/>
      <c r="BB106" s="294"/>
      <c r="BC106" s="294"/>
      <c r="BD106" s="294"/>
      <c r="BE106" s="294"/>
      <c r="BF106" s="382">
        <f>27.3</f>
        <v>27.3</v>
      </c>
      <c r="BG106" s="383"/>
      <c r="BH106" s="278"/>
      <c r="BI106" s="365" t="s">
        <v>336</v>
      </c>
      <c r="BJ106" s="409"/>
    </row>
    <row r="107" spans="1:62" ht="15.75" customHeight="1" thickBot="1" x14ac:dyDescent="0.25">
      <c r="A107" s="156">
        <v>106</v>
      </c>
      <c r="B107" s="155">
        <v>1</v>
      </c>
      <c r="C107" s="148" t="s">
        <v>24</v>
      </c>
      <c r="D107" s="148" t="s">
        <v>4056</v>
      </c>
      <c r="E107" s="148" t="s">
        <v>13</v>
      </c>
      <c r="F107" s="148" t="s">
        <v>337</v>
      </c>
      <c r="G107" s="148" t="s">
        <v>320</v>
      </c>
      <c r="H107" s="148" t="s">
        <v>330</v>
      </c>
      <c r="I107" s="161">
        <v>2010</v>
      </c>
      <c r="J107" s="161" t="s">
        <v>331</v>
      </c>
      <c r="K107" s="161" t="s">
        <v>332</v>
      </c>
      <c r="L107" s="161" t="s">
        <v>19</v>
      </c>
      <c r="M107" s="453" t="s">
        <v>4123</v>
      </c>
      <c r="N107" s="186" t="s">
        <v>20</v>
      </c>
      <c r="O107" s="186" t="s">
        <v>20</v>
      </c>
      <c r="P107" s="186" t="s">
        <v>15</v>
      </c>
      <c r="Q107" s="186" t="s">
        <v>15</v>
      </c>
      <c r="R107" s="186" t="s">
        <v>15</v>
      </c>
      <c r="S107" s="186" t="s">
        <v>15</v>
      </c>
      <c r="T107" s="186" t="s">
        <v>15</v>
      </c>
      <c r="U107" s="186" t="s">
        <v>15</v>
      </c>
      <c r="V107" s="186" t="s">
        <v>15</v>
      </c>
      <c r="W107" s="186" t="s">
        <v>15</v>
      </c>
      <c r="X107" s="186" t="s">
        <v>15</v>
      </c>
      <c r="Y107" s="186" t="s">
        <v>15</v>
      </c>
      <c r="Z107" s="186"/>
      <c r="AA107" s="186" t="s">
        <v>333</v>
      </c>
      <c r="AB107" s="186" t="s">
        <v>292</v>
      </c>
      <c r="AC107" s="186" t="s">
        <v>292</v>
      </c>
      <c r="AD107" s="268" t="s">
        <v>334</v>
      </c>
      <c r="AE107" s="268"/>
      <c r="AF107" s="144" t="str">
        <f t="shared" si="4"/>
        <v/>
      </c>
      <c r="AG107" s="144" t="str">
        <f t="shared" si="5"/>
        <v/>
      </c>
      <c r="AH107" s="146">
        <f t="shared" si="6"/>
        <v>19.899999999999999</v>
      </c>
      <c r="AI107" s="146" t="str">
        <f t="shared" si="7"/>
        <v/>
      </c>
      <c r="AJ107" s="304"/>
      <c r="AK107" s="303"/>
      <c r="AL107" s="304"/>
      <c r="AM107" s="303"/>
      <c r="AN107" s="303"/>
      <c r="AO107" s="304"/>
      <c r="AP107" s="304"/>
      <c r="AQ107" s="303"/>
      <c r="AR107" s="303"/>
      <c r="AS107" s="171"/>
      <c r="AT107" s="171"/>
      <c r="AU107" s="310" t="s">
        <v>335</v>
      </c>
      <c r="AW107" s="294"/>
      <c r="AX107" s="294"/>
      <c r="AY107" s="294"/>
      <c r="AZ107" s="294"/>
      <c r="BA107" s="294"/>
      <c r="BB107" s="294"/>
      <c r="BC107" s="294"/>
      <c r="BD107" s="294"/>
      <c r="BE107" s="294"/>
      <c r="BF107" s="382">
        <v>19.899999999999999</v>
      </c>
      <c r="BG107" s="383"/>
      <c r="BH107" s="278"/>
      <c r="BI107" s="365" t="s">
        <v>336</v>
      </c>
      <c r="BJ107" s="409"/>
    </row>
    <row r="108" spans="1:62" ht="15.75" customHeight="1" thickBot="1" x14ac:dyDescent="0.25">
      <c r="A108" s="154">
        <v>107</v>
      </c>
      <c r="B108" s="155">
        <v>1</v>
      </c>
      <c r="C108" s="148" t="s">
        <v>24</v>
      </c>
      <c r="D108" s="148" t="s">
        <v>53</v>
      </c>
      <c r="E108" s="148" t="s">
        <v>13</v>
      </c>
      <c r="F108" s="148" t="s">
        <v>338</v>
      </c>
      <c r="G108" s="148" t="s">
        <v>122</v>
      </c>
      <c r="H108" s="148" t="s">
        <v>248</v>
      </c>
      <c r="I108" s="161">
        <v>2013</v>
      </c>
      <c r="J108" s="161" t="s">
        <v>339</v>
      </c>
      <c r="K108" s="161" t="s">
        <v>340</v>
      </c>
      <c r="L108" s="161" t="s">
        <v>274</v>
      </c>
      <c r="M108" s="453" t="s">
        <v>4124</v>
      </c>
      <c r="N108" s="186" t="s">
        <v>20</v>
      </c>
      <c r="O108" s="186" t="s">
        <v>20</v>
      </c>
      <c r="P108" s="186" t="s">
        <v>20</v>
      </c>
      <c r="Q108" s="186" t="s">
        <v>20</v>
      </c>
      <c r="R108" s="186" t="s">
        <v>15</v>
      </c>
      <c r="S108" s="186" t="s">
        <v>20</v>
      </c>
      <c r="T108" s="186" t="s">
        <v>15</v>
      </c>
      <c r="U108" s="186" t="s">
        <v>15</v>
      </c>
      <c r="V108" s="186" t="s">
        <v>15</v>
      </c>
      <c r="W108" s="186" t="s">
        <v>15</v>
      </c>
      <c r="X108" s="186" t="s">
        <v>15</v>
      </c>
      <c r="Y108" s="186" t="s">
        <v>15</v>
      </c>
      <c r="Z108" s="186"/>
      <c r="AA108" s="186" t="s">
        <v>341</v>
      </c>
      <c r="AB108" s="186" t="s">
        <v>292</v>
      </c>
      <c r="AC108" s="186" t="s">
        <v>122</v>
      </c>
      <c r="AD108" s="268" t="s">
        <v>275</v>
      </c>
      <c r="AE108" s="268" t="s">
        <v>294</v>
      </c>
      <c r="AF108" s="144" t="str">
        <f t="shared" si="4"/>
        <v/>
      </c>
      <c r="AG108" s="144" t="str">
        <f t="shared" si="5"/>
        <v/>
      </c>
      <c r="AH108" s="146">
        <f t="shared" si="6"/>
        <v>58.620689655172413</v>
      </c>
      <c r="AI108" s="146" t="str">
        <f t="shared" si="7"/>
        <v/>
      </c>
      <c r="AJ108" s="303"/>
      <c r="AK108" s="303"/>
      <c r="AL108" s="303"/>
      <c r="AM108" s="303"/>
      <c r="AN108" s="303"/>
      <c r="AO108" s="303"/>
      <c r="AP108" s="303"/>
      <c r="AQ108" s="303"/>
      <c r="AR108" s="303"/>
      <c r="AS108" s="170"/>
      <c r="AT108" s="170"/>
      <c r="AU108" s="310"/>
      <c r="AW108" s="294">
        <v>58.620689655172413</v>
      </c>
      <c r="AX108" s="294"/>
      <c r="AY108" s="294"/>
      <c r="AZ108" s="294">
        <f>0.05/0.667</f>
        <v>7.4962518740629688E-2</v>
      </c>
      <c r="BA108" s="294"/>
      <c r="BB108" s="294"/>
      <c r="BC108" s="294"/>
      <c r="BD108" s="294"/>
      <c r="BE108" s="294"/>
      <c r="BF108" s="383">
        <v>58.620689655172413</v>
      </c>
      <c r="BG108" s="383">
        <v>59.070464767616187</v>
      </c>
      <c r="BH108" s="278"/>
      <c r="BI108" s="365" t="s">
        <v>279</v>
      </c>
      <c r="BJ108" s="410" t="s">
        <v>3229</v>
      </c>
    </row>
    <row r="109" spans="1:62" ht="15.75" customHeight="1" thickBot="1" x14ac:dyDescent="0.25">
      <c r="A109" s="156">
        <v>108</v>
      </c>
      <c r="B109" s="155">
        <v>1</v>
      </c>
      <c r="C109" s="148" t="s">
        <v>24</v>
      </c>
      <c r="D109" s="148" t="s">
        <v>53</v>
      </c>
      <c r="E109" s="148" t="s">
        <v>13</v>
      </c>
      <c r="F109" s="148" t="s">
        <v>338</v>
      </c>
      <c r="G109" s="148" t="s">
        <v>122</v>
      </c>
      <c r="H109" s="148" t="s">
        <v>342</v>
      </c>
      <c r="I109" s="161">
        <v>2013</v>
      </c>
      <c r="J109" s="161" t="s">
        <v>339</v>
      </c>
      <c r="K109" s="161" t="s">
        <v>340</v>
      </c>
      <c r="L109" s="161" t="s">
        <v>274</v>
      </c>
      <c r="M109" s="453" t="s">
        <v>4124</v>
      </c>
      <c r="N109" s="186" t="s">
        <v>20</v>
      </c>
      <c r="O109" s="186" t="s">
        <v>20</v>
      </c>
      <c r="P109" s="186" t="s">
        <v>20</v>
      </c>
      <c r="Q109" s="186" t="s">
        <v>20</v>
      </c>
      <c r="R109" s="186" t="s">
        <v>15</v>
      </c>
      <c r="S109" s="186" t="s">
        <v>20</v>
      </c>
      <c r="T109" s="186" t="s">
        <v>15</v>
      </c>
      <c r="U109" s="186" t="s">
        <v>15</v>
      </c>
      <c r="V109" s="186" t="s">
        <v>15</v>
      </c>
      <c r="W109" s="186" t="s">
        <v>15</v>
      </c>
      <c r="X109" s="186" t="s">
        <v>15</v>
      </c>
      <c r="Y109" s="186" t="s">
        <v>15</v>
      </c>
      <c r="Z109" s="186"/>
      <c r="AA109" s="186" t="s">
        <v>341</v>
      </c>
      <c r="AB109" s="186" t="s">
        <v>292</v>
      </c>
      <c r="AC109" s="186" t="s">
        <v>122</v>
      </c>
      <c r="AD109" s="268" t="s">
        <v>275</v>
      </c>
      <c r="AE109" s="268" t="s">
        <v>294</v>
      </c>
      <c r="AF109" s="144" t="str">
        <f t="shared" si="4"/>
        <v/>
      </c>
      <c r="AG109" s="144" t="str">
        <f t="shared" si="5"/>
        <v/>
      </c>
      <c r="AH109" s="146">
        <f t="shared" si="6"/>
        <v>43.478260869565212</v>
      </c>
      <c r="AI109" s="146" t="str">
        <f t="shared" si="7"/>
        <v/>
      </c>
      <c r="AJ109" s="303"/>
      <c r="AK109" s="303"/>
      <c r="AL109" s="303"/>
      <c r="AM109" s="303"/>
      <c r="AN109" s="303"/>
      <c r="AO109" s="303"/>
      <c r="AP109" s="303"/>
      <c r="AQ109" s="303"/>
      <c r="AR109" s="303"/>
      <c r="AS109" s="170"/>
      <c r="AT109" s="170"/>
      <c r="AU109" s="310"/>
      <c r="AW109" s="294">
        <v>43.478260869565212</v>
      </c>
      <c r="AX109" s="294"/>
      <c r="AY109" s="294"/>
      <c r="AZ109" s="294">
        <f>0.05/0.667</f>
        <v>7.4962518740629688E-2</v>
      </c>
      <c r="BA109" s="294"/>
      <c r="BB109" s="294"/>
      <c r="BC109" s="294"/>
      <c r="BD109" s="294"/>
      <c r="BE109" s="294"/>
      <c r="BF109" s="383">
        <v>43.478260869565212</v>
      </c>
      <c r="BG109" s="383">
        <v>43.778110944527732</v>
      </c>
      <c r="BH109" s="278"/>
      <c r="BI109" s="365" t="s">
        <v>279</v>
      </c>
      <c r="BJ109" s="410" t="s">
        <v>3230</v>
      </c>
    </row>
    <row r="110" spans="1:62" ht="15.75" customHeight="1" thickBot="1" x14ac:dyDescent="0.25">
      <c r="A110" s="154">
        <v>109</v>
      </c>
      <c r="B110" s="155">
        <v>1</v>
      </c>
      <c r="C110" s="148" t="s">
        <v>11</v>
      </c>
      <c r="D110" s="150" t="s">
        <v>12</v>
      </c>
      <c r="E110" s="148" t="s">
        <v>13</v>
      </c>
      <c r="F110" s="148" t="s">
        <v>338</v>
      </c>
      <c r="G110" s="148" t="s">
        <v>122</v>
      </c>
      <c r="H110" s="148" t="s">
        <v>248</v>
      </c>
      <c r="I110" s="161">
        <v>2013</v>
      </c>
      <c r="J110" s="161" t="s">
        <v>339</v>
      </c>
      <c r="K110" s="161" t="s">
        <v>340</v>
      </c>
      <c r="L110" s="161" t="s">
        <v>274</v>
      </c>
      <c r="M110" s="453" t="s">
        <v>4124</v>
      </c>
      <c r="N110" s="186" t="s">
        <v>20</v>
      </c>
      <c r="O110" s="186" t="s">
        <v>20</v>
      </c>
      <c r="P110" s="186" t="s">
        <v>20</v>
      </c>
      <c r="Q110" s="186" t="s">
        <v>20</v>
      </c>
      <c r="R110" s="186" t="s">
        <v>15</v>
      </c>
      <c r="S110" s="186" t="s">
        <v>20</v>
      </c>
      <c r="T110" s="186" t="s">
        <v>15</v>
      </c>
      <c r="U110" s="186" t="s">
        <v>15</v>
      </c>
      <c r="V110" s="186" t="s">
        <v>15</v>
      </c>
      <c r="W110" s="186" t="s">
        <v>15</v>
      </c>
      <c r="X110" s="186" t="s">
        <v>15</v>
      </c>
      <c r="Y110" s="186" t="s">
        <v>15</v>
      </c>
      <c r="Z110" s="186"/>
      <c r="AA110" s="186" t="s">
        <v>341</v>
      </c>
      <c r="AB110" s="186" t="s">
        <v>292</v>
      </c>
      <c r="AC110" s="186" t="s">
        <v>122</v>
      </c>
      <c r="AD110" s="268" t="s">
        <v>343</v>
      </c>
      <c r="AE110" s="268"/>
      <c r="AF110" s="144" t="str">
        <f t="shared" si="4"/>
        <v/>
      </c>
      <c r="AG110" s="144" t="str">
        <f t="shared" si="5"/>
        <v/>
      </c>
      <c r="AH110" s="146">
        <f t="shared" si="6"/>
        <v>2.61</v>
      </c>
      <c r="AI110" s="146" t="str">
        <f t="shared" si="7"/>
        <v/>
      </c>
      <c r="AJ110" s="303"/>
      <c r="AK110" s="303"/>
      <c r="AL110" s="303"/>
      <c r="AM110" s="303"/>
      <c r="AN110" s="303"/>
      <c r="AO110" s="303"/>
      <c r="AP110" s="303"/>
      <c r="AQ110" s="303"/>
      <c r="AR110" s="303"/>
      <c r="AS110" s="170"/>
      <c r="AT110" s="170"/>
      <c r="AU110" s="310"/>
      <c r="AW110" s="294"/>
      <c r="AX110" s="294"/>
      <c r="AY110" s="294"/>
      <c r="AZ110" s="294"/>
      <c r="BA110" s="294"/>
      <c r="BB110" s="294"/>
      <c r="BC110" s="294"/>
      <c r="BD110" s="294"/>
      <c r="BE110" s="294"/>
      <c r="BF110" s="382">
        <v>2.61</v>
      </c>
      <c r="BG110" s="382">
        <v>2.79</v>
      </c>
      <c r="BH110" s="278"/>
      <c r="BI110" s="365" t="s">
        <v>279</v>
      </c>
      <c r="BJ110" s="409"/>
    </row>
    <row r="111" spans="1:62" ht="15.75" customHeight="1" thickBot="1" x14ac:dyDescent="0.25">
      <c r="A111" s="156">
        <v>110</v>
      </c>
      <c r="B111" s="155">
        <v>1</v>
      </c>
      <c r="C111" s="148" t="s">
        <v>11</v>
      </c>
      <c r="D111" s="150" t="s">
        <v>12</v>
      </c>
      <c r="E111" s="148" t="s">
        <v>13</v>
      </c>
      <c r="F111" s="148" t="s">
        <v>338</v>
      </c>
      <c r="G111" s="148" t="s">
        <v>122</v>
      </c>
      <c r="H111" s="148" t="s">
        <v>342</v>
      </c>
      <c r="I111" s="161">
        <v>2013</v>
      </c>
      <c r="J111" s="161" t="s">
        <v>339</v>
      </c>
      <c r="K111" s="161" t="s">
        <v>340</v>
      </c>
      <c r="L111" s="161" t="s">
        <v>274</v>
      </c>
      <c r="M111" s="453" t="s">
        <v>4124</v>
      </c>
      <c r="N111" s="186" t="s">
        <v>20</v>
      </c>
      <c r="O111" s="186" t="s">
        <v>20</v>
      </c>
      <c r="P111" s="186" t="s">
        <v>20</v>
      </c>
      <c r="Q111" s="186" t="s">
        <v>20</v>
      </c>
      <c r="R111" s="186" t="s">
        <v>15</v>
      </c>
      <c r="S111" s="186" t="s">
        <v>20</v>
      </c>
      <c r="T111" s="186" t="s">
        <v>15</v>
      </c>
      <c r="U111" s="186" t="s">
        <v>15</v>
      </c>
      <c r="V111" s="186" t="s">
        <v>15</v>
      </c>
      <c r="W111" s="186" t="s">
        <v>15</v>
      </c>
      <c r="X111" s="186" t="s">
        <v>15</v>
      </c>
      <c r="Y111" s="186" t="s">
        <v>15</v>
      </c>
      <c r="Z111" s="186"/>
      <c r="AA111" s="186" t="s">
        <v>341</v>
      </c>
      <c r="AB111" s="186" t="s">
        <v>292</v>
      </c>
      <c r="AC111" s="186" t="s">
        <v>122</v>
      </c>
      <c r="AD111" s="268" t="s">
        <v>343</v>
      </c>
      <c r="AE111" s="268"/>
      <c r="AF111" s="144" t="str">
        <f t="shared" si="4"/>
        <v/>
      </c>
      <c r="AG111" s="144" t="str">
        <f t="shared" si="5"/>
        <v/>
      </c>
      <c r="AH111" s="146">
        <f t="shared" si="6"/>
        <v>1.41</v>
      </c>
      <c r="AI111" s="146" t="str">
        <f t="shared" si="7"/>
        <v/>
      </c>
      <c r="AJ111" s="303"/>
      <c r="AK111" s="303"/>
      <c r="AL111" s="303"/>
      <c r="AM111" s="303"/>
      <c r="AN111" s="303"/>
      <c r="AO111" s="303"/>
      <c r="AP111" s="303"/>
      <c r="AQ111" s="303"/>
      <c r="AR111" s="303"/>
      <c r="AS111" s="170"/>
      <c r="AT111" s="170"/>
      <c r="AU111" s="310"/>
      <c r="AW111" s="294"/>
      <c r="AX111" s="294"/>
      <c r="AY111" s="294"/>
      <c r="AZ111" s="294"/>
      <c r="BA111" s="294"/>
      <c r="BB111" s="294"/>
      <c r="BC111" s="294"/>
      <c r="BD111" s="294"/>
      <c r="BE111" s="294"/>
      <c r="BF111" s="382">
        <v>1.41</v>
      </c>
      <c r="BG111" s="382">
        <v>1.69</v>
      </c>
      <c r="BH111" s="278"/>
      <c r="BI111" s="365" t="s">
        <v>279</v>
      </c>
      <c r="BJ111" s="409"/>
    </row>
    <row r="112" spans="1:62" ht="15.75" customHeight="1" thickBot="1" x14ac:dyDescent="0.25">
      <c r="A112" s="154">
        <v>111</v>
      </c>
      <c r="B112" s="155">
        <v>1</v>
      </c>
      <c r="C112" s="148" t="s">
        <v>11</v>
      </c>
      <c r="D112" s="148" t="s">
        <v>344</v>
      </c>
      <c r="E112" s="148" t="s">
        <v>13</v>
      </c>
      <c r="F112" s="148" t="s">
        <v>345</v>
      </c>
      <c r="G112" s="148" t="s">
        <v>122</v>
      </c>
      <c r="H112" s="148" t="s">
        <v>248</v>
      </c>
      <c r="I112" s="161">
        <v>2013</v>
      </c>
      <c r="J112" s="161" t="s">
        <v>339</v>
      </c>
      <c r="K112" s="161" t="s">
        <v>340</v>
      </c>
      <c r="L112" s="161" t="s">
        <v>274</v>
      </c>
      <c r="M112" s="453" t="s">
        <v>4124</v>
      </c>
      <c r="N112" s="186" t="s">
        <v>20</v>
      </c>
      <c r="O112" s="186" t="s">
        <v>20</v>
      </c>
      <c r="P112" s="186" t="s">
        <v>20</v>
      </c>
      <c r="Q112" s="186" t="s">
        <v>20</v>
      </c>
      <c r="R112" s="186" t="s">
        <v>15</v>
      </c>
      <c r="S112" s="186" t="s">
        <v>20</v>
      </c>
      <c r="T112" s="186" t="s">
        <v>15</v>
      </c>
      <c r="U112" s="186" t="s">
        <v>15</v>
      </c>
      <c r="V112" s="186" t="s">
        <v>15</v>
      </c>
      <c r="W112" s="186" t="s">
        <v>15</v>
      </c>
      <c r="X112" s="186" t="s">
        <v>15</v>
      </c>
      <c r="Y112" s="186" t="s">
        <v>15</v>
      </c>
      <c r="Z112" s="186"/>
      <c r="AA112" s="186" t="s">
        <v>341</v>
      </c>
      <c r="AB112" s="186" t="s">
        <v>292</v>
      </c>
      <c r="AC112" s="186" t="s">
        <v>122</v>
      </c>
      <c r="AD112" s="268" t="s">
        <v>343</v>
      </c>
      <c r="AE112" s="268"/>
      <c r="AF112" s="144" t="str">
        <f t="shared" si="4"/>
        <v/>
      </c>
      <c r="AG112" s="144" t="str">
        <f t="shared" si="5"/>
        <v/>
      </c>
      <c r="AH112" s="146">
        <f t="shared" si="6"/>
        <v>3.16</v>
      </c>
      <c r="AI112" s="146" t="str">
        <f t="shared" si="7"/>
        <v/>
      </c>
      <c r="AJ112" s="303"/>
      <c r="AK112" s="303"/>
      <c r="AL112" s="303"/>
      <c r="AM112" s="303"/>
      <c r="AN112" s="303"/>
      <c r="AO112" s="303"/>
      <c r="AP112" s="303"/>
      <c r="AQ112" s="303"/>
      <c r="AR112" s="303"/>
      <c r="AS112" s="170"/>
      <c r="AT112" s="170"/>
      <c r="AU112" s="310"/>
      <c r="AW112" s="294"/>
      <c r="AX112" s="294"/>
      <c r="AY112" s="294"/>
      <c r="AZ112" s="294"/>
      <c r="BA112" s="294"/>
      <c r="BB112" s="294"/>
      <c r="BC112" s="294"/>
      <c r="BD112" s="294"/>
      <c r="BE112" s="294"/>
      <c r="BF112" s="382">
        <v>3.16</v>
      </c>
      <c r="BG112" s="382">
        <v>3.38</v>
      </c>
      <c r="BH112" s="278"/>
      <c r="BI112" s="365" t="s">
        <v>279</v>
      </c>
      <c r="BJ112" s="409"/>
    </row>
    <row r="113" spans="1:62" ht="15.75" customHeight="1" thickBot="1" x14ac:dyDescent="0.25">
      <c r="A113" s="156">
        <v>112</v>
      </c>
      <c r="B113" s="155">
        <v>1</v>
      </c>
      <c r="C113" s="148" t="s">
        <v>24</v>
      </c>
      <c r="D113" s="148" t="s">
        <v>346</v>
      </c>
      <c r="E113" s="148" t="s">
        <v>13</v>
      </c>
      <c r="F113" s="148" t="s">
        <v>338</v>
      </c>
      <c r="G113" s="148" t="s">
        <v>122</v>
      </c>
      <c r="H113" s="148" t="s">
        <v>248</v>
      </c>
      <c r="I113" s="161">
        <v>2013</v>
      </c>
      <c r="J113" s="161" t="s">
        <v>339</v>
      </c>
      <c r="K113" s="161" t="s">
        <v>340</v>
      </c>
      <c r="L113" s="161" t="s">
        <v>274</v>
      </c>
      <c r="M113" s="453" t="s">
        <v>4124</v>
      </c>
      <c r="N113" s="186" t="s">
        <v>20</v>
      </c>
      <c r="O113" s="186" t="s">
        <v>20</v>
      </c>
      <c r="P113" s="186" t="s">
        <v>20</v>
      </c>
      <c r="Q113" s="186" t="s">
        <v>20</v>
      </c>
      <c r="R113" s="186" t="s">
        <v>15</v>
      </c>
      <c r="S113" s="186" t="s">
        <v>20</v>
      </c>
      <c r="T113" s="186" t="s">
        <v>15</v>
      </c>
      <c r="U113" s="186" t="s">
        <v>15</v>
      </c>
      <c r="V113" s="186" t="s">
        <v>15</v>
      </c>
      <c r="W113" s="186" t="s">
        <v>15</v>
      </c>
      <c r="X113" s="186" t="s">
        <v>15</v>
      </c>
      <c r="Y113" s="186" t="s">
        <v>15</v>
      </c>
      <c r="Z113" s="186"/>
      <c r="AA113" s="186" t="s">
        <v>341</v>
      </c>
      <c r="AB113" s="186" t="s">
        <v>292</v>
      </c>
      <c r="AC113" s="186" t="s">
        <v>122</v>
      </c>
      <c r="AD113" s="268" t="s">
        <v>275</v>
      </c>
      <c r="AE113" s="268" t="s">
        <v>63</v>
      </c>
      <c r="AF113" s="144" t="str">
        <f t="shared" si="4"/>
        <v/>
      </c>
      <c r="AG113" s="144">
        <f t="shared" si="5"/>
        <v>6.8389057750759878</v>
      </c>
      <c r="AH113" s="146">
        <f t="shared" si="6"/>
        <v>36.398176291793312</v>
      </c>
      <c r="AI113" s="146" t="str">
        <f t="shared" si="7"/>
        <v/>
      </c>
      <c r="AJ113" s="303"/>
      <c r="AK113" s="303"/>
      <c r="AL113" s="303">
        <f>4.5/0.658</f>
        <v>6.8389057750759878</v>
      </c>
      <c r="AM113" s="303"/>
      <c r="AN113" s="303"/>
      <c r="AO113" s="303"/>
      <c r="AP113" s="303"/>
      <c r="AQ113" s="303"/>
      <c r="AR113" s="303"/>
      <c r="AS113" s="170"/>
      <c r="AT113" s="170"/>
      <c r="AU113" s="310"/>
      <c r="AW113" s="294">
        <f>(24-0.05)/0.658</f>
        <v>36.398176291793312</v>
      </c>
      <c r="AX113" s="294"/>
      <c r="AY113" s="294"/>
      <c r="AZ113" s="294">
        <f>0.05/0.658</f>
        <v>7.598784194528875E-2</v>
      </c>
      <c r="BA113" s="294"/>
      <c r="BB113" s="294"/>
      <c r="BC113" s="294"/>
      <c r="BD113" s="294"/>
      <c r="BE113" s="294"/>
      <c r="BF113" s="382">
        <f>AW113</f>
        <v>36.398176291793312</v>
      </c>
      <c r="BG113" s="383">
        <v>36.474164133738597</v>
      </c>
      <c r="BH113" s="278"/>
      <c r="BI113" s="365" t="s">
        <v>279</v>
      </c>
      <c r="BJ113" s="411"/>
    </row>
    <row r="114" spans="1:62" ht="15.75" customHeight="1" thickBot="1" x14ac:dyDescent="0.25">
      <c r="A114" s="154">
        <v>113</v>
      </c>
      <c r="B114" s="155">
        <v>1</v>
      </c>
      <c r="C114" s="148" t="s">
        <v>11</v>
      </c>
      <c r="D114" s="148" t="s">
        <v>347</v>
      </c>
      <c r="E114" s="148" t="s">
        <v>13</v>
      </c>
      <c r="F114" s="148" t="s">
        <v>338</v>
      </c>
      <c r="G114" s="148" t="s">
        <v>122</v>
      </c>
      <c r="H114" s="148" t="s">
        <v>248</v>
      </c>
      <c r="I114" s="161">
        <v>2013</v>
      </c>
      <c r="J114" s="161" t="s">
        <v>339</v>
      </c>
      <c r="K114" s="161" t="s">
        <v>340</v>
      </c>
      <c r="L114" s="161" t="s">
        <v>274</v>
      </c>
      <c r="M114" s="453" t="s">
        <v>4124</v>
      </c>
      <c r="N114" s="186" t="s">
        <v>20</v>
      </c>
      <c r="O114" s="186" t="s">
        <v>20</v>
      </c>
      <c r="P114" s="186" t="s">
        <v>20</v>
      </c>
      <c r="Q114" s="186" t="s">
        <v>20</v>
      </c>
      <c r="R114" s="186" t="s">
        <v>15</v>
      </c>
      <c r="S114" s="186" t="s">
        <v>20</v>
      </c>
      <c r="T114" s="186" t="s">
        <v>15</v>
      </c>
      <c r="U114" s="186" t="s">
        <v>15</v>
      </c>
      <c r="V114" s="186" t="s">
        <v>15</v>
      </c>
      <c r="W114" s="186" t="s">
        <v>15</v>
      </c>
      <c r="X114" s="186" t="s">
        <v>15</v>
      </c>
      <c r="Y114" s="186" t="s">
        <v>15</v>
      </c>
      <c r="Z114" s="186"/>
      <c r="AA114" s="186" t="s">
        <v>341</v>
      </c>
      <c r="AB114" s="186" t="s">
        <v>292</v>
      </c>
      <c r="AC114" s="186" t="s">
        <v>122</v>
      </c>
      <c r="AD114" s="268" t="s">
        <v>343</v>
      </c>
      <c r="AE114" s="268"/>
      <c r="AF114" s="144" t="str">
        <f t="shared" si="4"/>
        <v/>
      </c>
      <c r="AG114" s="144" t="str">
        <f t="shared" si="5"/>
        <v/>
      </c>
      <c r="AH114" s="146" t="str">
        <f t="shared" si="6"/>
        <v/>
      </c>
      <c r="AI114" s="146" t="str">
        <f t="shared" si="7"/>
        <v/>
      </c>
      <c r="AJ114" s="303"/>
      <c r="AK114" s="303"/>
      <c r="AL114" s="303"/>
      <c r="AM114" s="303"/>
      <c r="AN114" s="303"/>
      <c r="AO114" s="303"/>
      <c r="AP114" s="303"/>
      <c r="AQ114" s="303"/>
      <c r="AR114" s="303"/>
      <c r="AS114" s="170"/>
      <c r="AT114" s="170"/>
      <c r="AU114" s="310"/>
      <c r="AW114" s="294"/>
      <c r="AX114" s="294"/>
      <c r="AY114" s="294"/>
      <c r="AZ114" s="294"/>
      <c r="BA114" s="294"/>
      <c r="BB114" s="294"/>
      <c r="BC114" s="294"/>
      <c r="BD114" s="294"/>
      <c r="BE114" s="294"/>
      <c r="BF114" s="382"/>
      <c r="BG114" s="382">
        <f>8.4</f>
        <v>8.4</v>
      </c>
      <c r="BH114" s="278"/>
      <c r="BI114" s="365" t="s">
        <v>279</v>
      </c>
      <c r="BJ114" s="411"/>
    </row>
    <row r="115" spans="1:62" ht="15.75" customHeight="1" thickBot="1" x14ac:dyDescent="0.25">
      <c r="A115" s="156">
        <v>114</v>
      </c>
      <c r="B115" s="155">
        <v>1</v>
      </c>
      <c r="C115" s="148" t="s">
        <v>24</v>
      </c>
      <c r="D115" s="148" t="s">
        <v>348</v>
      </c>
      <c r="E115" s="148" t="s">
        <v>13</v>
      </c>
      <c r="F115" s="148" t="s">
        <v>338</v>
      </c>
      <c r="G115" s="148" t="s">
        <v>122</v>
      </c>
      <c r="H115" s="148" t="s">
        <v>248</v>
      </c>
      <c r="I115" s="161">
        <v>2013</v>
      </c>
      <c r="J115" s="161" t="s">
        <v>339</v>
      </c>
      <c r="K115" s="161" t="s">
        <v>340</v>
      </c>
      <c r="L115" s="161" t="s">
        <v>274</v>
      </c>
      <c r="M115" s="453" t="s">
        <v>4124</v>
      </c>
      <c r="N115" s="186" t="s">
        <v>20</v>
      </c>
      <c r="O115" s="186" t="s">
        <v>20</v>
      </c>
      <c r="P115" s="186" t="s">
        <v>20</v>
      </c>
      <c r="Q115" s="186" t="s">
        <v>20</v>
      </c>
      <c r="R115" s="186" t="s">
        <v>15</v>
      </c>
      <c r="S115" s="186" t="s">
        <v>20</v>
      </c>
      <c r="T115" s="186" t="s">
        <v>15</v>
      </c>
      <c r="U115" s="186" t="s">
        <v>15</v>
      </c>
      <c r="V115" s="186" t="s">
        <v>15</v>
      </c>
      <c r="W115" s="186" t="s">
        <v>15</v>
      </c>
      <c r="X115" s="186" t="s">
        <v>15</v>
      </c>
      <c r="Y115" s="186" t="s">
        <v>15</v>
      </c>
      <c r="Z115" s="186"/>
      <c r="AA115" s="186" t="s">
        <v>341</v>
      </c>
      <c r="AB115" s="186" t="s">
        <v>292</v>
      </c>
      <c r="AC115" s="186" t="s">
        <v>122</v>
      </c>
      <c r="AD115" s="268" t="s">
        <v>275</v>
      </c>
      <c r="AE115" s="268" t="s">
        <v>349</v>
      </c>
      <c r="AF115" s="144" t="str">
        <f t="shared" si="4"/>
        <v/>
      </c>
      <c r="AG115" s="144" t="str">
        <f t="shared" si="5"/>
        <v/>
      </c>
      <c r="AH115" s="146" t="str">
        <f t="shared" si="6"/>
        <v/>
      </c>
      <c r="AI115" s="146" t="str">
        <f t="shared" si="7"/>
        <v/>
      </c>
      <c r="AJ115" s="303"/>
      <c r="AK115" s="303"/>
      <c r="AL115" s="303"/>
      <c r="AM115" s="303"/>
      <c r="AN115" s="303"/>
      <c r="AO115" s="303"/>
      <c r="AP115" s="303"/>
      <c r="AQ115" s="303"/>
      <c r="AR115" s="303"/>
      <c r="AS115" s="170"/>
      <c r="AT115" s="170"/>
      <c r="AU115" s="310"/>
      <c r="AW115" s="294"/>
      <c r="AX115" s="294"/>
      <c r="AY115" s="294"/>
      <c r="AZ115" s="294"/>
      <c r="BA115" s="294"/>
      <c r="BB115" s="294"/>
      <c r="BC115" s="294"/>
      <c r="BD115" s="294"/>
      <c r="BE115" s="294"/>
      <c r="BF115" s="382"/>
      <c r="BG115" s="382">
        <f>23.5/0.658</f>
        <v>35.714285714285715</v>
      </c>
      <c r="BH115" s="278"/>
      <c r="BI115" s="365" t="s">
        <v>279</v>
      </c>
      <c r="BJ115" s="411"/>
    </row>
    <row r="116" spans="1:62" ht="15.75" customHeight="1" thickBot="1" x14ac:dyDescent="0.25">
      <c r="A116" s="154">
        <v>115</v>
      </c>
      <c r="B116" s="155">
        <v>1</v>
      </c>
      <c r="C116" s="148" t="s">
        <v>11</v>
      </c>
      <c r="D116" s="148" t="s">
        <v>425</v>
      </c>
      <c r="E116" s="148" t="s">
        <v>13</v>
      </c>
      <c r="F116" s="148" t="s">
        <v>338</v>
      </c>
      <c r="G116" s="148" t="s">
        <v>122</v>
      </c>
      <c r="H116" s="148" t="s">
        <v>248</v>
      </c>
      <c r="I116" s="161">
        <v>2013</v>
      </c>
      <c r="J116" s="161" t="s">
        <v>339</v>
      </c>
      <c r="K116" s="161" t="s">
        <v>340</v>
      </c>
      <c r="L116" s="161" t="s">
        <v>274</v>
      </c>
      <c r="M116" s="453" t="s">
        <v>4124</v>
      </c>
      <c r="N116" s="186" t="s">
        <v>20</v>
      </c>
      <c r="O116" s="186" t="s">
        <v>20</v>
      </c>
      <c r="P116" s="186" t="s">
        <v>20</v>
      </c>
      <c r="Q116" s="186" t="s">
        <v>20</v>
      </c>
      <c r="R116" s="186" t="s">
        <v>15</v>
      </c>
      <c r="S116" s="186" t="s">
        <v>20</v>
      </c>
      <c r="T116" s="186" t="s">
        <v>15</v>
      </c>
      <c r="U116" s="186" t="s">
        <v>15</v>
      </c>
      <c r="V116" s="186" t="s">
        <v>15</v>
      </c>
      <c r="W116" s="186" t="s">
        <v>15</v>
      </c>
      <c r="X116" s="186" t="s">
        <v>15</v>
      </c>
      <c r="Y116" s="186" t="s">
        <v>15</v>
      </c>
      <c r="Z116" s="186"/>
      <c r="AA116" s="186" t="s">
        <v>341</v>
      </c>
      <c r="AB116" s="186" t="s">
        <v>292</v>
      </c>
      <c r="AC116" s="186" t="s">
        <v>122</v>
      </c>
      <c r="AD116" s="268" t="s">
        <v>343</v>
      </c>
      <c r="AE116" s="268"/>
      <c r="AF116" s="144" t="str">
        <f t="shared" si="4"/>
        <v/>
      </c>
      <c r="AG116" s="144" t="str">
        <f t="shared" si="5"/>
        <v/>
      </c>
      <c r="AH116" s="146" t="str">
        <f t="shared" si="6"/>
        <v/>
      </c>
      <c r="AI116" s="146" t="str">
        <f t="shared" si="7"/>
        <v/>
      </c>
      <c r="AJ116" s="303"/>
      <c r="AK116" s="303"/>
      <c r="AL116" s="303"/>
      <c r="AM116" s="303"/>
      <c r="AN116" s="303"/>
      <c r="AO116" s="303"/>
      <c r="AP116" s="303"/>
      <c r="AQ116" s="303"/>
      <c r="AR116" s="303"/>
      <c r="AS116" s="170"/>
      <c r="AT116" s="170"/>
      <c r="AU116" s="310"/>
      <c r="AW116" s="294"/>
      <c r="AX116" s="294"/>
      <c r="AY116" s="294"/>
      <c r="AZ116" s="294"/>
      <c r="BA116" s="294"/>
      <c r="BB116" s="294"/>
      <c r="BC116" s="294"/>
      <c r="BD116" s="294"/>
      <c r="BE116" s="294"/>
      <c r="BF116" s="382"/>
      <c r="BG116" s="382">
        <f>5.2</f>
        <v>5.2</v>
      </c>
      <c r="BH116" s="278"/>
      <c r="BI116" s="365" t="s">
        <v>279</v>
      </c>
      <c r="BJ116" s="411"/>
    </row>
    <row r="117" spans="1:62" ht="15.75" customHeight="1" thickBot="1" x14ac:dyDescent="0.25">
      <c r="A117" s="156">
        <v>116</v>
      </c>
      <c r="B117" s="155">
        <v>1</v>
      </c>
      <c r="C117" s="148" t="s">
        <v>24</v>
      </c>
      <c r="D117" s="148" t="s">
        <v>53</v>
      </c>
      <c r="E117" s="148" t="s">
        <v>13</v>
      </c>
      <c r="F117" s="148" t="s">
        <v>350</v>
      </c>
      <c r="G117" s="148" t="s">
        <v>122</v>
      </c>
      <c r="H117" s="148" t="s">
        <v>351</v>
      </c>
      <c r="I117" s="161">
        <v>2012</v>
      </c>
      <c r="J117" s="161" t="s">
        <v>352</v>
      </c>
      <c r="K117" s="161" t="s">
        <v>353</v>
      </c>
      <c r="L117" s="161" t="s">
        <v>19</v>
      </c>
      <c r="M117" s="453" t="s">
        <v>4125</v>
      </c>
      <c r="N117" s="186" t="s">
        <v>20</v>
      </c>
      <c r="O117" s="186"/>
      <c r="P117" s="186" t="s">
        <v>20</v>
      </c>
      <c r="Q117" s="186" t="s">
        <v>15</v>
      </c>
      <c r="R117" s="186" t="s">
        <v>15</v>
      </c>
      <c r="S117" s="186" t="s">
        <v>15</v>
      </c>
      <c r="T117" s="186" t="s">
        <v>15</v>
      </c>
      <c r="U117" s="186" t="s">
        <v>15</v>
      </c>
      <c r="V117" s="186" t="s">
        <v>15</v>
      </c>
      <c r="W117" s="186" t="s">
        <v>15</v>
      </c>
      <c r="X117" s="186" t="s">
        <v>15</v>
      </c>
      <c r="Y117" s="186" t="s">
        <v>15</v>
      </c>
      <c r="Z117" s="186"/>
      <c r="AA117" s="186"/>
      <c r="AB117" s="186" t="s">
        <v>292</v>
      </c>
      <c r="AC117" s="186" t="s">
        <v>292</v>
      </c>
      <c r="AD117" s="268" t="s">
        <v>275</v>
      </c>
      <c r="AE117" s="268" t="s">
        <v>294</v>
      </c>
      <c r="AF117" s="144" t="str">
        <f t="shared" si="4"/>
        <v/>
      </c>
      <c r="AG117" s="144" t="str">
        <f t="shared" si="5"/>
        <v/>
      </c>
      <c r="AH117" s="146" t="str">
        <f t="shared" si="6"/>
        <v/>
      </c>
      <c r="AI117" s="146" t="str">
        <f t="shared" si="7"/>
        <v/>
      </c>
      <c r="AJ117" s="303"/>
      <c r="AK117" s="303"/>
      <c r="AL117" s="303"/>
      <c r="AM117" s="303"/>
      <c r="AN117" s="303"/>
      <c r="AO117" s="303"/>
      <c r="AP117" s="303"/>
      <c r="AQ117" s="303"/>
      <c r="AR117" s="303"/>
      <c r="AS117" s="170"/>
      <c r="AT117" s="169">
        <f>8.8/0.667</f>
        <v>13.193403298350825</v>
      </c>
      <c r="AU117" s="310"/>
      <c r="AW117" s="294"/>
      <c r="AX117" s="294"/>
      <c r="AY117" s="294"/>
      <c r="AZ117" s="294"/>
      <c r="BA117" s="294"/>
      <c r="BB117" s="294"/>
      <c r="BC117" s="294"/>
      <c r="BD117" s="294"/>
      <c r="BE117" s="294"/>
      <c r="BF117" s="382"/>
      <c r="BG117" s="382">
        <f>16/0.667</f>
        <v>23.988005997001498</v>
      </c>
      <c r="BH117" s="278"/>
      <c r="BI117" s="365"/>
      <c r="BJ117" s="411"/>
    </row>
    <row r="118" spans="1:62" ht="15.75" customHeight="1" thickBot="1" x14ac:dyDescent="0.25">
      <c r="A118" s="154">
        <v>117</v>
      </c>
      <c r="B118" s="155">
        <v>1</v>
      </c>
      <c r="C118" s="148" t="s">
        <v>24</v>
      </c>
      <c r="D118" s="148" t="s">
        <v>53</v>
      </c>
      <c r="E118" s="148" t="s">
        <v>13</v>
      </c>
      <c r="F118" s="148" t="s">
        <v>354</v>
      </c>
      <c r="G118" s="148" t="s">
        <v>122</v>
      </c>
      <c r="H118" s="148" t="s">
        <v>351</v>
      </c>
      <c r="I118" s="161">
        <v>2012</v>
      </c>
      <c r="J118" s="161" t="s">
        <v>352</v>
      </c>
      <c r="K118" s="161" t="s">
        <v>353</v>
      </c>
      <c r="L118" s="161" t="s">
        <v>19</v>
      </c>
      <c r="M118" s="453" t="s">
        <v>4125</v>
      </c>
      <c r="N118" s="186" t="s">
        <v>20</v>
      </c>
      <c r="O118" s="186"/>
      <c r="P118" s="186" t="s">
        <v>20</v>
      </c>
      <c r="Q118" s="186" t="s">
        <v>15</v>
      </c>
      <c r="R118" s="186" t="s">
        <v>15</v>
      </c>
      <c r="S118" s="186" t="s">
        <v>15</v>
      </c>
      <c r="T118" s="186" t="s">
        <v>15</v>
      </c>
      <c r="U118" s="186" t="s">
        <v>15</v>
      </c>
      <c r="V118" s="186" t="s">
        <v>15</v>
      </c>
      <c r="W118" s="186" t="s">
        <v>15</v>
      </c>
      <c r="X118" s="186" t="s">
        <v>15</v>
      </c>
      <c r="Y118" s="186" t="s">
        <v>15</v>
      </c>
      <c r="Z118" s="186"/>
      <c r="AA118" s="186"/>
      <c r="AB118" s="186" t="s">
        <v>292</v>
      </c>
      <c r="AC118" s="186" t="s">
        <v>292</v>
      </c>
      <c r="AD118" s="268" t="s">
        <v>275</v>
      </c>
      <c r="AE118" s="268" t="s">
        <v>294</v>
      </c>
      <c r="AF118" s="144" t="str">
        <f t="shared" si="4"/>
        <v/>
      </c>
      <c r="AG118" s="144" t="str">
        <f t="shared" si="5"/>
        <v/>
      </c>
      <c r="AH118" s="146" t="str">
        <f t="shared" si="6"/>
        <v/>
      </c>
      <c r="AI118" s="146" t="str">
        <f t="shared" si="7"/>
        <v/>
      </c>
      <c r="AJ118" s="303"/>
      <c r="AK118" s="303"/>
      <c r="AL118" s="303"/>
      <c r="AM118" s="303"/>
      <c r="AN118" s="303"/>
      <c r="AO118" s="303"/>
      <c r="AP118" s="303"/>
      <c r="AQ118" s="303"/>
      <c r="AR118" s="303"/>
      <c r="AS118" s="170"/>
      <c r="AT118" s="169">
        <f>10.3/0.667</f>
        <v>15.442278860569715</v>
      </c>
      <c r="AU118" s="310"/>
      <c r="AW118" s="294"/>
      <c r="AX118" s="294"/>
      <c r="AY118" s="294"/>
      <c r="AZ118" s="294"/>
      <c r="BA118" s="294"/>
      <c r="BB118" s="294"/>
      <c r="BC118" s="294"/>
      <c r="BD118" s="294"/>
      <c r="BE118" s="294"/>
      <c r="BF118" s="382"/>
      <c r="BG118" s="382">
        <f>18.8/0.667</f>
        <v>28.18590704647676</v>
      </c>
      <c r="BH118" s="278"/>
      <c r="BI118" s="365"/>
      <c r="BJ118" s="411"/>
    </row>
    <row r="119" spans="1:62" ht="15.75" customHeight="1" thickBot="1" x14ac:dyDescent="0.25">
      <c r="A119" s="156">
        <v>118</v>
      </c>
      <c r="B119" s="155">
        <v>1</v>
      </c>
      <c r="C119" s="148" t="s">
        <v>24</v>
      </c>
      <c r="D119" s="148" t="s">
        <v>53</v>
      </c>
      <c r="E119" s="148" t="s">
        <v>13</v>
      </c>
      <c r="F119" s="148" t="s">
        <v>355</v>
      </c>
      <c r="G119" s="148" t="s">
        <v>122</v>
      </c>
      <c r="H119" s="148" t="s">
        <v>351</v>
      </c>
      <c r="I119" s="161">
        <v>2012</v>
      </c>
      <c r="J119" s="161" t="s">
        <v>352</v>
      </c>
      <c r="K119" s="161" t="s">
        <v>353</v>
      </c>
      <c r="L119" s="161" t="s">
        <v>19</v>
      </c>
      <c r="M119" s="453" t="s">
        <v>4125</v>
      </c>
      <c r="N119" s="186" t="s">
        <v>20</v>
      </c>
      <c r="O119" s="186"/>
      <c r="P119" s="186" t="s">
        <v>20</v>
      </c>
      <c r="Q119" s="186" t="s">
        <v>15</v>
      </c>
      <c r="R119" s="186" t="s">
        <v>15</v>
      </c>
      <c r="S119" s="186" t="s">
        <v>15</v>
      </c>
      <c r="T119" s="186" t="s">
        <v>15</v>
      </c>
      <c r="U119" s="186" t="s">
        <v>15</v>
      </c>
      <c r="V119" s="186" t="s">
        <v>15</v>
      </c>
      <c r="W119" s="186" t="s">
        <v>15</v>
      </c>
      <c r="X119" s="186" t="s">
        <v>15</v>
      </c>
      <c r="Y119" s="186" t="s">
        <v>15</v>
      </c>
      <c r="Z119" s="186"/>
      <c r="AA119" s="186"/>
      <c r="AB119" s="186" t="s">
        <v>292</v>
      </c>
      <c r="AC119" s="186" t="s">
        <v>292</v>
      </c>
      <c r="AD119" s="268" t="s">
        <v>275</v>
      </c>
      <c r="AE119" s="268" t="s">
        <v>294</v>
      </c>
      <c r="AF119" s="144" t="str">
        <f t="shared" si="4"/>
        <v/>
      </c>
      <c r="AG119" s="144" t="str">
        <f t="shared" si="5"/>
        <v/>
      </c>
      <c r="AH119" s="146" t="str">
        <f t="shared" si="6"/>
        <v/>
      </c>
      <c r="AI119" s="146" t="str">
        <f t="shared" si="7"/>
        <v/>
      </c>
      <c r="AJ119" s="303"/>
      <c r="AK119" s="303"/>
      <c r="AL119" s="303"/>
      <c r="AM119" s="303"/>
      <c r="AN119" s="303"/>
      <c r="AO119" s="303"/>
      <c r="AP119" s="303"/>
      <c r="AQ119" s="303"/>
      <c r="AR119" s="303"/>
      <c r="AS119" s="170"/>
      <c r="AT119" s="169">
        <f>12.3/0.667</f>
        <v>18.440779610194902</v>
      </c>
      <c r="AU119" s="310"/>
      <c r="AW119" s="294"/>
      <c r="AX119" s="294"/>
      <c r="AY119" s="294"/>
      <c r="AZ119" s="294"/>
      <c r="BA119" s="294"/>
      <c r="BB119" s="294"/>
      <c r="BC119" s="294"/>
      <c r="BD119" s="294"/>
      <c r="BE119" s="294"/>
      <c r="BF119" s="382"/>
      <c r="BG119" s="382">
        <f>26.8/0.667</f>
        <v>40.179910044977511</v>
      </c>
      <c r="BH119" s="278"/>
      <c r="BI119" s="365"/>
      <c r="BJ119" s="411"/>
    </row>
    <row r="120" spans="1:62" ht="15.75" customHeight="1" thickBot="1" x14ac:dyDescent="0.25">
      <c r="A120" s="154">
        <v>119</v>
      </c>
      <c r="B120" s="155">
        <v>1</v>
      </c>
      <c r="C120" s="148" t="s">
        <v>24</v>
      </c>
      <c r="D120" s="148" t="s">
        <v>53</v>
      </c>
      <c r="E120" s="148" t="s">
        <v>13</v>
      </c>
      <c r="F120" s="148" t="s">
        <v>356</v>
      </c>
      <c r="G120" s="148" t="s">
        <v>122</v>
      </c>
      <c r="H120" s="148" t="s">
        <v>357</v>
      </c>
      <c r="I120" s="161">
        <v>2012</v>
      </c>
      <c r="J120" s="161" t="s">
        <v>358</v>
      </c>
      <c r="K120" s="161" t="s">
        <v>359</v>
      </c>
      <c r="L120" s="161" t="s">
        <v>19</v>
      </c>
      <c r="M120" s="453" t="s">
        <v>4126</v>
      </c>
      <c r="N120" s="186" t="s">
        <v>20</v>
      </c>
      <c r="O120" s="186" t="s">
        <v>15</v>
      </c>
      <c r="P120" s="186" t="s">
        <v>15</v>
      </c>
      <c r="Q120" s="186" t="s">
        <v>15</v>
      </c>
      <c r="R120" s="186" t="s">
        <v>15</v>
      </c>
      <c r="S120" s="186" t="s">
        <v>15</v>
      </c>
      <c r="T120" s="186" t="s">
        <v>15</v>
      </c>
      <c r="U120" s="186" t="s">
        <v>15</v>
      </c>
      <c r="V120" s="186" t="s">
        <v>15</v>
      </c>
      <c r="W120" s="186" t="s">
        <v>15</v>
      </c>
      <c r="X120" s="186" t="s">
        <v>15</v>
      </c>
      <c r="Y120" s="186" t="s">
        <v>15</v>
      </c>
      <c r="Z120" s="186"/>
      <c r="AA120" s="186" t="s">
        <v>360</v>
      </c>
      <c r="AB120" s="186" t="s">
        <v>292</v>
      </c>
      <c r="AC120" s="186" t="s">
        <v>292</v>
      </c>
      <c r="AD120" s="268" t="s">
        <v>275</v>
      </c>
      <c r="AE120" s="268" t="s">
        <v>294</v>
      </c>
      <c r="AF120" s="144" t="str">
        <f t="shared" si="4"/>
        <v/>
      </c>
      <c r="AG120" s="144" t="str">
        <f t="shared" si="5"/>
        <v/>
      </c>
      <c r="AH120" s="146">
        <f t="shared" si="6"/>
        <v>33.883058470764617</v>
      </c>
      <c r="AI120" s="146" t="str">
        <f t="shared" si="7"/>
        <v/>
      </c>
      <c r="AJ120" s="303"/>
      <c r="AK120" s="303"/>
      <c r="AL120" s="303"/>
      <c r="AM120" s="303"/>
      <c r="AN120" s="303"/>
      <c r="AO120" s="303"/>
      <c r="AP120" s="303"/>
      <c r="AQ120" s="303"/>
      <c r="AR120" s="303"/>
      <c r="AS120" s="170"/>
      <c r="AT120" s="170"/>
      <c r="AU120" s="310"/>
      <c r="AW120" s="294"/>
      <c r="AX120" s="294"/>
      <c r="AY120" s="294"/>
      <c r="AZ120" s="294"/>
      <c r="BA120" s="294"/>
      <c r="BB120" s="294"/>
      <c r="BC120" s="294"/>
      <c r="BD120" s="294"/>
      <c r="BE120" s="294"/>
      <c r="BF120" s="382">
        <f>22.6/0.667</f>
        <v>33.883058470764617</v>
      </c>
      <c r="BG120" s="383"/>
      <c r="BH120" s="278"/>
      <c r="BI120" s="365" t="s">
        <v>279</v>
      </c>
      <c r="BJ120" s="411"/>
    </row>
    <row r="121" spans="1:62" ht="15.75" customHeight="1" thickBot="1" x14ac:dyDescent="0.25">
      <c r="A121" s="156">
        <v>120</v>
      </c>
      <c r="B121" s="155">
        <v>1</v>
      </c>
      <c r="C121" s="148" t="s">
        <v>24</v>
      </c>
      <c r="D121" s="148" t="s">
        <v>53</v>
      </c>
      <c r="E121" s="148" t="s">
        <v>13</v>
      </c>
      <c r="F121" s="148" t="s">
        <v>361</v>
      </c>
      <c r="G121" s="148" t="s">
        <v>122</v>
      </c>
      <c r="H121" s="148" t="s">
        <v>357</v>
      </c>
      <c r="I121" s="161">
        <v>2012</v>
      </c>
      <c r="J121" s="161" t="s">
        <v>358</v>
      </c>
      <c r="K121" s="161" t="s">
        <v>359</v>
      </c>
      <c r="L121" s="161" t="s">
        <v>19</v>
      </c>
      <c r="M121" s="453" t="s">
        <v>4126</v>
      </c>
      <c r="N121" s="186" t="s">
        <v>20</v>
      </c>
      <c r="O121" s="186" t="s">
        <v>15</v>
      </c>
      <c r="P121" s="186" t="s">
        <v>15</v>
      </c>
      <c r="Q121" s="186" t="s">
        <v>15</v>
      </c>
      <c r="R121" s="186" t="s">
        <v>15</v>
      </c>
      <c r="S121" s="186" t="s">
        <v>15</v>
      </c>
      <c r="T121" s="186" t="s">
        <v>15</v>
      </c>
      <c r="U121" s="186" t="s">
        <v>15</v>
      </c>
      <c r="V121" s="186" t="s">
        <v>15</v>
      </c>
      <c r="W121" s="186" t="s">
        <v>15</v>
      </c>
      <c r="X121" s="186" t="s">
        <v>15</v>
      </c>
      <c r="Y121" s="186" t="s">
        <v>15</v>
      </c>
      <c r="Z121" s="186"/>
      <c r="AA121" s="186" t="s">
        <v>360</v>
      </c>
      <c r="AB121" s="186" t="s">
        <v>292</v>
      </c>
      <c r="AC121" s="186" t="s">
        <v>292</v>
      </c>
      <c r="AD121" s="268" t="s">
        <v>275</v>
      </c>
      <c r="AE121" s="268" t="s">
        <v>294</v>
      </c>
      <c r="AF121" s="144" t="str">
        <f t="shared" si="4"/>
        <v/>
      </c>
      <c r="AG121" s="144" t="str">
        <f t="shared" si="5"/>
        <v/>
      </c>
      <c r="AH121" s="146">
        <f t="shared" si="6"/>
        <v>31.934032983508246</v>
      </c>
      <c r="AI121" s="146" t="str">
        <f t="shared" si="7"/>
        <v/>
      </c>
      <c r="AJ121" s="303"/>
      <c r="AK121" s="303"/>
      <c r="AL121" s="303"/>
      <c r="AM121" s="303"/>
      <c r="AN121" s="303"/>
      <c r="AO121" s="303"/>
      <c r="AP121" s="303"/>
      <c r="AQ121" s="303"/>
      <c r="AR121" s="303"/>
      <c r="AS121" s="170"/>
      <c r="AT121" s="170"/>
      <c r="AU121" s="310"/>
      <c r="AW121" s="294"/>
      <c r="AX121" s="294"/>
      <c r="AY121" s="294"/>
      <c r="AZ121" s="294"/>
      <c r="BA121" s="294"/>
      <c r="BB121" s="294"/>
      <c r="BC121" s="294"/>
      <c r="BD121" s="294"/>
      <c r="BE121" s="294"/>
      <c r="BF121" s="382">
        <f>21.3/0.667</f>
        <v>31.934032983508246</v>
      </c>
      <c r="BG121" s="383"/>
      <c r="BH121" s="278"/>
      <c r="BI121" s="365" t="s">
        <v>279</v>
      </c>
      <c r="BJ121" s="411"/>
    </row>
    <row r="122" spans="1:62" ht="15.75" customHeight="1" thickBot="1" x14ac:dyDescent="0.25">
      <c r="A122" s="154">
        <v>121</v>
      </c>
      <c r="B122" s="155">
        <v>1</v>
      </c>
      <c r="C122" s="148" t="s">
        <v>24</v>
      </c>
      <c r="D122" s="148" t="s">
        <v>4056</v>
      </c>
      <c r="E122" s="148" t="s">
        <v>13</v>
      </c>
      <c r="F122" s="148" t="s">
        <v>362</v>
      </c>
      <c r="G122" s="148" t="s">
        <v>122</v>
      </c>
      <c r="H122" s="148" t="s">
        <v>357</v>
      </c>
      <c r="I122" s="161">
        <v>2012</v>
      </c>
      <c r="J122" s="161" t="s">
        <v>358</v>
      </c>
      <c r="K122" s="161" t="s">
        <v>359</v>
      </c>
      <c r="L122" s="161" t="s">
        <v>19</v>
      </c>
      <c r="M122" s="453" t="s">
        <v>4126</v>
      </c>
      <c r="N122" s="186" t="s">
        <v>20</v>
      </c>
      <c r="O122" s="186" t="s">
        <v>15</v>
      </c>
      <c r="P122" s="186" t="s">
        <v>15</v>
      </c>
      <c r="Q122" s="186" t="s">
        <v>15</v>
      </c>
      <c r="R122" s="186" t="s">
        <v>15</v>
      </c>
      <c r="S122" s="186" t="s">
        <v>15</v>
      </c>
      <c r="T122" s="186" t="s">
        <v>15</v>
      </c>
      <c r="U122" s="186" t="s">
        <v>15</v>
      </c>
      <c r="V122" s="186" t="s">
        <v>15</v>
      </c>
      <c r="W122" s="186" t="s">
        <v>15</v>
      </c>
      <c r="X122" s="186" t="s">
        <v>15</v>
      </c>
      <c r="Y122" s="186" t="s">
        <v>15</v>
      </c>
      <c r="Z122" s="186"/>
      <c r="AA122" s="186" t="s">
        <v>360</v>
      </c>
      <c r="AB122" s="186" t="s">
        <v>292</v>
      </c>
      <c r="AC122" s="186" t="s">
        <v>292</v>
      </c>
      <c r="AD122" s="268" t="s">
        <v>275</v>
      </c>
      <c r="AE122" s="268" t="s">
        <v>294</v>
      </c>
      <c r="AF122" s="144" t="str">
        <f t="shared" si="4"/>
        <v/>
      </c>
      <c r="AG122" s="144" t="str">
        <f t="shared" si="5"/>
        <v/>
      </c>
      <c r="AH122" s="146">
        <f t="shared" si="6"/>
        <v>16.04197901049475</v>
      </c>
      <c r="AI122" s="146" t="str">
        <f t="shared" si="7"/>
        <v/>
      </c>
      <c r="AJ122" s="303"/>
      <c r="AK122" s="303"/>
      <c r="AL122" s="303"/>
      <c r="AM122" s="303"/>
      <c r="AN122" s="303"/>
      <c r="AO122" s="303"/>
      <c r="AP122" s="303"/>
      <c r="AQ122" s="303"/>
      <c r="AR122" s="303"/>
      <c r="AS122" s="170"/>
      <c r="AT122" s="170"/>
      <c r="AU122" s="310"/>
      <c r="AW122" s="294"/>
      <c r="AX122" s="294"/>
      <c r="AY122" s="294"/>
      <c r="AZ122" s="294"/>
      <c r="BA122" s="294"/>
      <c r="BB122" s="294"/>
      <c r="BC122" s="294"/>
      <c r="BD122" s="294"/>
      <c r="BE122" s="294"/>
      <c r="BF122" s="382">
        <f>10.7/0.667</f>
        <v>16.04197901049475</v>
      </c>
      <c r="BG122" s="383"/>
      <c r="BH122" s="278"/>
      <c r="BI122" s="365" t="s">
        <v>279</v>
      </c>
      <c r="BJ122" s="411"/>
    </row>
    <row r="123" spans="1:62" ht="15.75" customHeight="1" thickBot="1" x14ac:dyDescent="0.25">
      <c r="A123" s="156">
        <v>122</v>
      </c>
      <c r="B123" s="155">
        <v>1</v>
      </c>
      <c r="C123" s="148" t="s">
        <v>24</v>
      </c>
      <c r="D123" s="148" t="s">
        <v>53</v>
      </c>
      <c r="E123" s="148" t="s">
        <v>13</v>
      </c>
      <c r="F123" s="148" t="s">
        <v>363</v>
      </c>
      <c r="G123" s="148" t="s">
        <v>122</v>
      </c>
      <c r="H123" s="148" t="s">
        <v>80</v>
      </c>
      <c r="I123" s="161">
        <v>2015</v>
      </c>
      <c r="J123" s="161" t="s">
        <v>364</v>
      </c>
      <c r="K123" s="161" t="s">
        <v>365</v>
      </c>
      <c r="L123" s="161" t="s">
        <v>19</v>
      </c>
      <c r="M123" s="453" t="s">
        <v>4127</v>
      </c>
      <c r="N123" s="186" t="s">
        <v>20</v>
      </c>
      <c r="O123" s="186" t="s">
        <v>20</v>
      </c>
      <c r="P123" s="186" t="s">
        <v>15</v>
      </c>
      <c r="Q123" s="186" t="s">
        <v>15</v>
      </c>
      <c r="R123" s="186" t="s">
        <v>15</v>
      </c>
      <c r="S123" s="186" t="s">
        <v>15</v>
      </c>
      <c r="T123" s="186" t="s">
        <v>15</v>
      </c>
      <c r="U123" s="186" t="s">
        <v>15</v>
      </c>
      <c r="V123" s="186" t="s">
        <v>15</v>
      </c>
      <c r="W123" s="186" t="s">
        <v>15</v>
      </c>
      <c r="X123" s="186" t="s">
        <v>15</v>
      </c>
      <c r="Y123" s="186" t="s">
        <v>15</v>
      </c>
      <c r="Z123" s="186"/>
      <c r="AA123" s="186" t="s">
        <v>366</v>
      </c>
      <c r="AB123" s="186" t="s">
        <v>292</v>
      </c>
      <c r="AC123" s="186" t="s">
        <v>292</v>
      </c>
      <c r="AD123" s="268" t="s">
        <v>275</v>
      </c>
      <c r="AE123" s="268" t="s">
        <v>294</v>
      </c>
      <c r="AF123" s="144" t="str">
        <f t="shared" si="4"/>
        <v/>
      </c>
      <c r="AG123" s="144" t="str">
        <f t="shared" si="5"/>
        <v/>
      </c>
      <c r="AH123" s="146">
        <f t="shared" si="6"/>
        <v>34.632683658170912</v>
      </c>
      <c r="AI123" s="146" t="str">
        <f t="shared" si="7"/>
        <v/>
      </c>
      <c r="AJ123" s="303"/>
      <c r="AK123" s="303"/>
      <c r="AL123" s="303"/>
      <c r="AM123" s="303"/>
      <c r="AN123" s="303"/>
      <c r="AO123" s="303"/>
      <c r="AP123" s="303"/>
      <c r="AQ123" s="303"/>
      <c r="AR123" s="303"/>
      <c r="AS123" s="170"/>
      <c r="AT123" s="170"/>
      <c r="AU123" s="310"/>
      <c r="AW123" s="294"/>
      <c r="AX123" s="294"/>
      <c r="AY123" s="294"/>
      <c r="AZ123" s="294"/>
      <c r="BA123" s="294"/>
      <c r="BB123" s="294"/>
      <c r="BC123" s="294"/>
      <c r="BD123" s="294"/>
      <c r="BE123" s="294"/>
      <c r="BF123" s="382">
        <f>23.1/0.667</f>
        <v>34.632683658170912</v>
      </c>
      <c r="BG123" s="383"/>
      <c r="BH123" s="278"/>
      <c r="BI123" s="365"/>
      <c r="BJ123" s="411"/>
    </row>
    <row r="124" spans="1:62" ht="15.75" customHeight="1" thickBot="1" x14ac:dyDescent="0.25">
      <c r="A124" s="154">
        <v>123</v>
      </c>
      <c r="B124" s="155">
        <v>1</v>
      </c>
      <c r="C124" s="148" t="s">
        <v>24</v>
      </c>
      <c r="D124" s="148" t="s">
        <v>53</v>
      </c>
      <c r="E124" s="148" t="s">
        <v>13</v>
      </c>
      <c r="F124" s="148" t="s">
        <v>363</v>
      </c>
      <c r="G124" s="148" t="s">
        <v>122</v>
      </c>
      <c r="H124" s="148" t="s">
        <v>101</v>
      </c>
      <c r="I124" s="161">
        <v>2015</v>
      </c>
      <c r="J124" s="161" t="s">
        <v>364</v>
      </c>
      <c r="K124" s="161" t="s">
        <v>365</v>
      </c>
      <c r="L124" s="161" t="s">
        <v>19</v>
      </c>
      <c r="M124" s="453" t="s">
        <v>4127</v>
      </c>
      <c r="N124" s="186" t="s">
        <v>20</v>
      </c>
      <c r="O124" s="186" t="s">
        <v>20</v>
      </c>
      <c r="P124" s="186" t="s">
        <v>15</v>
      </c>
      <c r="Q124" s="186" t="s">
        <v>15</v>
      </c>
      <c r="R124" s="186" t="s">
        <v>15</v>
      </c>
      <c r="S124" s="186" t="s">
        <v>15</v>
      </c>
      <c r="T124" s="186" t="s">
        <v>15</v>
      </c>
      <c r="U124" s="186" t="s">
        <v>15</v>
      </c>
      <c r="V124" s="186" t="s">
        <v>15</v>
      </c>
      <c r="W124" s="186" t="s">
        <v>15</v>
      </c>
      <c r="X124" s="186" t="s">
        <v>15</v>
      </c>
      <c r="Y124" s="186" t="s">
        <v>15</v>
      </c>
      <c r="Z124" s="186"/>
      <c r="AA124" s="186" t="s">
        <v>366</v>
      </c>
      <c r="AB124" s="186" t="s">
        <v>292</v>
      </c>
      <c r="AC124" s="186" t="s">
        <v>292</v>
      </c>
      <c r="AD124" s="268" t="s">
        <v>275</v>
      </c>
      <c r="AE124" s="268" t="s">
        <v>294</v>
      </c>
      <c r="AF124" s="144" t="str">
        <f t="shared" si="4"/>
        <v/>
      </c>
      <c r="AG124" s="144" t="str">
        <f t="shared" si="5"/>
        <v/>
      </c>
      <c r="AH124" s="146">
        <f t="shared" si="6"/>
        <v>38.080959520239873</v>
      </c>
      <c r="AI124" s="146" t="str">
        <f t="shared" si="7"/>
        <v/>
      </c>
      <c r="AJ124" s="303"/>
      <c r="AK124" s="303"/>
      <c r="AL124" s="303"/>
      <c r="AM124" s="303"/>
      <c r="AN124" s="303"/>
      <c r="AO124" s="303"/>
      <c r="AP124" s="303"/>
      <c r="AQ124" s="303"/>
      <c r="AR124" s="303"/>
      <c r="AS124" s="170"/>
      <c r="AT124" s="170"/>
      <c r="AU124" s="310"/>
      <c r="AW124" s="294"/>
      <c r="AX124" s="294"/>
      <c r="AY124" s="294"/>
      <c r="AZ124" s="294"/>
      <c r="BA124" s="294"/>
      <c r="BB124" s="294"/>
      <c r="BC124" s="294"/>
      <c r="BD124" s="294"/>
      <c r="BE124" s="294"/>
      <c r="BF124" s="382">
        <f>25.4/0.667</f>
        <v>38.080959520239873</v>
      </c>
      <c r="BG124" s="383"/>
      <c r="BH124" s="278"/>
      <c r="BI124" s="365"/>
      <c r="BJ124" s="411"/>
    </row>
    <row r="125" spans="1:62" ht="15.75" customHeight="1" thickBot="1" x14ac:dyDescent="0.25">
      <c r="A125" s="156">
        <v>124</v>
      </c>
      <c r="B125" s="155">
        <v>1</v>
      </c>
      <c r="C125" s="148" t="s">
        <v>24</v>
      </c>
      <c r="D125" s="148" t="s">
        <v>53</v>
      </c>
      <c r="E125" s="148" t="s">
        <v>13</v>
      </c>
      <c r="F125" s="148" t="s">
        <v>367</v>
      </c>
      <c r="G125" s="148" t="s">
        <v>122</v>
      </c>
      <c r="H125" s="148" t="s">
        <v>80</v>
      </c>
      <c r="I125" s="161">
        <v>2015</v>
      </c>
      <c r="J125" s="161" t="s">
        <v>364</v>
      </c>
      <c r="K125" s="161" t="s">
        <v>365</v>
      </c>
      <c r="L125" s="161" t="s">
        <v>19</v>
      </c>
      <c r="M125" s="453" t="s">
        <v>4127</v>
      </c>
      <c r="N125" s="186" t="s">
        <v>20</v>
      </c>
      <c r="O125" s="186" t="s">
        <v>20</v>
      </c>
      <c r="P125" s="186" t="s">
        <v>15</v>
      </c>
      <c r="Q125" s="186" t="s">
        <v>15</v>
      </c>
      <c r="R125" s="186" t="s">
        <v>15</v>
      </c>
      <c r="S125" s="186" t="s">
        <v>15</v>
      </c>
      <c r="T125" s="186" t="s">
        <v>15</v>
      </c>
      <c r="U125" s="186" t="s">
        <v>15</v>
      </c>
      <c r="V125" s="186" t="s">
        <v>15</v>
      </c>
      <c r="W125" s="186" t="s">
        <v>15</v>
      </c>
      <c r="X125" s="186" t="s">
        <v>15</v>
      </c>
      <c r="Y125" s="186" t="s">
        <v>15</v>
      </c>
      <c r="Z125" s="186"/>
      <c r="AA125" s="186" t="s">
        <v>366</v>
      </c>
      <c r="AB125" s="186" t="s">
        <v>292</v>
      </c>
      <c r="AC125" s="186" t="s">
        <v>292</v>
      </c>
      <c r="AD125" s="268" t="s">
        <v>275</v>
      </c>
      <c r="AE125" s="268" t="s">
        <v>294</v>
      </c>
      <c r="AF125" s="144" t="str">
        <f t="shared" si="4"/>
        <v/>
      </c>
      <c r="AG125" s="144" t="str">
        <f t="shared" si="5"/>
        <v/>
      </c>
      <c r="AH125" s="146">
        <f t="shared" si="6"/>
        <v>44.527736131934027</v>
      </c>
      <c r="AI125" s="146" t="str">
        <f t="shared" si="7"/>
        <v/>
      </c>
      <c r="AJ125" s="303"/>
      <c r="AK125" s="303"/>
      <c r="AL125" s="303"/>
      <c r="AM125" s="303"/>
      <c r="AN125" s="303"/>
      <c r="AO125" s="303"/>
      <c r="AP125" s="303"/>
      <c r="AQ125" s="303"/>
      <c r="AR125" s="303"/>
      <c r="AS125" s="170"/>
      <c r="AT125" s="170"/>
      <c r="AU125" s="310"/>
      <c r="AW125" s="294"/>
      <c r="AX125" s="294"/>
      <c r="AY125" s="294"/>
      <c r="AZ125" s="294"/>
      <c r="BA125" s="294"/>
      <c r="BB125" s="294"/>
      <c r="BC125" s="294"/>
      <c r="BD125" s="294"/>
      <c r="BE125" s="294"/>
      <c r="BF125" s="382">
        <f>29.7/0.667</f>
        <v>44.527736131934027</v>
      </c>
      <c r="BG125" s="383"/>
      <c r="BH125" s="278"/>
      <c r="BI125" s="365"/>
      <c r="BJ125" s="411"/>
    </row>
    <row r="126" spans="1:62" ht="15.75" customHeight="1" thickBot="1" x14ac:dyDescent="0.25">
      <c r="A126" s="154">
        <v>125</v>
      </c>
      <c r="B126" s="155">
        <v>1</v>
      </c>
      <c r="C126" s="148" t="s">
        <v>24</v>
      </c>
      <c r="D126" s="148" t="s">
        <v>4056</v>
      </c>
      <c r="E126" s="148" t="s">
        <v>13</v>
      </c>
      <c r="F126" s="148" t="s">
        <v>368</v>
      </c>
      <c r="G126" s="148" t="s">
        <v>122</v>
      </c>
      <c r="H126" s="148" t="s">
        <v>80</v>
      </c>
      <c r="I126" s="161">
        <v>2015</v>
      </c>
      <c r="J126" s="161" t="s">
        <v>364</v>
      </c>
      <c r="K126" s="161" t="s">
        <v>365</v>
      </c>
      <c r="L126" s="161" t="s">
        <v>19</v>
      </c>
      <c r="M126" s="453" t="s">
        <v>4127</v>
      </c>
      <c r="N126" s="186" t="s">
        <v>20</v>
      </c>
      <c r="O126" s="186" t="s">
        <v>20</v>
      </c>
      <c r="P126" s="186" t="s">
        <v>15</v>
      </c>
      <c r="Q126" s="186" t="s">
        <v>15</v>
      </c>
      <c r="R126" s="186" t="s">
        <v>15</v>
      </c>
      <c r="S126" s="186" t="s">
        <v>15</v>
      </c>
      <c r="T126" s="186" t="s">
        <v>15</v>
      </c>
      <c r="U126" s="186" t="s">
        <v>15</v>
      </c>
      <c r="V126" s="186" t="s">
        <v>15</v>
      </c>
      <c r="W126" s="186" t="s">
        <v>15</v>
      </c>
      <c r="X126" s="186" t="s">
        <v>15</v>
      </c>
      <c r="Y126" s="186" t="s">
        <v>15</v>
      </c>
      <c r="Z126" s="186"/>
      <c r="AA126" s="186" t="s">
        <v>366</v>
      </c>
      <c r="AB126" s="186" t="s">
        <v>292</v>
      </c>
      <c r="AC126" s="186" t="s">
        <v>292</v>
      </c>
      <c r="AD126" s="268" t="s">
        <v>275</v>
      </c>
      <c r="AE126" s="268" t="s">
        <v>294</v>
      </c>
      <c r="AF126" s="144" t="str">
        <f t="shared" si="4"/>
        <v/>
      </c>
      <c r="AG126" s="144" t="str">
        <f t="shared" si="5"/>
        <v/>
      </c>
      <c r="AH126" s="146">
        <f t="shared" si="6"/>
        <v>24.887556221889056</v>
      </c>
      <c r="AI126" s="146" t="str">
        <f t="shared" si="7"/>
        <v/>
      </c>
      <c r="AJ126" s="303"/>
      <c r="AK126" s="303"/>
      <c r="AL126" s="303"/>
      <c r="AM126" s="303"/>
      <c r="AN126" s="303"/>
      <c r="AO126" s="303"/>
      <c r="AP126" s="303"/>
      <c r="AQ126" s="303"/>
      <c r="AR126" s="303"/>
      <c r="AS126" s="170"/>
      <c r="AT126" s="170"/>
      <c r="AU126" s="310"/>
      <c r="AW126" s="294"/>
      <c r="AX126" s="294"/>
      <c r="AY126" s="294"/>
      <c r="AZ126" s="294"/>
      <c r="BA126" s="294"/>
      <c r="BB126" s="294"/>
      <c r="BC126" s="294"/>
      <c r="BD126" s="294"/>
      <c r="BE126" s="294"/>
      <c r="BF126" s="382">
        <f>16.6/0.667</f>
        <v>24.887556221889056</v>
      </c>
      <c r="BG126" s="383"/>
      <c r="BH126" s="278"/>
      <c r="BI126" s="365"/>
      <c r="BJ126" s="411"/>
    </row>
    <row r="127" spans="1:62" ht="15.75" customHeight="1" thickBot="1" x14ac:dyDescent="0.25">
      <c r="A127" s="156">
        <v>126</v>
      </c>
      <c r="B127" s="155">
        <v>1</v>
      </c>
      <c r="C127" s="148" t="s">
        <v>24</v>
      </c>
      <c r="D127" s="148" t="s">
        <v>4056</v>
      </c>
      <c r="E127" s="148" t="s">
        <v>13</v>
      </c>
      <c r="F127" s="148" t="s">
        <v>368</v>
      </c>
      <c r="G127" s="148" t="s">
        <v>122</v>
      </c>
      <c r="H127" s="148" t="s">
        <v>101</v>
      </c>
      <c r="I127" s="161">
        <v>2015</v>
      </c>
      <c r="J127" s="161" t="s">
        <v>364</v>
      </c>
      <c r="K127" s="161" t="s">
        <v>365</v>
      </c>
      <c r="L127" s="161" t="s">
        <v>19</v>
      </c>
      <c r="M127" s="453" t="s">
        <v>4127</v>
      </c>
      <c r="N127" s="186" t="s">
        <v>20</v>
      </c>
      <c r="O127" s="186" t="s">
        <v>20</v>
      </c>
      <c r="P127" s="186" t="s">
        <v>15</v>
      </c>
      <c r="Q127" s="186" t="s">
        <v>15</v>
      </c>
      <c r="R127" s="186" t="s">
        <v>15</v>
      </c>
      <c r="S127" s="186" t="s">
        <v>15</v>
      </c>
      <c r="T127" s="186" t="s">
        <v>15</v>
      </c>
      <c r="U127" s="186" t="s">
        <v>15</v>
      </c>
      <c r="V127" s="186" t="s">
        <v>15</v>
      </c>
      <c r="W127" s="186" t="s">
        <v>15</v>
      </c>
      <c r="X127" s="186" t="s">
        <v>15</v>
      </c>
      <c r="Y127" s="186" t="s">
        <v>15</v>
      </c>
      <c r="Z127" s="186"/>
      <c r="AA127" s="186" t="s">
        <v>366</v>
      </c>
      <c r="AB127" s="186" t="s">
        <v>292</v>
      </c>
      <c r="AC127" s="186" t="s">
        <v>292</v>
      </c>
      <c r="AD127" s="268" t="s">
        <v>275</v>
      </c>
      <c r="AE127" s="268" t="s">
        <v>294</v>
      </c>
      <c r="AF127" s="144" t="str">
        <f t="shared" si="4"/>
        <v/>
      </c>
      <c r="AG127" s="144" t="str">
        <f t="shared" si="5"/>
        <v/>
      </c>
      <c r="AH127" s="146">
        <f t="shared" si="6"/>
        <v>25.487256371814091</v>
      </c>
      <c r="AI127" s="146" t="str">
        <f t="shared" si="7"/>
        <v/>
      </c>
      <c r="AJ127" s="303"/>
      <c r="AK127" s="303"/>
      <c r="AL127" s="303"/>
      <c r="AM127" s="303"/>
      <c r="AN127" s="303"/>
      <c r="AO127" s="303"/>
      <c r="AP127" s="303"/>
      <c r="AQ127" s="303"/>
      <c r="AR127" s="303"/>
      <c r="AS127" s="170"/>
      <c r="AT127" s="170"/>
      <c r="AU127" s="310"/>
      <c r="AW127" s="294"/>
      <c r="AX127" s="294"/>
      <c r="AY127" s="294"/>
      <c r="AZ127" s="294"/>
      <c r="BA127" s="294"/>
      <c r="BB127" s="294"/>
      <c r="BC127" s="294"/>
      <c r="BD127" s="294"/>
      <c r="BE127" s="294"/>
      <c r="BF127" s="382">
        <f>17/0.667</f>
        <v>25.487256371814091</v>
      </c>
      <c r="BG127" s="383"/>
      <c r="BH127" s="278"/>
      <c r="BI127" s="365"/>
      <c r="BJ127" s="411"/>
    </row>
    <row r="128" spans="1:62" ht="15.75" customHeight="1" thickBot="1" x14ac:dyDescent="0.25">
      <c r="A128" s="154">
        <v>127</v>
      </c>
      <c r="B128" s="155">
        <v>1</v>
      </c>
      <c r="C128" s="148" t="s">
        <v>24</v>
      </c>
      <c r="D128" s="148" t="s">
        <v>53</v>
      </c>
      <c r="E128" s="148" t="s">
        <v>13</v>
      </c>
      <c r="F128" s="148"/>
      <c r="G128" s="148" t="s">
        <v>122</v>
      </c>
      <c r="H128" s="148" t="s">
        <v>369</v>
      </c>
      <c r="I128" s="161">
        <v>2011</v>
      </c>
      <c r="J128" s="161" t="s">
        <v>370</v>
      </c>
      <c r="K128" s="161" t="s">
        <v>371</v>
      </c>
      <c r="L128" s="161" t="s">
        <v>83</v>
      </c>
      <c r="M128" s="453" t="s">
        <v>4128</v>
      </c>
      <c r="N128" s="186" t="s">
        <v>20</v>
      </c>
      <c r="O128" s="186" t="s">
        <v>20</v>
      </c>
      <c r="P128" s="186" t="s">
        <v>20</v>
      </c>
      <c r="Q128" s="186" t="s">
        <v>20</v>
      </c>
      <c r="R128" s="186" t="s">
        <v>15</v>
      </c>
      <c r="S128" s="186" t="s">
        <v>20</v>
      </c>
      <c r="T128" s="186" t="s">
        <v>20</v>
      </c>
      <c r="U128" s="186" t="s">
        <v>15</v>
      </c>
      <c r="V128" s="186" t="s">
        <v>15</v>
      </c>
      <c r="W128" s="186" t="s">
        <v>15</v>
      </c>
      <c r="X128" s="186" t="s">
        <v>15</v>
      </c>
      <c r="Y128" s="186" t="s">
        <v>15</v>
      </c>
      <c r="Z128" s="186"/>
      <c r="AA128" s="186" t="s">
        <v>372</v>
      </c>
      <c r="AB128" s="186" t="s">
        <v>292</v>
      </c>
      <c r="AC128" s="186" t="s">
        <v>292</v>
      </c>
      <c r="AD128" s="268" t="s">
        <v>373</v>
      </c>
      <c r="AE128" s="268"/>
      <c r="AF128" s="144" t="str">
        <f t="shared" si="4"/>
        <v/>
      </c>
      <c r="AG128" s="144" t="str">
        <f t="shared" si="5"/>
        <v/>
      </c>
      <c r="AH128" s="146" t="str">
        <f t="shared" si="6"/>
        <v/>
      </c>
      <c r="AI128" s="146" t="str">
        <f t="shared" si="7"/>
        <v/>
      </c>
      <c r="AJ128" s="303"/>
      <c r="AK128" s="303"/>
      <c r="AL128" s="303"/>
      <c r="AM128" s="303"/>
      <c r="AN128" s="303"/>
      <c r="AO128" s="303"/>
      <c r="AP128" s="303"/>
      <c r="AQ128" s="303"/>
      <c r="AR128" s="303"/>
      <c r="AS128" s="170"/>
      <c r="AT128" s="170"/>
      <c r="AU128" s="310"/>
      <c r="AW128" s="294"/>
      <c r="AX128" s="294"/>
      <c r="AY128" s="294"/>
      <c r="AZ128" s="294"/>
      <c r="BA128" s="294"/>
      <c r="BB128" s="294"/>
      <c r="BC128" s="294"/>
      <c r="BD128" s="294"/>
      <c r="BE128" s="294"/>
      <c r="BF128" s="383"/>
      <c r="BG128" s="382">
        <v>46.1</v>
      </c>
      <c r="BH128" s="278"/>
      <c r="BI128" s="365" t="s">
        <v>374</v>
      </c>
      <c r="BJ128" s="411"/>
    </row>
    <row r="129" spans="1:62" ht="15.75" customHeight="1" thickBot="1" x14ac:dyDescent="0.25">
      <c r="A129" s="156">
        <v>128</v>
      </c>
      <c r="B129" s="155">
        <v>1</v>
      </c>
      <c r="C129" s="148" t="s">
        <v>24</v>
      </c>
      <c r="D129" s="148" t="s">
        <v>53</v>
      </c>
      <c r="E129" s="148" t="s">
        <v>13</v>
      </c>
      <c r="F129" s="148"/>
      <c r="G129" s="148" t="s">
        <v>122</v>
      </c>
      <c r="H129" s="148" t="s">
        <v>375</v>
      </c>
      <c r="I129" s="161">
        <v>2011</v>
      </c>
      <c r="J129" s="161" t="s">
        <v>370</v>
      </c>
      <c r="K129" s="161" t="s">
        <v>371</v>
      </c>
      <c r="L129" s="161" t="s">
        <v>83</v>
      </c>
      <c r="M129" s="453" t="s">
        <v>4128</v>
      </c>
      <c r="N129" s="186" t="s">
        <v>20</v>
      </c>
      <c r="O129" s="186" t="s">
        <v>20</v>
      </c>
      <c r="P129" s="186" t="s">
        <v>20</v>
      </c>
      <c r="Q129" s="186" t="s">
        <v>20</v>
      </c>
      <c r="R129" s="186" t="s">
        <v>15</v>
      </c>
      <c r="S129" s="186" t="s">
        <v>20</v>
      </c>
      <c r="T129" s="186" t="s">
        <v>20</v>
      </c>
      <c r="U129" s="186" t="s">
        <v>15</v>
      </c>
      <c r="V129" s="186" t="s">
        <v>15</v>
      </c>
      <c r="W129" s="186" t="s">
        <v>15</v>
      </c>
      <c r="X129" s="186" t="s">
        <v>15</v>
      </c>
      <c r="Y129" s="186" t="s">
        <v>15</v>
      </c>
      <c r="Z129" s="186"/>
      <c r="AA129" s="186" t="s">
        <v>372</v>
      </c>
      <c r="AB129" s="186" t="s">
        <v>292</v>
      </c>
      <c r="AC129" s="186" t="s">
        <v>292</v>
      </c>
      <c r="AD129" s="268" t="s">
        <v>373</v>
      </c>
      <c r="AE129" s="268"/>
      <c r="AF129" s="144" t="str">
        <f t="shared" si="4"/>
        <v/>
      </c>
      <c r="AG129" s="144" t="str">
        <f t="shared" si="5"/>
        <v/>
      </c>
      <c r="AH129" s="146" t="str">
        <f t="shared" si="6"/>
        <v/>
      </c>
      <c r="AI129" s="146" t="str">
        <f t="shared" si="7"/>
        <v/>
      </c>
      <c r="AJ129" s="303"/>
      <c r="AK129" s="303"/>
      <c r="AL129" s="303"/>
      <c r="AM129" s="303"/>
      <c r="AN129" s="303"/>
      <c r="AO129" s="303"/>
      <c r="AP129" s="303"/>
      <c r="AQ129" s="303"/>
      <c r="AR129" s="303"/>
      <c r="AS129" s="170"/>
      <c r="AT129" s="170"/>
      <c r="AU129" s="310"/>
      <c r="AW129" s="294"/>
      <c r="AX129" s="294"/>
      <c r="AY129" s="294"/>
      <c r="AZ129" s="294"/>
      <c r="BA129" s="294"/>
      <c r="BB129" s="294"/>
      <c r="BC129" s="294"/>
      <c r="BD129" s="294"/>
      <c r="BE129" s="294"/>
      <c r="BF129" s="383"/>
      <c r="BG129" s="382">
        <v>87.1</v>
      </c>
      <c r="BH129" s="278"/>
      <c r="BI129" s="365" t="s">
        <v>374</v>
      </c>
      <c r="BJ129" s="411"/>
    </row>
    <row r="130" spans="1:62" ht="15.75" customHeight="1" thickBot="1" x14ac:dyDescent="0.25">
      <c r="A130" s="154">
        <v>129</v>
      </c>
      <c r="B130" s="155">
        <v>1</v>
      </c>
      <c r="C130" s="148" t="s">
        <v>24</v>
      </c>
      <c r="D130" s="148" t="s">
        <v>53</v>
      </c>
      <c r="E130" s="148" t="s">
        <v>13</v>
      </c>
      <c r="F130" s="148"/>
      <c r="G130" s="148" t="s">
        <v>122</v>
      </c>
      <c r="H130" s="148" t="s">
        <v>258</v>
      </c>
      <c r="I130" s="161">
        <v>2011</v>
      </c>
      <c r="J130" s="161" t="s">
        <v>370</v>
      </c>
      <c r="K130" s="161" t="s">
        <v>371</v>
      </c>
      <c r="L130" s="161" t="s">
        <v>83</v>
      </c>
      <c r="M130" s="453" t="s">
        <v>4128</v>
      </c>
      <c r="N130" s="186" t="s">
        <v>20</v>
      </c>
      <c r="O130" s="186" t="s">
        <v>20</v>
      </c>
      <c r="P130" s="186" t="s">
        <v>20</v>
      </c>
      <c r="Q130" s="186" t="s">
        <v>20</v>
      </c>
      <c r="R130" s="186" t="s">
        <v>15</v>
      </c>
      <c r="S130" s="186" t="s">
        <v>20</v>
      </c>
      <c r="T130" s="186" t="s">
        <v>20</v>
      </c>
      <c r="U130" s="186" t="s">
        <v>15</v>
      </c>
      <c r="V130" s="186" t="s">
        <v>15</v>
      </c>
      <c r="W130" s="186" t="s">
        <v>15</v>
      </c>
      <c r="X130" s="186" t="s">
        <v>15</v>
      </c>
      <c r="Y130" s="186" t="s">
        <v>15</v>
      </c>
      <c r="Z130" s="186"/>
      <c r="AA130" s="186" t="s">
        <v>372</v>
      </c>
      <c r="AB130" s="186" t="s">
        <v>292</v>
      </c>
      <c r="AC130" s="186" t="s">
        <v>292</v>
      </c>
      <c r="AD130" s="268" t="s">
        <v>373</v>
      </c>
      <c r="AE130" s="268"/>
      <c r="AF130" s="144" t="str">
        <f t="shared" ref="AF130:AF193" si="8">IF(AS130&lt;&gt;0,AS130,"")</f>
        <v/>
      </c>
      <c r="AG130" s="144" t="str">
        <f t="shared" ref="AG130:AG193" si="9">IF(AND(SUM(AJ130:AL130)&lt;&gt;0,SUM(AJ130:AL130)&lt;&gt;AJ130),SUM(AJ130:AL130),"")</f>
        <v/>
      </c>
      <c r="AH130" s="146" t="str">
        <f t="shared" ref="AH130:AH193" si="10">IF(BF130&lt;&gt;0,BF130,"")</f>
        <v/>
      </c>
      <c r="AI130" s="146" t="str">
        <f t="shared" ref="AI130:AI193" si="11">IF(AND(SUM(AW130:AY130)&lt;&gt;0,SUM(AW130:AY130)&lt;&gt;AW130),SUM(AW130:AY130),"")</f>
        <v/>
      </c>
      <c r="AJ130" s="303"/>
      <c r="AK130" s="303"/>
      <c r="AL130" s="303"/>
      <c r="AM130" s="303"/>
      <c r="AN130" s="303"/>
      <c r="AO130" s="303"/>
      <c r="AP130" s="303"/>
      <c r="AQ130" s="303"/>
      <c r="AR130" s="303"/>
      <c r="AS130" s="170"/>
      <c r="AT130" s="170"/>
      <c r="AU130" s="310"/>
      <c r="AW130" s="294"/>
      <c r="AX130" s="294"/>
      <c r="AY130" s="294"/>
      <c r="AZ130" s="294"/>
      <c r="BA130" s="294"/>
      <c r="BB130" s="294"/>
      <c r="BC130" s="294"/>
      <c r="BD130" s="294"/>
      <c r="BE130" s="294"/>
      <c r="BF130" s="383"/>
      <c r="BG130" s="382">
        <v>20.3</v>
      </c>
      <c r="BH130" s="278"/>
      <c r="BI130" s="365" t="s">
        <v>374</v>
      </c>
      <c r="BJ130" s="411"/>
    </row>
    <row r="131" spans="1:62" ht="15.75" customHeight="1" thickBot="1" x14ac:dyDescent="0.25">
      <c r="A131" s="156">
        <v>130</v>
      </c>
      <c r="B131" s="155">
        <v>1</v>
      </c>
      <c r="C131" s="148" t="s">
        <v>24</v>
      </c>
      <c r="D131" s="148" t="s">
        <v>53</v>
      </c>
      <c r="E131" s="148" t="s">
        <v>13</v>
      </c>
      <c r="F131" s="148"/>
      <c r="G131" s="148" t="s">
        <v>122</v>
      </c>
      <c r="H131" s="148" t="s">
        <v>376</v>
      </c>
      <c r="I131" s="161">
        <v>2011</v>
      </c>
      <c r="J131" s="161" t="s">
        <v>370</v>
      </c>
      <c r="K131" s="161" t="s">
        <v>371</v>
      </c>
      <c r="L131" s="161" t="s">
        <v>83</v>
      </c>
      <c r="M131" s="453" t="s">
        <v>4128</v>
      </c>
      <c r="N131" s="186" t="s">
        <v>20</v>
      </c>
      <c r="O131" s="186" t="s">
        <v>20</v>
      </c>
      <c r="P131" s="186" t="s">
        <v>20</v>
      </c>
      <c r="Q131" s="186" t="s">
        <v>20</v>
      </c>
      <c r="R131" s="186" t="s">
        <v>15</v>
      </c>
      <c r="S131" s="186" t="s">
        <v>20</v>
      </c>
      <c r="T131" s="186" t="s">
        <v>20</v>
      </c>
      <c r="U131" s="186" t="s">
        <v>15</v>
      </c>
      <c r="V131" s="186" t="s">
        <v>15</v>
      </c>
      <c r="W131" s="186" t="s">
        <v>15</v>
      </c>
      <c r="X131" s="186" t="s">
        <v>15</v>
      </c>
      <c r="Y131" s="186" t="s">
        <v>15</v>
      </c>
      <c r="Z131" s="186"/>
      <c r="AA131" s="186" t="s">
        <v>372</v>
      </c>
      <c r="AB131" s="186" t="s">
        <v>292</v>
      </c>
      <c r="AC131" s="186" t="s">
        <v>292</v>
      </c>
      <c r="AD131" s="268" t="s">
        <v>373</v>
      </c>
      <c r="AE131" s="268"/>
      <c r="AF131" s="144" t="str">
        <f t="shared" si="8"/>
        <v/>
      </c>
      <c r="AG131" s="144" t="str">
        <f t="shared" si="9"/>
        <v/>
      </c>
      <c r="AH131" s="146" t="str">
        <f t="shared" si="10"/>
        <v/>
      </c>
      <c r="AI131" s="146" t="str">
        <f t="shared" si="11"/>
        <v/>
      </c>
      <c r="AJ131" s="303"/>
      <c r="AK131" s="303"/>
      <c r="AL131" s="303"/>
      <c r="AM131" s="303"/>
      <c r="AN131" s="303"/>
      <c r="AO131" s="303"/>
      <c r="AP131" s="303"/>
      <c r="AQ131" s="303"/>
      <c r="AR131" s="303"/>
      <c r="AS131" s="170"/>
      <c r="AT131" s="170"/>
      <c r="AU131" s="310"/>
      <c r="AW131" s="294"/>
      <c r="AX131" s="294"/>
      <c r="AY131" s="294"/>
      <c r="AZ131" s="294"/>
      <c r="BA131" s="294"/>
      <c r="BB131" s="294"/>
      <c r="BC131" s="294"/>
      <c r="BD131" s="294"/>
      <c r="BE131" s="294"/>
      <c r="BF131" s="383"/>
      <c r="BG131" s="382">
        <v>25.6</v>
      </c>
      <c r="BH131" s="278"/>
      <c r="BI131" s="365" t="s">
        <v>374</v>
      </c>
      <c r="BJ131" s="411"/>
    </row>
    <row r="132" spans="1:62" ht="15.75" customHeight="1" thickBot="1" x14ac:dyDescent="0.25">
      <c r="A132" s="154">
        <v>131</v>
      </c>
      <c r="B132" s="155">
        <v>1</v>
      </c>
      <c r="C132" s="148" t="s">
        <v>24</v>
      </c>
      <c r="D132" s="148" t="s">
        <v>53</v>
      </c>
      <c r="E132" s="148" t="s">
        <v>13</v>
      </c>
      <c r="F132" s="148"/>
      <c r="G132" s="148" t="s">
        <v>122</v>
      </c>
      <c r="H132" s="148" t="s">
        <v>377</v>
      </c>
      <c r="I132" s="161">
        <v>2011</v>
      </c>
      <c r="J132" s="161" t="s">
        <v>370</v>
      </c>
      <c r="K132" s="161" t="s">
        <v>371</v>
      </c>
      <c r="L132" s="161" t="s">
        <v>83</v>
      </c>
      <c r="M132" s="453" t="s">
        <v>4128</v>
      </c>
      <c r="N132" s="186" t="s">
        <v>20</v>
      </c>
      <c r="O132" s="186" t="s">
        <v>20</v>
      </c>
      <c r="P132" s="186" t="s">
        <v>20</v>
      </c>
      <c r="Q132" s="186" t="s">
        <v>20</v>
      </c>
      <c r="R132" s="186" t="s">
        <v>15</v>
      </c>
      <c r="S132" s="186" t="s">
        <v>20</v>
      </c>
      <c r="T132" s="186" t="s">
        <v>20</v>
      </c>
      <c r="U132" s="186" t="s">
        <v>15</v>
      </c>
      <c r="V132" s="186" t="s">
        <v>15</v>
      </c>
      <c r="W132" s="186" t="s">
        <v>15</v>
      </c>
      <c r="X132" s="186" t="s">
        <v>15</v>
      </c>
      <c r="Y132" s="186" t="s">
        <v>15</v>
      </c>
      <c r="Z132" s="186"/>
      <c r="AA132" s="186" t="s">
        <v>372</v>
      </c>
      <c r="AB132" s="186" t="s">
        <v>292</v>
      </c>
      <c r="AC132" s="186" t="s">
        <v>292</v>
      </c>
      <c r="AD132" s="268" t="s">
        <v>373</v>
      </c>
      <c r="AE132" s="268"/>
      <c r="AF132" s="144" t="str">
        <f t="shared" si="8"/>
        <v/>
      </c>
      <c r="AG132" s="144" t="str">
        <f t="shared" si="9"/>
        <v/>
      </c>
      <c r="AH132" s="146" t="str">
        <f t="shared" si="10"/>
        <v/>
      </c>
      <c r="AI132" s="146" t="str">
        <f t="shared" si="11"/>
        <v/>
      </c>
      <c r="AJ132" s="303"/>
      <c r="AK132" s="303"/>
      <c r="AL132" s="303"/>
      <c r="AM132" s="303"/>
      <c r="AN132" s="303"/>
      <c r="AO132" s="303"/>
      <c r="AP132" s="303"/>
      <c r="AQ132" s="303"/>
      <c r="AR132" s="303"/>
      <c r="AS132" s="170"/>
      <c r="AT132" s="170"/>
      <c r="AU132" s="310"/>
      <c r="AW132" s="294"/>
      <c r="AX132" s="294"/>
      <c r="AY132" s="294"/>
      <c r="AZ132" s="294"/>
      <c r="BA132" s="294"/>
      <c r="BB132" s="294"/>
      <c r="BC132" s="294"/>
      <c r="BD132" s="294"/>
      <c r="BE132" s="294"/>
      <c r="BF132" s="383"/>
      <c r="BG132" s="382">
        <v>26.7</v>
      </c>
      <c r="BH132" s="278"/>
      <c r="BI132" s="365" t="s">
        <v>374</v>
      </c>
      <c r="BJ132" s="411"/>
    </row>
    <row r="133" spans="1:62" ht="15.75" customHeight="1" thickBot="1" x14ac:dyDescent="0.25">
      <c r="A133" s="156">
        <v>132</v>
      </c>
      <c r="B133" s="155">
        <v>1</v>
      </c>
      <c r="C133" s="148" t="s">
        <v>24</v>
      </c>
      <c r="D133" s="148" t="s">
        <v>53</v>
      </c>
      <c r="E133" s="148" t="s">
        <v>13</v>
      </c>
      <c r="F133" s="148" t="s">
        <v>378</v>
      </c>
      <c r="G133" s="148" t="s">
        <v>122</v>
      </c>
      <c r="H133" s="148" t="s">
        <v>42</v>
      </c>
      <c r="I133" s="161">
        <v>2011</v>
      </c>
      <c r="J133" s="161" t="s">
        <v>370</v>
      </c>
      <c r="K133" s="161" t="s">
        <v>371</v>
      </c>
      <c r="L133" s="161" t="s">
        <v>83</v>
      </c>
      <c r="M133" s="453" t="s">
        <v>4128</v>
      </c>
      <c r="N133" s="186" t="s">
        <v>20</v>
      </c>
      <c r="O133" s="186" t="s">
        <v>20</v>
      </c>
      <c r="P133" s="186" t="s">
        <v>20</v>
      </c>
      <c r="Q133" s="186" t="s">
        <v>20</v>
      </c>
      <c r="R133" s="186" t="s">
        <v>15</v>
      </c>
      <c r="S133" s="186" t="s">
        <v>20</v>
      </c>
      <c r="T133" s="186" t="s">
        <v>20</v>
      </c>
      <c r="U133" s="186" t="s">
        <v>15</v>
      </c>
      <c r="V133" s="186" t="s">
        <v>15</v>
      </c>
      <c r="W133" s="186" t="s">
        <v>15</v>
      </c>
      <c r="X133" s="186" t="s">
        <v>15</v>
      </c>
      <c r="Y133" s="186" t="s">
        <v>15</v>
      </c>
      <c r="Z133" s="186"/>
      <c r="AA133" s="186" t="s">
        <v>372</v>
      </c>
      <c r="AB133" s="186" t="s">
        <v>292</v>
      </c>
      <c r="AC133" s="186" t="s">
        <v>292</v>
      </c>
      <c r="AD133" s="268" t="s">
        <v>373</v>
      </c>
      <c r="AE133" s="268"/>
      <c r="AF133" s="144" t="str">
        <f t="shared" si="8"/>
        <v/>
      </c>
      <c r="AG133" s="144" t="str">
        <f t="shared" si="9"/>
        <v/>
      </c>
      <c r="AH133" s="146" t="str">
        <f t="shared" si="10"/>
        <v/>
      </c>
      <c r="AI133" s="146" t="str">
        <f t="shared" si="11"/>
        <v/>
      </c>
      <c r="AJ133" s="303"/>
      <c r="AK133" s="303"/>
      <c r="AL133" s="303"/>
      <c r="AM133" s="303"/>
      <c r="AN133" s="303"/>
      <c r="AO133" s="303"/>
      <c r="AP133" s="303"/>
      <c r="AQ133" s="303"/>
      <c r="AR133" s="303"/>
      <c r="AS133" s="170"/>
      <c r="AT133" s="170"/>
      <c r="AU133" s="310"/>
      <c r="AW133" s="294"/>
      <c r="AX133" s="294"/>
      <c r="AY133" s="294"/>
      <c r="AZ133" s="294"/>
      <c r="BA133" s="294"/>
      <c r="BB133" s="294"/>
      <c r="BC133" s="294"/>
      <c r="BD133" s="294"/>
      <c r="BE133" s="294"/>
      <c r="BF133" s="383"/>
      <c r="BG133" s="382">
        <v>23.9</v>
      </c>
      <c r="BH133" s="278"/>
      <c r="BI133" s="365" t="s">
        <v>374</v>
      </c>
      <c r="BJ133" s="411"/>
    </row>
    <row r="134" spans="1:62" ht="15.75" customHeight="1" thickBot="1" x14ac:dyDescent="0.25">
      <c r="A134" s="154">
        <v>133</v>
      </c>
      <c r="B134" s="155">
        <v>1</v>
      </c>
      <c r="C134" s="148" t="s">
        <v>24</v>
      </c>
      <c r="D134" s="148" t="s">
        <v>53</v>
      </c>
      <c r="E134" s="148" t="s">
        <v>13</v>
      </c>
      <c r="F134" s="148" t="s">
        <v>379</v>
      </c>
      <c r="G134" s="148" t="s">
        <v>122</v>
      </c>
      <c r="H134" s="148" t="s">
        <v>42</v>
      </c>
      <c r="I134" s="161">
        <v>2011</v>
      </c>
      <c r="J134" s="161" t="s">
        <v>370</v>
      </c>
      <c r="K134" s="161" t="s">
        <v>371</v>
      </c>
      <c r="L134" s="161" t="s">
        <v>83</v>
      </c>
      <c r="M134" s="453" t="s">
        <v>4128</v>
      </c>
      <c r="N134" s="186" t="s">
        <v>20</v>
      </c>
      <c r="O134" s="186" t="s">
        <v>20</v>
      </c>
      <c r="P134" s="186" t="s">
        <v>20</v>
      </c>
      <c r="Q134" s="186" t="s">
        <v>20</v>
      </c>
      <c r="R134" s="186" t="s">
        <v>15</v>
      </c>
      <c r="S134" s="186" t="s">
        <v>20</v>
      </c>
      <c r="T134" s="186" t="s">
        <v>20</v>
      </c>
      <c r="U134" s="186" t="s">
        <v>15</v>
      </c>
      <c r="V134" s="186" t="s">
        <v>15</v>
      </c>
      <c r="W134" s="186" t="s">
        <v>15</v>
      </c>
      <c r="X134" s="186" t="s">
        <v>15</v>
      </c>
      <c r="Y134" s="186" t="s">
        <v>15</v>
      </c>
      <c r="Z134" s="186"/>
      <c r="AA134" s="186" t="s">
        <v>372</v>
      </c>
      <c r="AB134" s="186" t="s">
        <v>292</v>
      </c>
      <c r="AC134" s="186" t="s">
        <v>292</v>
      </c>
      <c r="AD134" s="268" t="s">
        <v>373</v>
      </c>
      <c r="AE134" s="268"/>
      <c r="AF134" s="144" t="str">
        <f t="shared" si="8"/>
        <v/>
      </c>
      <c r="AG134" s="144" t="str">
        <f t="shared" si="9"/>
        <v/>
      </c>
      <c r="AH134" s="146" t="str">
        <f t="shared" si="10"/>
        <v/>
      </c>
      <c r="AI134" s="146" t="str">
        <f t="shared" si="11"/>
        <v/>
      </c>
      <c r="AJ134" s="303"/>
      <c r="AK134" s="303"/>
      <c r="AL134" s="303"/>
      <c r="AM134" s="303"/>
      <c r="AN134" s="303"/>
      <c r="AO134" s="303"/>
      <c r="AP134" s="303"/>
      <c r="AQ134" s="303"/>
      <c r="AR134" s="303"/>
      <c r="AS134" s="170"/>
      <c r="AT134" s="170"/>
      <c r="AU134" s="310"/>
      <c r="AW134" s="294"/>
      <c r="AX134" s="294"/>
      <c r="AY134" s="294"/>
      <c r="AZ134" s="294"/>
      <c r="BA134" s="294"/>
      <c r="BB134" s="294"/>
      <c r="BC134" s="294"/>
      <c r="BD134" s="294"/>
      <c r="BE134" s="294"/>
      <c r="BF134" s="383"/>
      <c r="BG134" s="382">
        <v>23.6</v>
      </c>
      <c r="BH134" s="278"/>
      <c r="BI134" s="365" t="s">
        <v>374</v>
      </c>
      <c r="BJ134" s="411"/>
    </row>
    <row r="135" spans="1:62" ht="15.75" customHeight="1" thickBot="1" x14ac:dyDescent="0.25">
      <c r="A135" s="156">
        <v>134</v>
      </c>
      <c r="B135" s="155">
        <v>1</v>
      </c>
      <c r="C135" s="148" t="s">
        <v>24</v>
      </c>
      <c r="D135" s="148" t="s">
        <v>53</v>
      </c>
      <c r="E135" s="148" t="s">
        <v>13</v>
      </c>
      <c r="F135" s="148" t="s">
        <v>380</v>
      </c>
      <c r="G135" s="148" t="s">
        <v>122</v>
      </c>
      <c r="H135" s="148" t="s">
        <v>42</v>
      </c>
      <c r="I135" s="161">
        <v>2011</v>
      </c>
      <c r="J135" s="161" t="s">
        <v>370</v>
      </c>
      <c r="K135" s="161" t="s">
        <v>371</v>
      </c>
      <c r="L135" s="161" t="s">
        <v>83</v>
      </c>
      <c r="M135" s="453" t="s">
        <v>4128</v>
      </c>
      <c r="N135" s="186" t="s">
        <v>20</v>
      </c>
      <c r="O135" s="186" t="s">
        <v>20</v>
      </c>
      <c r="P135" s="186" t="s">
        <v>20</v>
      </c>
      <c r="Q135" s="186" t="s">
        <v>20</v>
      </c>
      <c r="R135" s="186" t="s">
        <v>15</v>
      </c>
      <c r="S135" s="186" t="s">
        <v>20</v>
      </c>
      <c r="T135" s="186" t="s">
        <v>20</v>
      </c>
      <c r="U135" s="186" t="s">
        <v>15</v>
      </c>
      <c r="V135" s="186" t="s">
        <v>15</v>
      </c>
      <c r="W135" s="186" t="s">
        <v>15</v>
      </c>
      <c r="X135" s="186" t="s">
        <v>15</v>
      </c>
      <c r="Y135" s="186" t="s">
        <v>15</v>
      </c>
      <c r="Z135" s="186"/>
      <c r="AA135" s="186" t="s">
        <v>372</v>
      </c>
      <c r="AB135" s="186" t="s">
        <v>292</v>
      </c>
      <c r="AC135" s="186" t="s">
        <v>292</v>
      </c>
      <c r="AD135" s="268" t="s">
        <v>373</v>
      </c>
      <c r="AE135" s="268"/>
      <c r="AF135" s="144" t="str">
        <f t="shared" si="8"/>
        <v/>
      </c>
      <c r="AG135" s="144" t="str">
        <f t="shared" si="9"/>
        <v/>
      </c>
      <c r="AH135" s="146" t="str">
        <f t="shared" si="10"/>
        <v/>
      </c>
      <c r="AI135" s="146" t="str">
        <f t="shared" si="11"/>
        <v/>
      </c>
      <c r="AJ135" s="303"/>
      <c r="AK135" s="303"/>
      <c r="AL135" s="303"/>
      <c r="AM135" s="303"/>
      <c r="AN135" s="303"/>
      <c r="AO135" s="303"/>
      <c r="AP135" s="303"/>
      <c r="AQ135" s="303"/>
      <c r="AR135" s="303"/>
      <c r="AS135" s="170"/>
      <c r="AT135" s="170"/>
      <c r="AU135" s="310"/>
      <c r="AW135" s="294"/>
      <c r="AX135" s="294"/>
      <c r="AY135" s="294"/>
      <c r="AZ135" s="294"/>
      <c r="BA135" s="294"/>
      <c r="BB135" s="294"/>
      <c r="BC135" s="294"/>
      <c r="BD135" s="294"/>
      <c r="BE135" s="294"/>
      <c r="BF135" s="383"/>
      <c r="BG135" s="382">
        <v>25.7</v>
      </c>
      <c r="BH135" s="278"/>
      <c r="BI135" s="365" t="s">
        <v>374</v>
      </c>
      <c r="BJ135" s="411"/>
    </row>
    <row r="136" spans="1:62" ht="15.75" customHeight="1" thickBot="1" x14ac:dyDescent="0.25">
      <c r="A136" s="154">
        <v>135</v>
      </c>
      <c r="B136" s="155">
        <v>1</v>
      </c>
      <c r="C136" s="148" t="s">
        <v>24</v>
      </c>
      <c r="D136" s="148" t="s">
        <v>53</v>
      </c>
      <c r="E136" s="148" t="s">
        <v>13</v>
      </c>
      <c r="F136" s="148" t="s">
        <v>381</v>
      </c>
      <c r="G136" s="148" t="s">
        <v>122</v>
      </c>
      <c r="H136" s="148" t="s">
        <v>42</v>
      </c>
      <c r="I136" s="161">
        <v>2011</v>
      </c>
      <c r="J136" s="161" t="s">
        <v>370</v>
      </c>
      <c r="K136" s="161" t="s">
        <v>371</v>
      </c>
      <c r="L136" s="161" t="s">
        <v>83</v>
      </c>
      <c r="M136" s="453" t="s">
        <v>4128</v>
      </c>
      <c r="N136" s="186" t="s">
        <v>20</v>
      </c>
      <c r="O136" s="186" t="s">
        <v>20</v>
      </c>
      <c r="P136" s="186" t="s">
        <v>20</v>
      </c>
      <c r="Q136" s="186" t="s">
        <v>20</v>
      </c>
      <c r="R136" s="186" t="s">
        <v>15</v>
      </c>
      <c r="S136" s="186" t="s">
        <v>20</v>
      </c>
      <c r="T136" s="186" t="s">
        <v>20</v>
      </c>
      <c r="U136" s="186" t="s">
        <v>15</v>
      </c>
      <c r="V136" s="186" t="s">
        <v>15</v>
      </c>
      <c r="W136" s="186" t="s">
        <v>15</v>
      </c>
      <c r="X136" s="186" t="s">
        <v>15</v>
      </c>
      <c r="Y136" s="186" t="s">
        <v>15</v>
      </c>
      <c r="Z136" s="186"/>
      <c r="AA136" s="186" t="s">
        <v>372</v>
      </c>
      <c r="AB136" s="186" t="s">
        <v>292</v>
      </c>
      <c r="AC136" s="186" t="s">
        <v>292</v>
      </c>
      <c r="AD136" s="268" t="s">
        <v>373</v>
      </c>
      <c r="AE136" s="268"/>
      <c r="AF136" s="144" t="str">
        <f t="shared" si="8"/>
        <v/>
      </c>
      <c r="AG136" s="144" t="str">
        <f t="shared" si="9"/>
        <v/>
      </c>
      <c r="AH136" s="146" t="str">
        <f t="shared" si="10"/>
        <v/>
      </c>
      <c r="AI136" s="146" t="str">
        <f t="shared" si="11"/>
        <v/>
      </c>
      <c r="AJ136" s="303"/>
      <c r="AK136" s="303"/>
      <c r="AL136" s="303"/>
      <c r="AM136" s="303"/>
      <c r="AN136" s="303"/>
      <c r="AO136" s="303"/>
      <c r="AP136" s="303"/>
      <c r="AQ136" s="303"/>
      <c r="AR136" s="303"/>
      <c r="AS136" s="170"/>
      <c r="AT136" s="170"/>
      <c r="AU136" s="310"/>
      <c r="AW136" s="294"/>
      <c r="AX136" s="294"/>
      <c r="AY136" s="294"/>
      <c r="AZ136" s="294"/>
      <c r="BA136" s="294"/>
      <c r="BB136" s="294"/>
      <c r="BC136" s="294"/>
      <c r="BD136" s="294"/>
      <c r="BE136" s="294"/>
      <c r="BF136" s="383"/>
      <c r="BG136" s="382">
        <v>12.6</v>
      </c>
      <c r="BH136" s="278"/>
      <c r="BI136" s="365" t="s">
        <v>374</v>
      </c>
      <c r="BJ136" s="411"/>
    </row>
    <row r="137" spans="1:62" ht="15.75" customHeight="1" thickBot="1" x14ac:dyDescent="0.25">
      <c r="A137" s="156">
        <v>136</v>
      </c>
      <c r="B137" s="155">
        <v>1</v>
      </c>
      <c r="C137" s="148" t="s">
        <v>24</v>
      </c>
      <c r="D137" s="148" t="s">
        <v>53</v>
      </c>
      <c r="E137" s="148" t="s">
        <v>13</v>
      </c>
      <c r="F137" s="148" t="s">
        <v>382</v>
      </c>
      <c r="G137" s="148" t="s">
        <v>122</v>
      </c>
      <c r="H137" s="148" t="s">
        <v>42</v>
      </c>
      <c r="I137" s="161">
        <v>2011</v>
      </c>
      <c r="J137" s="161" t="s">
        <v>370</v>
      </c>
      <c r="K137" s="161" t="s">
        <v>371</v>
      </c>
      <c r="L137" s="161" t="s">
        <v>83</v>
      </c>
      <c r="M137" s="453" t="s">
        <v>4128</v>
      </c>
      <c r="N137" s="186" t="s">
        <v>20</v>
      </c>
      <c r="O137" s="186" t="s">
        <v>20</v>
      </c>
      <c r="P137" s="186" t="s">
        <v>20</v>
      </c>
      <c r="Q137" s="186" t="s">
        <v>20</v>
      </c>
      <c r="R137" s="186" t="s">
        <v>15</v>
      </c>
      <c r="S137" s="186" t="s">
        <v>20</v>
      </c>
      <c r="T137" s="186" t="s">
        <v>20</v>
      </c>
      <c r="U137" s="186" t="s">
        <v>15</v>
      </c>
      <c r="V137" s="186" t="s">
        <v>15</v>
      </c>
      <c r="W137" s="186" t="s">
        <v>15</v>
      </c>
      <c r="X137" s="186" t="s">
        <v>15</v>
      </c>
      <c r="Y137" s="186" t="s">
        <v>15</v>
      </c>
      <c r="Z137" s="186"/>
      <c r="AA137" s="186" t="s">
        <v>372</v>
      </c>
      <c r="AB137" s="186" t="s">
        <v>292</v>
      </c>
      <c r="AC137" s="186" t="s">
        <v>292</v>
      </c>
      <c r="AD137" s="268" t="s">
        <v>373</v>
      </c>
      <c r="AE137" s="268"/>
      <c r="AF137" s="144" t="str">
        <f t="shared" si="8"/>
        <v/>
      </c>
      <c r="AG137" s="144" t="str">
        <f t="shared" si="9"/>
        <v/>
      </c>
      <c r="AH137" s="146" t="str">
        <f t="shared" si="10"/>
        <v/>
      </c>
      <c r="AI137" s="146" t="str">
        <f t="shared" si="11"/>
        <v/>
      </c>
      <c r="AJ137" s="303"/>
      <c r="AK137" s="303"/>
      <c r="AL137" s="303"/>
      <c r="AM137" s="303"/>
      <c r="AN137" s="303"/>
      <c r="AO137" s="303"/>
      <c r="AP137" s="303"/>
      <c r="AQ137" s="303"/>
      <c r="AR137" s="303"/>
      <c r="AS137" s="170"/>
      <c r="AT137" s="170"/>
      <c r="AU137" s="310"/>
      <c r="AW137" s="294"/>
      <c r="AX137" s="294"/>
      <c r="AY137" s="294"/>
      <c r="AZ137" s="294"/>
      <c r="BA137" s="294"/>
      <c r="BB137" s="294"/>
      <c r="BC137" s="294"/>
      <c r="BD137" s="294"/>
      <c r="BE137" s="294"/>
      <c r="BF137" s="383"/>
      <c r="BG137" s="382">
        <v>9.1999999999999993</v>
      </c>
      <c r="BH137" s="278"/>
      <c r="BI137" s="365" t="s">
        <v>374</v>
      </c>
      <c r="BJ137" s="411"/>
    </row>
    <row r="138" spans="1:62" ht="15.75" customHeight="1" thickBot="1" x14ac:dyDescent="0.25">
      <c r="A138" s="154">
        <v>137</v>
      </c>
      <c r="B138" s="155">
        <v>1</v>
      </c>
      <c r="C138" s="148" t="s">
        <v>24</v>
      </c>
      <c r="D138" s="148" t="s">
        <v>53</v>
      </c>
      <c r="E138" s="148" t="s">
        <v>13</v>
      </c>
      <c r="F138" s="148" t="s">
        <v>383</v>
      </c>
      <c r="G138" s="148" t="s">
        <v>122</v>
      </c>
      <c r="H138" s="148" t="s">
        <v>42</v>
      </c>
      <c r="I138" s="161">
        <v>2011</v>
      </c>
      <c r="J138" s="161" t="s">
        <v>370</v>
      </c>
      <c r="K138" s="161" t="s">
        <v>371</v>
      </c>
      <c r="L138" s="161" t="s">
        <v>83</v>
      </c>
      <c r="M138" s="453" t="s">
        <v>4128</v>
      </c>
      <c r="N138" s="186" t="s">
        <v>20</v>
      </c>
      <c r="O138" s="186" t="s">
        <v>20</v>
      </c>
      <c r="P138" s="186" t="s">
        <v>20</v>
      </c>
      <c r="Q138" s="186" t="s">
        <v>20</v>
      </c>
      <c r="R138" s="186" t="s">
        <v>15</v>
      </c>
      <c r="S138" s="186" t="s">
        <v>20</v>
      </c>
      <c r="T138" s="186" t="s">
        <v>20</v>
      </c>
      <c r="U138" s="186" t="s">
        <v>15</v>
      </c>
      <c r="V138" s="186" t="s">
        <v>15</v>
      </c>
      <c r="W138" s="186" t="s">
        <v>15</v>
      </c>
      <c r="X138" s="186" t="s">
        <v>15</v>
      </c>
      <c r="Y138" s="186" t="s">
        <v>15</v>
      </c>
      <c r="Z138" s="186"/>
      <c r="AA138" s="186" t="s">
        <v>372</v>
      </c>
      <c r="AB138" s="186" t="s">
        <v>292</v>
      </c>
      <c r="AC138" s="186" t="s">
        <v>292</v>
      </c>
      <c r="AD138" s="268" t="s">
        <v>373</v>
      </c>
      <c r="AE138" s="268"/>
      <c r="AF138" s="144" t="str">
        <f t="shared" si="8"/>
        <v/>
      </c>
      <c r="AG138" s="144" t="str">
        <f t="shared" si="9"/>
        <v/>
      </c>
      <c r="AH138" s="146" t="str">
        <f t="shared" si="10"/>
        <v/>
      </c>
      <c r="AI138" s="146" t="str">
        <f t="shared" si="11"/>
        <v/>
      </c>
      <c r="AJ138" s="303"/>
      <c r="AK138" s="303"/>
      <c r="AL138" s="303"/>
      <c r="AM138" s="303"/>
      <c r="AN138" s="303"/>
      <c r="AO138" s="303"/>
      <c r="AP138" s="303"/>
      <c r="AQ138" s="303"/>
      <c r="AR138" s="303"/>
      <c r="AS138" s="170"/>
      <c r="AT138" s="170"/>
      <c r="AU138" s="310"/>
      <c r="AW138" s="294"/>
      <c r="AX138" s="294"/>
      <c r="AY138" s="294"/>
      <c r="AZ138" s="294"/>
      <c r="BA138" s="294"/>
      <c r="BB138" s="294"/>
      <c r="BC138" s="294"/>
      <c r="BD138" s="294"/>
      <c r="BE138" s="294"/>
      <c r="BF138" s="383"/>
      <c r="BG138" s="382">
        <v>9</v>
      </c>
      <c r="BH138" s="278"/>
      <c r="BI138" s="365" t="s">
        <v>374</v>
      </c>
      <c r="BJ138" s="411"/>
    </row>
    <row r="139" spans="1:62" ht="15.75" customHeight="1" thickBot="1" x14ac:dyDescent="0.25">
      <c r="A139" s="156">
        <v>138</v>
      </c>
      <c r="B139" s="155">
        <v>1</v>
      </c>
      <c r="C139" s="148" t="s">
        <v>24</v>
      </c>
      <c r="D139" s="148" t="s">
        <v>269</v>
      </c>
      <c r="E139" s="148" t="s">
        <v>13</v>
      </c>
      <c r="F139" s="148" t="s">
        <v>378</v>
      </c>
      <c r="G139" s="148" t="s">
        <v>122</v>
      </c>
      <c r="H139" s="148" t="s">
        <v>42</v>
      </c>
      <c r="I139" s="161">
        <v>2011</v>
      </c>
      <c r="J139" s="161" t="s">
        <v>370</v>
      </c>
      <c r="K139" s="161" t="s">
        <v>371</v>
      </c>
      <c r="L139" s="161" t="s">
        <v>83</v>
      </c>
      <c r="M139" s="453" t="s">
        <v>4128</v>
      </c>
      <c r="N139" s="186" t="s">
        <v>20</v>
      </c>
      <c r="O139" s="186" t="s">
        <v>20</v>
      </c>
      <c r="P139" s="186" t="s">
        <v>20</v>
      </c>
      <c r="Q139" s="186" t="s">
        <v>20</v>
      </c>
      <c r="R139" s="186" t="s">
        <v>15</v>
      </c>
      <c r="S139" s="186" t="s">
        <v>20</v>
      </c>
      <c r="T139" s="186" t="s">
        <v>20</v>
      </c>
      <c r="U139" s="186" t="s">
        <v>15</v>
      </c>
      <c r="V139" s="186" t="s">
        <v>15</v>
      </c>
      <c r="W139" s="186" t="s">
        <v>15</v>
      </c>
      <c r="X139" s="186" t="s">
        <v>15</v>
      </c>
      <c r="Y139" s="186" t="s">
        <v>15</v>
      </c>
      <c r="Z139" s="186"/>
      <c r="AA139" s="186" t="s">
        <v>372</v>
      </c>
      <c r="AB139" s="186" t="s">
        <v>292</v>
      </c>
      <c r="AC139" s="186" t="s">
        <v>292</v>
      </c>
      <c r="AD139" s="268" t="s">
        <v>373</v>
      </c>
      <c r="AE139" s="268"/>
      <c r="AF139" s="144" t="str">
        <f t="shared" si="8"/>
        <v/>
      </c>
      <c r="AG139" s="144" t="str">
        <f t="shared" si="9"/>
        <v/>
      </c>
      <c r="AH139" s="146" t="str">
        <f t="shared" si="10"/>
        <v/>
      </c>
      <c r="AI139" s="146" t="str">
        <f t="shared" si="11"/>
        <v/>
      </c>
      <c r="AJ139" s="303"/>
      <c r="AK139" s="303"/>
      <c r="AL139" s="303"/>
      <c r="AM139" s="303"/>
      <c r="AN139" s="303"/>
      <c r="AO139" s="303"/>
      <c r="AP139" s="303"/>
      <c r="AQ139" s="303"/>
      <c r="AR139" s="303"/>
      <c r="AS139" s="170"/>
      <c r="AT139" s="170"/>
      <c r="AU139" s="310"/>
      <c r="AW139" s="294"/>
      <c r="AX139" s="294"/>
      <c r="AY139" s="294"/>
      <c r="AZ139" s="294"/>
      <c r="BA139" s="294"/>
      <c r="BB139" s="294"/>
      <c r="BC139" s="294"/>
      <c r="BD139" s="294"/>
      <c r="BE139" s="294"/>
      <c r="BF139" s="383"/>
      <c r="BG139" s="382">
        <v>9.01</v>
      </c>
      <c r="BH139" s="278"/>
      <c r="BI139" s="365" t="s">
        <v>374</v>
      </c>
      <c r="BJ139" s="411"/>
    </row>
    <row r="140" spans="1:62" ht="15.75" customHeight="1" thickBot="1" x14ac:dyDescent="0.25">
      <c r="A140" s="154">
        <v>139</v>
      </c>
      <c r="B140" s="155">
        <v>1</v>
      </c>
      <c r="C140" s="148" t="s">
        <v>24</v>
      </c>
      <c r="D140" s="148" t="s">
        <v>269</v>
      </c>
      <c r="E140" s="148" t="s">
        <v>13</v>
      </c>
      <c r="F140" s="148" t="s">
        <v>379</v>
      </c>
      <c r="G140" s="148" t="s">
        <v>122</v>
      </c>
      <c r="H140" s="148" t="s">
        <v>42</v>
      </c>
      <c r="I140" s="161">
        <v>2011</v>
      </c>
      <c r="J140" s="161" t="s">
        <v>370</v>
      </c>
      <c r="K140" s="161" t="s">
        <v>371</v>
      </c>
      <c r="L140" s="161" t="s">
        <v>83</v>
      </c>
      <c r="M140" s="453" t="s">
        <v>4128</v>
      </c>
      <c r="N140" s="186" t="s">
        <v>20</v>
      </c>
      <c r="O140" s="186" t="s">
        <v>20</v>
      </c>
      <c r="P140" s="186" t="s">
        <v>20</v>
      </c>
      <c r="Q140" s="186" t="s">
        <v>20</v>
      </c>
      <c r="R140" s="186" t="s">
        <v>15</v>
      </c>
      <c r="S140" s="186" t="s">
        <v>20</v>
      </c>
      <c r="T140" s="186" t="s">
        <v>20</v>
      </c>
      <c r="U140" s="186" t="s">
        <v>15</v>
      </c>
      <c r="V140" s="186" t="s">
        <v>15</v>
      </c>
      <c r="W140" s="186" t="s">
        <v>15</v>
      </c>
      <c r="X140" s="186" t="s">
        <v>15</v>
      </c>
      <c r="Y140" s="186" t="s">
        <v>15</v>
      </c>
      <c r="Z140" s="186"/>
      <c r="AA140" s="186" t="s">
        <v>372</v>
      </c>
      <c r="AB140" s="186" t="s">
        <v>292</v>
      </c>
      <c r="AC140" s="186" t="s">
        <v>292</v>
      </c>
      <c r="AD140" s="268" t="s">
        <v>373</v>
      </c>
      <c r="AE140" s="268"/>
      <c r="AF140" s="144" t="str">
        <f t="shared" si="8"/>
        <v/>
      </c>
      <c r="AG140" s="144" t="str">
        <f t="shared" si="9"/>
        <v/>
      </c>
      <c r="AH140" s="146" t="str">
        <f t="shared" si="10"/>
        <v/>
      </c>
      <c r="AI140" s="146" t="str">
        <f t="shared" si="11"/>
        <v/>
      </c>
      <c r="AJ140" s="303"/>
      <c r="AK140" s="303"/>
      <c r="AL140" s="303"/>
      <c r="AM140" s="303"/>
      <c r="AN140" s="303"/>
      <c r="AO140" s="303"/>
      <c r="AP140" s="303"/>
      <c r="AQ140" s="303"/>
      <c r="AR140" s="303"/>
      <c r="AS140" s="170"/>
      <c r="AT140" s="170"/>
      <c r="AU140" s="310"/>
      <c r="AW140" s="294"/>
      <c r="AX140" s="294"/>
      <c r="AY140" s="294"/>
      <c r="AZ140" s="294"/>
      <c r="BA140" s="294"/>
      <c r="BB140" s="294"/>
      <c r="BC140" s="294"/>
      <c r="BD140" s="294"/>
      <c r="BE140" s="294"/>
      <c r="BF140" s="383"/>
      <c r="BG140" s="382">
        <v>10.26</v>
      </c>
      <c r="BH140" s="278"/>
      <c r="BI140" s="365" t="s">
        <v>374</v>
      </c>
      <c r="BJ140" s="411"/>
    </row>
    <row r="141" spans="1:62" ht="15.75" customHeight="1" thickBot="1" x14ac:dyDescent="0.25">
      <c r="A141" s="156">
        <v>140</v>
      </c>
      <c r="B141" s="155">
        <v>1</v>
      </c>
      <c r="C141" s="148" t="s">
        <v>24</v>
      </c>
      <c r="D141" s="148" t="s">
        <v>269</v>
      </c>
      <c r="E141" s="148" t="s">
        <v>13</v>
      </c>
      <c r="F141" s="148" t="s">
        <v>384</v>
      </c>
      <c r="G141" s="148" t="s">
        <v>122</v>
      </c>
      <c r="H141" s="148" t="s">
        <v>42</v>
      </c>
      <c r="I141" s="161">
        <v>2011</v>
      </c>
      <c r="J141" s="161" t="s">
        <v>370</v>
      </c>
      <c r="K141" s="161" t="s">
        <v>371</v>
      </c>
      <c r="L141" s="161" t="s">
        <v>83</v>
      </c>
      <c r="M141" s="453" t="s">
        <v>4128</v>
      </c>
      <c r="N141" s="186" t="s">
        <v>20</v>
      </c>
      <c r="O141" s="186" t="s">
        <v>20</v>
      </c>
      <c r="P141" s="186" t="s">
        <v>20</v>
      </c>
      <c r="Q141" s="186" t="s">
        <v>20</v>
      </c>
      <c r="R141" s="186" t="s">
        <v>15</v>
      </c>
      <c r="S141" s="186" t="s">
        <v>20</v>
      </c>
      <c r="T141" s="186" t="s">
        <v>20</v>
      </c>
      <c r="U141" s="186" t="s">
        <v>15</v>
      </c>
      <c r="V141" s="186" t="s">
        <v>15</v>
      </c>
      <c r="W141" s="186" t="s">
        <v>15</v>
      </c>
      <c r="X141" s="186" t="s">
        <v>15</v>
      </c>
      <c r="Y141" s="186" t="s">
        <v>15</v>
      </c>
      <c r="Z141" s="186"/>
      <c r="AA141" s="186" t="s">
        <v>372</v>
      </c>
      <c r="AB141" s="186" t="s">
        <v>292</v>
      </c>
      <c r="AC141" s="186" t="s">
        <v>292</v>
      </c>
      <c r="AD141" s="268" t="s">
        <v>373</v>
      </c>
      <c r="AE141" s="268"/>
      <c r="AF141" s="144" t="str">
        <f t="shared" si="8"/>
        <v/>
      </c>
      <c r="AG141" s="144" t="str">
        <f t="shared" si="9"/>
        <v/>
      </c>
      <c r="AH141" s="146" t="str">
        <f t="shared" si="10"/>
        <v/>
      </c>
      <c r="AI141" s="146" t="str">
        <f t="shared" si="11"/>
        <v/>
      </c>
      <c r="AJ141" s="303"/>
      <c r="AK141" s="303"/>
      <c r="AL141" s="303"/>
      <c r="AM141" s="303"/>
      <c r="AN141" s="303"/>
      <c r="AO141" s="303"/>
      <c r="AP141" s="303"/>
      <c r="AQ141" s="303"/>
      <c r="AR141" s="303"/>
      <c r="AS141" s="170"/>
      <c r="AT141" s="170"/>
      <c r="AU141" s="310"/>
      <c r="AW141" s="294"/>
      <c r="AX141" s="294"/>
      <c r="AY141" s="294"/>
      <c r="AZ141" s="294"/>
      <c r="BA141" s="294"/>
      <c r="BB141" s="294"/>
      <c r="BC141" s="294"/>
      <c r="BD141" s="294"/>
      <c r="BE141" s="294"/>
      <c r="BF141" s="383"/>
      <c r="BG141" s="382">
        <v>9.01</v>
      </c>
      <c r="BH141" s="278"/>
      <c r="BI141" s="365" t="s">
        <v>374</v>
      </c>
      <c r="BJ141" s="411"/>
    </row>
    <row r="142" spans="1:62" ht="15.75" customHeight="1" thickBot="1" x14ac:dyDescent="0.25">
      <c r="A142" s="154">
        <v>141</v>
      </c>
      <c r="B142" s="155">
        <v>1</v>
      </c>
      <c r="C142" s="148" t="s">
        <v>24</v>
      </c>
      <c r="D142" s="148" t="s">
        <v>269</v>
      </c>
      <c r="E142" s="148" t="s">
        <v>13</v>
      </c>
      <c r="F142" s="148" t="s">
        <v>385</v>
      </c>
      <c r="G142" s="148" t="s">
        <v>122</v>
      </c>
      <c r="H142" s="148" t="s">
        <v>386</v>
      </c>
      <c r="I142" s="161">
        <v>2011</v>
      </c>
      <c r="J142" s="161" t="s">
        <v>370</v>
      </c>
      <c r="K142" s="161" t="s">
        <v>371</v>
      </c>
      <c r="L142" s="161" t="s">
        <v>83</v>
      </c>
      <c r="M142" s="453" t="s">
        <v>4128</v>
      </c>
      <c r="N142" s="186" t="s">
        <v>20</v>
      </c>
      <c r="O142" s="186" t="s">
        <v>20</v>
      </c>
      <c r="P142" s="186" t="s">
        <v>20</v>
      </c>
      <c r="Q142" s="186" t="s">
        <v>20</v>
      </c>
      <c r="R142" s="186" t="s">
        <v>15</v>
      </c>
      <c r="S142" s="186" t="s">
        <v>20</v>
      </c>
      <c r="T142" s="186" t="s">
        <v>20</v>
      </c>
      <c r="U142" s="186" t="s">
        <v>15</v>
      </c>
      <c r="V142" s="186" t="s">
        <v>15</v>
      </c>
      <c r="W142" s="186" t="s">
        <v>15</v>
      </c>
      <c r="X142" s="186" t="s">
        <v>15</v>
      </c>
      <c r="Y142" s="186" t="s">
        <v>15</v>
      </c>
      <c r="Z142" s="186"/>
      <c r="AA142" s="186" t="s">
        <v>372</v>
      </c>
      <c r="AB142" s="186" t="s">
        <v>292</v>
      </c>
      <c r="AC142" s="186" t="s">
        <v>292</v>
      </c>
      <c r="AD142" s="268" t="s">
        <v>373</v>
      </c>
      <c r="AE142" s="268"/>
      <c r="AF142" s="144" t="str">
        <f t="shared" si="8"/>
        <v/>
      </c>
      <c r="AG142" s="144" t="str">
        <f t="shared" si="9"/>
        <v/>
      </c>
      <c r="AH142" s="146" t="str">
        <f t="shared" si="10"/>
        <v/>
      </c>
      <c r="AI142" s="146" t="str">
        <f t="shared" si="11"/>
        <v/>
      </c>
      <c r="AJ142" s="303"/>
      <c r="AK142" s="303"/>
      <c r="AL142" s="303"/>
      <c r="AM142" s="303"/>
      <c r="AN142" s="303"/>
      <c r="AO142" s="303"/>
      <c r="AP142" s="303"/>
      <c r="AQ142" s="303"/>
      <c r="AR142" s="303"/>
      <c r="AS142" s="170"/>
      <c r="AT142" s="170"/>
      <c r="AU142" s="310"/>
      <c r="AW142" s="294"/>
      <c r="AX142" s="294"/>
      <c r="AY142" s="294"/>
      <c r="AZ142" s="294"/>
      <c r="BA142" s="294"/>
      <c r="BB142" s="294"/>
      <c r="BC142" s="294"/>
      <c r="BD142" s="294"/>
      <c r="BE142" s="294"/>
      <c r="BF142" s="383"/>
      <c r="BG142" s="382">
        <v>9.4</v>
      </c>
      <c r="BH142" s="278"/>
      <c r="BI142" s="365" t="s">
        <v>374</v>
      </c>
      <c r="BJ142" s="411"/>
    </row>
    <row r="143" spans="1:62" ht="15.75" customHeight="1" thickBot="1" x14ac:dyDescent="0.25">
      <c r="A143" s="156">
        <v>142</v>
      </c>
      <c r="B143" s="155">
        <v>1</v>
      </c>
      <c r="C143" s="148" t="s">
        <v>24</v>
      </c>
      <c r="D143" s="148" t="s">
        <v>269</v>
      </c>
      <c r="E143" s="148" t="s">
        <v>13</v>
      </c>
      <c r="F143" s="148" t="s">
        <v>387</v>
      </c>
      <c r="G143" s="148" t="s">
        <v>122</v>
      </c>
      <c r="H143" s="148" t="s">
        <v>42</v>
      </c>
      <c r="I143" s="161">
        <v>2011</v>
      </c>
      <c r="J143" s="161" t="s">
        <v>370</v>
      </c>
      <c r="K143" s="161" t="s">
        <v>371</v>
      </c>
      <c r="L143" s="161" t="s">
        <v>83</v>
      </c>
      <c r="M143" s="453" t="s">
        <v>4128</v>
      </c>
      <c r="N143" s="186" t="s">
        <v>20</v>
      </c>
      <c r="O143" s="186" t="s">
        <v>20</v>
      </c>
      <c r="P143" s="186" t="s">
        <v>20</v>
      </c>
      <c r="Q143" s="186" t="s">
        <v>20</v>
      </c>
      <c r="R143" s="186" t="s">
        <v>15</v>
      </c>
      <c r="S143" s="186" t="s">
        <v>20</v>
      </c>
      <c r="T143" s="186" t="s">
        <v>20</v>
      </c>
      <c r="U143" s="186" t="s">
        <v>15</v>
      </c>
      <c r="V143" s="186" t="s">
        <v>15</v>
      </c>
      <c r="W143" s="186" t="s">
        <v>15</v>
      </c>
      <c r="X143" s="186" t="s">
        <v>15</v>
      </c>
      <c r="Y143" s="186" t="s">
        <v>15</v>
      </c>
      <c r="Z143" s="186"/>
      <c r="AA143" s="186" t="s">
        <v>372</v>
      </c>
      <c r="AB143" s="186" t="s">
        <v>292</v>
      </c>
      <c r="AC143" s="186" t="s">
        <v>292</v>
      </c>
      <c r="AD143" s="268" t="s">
        <v>373</v>
      </c>
      <c r="AE143" s="268"/>
      <c r="AF143" s="144" t="str">
        <f t="shared" si="8"/>
        <v/>
      </c>
      <c r="AG143" s="144" t="str">
        <f t="shared" si="9"/>
        <v/>
      </c>
      <c r="AH143" s="146" t="str">
        <f t="shared" si="10"/>
        <v/>
      </c>
      <c r="AI143" s="146" t="str">
        <f t="shared" si="11"/>
        <v/>
      </c>
      <c r="AJ143" s="303"/>
      <c r="AK143" s="303"/>
      <c r="AL143" s="303"/>
      <c r="AM143" s="303"/>
      <c r="AN143" s="303"/>
      <c r="AO143" s="303"/>
      <c r="AP143" s="303"/>
      <c r="AQ143" s="303"/>
      <c r="AR143" s="303"/>
      <c r="AS143" s="170"/>
      <c r="AT143" s="170"/>
      <c r="AU143" s="310"/>
      <c r="AW143" s="294"/>
      <c r="AX143" s="294"/>
      <c r="AY143" s="294"/>
      <c r="AZ143" s="294"/>
      <c r="BA143" s="294"/>
      <c r="BB143" s="294"/>
      <c r="BC143" s="294"/>
      <c r="BD143" s="294"/>
      <c r="BE143" s="294"/>
      <c r="BF143" s="383"/>
      <c r="BG143" s="382">
        <v>9.01</v>
      </c>
      <c r="BH143" s="278"/>
      <c r="BI143" s="365" t="s">
        <v>374</v>
      </c>
      <c r="BJ143" s="411"/>
    </row>
    <row r="144" spans="1:62" ht="15.75" customHeight="1" thickBot="1" x14ac:dyDescent="0.25">
      <c r="A144" s="154">
        <v>143</v>
      </c>
      <c r="B144" s="155">
        <v>1</v>
      </c>
      <c r="C144" s="148" t="s">
        <v>24</v>
      </c>
      <c r="D144" s="148" t="s">
        <v>269</v>
      </c>
      <c r="E144" s="148" t="s">
        <v>13</v>
      </c>
      <c r="F144" s="148" t="s">
        <v>388</v>
      </c>
      <c r="G144" s="148" t="s">
        <v>122</v>
      </c>
      <c r="H144" s="148" t="s">
        <v>42</v>
      </c>
      <c r="I144" s="161">
        <v>2011</v>
      </c>
      <c r="J144" s="161" t="s">
        <v>370</v>
      </c>
      <c r="K144" s="161" t="s">
        <v>371</v>
      </c>
      <c r="L144" s="161" t="s">
        <v>83</v>
      </c>
      <c r="M144" s="453" t="s">
        <v>4128</v>
      </c>
      <c r="N144" s="186" t="s">
        <v>20</v>
      </c>
      <c r="O144" s="186" t="s">
        <v>20</v>
      </c>
      <c r="P144" s="186" t="s">
        <v>20</v>
      </c>
      <c r="Q144" s="186" t="s">
        <v>20</v>
      </c>
      <c r="R144" s="186" t="s">
        <v>15</v>
      </c>
      <c r="S144" s="186" t="s">
        <v>20</v>
      </c>
      <c r="T144" s="186" t="s">
        <v>20</v>
      </c>
      <c r="U144" s="186" t="s">
        <v>15</v>
      </c>
      <c r="V144" s="186" t="s">
        <v>15</v>
      </c>
      <c r="W144" s="186" t="s">
        <v>15</v>
      </c>
      <c r="X144" s="186" t="s">
        <v>15</v>
      </c>
      <c r="Y144" s="186" t="s">
        <v>15</v>
      </c>
      <c r="Z144" s="186"/>
      <c r="AA144" s="186" t="s">
        <v>372</v>
      </c>
      <c r="AB144" s="186" t="s">
        <v>292</v>
      </c>
      <c r="AC144" s="186" t="s">
        <v>292</v>
      </c>
      <c r="AD144" s="268" t="s">
        <v>373</v>
      </c>
      <c r="AE144" s="268"/>
      <c r="AF144" s="144" t="str">
        <f t="shared" si="8"/>
        <v/>
      </c>
      <c r="AG144" s="144" t="str">
        <f t="shared" si="9"/>
        <v/>
      </c>
      <c r="AH144" s="146" t="str">
        <f t="shared" si="10"/>
        <v/>
      </c>
      <c r="AI144" s="146" t="str">
        <f t="shared" si="11"/>
        <v/>
      </c>
      <c r="AJ144" s="303"/>
      <c r="AK144" s="303"/>
      <c r="AL144" s="303"/>
      <c r="AM144" s="303"/>
      <c r="AN144" s="303"/>
      <c r="AO144" s="303"/>
      <c r="AP144" s="303"/>
      <c r="AQ144" s="303"/>
      <c r="AR144" s="303"/>
      <c r="AS144" s="170"/>
      <c r="AT144" s="170"/>
      <c r="AU144" s="310"/>
      <c r="AW144" s="294"/>
      <c r="AX144" s="294"/>
      <c r="AY144" s="294"/>
      <c r="AZ144" s="294"/>
      <c r="BA144" s="294"/>
      <c r="BB144" s="294"/>
      <c r="BC144" s="294"/>
      <c r="BD144" s="294"/>
      <c r="BE144" s="294"/>
      <c r="BF144" s="383"/>
      <c r="BG144" s="382">
        <v>9.01</v>
      </c>
      <c r="BH144" s="278"/>
      <c r="BI144" s="365" t="s">
        <v>374</v>
      </c>
      <c r="BJ144" s="411"/>
    </row>
    <row r="145" spans="1:62" ht="15.75" customHeight="1" thickBot="1" x14ac:dyDescent="0.25">
      <c r="A145" s="156">
        <v>144</v>
      </c>
      <c r="B145" s="155">
        <v>1</v>
      </c>
      <c r="C145" s="148" t="s">
        <v>24</v>
      </c>
      <c r="D145" s="148" t="s">
        <v>283</v>
      </c>
      <c r="E145" s="148" t="s">
        <v>13</v>
      </c>
      <c r="F145" s="148"/>
      <c r="G145" s="148" t="s">
        <v>122</v>
      </c>
      <c r="H145" s="148" t="s">
        <v>375</v>
      </c>
      <c r="I145" s="161">
        <v>2011</v>
      </c>
      <c r="J145" s="161" t="s">
        <v>370</v>
      </c>
      <c r="K145" s="161" t="s">
        <v>371</v>
      </c>
      <c r="L145" s="161" t="s">
        <v>83</v>
      </c>
      <c r="M145" s="453" t="s">
        <v>4128</v>
      </c>
      <c r="N145" s="186" t="s">
        <v>20</v>
      </c>
      <c r="O145" s="186" t="s">
        <v>20</v>
      </c>
      <c r="P145" s="186" t="s">
        <v>20</v>
      </c>
      <c r="Q145" s="186" t="s">
        <v>20</v>
      </c>
      <c r="R145" s="186" t="s">
        <v>15</v>
      </c>
      <c r="S145" s="186" t="s">
        <v>20</v>
      </c>
      <c r="T145" s="186" t="s">
        <v>20</v>
      </c>
      <c r="U145" s="186" t="s">
        <v>15</v>
      </c>
      <c r="V145" s="186" t="s">
        <v>15</v>
      </c>
      <c r="W145" s="186" t="s">
        <v>15</v>
      </c>
      <c r="X145" s="186" t="s">
        <v>15</v>
      </c>
      <c r="Y145" s="186" t="s">
        <v>15</v>
      </c>
      <c r="Z145" s="186"/>
      <c r="AA145" s="186" t="s">
        <v>372</v>
      </c>
      <c r="AB145" s="186" t="s">
        <v>292</v>
      </c>
      <c r="AC145" s="186" t="s">
        <v>292</v>
      </c>
      <c r="AD145" s="268" t="s">
        <v>373</v>
      </c>
      <c r="AE145" s="268"/>
      <c r="AF145" s="144" t="str">
        <f t="shared" si="8"/>
        <v/>
      </c>
      <c r="AG145" s="144" t="str">
        <f t="shared" si="9"/>
        <v/>
      </c>
      <c r="AH145" s="146" t="str">
        <f t="shared" si="10"/>
        <v/>
      </c>
      <c r="AI145" s="146" t="str">
        <f t="shared" si="11"/>
        <v/>
      </c>
      <c r="AJ145" s="303"/>
      <c r="AK145" s="303"/>
      <c r="AL145" s="303"/>
      <c r="AM145" s="303"/>
      <c r="AN145" s="303"/>
      <c r="AO145" s="303"/>
      <c r="AP145" s="303"/>
      <c r="AQ145" s="303"/>
      <c r="AR145" s="303"/>
      <c r="AS145" s="170"/>
      <c r="AT145" s="170"/>
      <c r="AU145" s="310"/>
      <c r="AW145" s="294"/>
      <c r="AX145" s="294"/>
      <c r="AY145" s="294"/>
      <c r="AZ145" s="294"/>
      <c r="BA145" s="294"/>
      <c r="BB145" s="294"/>
      <c r="BC145" s="294"/>
      <c r="BD145" s="294"/>
      <c r="BE145" s="294"/>
      <c r="BF145" s="383"/>
      <c r="BG145" s="382">
        <v>5.75</v>
      </c>
      <c r="BH145" s="278"/>
      <c r="BI145" s="365" t="s">
        <v>374</v>
      </c>
      <c r="BJ145" s="411"/>
    </row>
    <row r="146" spans="1:62" ht="15.75" customHeight="1" thickBot="1" x14ac:dyDescent="0.25">
      <c r="A146" s="154">
        <v>145</v>
      </c>
      <c r="B146" s="155">
        <v>1</v>
      </c>
      <c r="C146" s="148" t="s">
        <v>24</v>
      </c>
      <c r="D146" s="148" t="s">
        <v>283</v>
      </c>
      <c r="E146" s="148" t="s">
        <v>13</v>
      </c>
      <c r="F146" s="148" t="s">
        <v>389</v>
      </c>
      <c r="G146" s="148" t="s">
        <v>122</v>
      </c>
      <c r="H146" s="148" t="s">
        <v>165</v>
      </c>
      <c r="I146" s="161">
        <v>2011</v>
      </c>
      <c r="J146" s="161" t="s">
        <v>370</v>
      </c>
      <c r="K146" s="161" t="s">
        <v>371</v>
      </c>
      <c r="L146" s="161" t="s">
        <v>83</v>
      </c>
      <c r="M146" s="453" t="s">
        <v>4128</v>
      </c>
      <c r="N146" s="186" t="s">
        <v>20</v>
      </c>
      <c r="O146" s="186" t="s">
        <v>20</v>
      </c>
      <c r="P146" s="186" t="s">
        <v>20</v>
      </c>
      <c r="Q146" s="186" t="s">
        <v>20</v>
      </c>
      <c r="R146" s="186" t="s">
        <v>15</v>
      </c>
      <c r="S146" s="186" t="s">
        <v>20</v>
      </c>
      <c r="T146" s="186" t="s">
        <v>20</v>
      </c>
      <c r="U146" s="186" t="s">
        <v>15</v>
      </c>
      <c r="V146" s="186" t="s">
        <v>15</v>
      </c>
      <c r="W146" s="186" t="s">
        <v>15</v>
      </c>
      <c r="X146" s="186" t="s">
        <v>15</v>
      </c>
      <c r="Y146" s="186" t="s">
        <v>15</v>
      </c>
      <c r="Z146" s="186"/>
      <c r="AA146" s="186" t="s">
        <v>372</v>
      </c>
      <c r="AB146" s="186" t="s">
        <v>292</v>
      </c>
      <c r="AC146" s="186" t="s">
        <v>292</v>
      </c>
      <c r="AD146" s="268" t="s">
        <v>373</v>
      </c>
      <c r="AE146" s="268"/>
      <c r="AF146" s="144" t="str">
        <f t="shared" si="8"/>
        <v/>
      </c>
      <c r="AG146" s="144" t="str">
        <f t="shared" si="9"/>
        <v/>
      </c>
      <c r="AH146" s="146" t="str">
        <f t="shared" si="10"/>
        <v/>
      </c>
      <c r="AI146" s="146" t="str">
        <f t="shared" si="11"/>
        <v/>
      </c>
      <c r="AJ146" s="303"/>
      <c r="AK146" s="303"/>
      <c r="AL146" s="303"/>
      <c r="AM146" s="303"/>
      <c r="AN146" s="303"/>
      <c r="AO146" s="303"/>
      <c r="AP146" s="303"/>
      <c r="AQ146" s="303"/>
      <c r="AR146" s="303"/>
      <c r="AS146" s="170"/>
      <c r="AT146" s="170"/>
      <c r="AU146" s="310"/>
      <c r="AW146" s="294"/>
      <c r="AX146" s="294"/>
      <c r="AY146" s="294"/>
      <c r="AZ146" s="294"/>
      <c r="BA146" s="294"/>
      <c r="BB146" s="294"/>
      <c r="BC146" s="294"/>
      <c r="BD146" s="294"/>
      <c r="BE146" s="294"/>
      <c r="BF146" s="383"/>
      <c r="BG146" s="382">
        <v>4.82</v>
      </c>
      <c r="BH146" s="278"/>
      <c r="BI146" s="365" t="s">
        <v>374</v>
      </c>
      <c r="BJ146" s="411"/>
    </row>
    <row r="147" spans="1:62" ht="15.75" customHeight="1" thickBot="1" x14ac:dyDescent="0.25">
      <c r="A147" s="156">
        <v>146</v>
      </c>
      <c r="B147" s="155">
        <v>1</v>
      </c>
      <c r="C147" s="148" t="s">
        <v>24</v>
      </c>
      <c r="D147" s="148" t="s">
        <v>283</v>
      </c>
      <c r="E147" s="148" t="s">
        <v>13</v>
      </c>
      <c r="F147" s="148" t="s">
        <v>378</v>
      </c>
      <c r="G147" s="148" t="s">
        <v>122</v>
      </c>
      <c r="H147" s="148" t="s">
        <v>42</v>
      </c>
      <c r="I147" s="161">
        <v>2011</v>
      </c>
      <c r="J147" s="161" t="s">
        <v>370</v>
      </c>
      <c r="K147" s="161" t="s">
        <v>371</v>
      </c>
      <c r="L147" s="161" t="s">
        <v>83</v>
      </c>
      <c r="M147" s="453" t="s">
        <v>4128</v>
      </c>
      <c r="N147" s="186" t="s">
        <v>20</v>
      </c>
      <c r="O147" s="186" t="s">
        <v>20</v>
      </c>
      <c r="P147" s="186" t="s">
        <v>20</v>
      </c>
      <c r="Q147" s="186" t="s">
        <v>20</v>
      </c>
      <c r="R147" s="186" t="s">
        <v>15</v>
      </c>
      <c r="S147" s="186" t="s">
        <v>20</v>
      </c>
      <c r="T147" s="186" t="s">
        <v>20</v>
      </c>
      <c r="U147" s="186" t="s">
        <v>15</v>
      </c>
      <c r="V147" s="186" t="s">
        <v>15</v>
      </c>
      <c r="W147" s="186" t="s">
        <v>15</v>
      </c>
      <c r="X147" s="186" t="s">
        <v>15</v>
      </c>
      <c r="Y147" s="186" t="s">
        <v>15</v>
      </c>
      <c r="Z147" s="186"/>
      <c r="AA147" s="186" t="s">
        <v>372</v>
      </c>
      <c r="AB147" s="186" t="s">
        <v>292</v>
      </c>
      <c r="AC147" s="186" t="s">
        <v>292</v>
      </c>
      <c r="AD147" s="268" t="s">
        <v>373</v>
      </c>
      <c r="AE147" s="268"/>
      <c r="AF147" s="144" t="str">
        <f t="shared" si="8"/>
        <v/>
      </c>
      <c r="AG147" s="144" t="str">
        <f t="shared" si="9"/>
        <v/>
      </c>
      <c r="AH147" s="146" t="str">
        <f t="shared" si="10"/>
        <v/>
      </c>
      <c r="AI147" s="146" t="str">
        <f t="shared" si="11"/>
        <v/>
      </c>
      <c r="AJ147" s="303"/>
      <c r="AK147" s="303"/>
      <c r="AL147" s="303"/>
      <c r="AM147" s="303"/>
      <c r="AN147" s="303"/>
      <c r="AO147" s="303"/>
      <c r="AP147" s="303"/>
      <c r="AQ147" s="303"/>
      <c r="AR147" s="303"/>
      <c r="AS147" s="170"/>
      <c r="AT147" s="170"/>
      <c r="AU147" s="310"/>
      <c r="AW147" s="294"/>
      <c r="AX147" s="294"/>
      <c r="AY147" s="294"/>
      <c r="AZ147" s="294"/>
      <c r="BA147" s="294"/>
      <c r="BB147" s="294"/>
      <c r="BC147" s="294"/>
      <c r="BD147" s="294"/>
      <c r="BE147" s="294"/>
      <c r="BF147" s="383"/>
      <c r="BG147" s="382">
        <v>5.96</v>
      </c>
      <c r="BH147" s="278"/>
      <c r="BI147" s="365" t="s">
        <v>374</v>
      </c>
      <c r="BJ147" s="411"/>
    </row>
    <row r="148" spans="1:62" ht="15.75" customHeight="1" thickBot="1" x14ac:dyDescent="0.25">
      <c r="A148" s="154">
        <v>147</v>
      </c>
      <c r="B148" s="155">
        <v>1</v>
      </c>
      <c r="C148" s="148" t="s">
        <v>24</v>
      </c>
      <c r="D148" s="148" t="s">
        <v>283</v>
      </c>
      <c r="E148" s="148" t="s">
        <v>13</v>
      </c>
      <c r="F148" s="148" t="s">
        <v>379</v>
      </c>
      <c r="G148" s="148" t="s">
        <v>122</v>
      </c>
      <c r="H148" s="148" t="s">
        <v>42</v>
      </c>
      <c r="I148" s="161">
        <v>2011</v>
      </c>
      <c r="J148" s="161" t="s">
        <v>370</v>
      </c>
      <c r="K148" s="161" t="s">
        <v>371</v>
      </c>
      <c r="L148" s="161" t="s">
        <v>83</v>
      </c>
      <c r="M148" s="453" t="s">
        <v>4128</v>
      </c>
      <c r="N148" s="186" t="s">
        <v>20</v>
      </c>
      <c r="O148" s="186" t="s">
        <v>20</v>
      </c>
      <c r="P148" s="186" t="s">
        <v>20</v>
      </c>
      <c r="Q148" s="186" t="s">
        <v>20</v>
      </c>
      <c r="R148" s="186" t="s">
        <v>15</v>
      </c>
      <c r="S148" s="186" t="s">
        <v>20</v>
      </c>
      <c r="T148" s="186" t="s">
        <v>20</v>
      </c>
      <c r="U148" s="186" t="s">
        <v>15</v>
      </c>
      <c r="V148" s="186" t="s">
        <v>15</v>
      </c>
      <c r="W148" s="186" t="s">
        <v>15</v>
      </c>
      <c r="X148" s="186" t="s">
        <v>15</v>
      </c>
      <c r="Y148" s="186" t="s">
        <v>15</v>
      </c>
      <c r="Z148" s="186"/>
      <c r="AA148" s="186" t="s">
        <v>372</v>
      </c>
      <c r="AB148" s="186" t="s">
        <v>292</v>
      </c>
      <c r="AC148" s="186" t="s">
        <v>292</v>
      </c>
      <c r="AD148" s="268" t="s">
        <v>373</v>
      </c>
      <c r="AE148" s="268"/>
      <c r="AF148" s="144" t="str">
        <f t="shared" si="8"/>
        <v/>
      </c>
      <c r="AG148" s="144" t="str">
        <f t="shared" si="9"/>
        <v/>
      </c>
      <c r="AH148" s="146" t="str">
        <f t="shared" si="10"/>
        <v/>
      </c>
      <c r="AI148" s="146" t="str">
        <f t="shared" si="11"/>
        <v/>
      </c>
      <c r="AJ148" s="303"/>
      <c r="AK148" s="303"/>
      <c r="AL148" s="303"/>
      <c r="AM148" s="303"/>
      <c r="AN148" s="303"/>
      <c r="AO148" s="303"/>
      <c r="AP148" s="303"/>
      <c r="AQ148" s="303"/>
      <c r="AR148" s="303"/>
      <c r="AS148" s="170"/>
      <c r="AT148" s="170"/>
      <c r="AU148" s="310"/>
      <c r="AW148" s="294"/>
      <c r="AX148" s="294"/>
      <c r="AY148" s="294"/>
      <c r="AZ148" s="294"/>
      <c r="BA148" s="294"/>
      <c r="BB148" s="294"/>
      <c r="BC148" s="294"/>
      <c r="BD148" s="294"/>
      <c r="BE148" s="294"/>
      <c r="BF148" s="383"/>
      <c r="BG148" s="382">
        <v>5.78</v>
      </c>
      <c r="BH148" s="278"/>
      <c r="BI148" s="365" t="s">
        <v>374</v>
      </c>
      <c r="BJ148" s="411"/>
    </row>
    <row r="149" spans="1:62" ht="15.75" customHeight="1" thickBot="1" x14ac:dyDescent="0.25">
      <c r="A149" s="156">
        <v>148</v>
      </c>
      <c r="B149" s="155">
        <v>1</v>
      </c>
      <c r="C149" s="148" t="s">
        <v>24</v>
      </c>
      <c r="D149" s="148" t="s">
        <v>283</v>
      </c>
      <c r="E149" s="148" t="s">
        <v>13</v>
      </c>
      <c r="F149" s="148" t="s">
        <v>390</v>
      </c>
      <c r="G149" s="148" t="s">
        <v>122</v>
      </c>
      <c r="H149" s="148" t="s">
        <v>42</v>
      </c>
      <c r="I149" s="161">
        <v>2011</v>
      </c>
      <c r="J149" s="161" t="s">
        <v>370</v>
      </c>
      <c r="K149" s="161" t="s">
        <v>371</v>
      </c>
      <c r="L149" s="161" t="s">
        <v>83</v>
      </c>
      <c r="M149" s="453" t="s">
        <v>4128</v>
      </c>
      <c r="N149" s="186" t="s">
        <v>20</v>
      </c>
      <c r="O149" s="186" t="s">
        <v>20</v>
      </c>
      <c r="P149" s="186" t="s">
        <v>20</v>
      </c>
      <c r="Q149" s="186" t="s">
        <v>20</v>
      </c>
      <c r="R149" s="186" t="s">
        <v>15</v>
      </c>
      <c r="S149" s="186" t="s">
        <v>20</v>
      </c>
      <c r="T149" s="186" t="s">
        <v>20</v>
      </c>
      <c r="U149" s="186" t="s">
        <v>15</v>
      </c>
      <c r="V149" s="186" t="s">
        <v>15</v>
      </c>
      <c r="W149" s="186" t="s">
        <v>15</v>
      </c>
      <c r="X149" s="186" t="s">
        <v>15</v>
      </c>
      <c r="Y149" s="186" t="s">
        <v>15</v>
      </c>
      <c r="Z149" s="186"/>
      <c r="AA149" s="186" t="s">
        <v>372</v>
      </c>
      <c r="AB149" s="186" t="s">
        <v>292</v>
      </c>
      <c r="AC149" s="186" t="s">
        <v>292</v>
      </c>
      <c r="AD149" s="268" t="s">
        <v>373</v>
      </c>
      <c r="AE149" s="268"/>
      <c r="AF149" s="144" t="str">
        <f t="shared" si="8"/>
        <v/>
      </c>
      <c r="AG149" s="144" t="str">
        <f t="shared" si="9"/>
        <v/>
      </c>
      <c r="AH149" s="146" t="str">
        <f t="shared" si="10"/>
        <v/>
      </c>
      <c r="AI149" s="146" t="str">
        <f t="shared" si="11"/>
        <v/>
      </c>
      <c r="AJ149" s="303"/>
      <c r="AK149" s="303"/>
      <c r="AL149" s="303"/>
      <c r="AM149" s="303"/>
      <c r="AN149" s="303"/>
      <c r="AO149" s="303"/>
      <c r="AP149" s="303"/>
      <c r="AQ149" s="303"/>
      <c r="AR149" s="303"/>
      <c r="AS149" s="170"/>
      <c r="AT149" s="170"/>
      <c r="AU149" s="310"/>
      <c r="AW149" s="294"/>
      <c r="AX149" s="294"/>
      <c r="AY149" s="294"/>
      <c r="AZ149" s="294"/>
      <c r="BA149" s="294"/>
      <c r="BB149" s="294"/>
      <c r="BC149" s="294"/>
      <c r="BD149" s="294"/>
      <c r="BE149" s="294"/>
      <c r="BF149" s="383"/>
      <c r="BG149" s="382">
        <v>4.2699999999999996</v>
      </c>
      <c r="BH149" s="278"/>
      <c r="BI149" s="365" t="s">
        <v>374</v>
      </c>
      <c r="BJ149" s="411"/>
    </row>
    <row r="150" spans="1:62" ht="15.75" customHeight="1" thickBot="1" x14ac:dyDescent="0.25">
      <c r="A150" s="154">
        <v>149</v>
      </c>
      <c r="B150" s="155">
        <v>1</v>
      </c>
      <c r="C150" s="148" t="s">
        <v>24</v>
      </c>
      <c r="D150" s="148" t="s">
        <v>283</v>
      </c>
      <c r="E150" s="148" t="s">
        <v>13</v>
      </c>
      <c r="F150" s="148" t="s">
        <v>391</v>
      </c>
      <c r="G150" s="148" t="s">
        <v>122</v>
      </c>
      <c r="H150" s="148" t="s">
        <v>42</v>
      </c>
      <c r="I150" s="161">
        <v>2011</v>
      </c>
      <c r="J150" s="161" t="s">
        <v>370</v>
      </c>
      <c r="K150" s="161" t="s">
        <v>371</v>
      </c>
      <c r="L150" s="161" t="s">
        <v>83</v>
      </c>
      <c r="M150" s="453" t="s">
        <v>4128</v>
      </c>
      <c r="N150" s="186" t="s">
        <v>20</v>
      </c>
      <c r="O150" s="186" t="s">
        <v>20</v>
      </c>
      <c r="P150" s="186" t="s">
        <v>20</v>
      </c>
      <c r="Q150" s="186" t="s">
        <v>20</v>
      </c>
      <c r="R150" s="186" t="s">
        <v>15</v>
      </c>
      <c r="S150" s="186" t="s">
        <v>20</v>
      </c>
      <c r="T150" s="186" t="s">
        <v>20</v>
      </c>
      <c r="U150" s="186" t="s">
        <v>15</v>
      </c>
      <c r="V150" s="186" t="s">
        <v>15</v>
      </c>
      <c r="W150" s="186" t="s">
        <v>15</v>
      </c>
      <c r="X150" s="186" t="s">
        <v>15</v>
      </c>
      <c r="Y150" s="186" t="s">
        <v>15</v>
      </c>
      <c r="Z150" s="186"/>
      <c r="AA150" s="186" t="s">
        <v>372</v>
      </c>
      <c r="AB150" s="186" t="s">
        <v>292</v>
      </c>
      <c r="AC150" s="186" t="s">
        <v>292</v>
      </c>
      <c r="AD150" s="268" t="s">
        <v>373</v>
      </c>
      <c r="AE150" s="268"/>
      <c r="AF150" s="144" t="str">
        <f t="shared" si="8"/>
        <v/>
      </c>
      <c r="AG150" s="144" t="str">
        <f t="shared" si="9"/>
        <v/>
      </c>
      <c r="AH150" s="146" t="str">
        <f t="shared" si="10"/>
        <v/>
      </c>
      <c r="AI150" s="146" t="str">
        <f t="shared" si="11"/>
        <v/>
      </c>
      <c r="AJ150" s="303"/>
      <c r="AK150" s="303"/>
      <c r="AL150" s="303"/>
      <c r="AM150" s="303"/>
      <c r="AN150" s="303"/>
      <c r="AO150" s="303"/>
      <c r="AP150" s="303"/>
      <c r="AQ150" s="303"/>
      <c r="AR150" s="303"/>
      <c r="AS150" s="170"/>
      <c r="AT150" s="170"/>
      <c r="AU150" s="310"/>
      <c r="AW150" s="294"/>
      <c r="AX150" s="294"/>
      <c r="AY150" s="294"/>
      <c r="AZ150" s="294"/>
      <c r="BA150" s="294"/>
      <c r="BB150" s="294"/>
      <c r="BC150" s="294"/>
      <c r="BD150" s="294"/>
      <c r="BE150" s="294"/>
      <c r="BF150" s="383"/>
      <c r="BG150" s="382">
        <v>6.4</v>
      </c>
      <c r="BH150" s="278"/>
      <c r="BI150" s="365" t="s">
        <v>374</v>
      </c>
      <c r="BJ150" s="411"/>
    </row>
    <row r="151" spans="1:62" ht="15.75" customHeight="1" thickBot="1" x14ac:dyDescent="0.25">
      <c r="A151" s="156">
        <v>150</v>
      </c>
      <c r="B151" s="155">
        <v>1</v>
      </c>
      <c r="C151" s="148" t="s">
        <v>24</v>
      </c>
      <c r="D151" s="148" t="s">
        <v>283</v>
      </c>
      <c r="E151" s="148" t="s">
        <v>13</v>
      </c>
      <c r="F151" s="148" t="s">
        <v>392</v>
      </c>
      <c r="G151" s="148" t="s">
        <v>122</v>
      </c>
      <c r="H151" s="148" t="s">
        <v>42</v>
      </c>
      <c r="I151" s="161">
        <v>2011</v>
      </c>
      <c r="J151" s="161" t="s">
        <v>370</v>
      </c>
      <c r="K151" s="161" t="s">
        <v>371</v>
      </c>
      <c r="L151" s="161" t="s">
        <v>83</v>
      </c>
      <c r="M151" s="453" t="s">
        <v>4128</v>
      </c>
      <c r="N151" s="186" t="s">
        <v>20</v>
      </c>
      <c r="O151" s="186" t="s">
        <v>20</v>
      </c>
      <c r="P151" s="186" t="s">
        <v>20</v>
      </c>
      <c r="Q151" s="186" t="s">
        <v>20</v>
      </c>
      <c r="R151" s="186" t="s">
        <v>15</v>
      </c>
      <c r="S151" s="186" t="s">
        <v>20</v>
      </c>
      <c r="T151" s="186" t="s">
        <v>20</v>
      </c>
      <c r="U151" s="186" t="s">
        <v>15</v>
      </c>
      <c r="V151" s="186" t="s">
        <v>15</v>
      </c>
      <c r="W151" s="186" t="s">
        <v>15</v>
      </c>
      <c r="X151" s="186" t="s">
        <v>15</v>
      </c>
      <c r="Y151" s="186" t="s">
        <v>15</v>
      </c>
      <c r="Z151" s="186"/>
      <c r="AA151" s="186" t="s">
        <v>372</v>
      </c>
      <c r="AB151" s="186" t="s">
        <v>292</v>
      </c>
      <c r="AC151" s="186" t="s">
        <v>292</v>
      </c>
      <c r="AD151" s="268" t="s">
        <v>373</v>
      </c>
      <c r="AE151" s="268"/>
      <c r="AF151" s="144" t="str">
        <f t="shared" si="8"/>
        <v/>
      </c>
      <c r="AG151" s="144" t="str">
        <f t="shared" si="9"/>
        <v/>
      </c>
      <c r="AH151" s="146" t="str">
        <f t="shared" si="10"/>
        <v/>
      </c>
      <c r="AI151" s="146" t="str">
        <f t="shared" si="11"/>
        <v/>
      </c>
      <c r="AJ151" s="303"/>
      <c r="AK151" s="303"/>
      <c r="AL151" s="303"/>
      <c r="AM151" s="303"/>
      <c r="AN151" s="303"/>
      <c r="AO151" s="303"/>
      <c r="AP151" s="303"/>
      <c r="AQ151" s="303"/>
      <c r="AR151" s="303"/>
      <c r="AS151" s="170"/>
      <c r="AT151" s="170"/>
      <c r="AU151" s="310"/>
      <c r="AW151" s="294"/>
      <c r="AX151" s="294"/>
      <c r="AY151" s="294"/>
      <c r="AZ151" s="294"/>
      <c r="BA151" s="294"/>
      <c r="BB151" s="294"/>
      <c r="BC151" s="294"/>
      <c r="BD151" s="294"/>
      <c r="BE151" s="294"/>
      <c r="BF151" s="383"/>
      <c r="BG151" s="382">
        <v>6.26</v>
      </c>
      <c r="BH151" s="278"/>
      <c r="BI151" s="365" t="s">
        <v>374</v>
      </c>
      <c r="BJ151" s="411"/>
    </row>
    <row r="152" spans="1:62" ht="15.75" customHeight="1" thickBot="1" x14ac:dyDescent="0.25">
      <c r="A152" s="154">
        <v>151</v>
      </c>
      <c r="B152" s="155">
        <v>1</v>
      </c>
      <c r="C152" s="148" t="s">
        <v>24</v>
      </c>
      <c r="D152" s="151" t="s">
        <v>4010</v>
      </c>
      <c r="E152" s="148" t="s">
        <v>13</v>
      </c>
      <c r="F152" s="148" t="s">
        <v>393</v>
      </c>
      <c r="G152" s="148" t="s">
        <v>122</v>
      </c>
      <c r="H152" s="148" t="s">
        <v>42</v>
      </c>
      <c r="I152" s="161">
        <v>2011</v>
      </c>
      <c r="J152" s="161" t="s">
        <v>370</v>
      </c>
      <c r="K152" s="161" t="s">
        <v>371</v>
      </c>
      <c r="L152" s="161" t="s">
        <v>83</v>
      </c>
      <c r="M152" s="453" t="s">
        <v>4128</v>
      </c>
      <c r="N152" s="186" t="s">
        <v>20</v>
      </c>
      <c r="O152" s="186" t="s">
        <v>20</v>
      </c>
      <c r="P152" s="186" t="s">
        <v>20</v>
      </c>
      <c r="Q152" s="186" t="s">
        <v>20</v>
      </c>
      <c r="R152" s="186" t="s">
        <v>15</v>
      </c>
      <c r="S152" s="186" t="s">
        <v>20</v>
      </c>
      <c r="T152" s="186" t="s">
        <v>20</v>
      </c>
      <c r="U152" s="186" t="s">
        <v>15</v>
      </c>
      <c r="V152" s="186" t="s">
        <v>15</v>
      </c>
      <c r="W152" s="186" t="s">
        <v>15</v>
      </c>
      <c r="X152" s="186" t="s">
        <v>15</v>
      </c>
      <c r="Y152" s="186" t="s">
        <v>15</v>
      </c>
      <c r="Z152" s="186"/>
      <c r="AA152" s="186" t="s">
        <v>372</v>
      </c>
      <c r="AB152" s="186" t="s">
        <v>292</v>
      </c>
      <c r="AC152" s="186" t="s">
        <v>292</v>
      </c>
      <c r="AD152" s="268" t="s">
        <v>373</v>
      </c>
      <c r="AE152" s="268"/>
      <c r="AF152" s="144" t="str">
        <f t="shared" si="8"/>
        <v/>
      </c>
      <c r="AG152" s="144" t="str">
        <f t="shared" si="9"/>
        <v/>
      </c>
      <c r="AH152" s="146" t="str">
        <f t="shared" si="10"/>
        <v/>
      </c>
      <c r="AI152" s="146" t="str">
        <f t="shared" si="11"/>
        <v/>
      </c>
      <c r="AJ152" s="303"/>
      <c r="AK152" s="303"/>
      <c r="AL152" s="303"/>
      <c r="AM152" s="303"/>
      <c r="AN152" s="303"/>
      <c r="AO152" s="303"/>
      <c r="AP152" s="303"/>
      <c r="AQ152" s="303"/>
      <c r="AR152" s="303"/>
      <c r="AS152" s="170"/>
      <c r="AT152" s="170"/>
      <c r="AU152" s="310"/>
      <c r="AW152" s="294"/>
      <c r="AX152" s="294"/>
      <c r="AY152" s="294"/>
      <c r="AZ152" s="294"/>
      <c r="BA152" s="294"/>
      <c r="BB152" s="294"/>
      <c r="BC152" s="294"/>
      <c r="BD152" s="294"/>
      <c r="BE152" s="294"/>
      <c r="BF152" s="383"/>
      <c r="BG152" s="382">
        <v>6.11</v>
      </c>
      <c r="BH152" s="278"/>
      <c r="BI152" s="365" t="s">
        <v>374</v>
      </c>
      <c r="BJ152" s="411"/>
    </row>
    <row r="153" spans="1:62" ht="15.75" customHeight="1" thickBot="1" x14ac:dyDescent="0.25">
      <c r="A153" s="156">
        <v>152</v>
      </c>
      <c r="B153" s="155">
        <v>1</v>
      </c>
      <c r="C153" s="148" t="s">
        <v>24</v>
      </c>
      <c r="D153" s="148" t="s">
        <v>173</v>
      </c>
      <c r="E153" s="148" t="s">
        <v>13</v>
      </c>
      <c r="F153" s="148"/>
      <c r="G153" s="148" t="s">
        <v>122</v>
      </c>
      <c r="H153" s="148" t="s">
        <v>375</v>
      </c>
      <c r="I153" s="161">
        <v>2011</v>
      </c>
      <c r="J153" s="161" t="s">
        <v>370</v>
      </c>
      <c r="K153" s="161" t="s">
        <v>371</v>
      </c>
      <c r="L153" s="161" t="s">
        <v>83</v>
      </c>
      <c r="M153" s="453" t="s">
        <v>4128</v>
      </c>
      <c r="N153" s="186" t="s">
        <v>20</v>
      </c>
      <c r="O153" s="186" t="s">
        <v>20</v>
      </c>
      <c r="P153" s="186" t="s">
        <v>20</v>
      </c>
      <c r="Q153" s="186" t="s">
        <v>20</v>
      </c>
      <c r="R153" s="186" t="s">
        <v>15</v>
      </c>
      <c r="S153" s="186" t="s">
        <v>20</v>
      </c>
      <c r="T153" s="186" t="s">
        <v>20</v>
      </c>
      <c r="U153" s="186" t="s">
        <v>15</v>
      </c>
      <c r="V153" s="186" t="s">
        <v>15</v>
      </c>
      <c r="W153" s="186" t="s">
        <v>15</v>
      </c>
      <c r="X153" s="186" t="s">
        <v>15</v>
      </c>
      <c r="Y153" s="186" t="s">
        <v>15</v>
      </c>
      <c r="Z153" s="186"/>
      <c r="AA153" s="186" t="s">
        <v>372</v>
      </c>
      <c r="AB153" s="186" t="s">
        <v>292</v>
      </c>
      <c r="AC153" s="186" t="s">
        <v>292</v>
      </c>
      <c r="AD153" s="268" t="s">
        <v>373</v>
      </c>
      <c r="AE153" s="268"/>
      <c r="AF153" s="144" t="str">
        <f t="shared" si="8"/>
        <v/>
      </c>
      <c r="AG153" s="144" t="str">
        <f t="shared" si="9"/>
        <v/>
      </c>
      <c r="AH153" s="146" t="str">
        <f t="shared" si="10"/>
        <v/>
      </c>
      <c r="AI153" s="146" t="str">
        <f t="shared" si="11"/>
        <v/>
      </c>
      <c r="AJ153" s="303"/>
      <c r="AK153" s="303"/>
      <c r="AL153" s="303"/>
      <c r="AM153" s="303"/>
      <c r="AN153" s="303"/>
      <c r="AO153" s="303"/>
      <c r="AP153" s="303"/>
      <c r="AQ153" s="303"/>
      <c r="AR153" s="303"/>
      <c r="AS153" s="170"/>
      <c r="AT153" s="170"/>
      <c r="AU153" s="310"/>
      <c r="AW153" s="294"/>
      <c r="AX153" s="294"/>
      <c r="AY153" s="294"/>
      <c r="AZ153" s="294"/>
      <c r="BA153" s="294"/>
      <c r="BB153" s="294"/>
      <c r="BC153" s="294"/>
      <c r="BD153" s="294"/>
      <c r="BE153" s="294"/>
      <c r="BF153" s="383"/>
      <c r="BG153" s="382">
        <v>8.85</v>
      </c>
      <c r="BH153" s="278"/>
      <c r="BI153" s="365" t="s">
        <v>374</v>
      </c>
      <c r="BJ153" s="411"/>
    </row>
    <row r="154" spans="1:62" ht="15.75" customHeight="1" thickBot="1" x14ac:dyDescent="0.25">
      <c r="A154" s="154">
        <v>153</v>
      </c>
      <c r="B154" s="155">
        <v>1</v>
      </c>
      <c r="C154" s="148" t="s">
        <v>24</v>
      </c>
      <c r="D154" s="148" t="s">
        <v>173</v>
      </c>
      <c r="E154" s="148" t="s">
        <v>13</v>
      </c>
      <c r="F154" s="148"/>
      <c r="G154" s="148" t="s">
        <v>122</v>
      </c>
      <c r="H154" s="148" t="s">
        <v>42</v>
      </c>
      <c r="I154" s="161">
        <v>2011</v>
      </c>
      <c r="J154" s="161" t="s">
        <v>370</v>
      </c>
      <c r="K154" s="161" t="s">
        <v>371</v>
      </c>
      <c r="L154" s="161" t="s">
        <v>83</v>
      </c>
      <c r="M154" s="453" t="s">
        <v>4128</v>
      </c>
      <c r="N154" s="186" t="s">
        <v>20</v>
      </c>
      <c r="O154" s="186" t="s">
        <v>20</v>
      </c>
      <c r="P154" s="186" t="s">
        <v>20</v>
      </c>
      <c r="Q154" s="186" t="s">
        <v>20</v>
      </c>
      <c r="R154" s="186" t="s">
        <v>15</v>
      </c>
      <c r="S154" s="186" t="s">
        <v>20</v>
      </c>
      <c r="T154" s="186" t="s">
        <v>20</v>
      </c>
      <c r="U154" s="186" t="s">
        <v>15</v>
      </c>
      <c r="V154" s="186" t="s">
        <v>15</v>
      </c>
      <c r="W154" s="186" t="s">
        <v>15</v>
      </c>
      <c r="X154" s="186" t="s">
        <v>15</v>
      </c>
      <c r="Y154" s="186" t="s">
        <v>15</v>
      </c>
      <c r="Z154" s="186"/>
      <c r="AA154" s="186" t="s">
        <v>372</v>
      </c>
      <c r="AB154" s="186" t="s">
        <v>292</v>
      </c>
      <c r="AC154" s="186" t="s">
        <v>292</v>
      </c>
      <c r="AD154" s="268" t="s">
        <v>373</v>
      </c>
      <c r="AE154" s="268"/>
      <c r="AF154" s="144" t="str">
        <f t="shared" si="8"/>
        <v/>
      </c>
      <c r="AG154" s="144" t="str">
        <f t="shared" si="9"/>
        <v/>
      </c>
      <c r="AH154" s="146" t="str">
        <f t="shared" si="10"/>
        <v/>
      </c>
      <c r="AI154" s="146" t="str">
        <f t="shared" si="11"/>
        <v/>
      </c>
      <c r="AJ154" s="303"/>
      <c r="AK154" s="303"/>
      <c r="AL154" s="303"/>
      <c r="AM154" s="303"/>
      <c r="AN154" s="303"/>
      <c r="AO154" s="303"/>
      <c r="AP154" s="303"/>
      <c r="AQ154" s="303"/>
      <c r="AR154" s="303"/>
      <c r="AS154" s="170"/>
      <c r="AT154" s="170"/>
      <c r="AU154" s="310"/>
      <c r="AW154" s="294"/>
      <c r="AX154" s="294"/>
      <c r="AY154" s="294"/>
      <c r="AZ154" s="294"/>
      <c r="BA154" s="294"/>
      <c r="BB154" s="294"/>
      <c r="BC154" s="294"/>
      <c r="BD154" s="294"/>
      <c r="BE154" s="294"/>
      <c r="BF154" s="383"/>
      <c r="BG154" s="382">
        <v>9.34</v>
      </c>
      <c r="BH154" s="278"/>
      <c r="BI154" s="365" t="s">
        <v>374</v>
      </c>
      <c r="BJ154" s="411"/>
    </row>
    <row r="155" spans="1:62" ht="15.75" customHeight="1" thickBot="1" x14ac:dyDescent="0.25">
      <c r="A155" s="156">
        <v>154</v>
      </c>
      <c r="B155" s="155">
        <v>1</v>
      </c>
      <c r="C155" s="148" t="s">
        <v>24</v>
      </c>
      <c r="D155" s="148" t="s">
        <v>346</v>
      </c>
      <c r="E155" s="148"/>
      <c r="F155" s="148" t="s">
        <v>378</v>
      </c>
      <c r="G155" s="148" t="s">
        <v>122</v>
      </c>
      <c r="H155" s="148"/>
      <c r="I155" s="161">
        <v>2011</v>
      </c>
      <c r="J155" s="161" t="s">
        <v>370</v>
      </c>
      <c r="K155" s="161" t="s">
        <v>371</v>
      </c>
      <c r="L155" s="161" t="s">
        <v>83</v>
      </c>
      <c r="M155" s="453" t="s">
        <v>4128</v>
      </c>
      <c r="N155" s="186" t="s">
        <v>20</v>
      </c>
      <c r="O155" s="186" t="s">
        <v>20</v>
      </c>
      <c r="P155" s="186" t="s">
        <v>20</v>
      </c>
      <c r="Q155" s="186" t="s">
        <v>20</v>
      </c>
      <c r="R155" s="186" t="s">
        <v>15</v>
      </c>
      <c r="S155" s="186" t="s">
        <v>20</v>
      </c>
      <c r="T155" s="186" t="s">
        <v>20</v>
      </c>
      <c r="U155" s="186" t="s">
        <v>15</v>
      </c>
      <c r="V155" s="186" t="s">
        <v>15</v>
      </c>
      <c r="W155" s="186" t="s">
        <v>15</v>
      </c>
      <c r="X155" s="186" t="s">
        <v>15</v>
      </c>
      <c r="Y155" s="186" t="s">
        <v>15</v>
      </c>
      <c r="Z155" s="186"/>
      <c r="AA155" s="186" t="s">
        <v>372</v>
      </c>
      <c r="AB155" s="186" t="s">
        <v>292</v>
      </c>
      <c r="AC155" s="186" t="s">
        <v>292</v>
      </c>
      <c r="AD155" s="268" t="s">
        <v>373</v>
      </c>
      <c r="AE155" s="268"/>
      <c r="AF155" s="144" t="str">
        <f t="shared" si="8"/>
        <v/>
      </c>
      <c r="AG155" s="144" t="str">
        <f t="shared" si="9"/>
        <v/>
      </c>
      <c r="AH155" s="146" t="str">
        <f t="shared" si="10"/>
        <v/>
      </c>
      <c r="AI155" s="146" t="str">
        <f t="shared" si="11"/>
        <v/>
      </c>
      <c r="AJ155" s="303"/>
      <c r="AK155" s="303"/>
      <c r="AL155" s="303"/>
      <c r="AM155" s="303"/>
      <c r="AN155" s="303"/>
      <c r="AO155" s="303"/>
      <c r="AP155" s="303"/>
      <c r="AQ155" s="303"/>
      <c r="AR155" s="303"/>
      <c r="AS155" s="170"/>
      <c r="AT155" s="170"/>
      <c r="AU155" s="310"/>
      <c r="AW155" s="294"/>
      <c r="AX155" s="294"/>
      <c r="AY155" s="294"/>
      <c r="AZ155" s="294"/>
      <c r="BA155" s="294"/>
      <c r="BB155" s="294"/>
      <c r="BC155" s="294"/>
      <c r="BD155" s="294"/>
      <c r="BE155" s="294"/>
      <c r="BF155" s="383"/>
      <c r="BG155" s="382">
        <v>15.1</v>
      </c>
      <c r="BH155" s="278"/>
      <c r="BI155" s="365" t="s">
        <v>374</v>
      </c>
      <c r="BJ155" s="411"/>
    </row>
    <row r="156" spans="1:62" ht="15.75" customHeight="1" thickBot="1" x14ac:dyDescent="0.25">
      <c r="A156" s="154">
        <v>155</v>
      </c>
      <c r="B156" s="155">
        <v>1</v>
      </c>
      <c r="C156" s="148" t="s">
        <v>24</v>
      </c>
      <c r="D156" s="148" t="s">
        <v>346</v>
      </c>
      <c r="E156" s="148"/>
      <c r="F156" s="148" t="s">
        <v>379</v>
      </c>
      <c r="G156" s="148" t="s">
        <v>122</v>
      </c>
      <c r="H156" s="148"/>
      <c r="I156" s="161">
        <v>2011</v>
      </c>
      <c r="J156" s="161" t="s">
        <v>370</v>
      </c>
      <c r="K156" s="161" t="s">
        <v>371</v>
      </c>
      <c r="L156" s="161" t="s">
        <v>83</v>
      </c>
      <c r="M156" s="453" t="s">
        <v>4128</v>
      </c>
      <c r="N156" s="186" t="s">
        <v>20</v>
      </c>
      <c r="O156" s="186" t="s">
        <v>20</v>
      </c>
      <c r="P156" s="186" t="s">
        <v>20</v>
      </c>
      <c r="Q156" s="186" t="s">
        <v>20</v>
      </c>
      <c r="R156" s="186" t="s">
        <v>15</v>
      </c>
      <c r="S156" s="186" t="s">
        <v>20</v>
      </c>
      <c r="T156" s="186" t="s">
        <v>20</v>
      </c>
      <c r="U156" s="186" t="s">
        <v>15</v>
      </c>
      <c r="V156" s="186" t="s">
        <v>15</v>
      </c>
      <c r="W156" s="186" t="s">
        <v>15</v>
      </c>
      <c r="X156" s="186" t="s">
        <v>15</v>
      </c>
      <c r="Y156" s="186" t="s">
        <v>15</v>
      </c>
      <c r="Z156" s="186"/>
      <c r="AA156" s="186" t="s">
        <v>372</v>
      </c>
      <c r="AB156" s="186" t="s">
        <v>292</v>
      </c>
      <c r="AC156" s="186" t="s">
        <v>292</v>
      </c>
      <c r="AD156" s="268" t="s">
        <v>373</v>
      </c>
      <c r="AE156" s="268"/>
      <c r="AF156" s="144" t="str">
        <f t="shared" si="8"/>
        <v/>
      </c>
      <c r="AG156" s="144" t="str">
        <f t="shared" si="9"/>
        <v/>
      </c>
      <c r="AH156" s="146" t="str">
        <f t="shared" si="10"/>
        <v/>
      </c>
      <c r="AI156" s="146" t="str">
        <f t="shared" si="11"/>
        <v/>
      </c>
      <c r="AJ156" s="303"/>
      <c r="AK156" s="303"/>
      <c r="AL156" s="303"/>
      <c r="AM156" s="303"/>
      <c r="AN156" s="303"/>
      <c r="AO156" s="303"/>
      <c r="AP156" s="303"/>
      <c r="AQ156" s="303"/>
      <c r="AR156" s="303"/>
      <c r="AS156" s="170"/>
      <c r="AT156" s="170"/>
      <c r="AU156" s="310"/>
      <c r="AW156" s="294"/>
      <c r="AX156" s="294"/>
      <c r="AY156" s="294"/>
      <c r="AZ156" s="294"/>
      <c r="BA156" s="294"/>
      <c r="BB156" s="294"/>
      <c r="BC156" s="294"/>
      <c r="BD156" s="294"/>
      <c r="BE156" s="294"/>
      <c r="BF156" s="383"/>
      <c r="BG156" s="382">
        <v>16.600000000000001</v>
      </c>
      <c r="BH156" s="278"/>
      <c r="BI156" s="365" t="s">
        <v>374</v>
      </c>
      <c r="BJ156" s="411"/>
    </row>
    <row r="157" spans="1:62" ht="15.75" customHeight="1" thickBot="1" x14ac:dyDescent="0.25">
      <c r="A157" s="156">
        <v>156</v>
      </c>
      <c r="B157" s="155">
        <v>1</v>
      </c>
      <c r="C157" s="148" t="s">
        <v>24</v>
      </c>
      <c r="D157" s="148" t="s">
        <v>394</v>
      </c>
      <c r="E157" s="148"/>
      <c r="F157" s="148" t="s">
        <v>395</v>
      </c>
      <c r="G157" s="148" t="s">
        <v>122</v>
      </c>
      <c r="H157" s="148"/>
      <c r="I157" s="161">
        <v>2011</v>
      </c>
      <c r="J157" s="161" t="s">
        <v>370</v>
      </c>
      <c r="K157" s="161" t="s">
        <v>371</v>
      </c>
      <c r="L157" s="161" t="s">
        <v>83</v>
      </c>
      <c r="M157" s="453" t="s">
        <v>4128</v>
      </c>
      <c r="N157" s="186" t="s">
        <v>20</v>
      </c>
      <c r="O157" s="186" t="s">
        <v>20</v>
      </c>
      <c r="P157" s="186" t="s">
        <v>20</v>
      </c>
      <c r="Q157" s="186" t="s">
        <v>20</v>
      </c>
      <c r="R157" s="186" t="s">
        <v>15</v>
      </c>
      <c r="S157" s="186" t="s">
        <v>20</v>
      </c>
      <c r="T157" s="186" t="s">
        <v>20</v>
      </c>
      <c r="U157" s="186" t="s">
        <v>15</v>
      </c>
      <c r="V157" s="186" t="s">
        <v>15</v>
      </c>
      <c r="W157" s="186" t="s">
        <v>15</v>
      </c>
      <c r="X157" s="186" t="s">
        <v>15</v>
      </c>
      <c r="Y157" s="186" t="s">
        <v>15</v>
      </c>
      <c r="Z157" s="186"/>
      <c r="AA157" s="186" t="s">
        <v>372</v>
      </c>
      <c r="AB157" s="186" t="s">
        <v>292</v>
      </c>
      <c r="AC157" s="186" t="s">
        <v>292</v>
      </c>
      <c r="AD157" s="268" t="s">
        <v>373</v>
      </c>
      <c r="AE157" s="268"/>
      <c r="AF157" s="144" t="str">
        <f t="shared" si="8"/>
        <v/>
      </c>
      <c r="AG157" s="144" t="str">
        <f t="shared" si="9"/>
        <v/>
      </c>
      <c r="AH157" s="146" t="str">
        <f t="shared" si="10"/>
        <v/>
      </c>
      <c r="AI157" s="146" t="str">
        <f t="shared" si="11"/>
        <v/>
      </c>
      <c r="AJ157" s="303"/>
      <c r="AK157" s="303"/>
      <c r="AL157" s="303"/>
      <c r="AM157" s="303"/>
      <c r="AN157" s="303"/>
      <c r="AO157" s="303"/>
      <c r="AP157" s="303"/>
      <c r="AQ157" s="303"/>
      <c r="AR157" s="303"/>
      <c r="AS157" s="170"/>
      <c r="AT157" s="170"/>
      <c r="AU157" s="310"/>
      <c r="AW157" s="294"/>
      <c r="AX157" s="294"/>
      <c r="AY157" s="294"/>
      <c r="AZ157" s="294"/>
      <c r="BA157" s="294"/>
      <c r="BB157" s="294"/>
      <c r="BC157" s="294"/>
      <c r="BD157" s="294"/>
      <c r="BE157" s="294"/>
      <c r="BF157" s="383"/>
      <c r="BG157" s="382">
        <v>27.4</v>
      </c>
      <c r="BH157" s="278"/>
      <c r="BI157" s="365" t="s">
        <v>374</v>
      </c>
      <c r="BJ157" s="411"/>
    </row>
    <row r="158" spans="1:62" ht="15.75" customHeight="1" thickBot="1" x14ac:dyDescent="0.25">
      <c r="A158" s="154">
        <v>157</v>
      </c>
      <c r="B158" s="155">
        <v>1</v>
      </c>
      <c r="C158" s="148" t="s">
        <v>24</v>
      </c>
      <c r="D158" s="148" t="s">
        <v>394</v>
      </c>
      <c r="E158" s="148"/>
      <c r="F158" s="148" t="s">
        <v>396</v>
      </c>
      <c r="G158" s="148" t="s">
        <v>122</v>
      </c>
      <c r="H158" s="148"/>
      <c r="I158" s="161">
        <v>2011</v>
      </c>
      <c r="J158" s="161" t="s">
        <v>370</v>
      </c>
      <c r="K158" s="161" t="s">
        <v>371</v>
      </c>
      <c r="L158" s="161" t="s">
        <v>83</v>
      </c>
      <c r="M158" s="453" t="s">
        <v>4128</v>
      </c>
      <c r="N158" s="186" t="s">
        <v>20</v>
      </c>
      <c r="O158" s="186" t="s">
        <v>20</v>
      </c>
      <c r="P158" s="186" t="s">
        <v>20</v>
      </c>
      <c r="Q158" s="186" t="s">
        <v>20</v>
      </c>
      <c r="R158" s="186" t="s">
        <v>15</v>
      </c>
      <c r="S158" s="186" t="s">
        <v>20</v>
      </c>
      <c r="T158" s="186" t="s">
        <v>20</v>
      </c>
      <c r="U158" s="186" t="s">
        <v>15</v>
      </c>
      <c r="V158" s="186" t="s">
        <v>15</v>
      </c>
      <c r="W158" s="186" t="s">
        <v>15</v>
      </c>
      <c r="X158" s="186" t="s">
        <v>15</v>
      </c>
      <c r="Y158" s="186" t="s">
        <v>15</v>
      </c>
      <c r="Z158" s="186"/>
      <c r="AA158" s="186" t="s">
        <v>372</v>
      </c>
      <c r="AB158" s="186" t="s">
        <v>292</v>
      </c>
      <c r="AC158" s="186" t="s">
        <v>292</v>
      </c>
      <c r="AD158" s="268" t="s">
        <v>373</v>
      </c>
      <c r="AE158" s="268"/>
      <c r="AF158" s="144" t="str">
        <f t="shared" si="8"/>
        <v/>
      </c>
      <c r="AG158" s="144" t="str">
        <f t="shared" si="9"/>
        <v/>
      </c>
      <c r="AH158" s="146" t="str">
        <f t="shared" si="10"/>
        <v/>
      </c>
      <c r="AI158" s="146" t="str">
        <f t="shared" si="11"/>
        <v/>
      </c>
      <c r="AJ158" s="303"/>
      <c r="AK158" s="303"/>
      <c r="AL158" s="303"/>
      <c r="AM158" s="303"/>
      <c r="AN158" s="303"/>
      <c r="AO158" s="303"/>
      <c r="AP158" s="303"/>
      <c r="AQ158" s="303"/>
      <c r="AR158" s="303"/>
      <c r="AS158" s="170"/>
      <c r="AT158" s="170"/>
      <c r="AU158" s="310"/>
      <c r="AW158" s="294"/>
      <c r="AX158" s="294"/>
      <c r="AY158" s="294"/>
      <c r="AZ158" s="294"/>
      <c r="BA158" s="294"/>
      <c r="BB158" s="294"/>
      <c r="BC158" s="294"/>
      <c r="BD158" s="294"/>
      <c r="BE158" s="294"/>
      <c r="BF158" s="383"/>
      <c r="BG158" s="382">
        <v>15.8</v>
      </c>
      <c r="BH158" s="278"/>
      <c r="BI158" s="365" t="s">
        <v>374</v>
      </c>
      <c r="BJ158" s="411"/>
    </row>
    <row r="159" spans="1:62" ht="15.75" customHeight="1" thickBot="1" x14ac:dyDescent="0.25">
      <c r="A159" s="156">
        <v>158</v>
      </c>
      <c r="B159" s="155">
        <v>1</v>
      </c>
      <c r="C159" s="148" t="s">
        <v>24</v>
      </c>
      <c r="D159" s="148" t="s">
        <v>394</v>
      </c>
      <c r="E159" s="148"/>
      <c r="F159" s="148" t="s">
        <v>397</v>
      </c>
      <c r="G159" s="148" t="s">
        <v>122</v>
      </c>
      <c r="H159" s="148"/>
      <c r="I159" s="161">
        <v>2011</v>
      </c>
      <c r="J159" s="161" t="s">
        <v>370</v>
      </c>
      <c r="K159" s="161" t="s">
        <v>371</v>
      </c>
      <c r="L159" s="161" t="s">
        <v>83</v>
      </c>
      <c r="M159" s="453" t="s">
        <v>4128</v>
      </c>
      <c r="N159" s="186" t="s">
        <v>20</v>
      </c>
      <c r="O159" s="186" t="s">
        <v>20</v>
      </c>
      <c r="P159" s="186" t="s">
        <v>20</v>
      </c>
      <c r="Q159" s="186" t="s">
        <v>20</v>
      </c>
      <c r="R159" s="186" t="s">
        <v>15</v>
      </c>
      <c r="S159" s="186" t="s">
        <v>20</v>
      </c>
      <c r="T159" s="186" t="s">
        <v>20</v>
      </c>
      <c r="U159" s="186" t="s">
        <v>15</v>
      </c>
      <c r="V159" s="186" t="s">
        <v>15</v>
      </c>
      <c r="W159" s="186" t="s">
        <v>15</v>
      </c>
      <c r="X159" s="186" t="s">
        <v>15</v>
      </c>
      <c r="Y159" s="186" t="s">
        <v>15</v>
      </c>
      <c r="Z159" s="186"/>
      <c r="AA159" s="186" t="s">
        <v>372</v>
      </c>
      <c r="AB159" s="186" t="s">
        <v>292</v>
      </c>
      <c r="AC159" s="186" t="s">
        <v>292</v>
      </c>
      <c r="AD159" s="268" t="s">
        <v>373</v>
      </c>
      <c r="AE159" s="268"/>
      <c r="AF159" s="144" t="str">
        <f t="shared" si="8"/>
        <v/>
      </c>
      <c r="AG159" s="144" t="str">
        <f t="shared" si="9"/>
        <v/>
      </c>
      <c r="AH159" s="146" t="str">
        <f t="shared" si="10"/>
        <v/>
      </c>
      <c r="AI159" s="146" t="str">
        <f t="shared" si="11"/>
        <v/>
      </c>
      <c r="AJ159" s="303"/>
      <c r="AK159" s="303"/>
      <c r="AL159" s="303"/>
      <c r="AM159" s="303"/>
      <c r="AN159" s="303"/>
      <c r="AO159" s="303"/>
      <c r="AP159" s="303"/>
      <c r="AQ159" s="303"/>
      <c r="AR159" s="303"/>
      <c r="AS159" s="170"/>
      <c r="AT159" s="170"/>
      <c r="AU159" s="310"/>
      <c r="AW159" s="294"/>
      <c r="AX159" s="294"/>
      <c r="AY159" s="294"/>
      <c r="AZ159" s="294"/>
      <c r="BA159" s="294"/>
      <c r="BB159" s="294"/>
      <c r="BC159" s="294"/>
      <c r="BD159" s="294"/>
      <c r="BE159" s="294"/>
      <c r="BF159" s="383"/>
      <c r="BG159" s="382">
        <v>26.3</v>
      </c>
      <c r="BH159" s="278"/>
      <c r="BI159" s="365" t="s">
        <v>374</v>
      </c>
      <c r="BJ159" s="411"/>
    </row>
    <row r="160" spans="1:62" ht="15.75" customHeight="1" thickBot="1" x14ac:dyDescent="0.25">
      <c r="A160" s="154">
        <v>159</v>
      </c>
      <c r="B160" s="155">
        <v>1</v>
      </c>
      <c r="C160" s="148" t="s">
        <v>24</v>
      </c>
      <c r="D160" s="148" t="s">
        <v>2224</v>
      </c>
      <c r="E160" s="148"/>
      <c r="F160" s="148"/>
      <c r="G160" s="148" t="s">
        <v>122</v>
      </c>
      <c r="H160" s="148" t="s">
        <v>42</v>
      </c>
      <c r="I160" s="161">
        <v>2011</v>
      </c>
      <c r="J160" s="161" t="s">
        <v>370</v>
      </c>
      <c r="K160" s="161" t="s">
        <v>371</v>
      </c>
      <c r="L160" s="161" t="s">
        <v>83</v>
      </c>
      <c r="M160" s="453" t="s">
        <v>4128</v>
      </c>
      <c r="N160" s="186" t="s">
        <v>20</v>
      </c>
      <c r="O160" s="186" t="s">
        <v>20</v>
      </c>
      <c r="P160" s="186" t="s">
        <v>20</v>
      </c>
      <c r="Q160" s="186" t="s">
        <v>20</v>
      </c>
      <c r="R160" s="186" t="s">
        <v>15</v>
      </c>
      <c r="S160" s="186" t="s">
        <v>20</v>
      </c>
      <c r="T160" s="186" t="s">
        <v>20</v>
      </c>
      <c r="U160" s="186" t="s">
        <v>15</v>
      </c>
      <c r="V160" s="186" t="s">
        <v>15</v>
      </c>
      <c r="W160" s="186" t="s">
        <v>15</v>
      </c>
      <c r="X160" s="186" t="s">
        <v>15</v>
      </c>
      <c r="Y160" s="186" t="s">
        <v>15</v>
      </c>
      <c r="Z160" s="186"/>
      <c r="AA160" s="186" t="s">
        <v>372</v>
      </c>
      <c r="AB160" s="186" t="s">
        <v>292</v>
      </c>
      <c r="AC160" s="186" t="s">
        <v>292</v>
      </c>
      <c r="AD160" s="268" t="s">
        <v>373</v>
      </c>
      <c r="AE160" s="268"/>
      <c r="AF160" s="144" t="str">
        <f t="shared" si="8"/>
        <v/>
      </c>
      <c r="AG160" s="144" t="str">
        <f t="shared" si="9"/>
        <v/>
      </c>
      <c r="AH160" s="146" t="str">
        <f t="shared" si="10"/>
        <v/>
      </c>
      <c r="AI160" s="146" t="str">
        <f t="shared" si="11"/>
        <v/>
      </c>
      <c r="AJ160" s="303"/>
      <c r="AK160" s="303"/>
      <c r="AL160" s="303"/>
      <c r="AM160" s="303"/>
      <c r="AN160" s="303"/>
      <c r="AO160" s="303"/>
      <c r="AP160" s="303"/>
      <c r="AQ160" s="303"/>
      <c r="AR160" s="303"/>
      <c r="AS160" s="170"/>
      <c r="AT160" s="170"/>
      <c r="AU160" s="310"/>
      <c r="AW160" s="294"/>
      <c r="AX160" s="294"/>
      <c r="AY160" s="294"/>
      <c r="AZ160" s="294"/>
      <c r="BA160" s="294"/>
      <c r="BB160" s="294"/>
      <c r="BC160" s="294"/>
      <c r="BD160" s="294"/>
      <c r="BE160" s="294"/>
      <c r="BF160" s="383"/>
      <c r="BG160" s="382">
        <v>20.14</v>
      </c>
      <c r="BH160" s="278"/>
      <c r="BI160" s="365" t="s">
        <v>374</v>
      </c>
      <c r="BJ160" s="411"/>
    </row>
    <row r="161" spans="1:62" ht="15.75" customHeight="1" thickBot="1" x14ac:dyDescent="0.25">
      <c r="A161" s="156">
        <v>160</v>
      </c>
      <c r="B161" s="155">
        <v>1</v>
      </c>
      <c r="C161" s="148" t="s">
        <v>24</v>
      </c>
      <c r="D161" s="148" t="s">
        <v>2224</v>
      </c>
      <c r="E161" s="148"/>
      <c r="F161" s="148"/>
      <c r="G161" s="148" t="s">
        <v>122</v>
      </c>
      <c r="H161" s="148" t="s">
        <v>369</v>
      </c>
      <c r="I161" s="161">
        <v>2011</v>
      </c>
      <c r="J161" s="161" t="s">
        <v>370</v>
      </c>
      <c r="K161" s="161" t="s">
        <v>371</v>
      </c>
      <c r="L161" s="161" t="s">
        <v>83</v>
      </c>
      <c r="M161" s="453" t="s">
        <v>4128</v>
      </c>
      <c r="N161" s="186" t="s">
        <v>20</v>
      </c>
      <c r="O161" s="186" t="s">
        <v>20</v>
      </c>
      <c r="P161" s="186" t="s">
        <v>20</v>
      </c>
      <c r="Q161" s="186" t="s">
        <v>20</v>
      </c>
      <c r="R161" s="186" t="s">
        <v>15</v>
      </c>
      <c r="S161" s="186" t="s">
        <v>20</v>
      </c>
      <c r="T161" s="186" t="s">
        <v>20</v>
      </c>
      <c r="U161" s="186" t="s">
        <v>15</v>
      </c>
      <c r="V161" s="186" t="s">
        <v>15</v>
      </c>
      <c r="W161" s="186" t="s">
        <v>15</v>
      </c>
      <c r="X161" s="186" t="s">
        <v>15</v>
      </c>
      <c r="Y161" s="186" t="s">
        <v>15</v>
      </c>
      <c r="Z161" s="186"/>
      <c r="AA161" s="186" t="s">
        <v>372</v>
      </c>
      <c r="AB161" s="186" t="s">
        <v>292</v>
      </c>
      <c r="AC161" s="186" t="s">
        <v>292</v>
      </c>
      <c r="AD161" s="268" t="s">
        <v>373</v>
      </c>
      <c r="AE161" s="268"/>
      <c r="AF161" s="144" t="str">
        <f t="shared" si="8"/>
        <v/>
      </c>
      <c r="AG161" s="144" t="str">
        <f t="shared" si="9"/>
        <v/>
      </c>
      <c r="AH161" s="146" t="str">
        <f t="shared" si="10"/>
        <v/>
      </c>
      <c r="AI161" s="146" t="str">
        <f t="shared" si="11"/>
        <v/>
      </c>
      <c r="AJ161" s="303"/>
      <c r="AK161" s="303"/>
      <c r="AL161" s="303"/>
      <c r="AM161" s="303"/>
      <c r="AN161" s="303"/>
      <c r="AO161" s="303"/>
      <c r="AP161" s="303"/>
      <c r="AQ161" s="303"/>
      <c r="AR161" s="303"/>
      <c r="AS161" s="170"/>
      <c r="AT161" s="170"/>
      <c r="AU161" s="310"/>
      <c r="AW161" s="294"/>
      <c r="AX161" s="294"/>
      <c r="AY161" s="294"/>
      <c r="AZ161" s="294"/>
      <c r="BA161" s="294"/>
      <c r="BB161" s="294"/>
      <c r="BC161" s="294"/>
      <c r="BD161" s="294"/>
      <c r="BE161" s="294"/>
      <c r="BF161" s="383"/>
      <c r="BG161" s="382">
        <v>8.27</v>
      </c>
      <c r="BH161" s="278"/>
      <c r="BI161" s="365" t="s">
        <v>374</v>
      </c>
      <c r="BJ161" s="411"/>
    </row>
    <row r="162" spans="1:62" ht="15.75" customHeight="1" thickBot="1" x14ac:dyDescent="0.25">
      <c r="A162" s="154">
        <v>161</v>
      </c>
      <c r="B162" s="155">
        <v>1</v>
      </c>
      <c r="C162" s="148" t="s">
        <v>24</v>
      </c>
      <c r="D162" s="148" t="s">
        <v>2224</v>
      </c>
      <c r="E162" s="148"/>
      <c r="F162" s="148"/>
      <c r="G162" s="148" t="s">
        <v>122</v>
      </c>
      <c r="H162" s="148" t="s">
        <v>42</v>
      </c>
      <c r="I162" s="161">
        <v>2011</v>
      </c>
      <c r="J162" s="161" t="s">
        <v>370</v>
      </c>
      <c r="K162" s="161" t="s">
        <v>371</v>
      </c>
      <c r="L162" s="161" t="s">
        <v>83</v>
      </c>
      <c r="M162" s="453" t="s">
        <v>4128</v>
      </c>
      <c r="N162" s="186" t="s">
        <v>20</v>
      </c>
      <c r="O162" s="186" t="s">
        <v>20</v>
      </c>
      <c r="P162" s="186" t="s">
        <v>20</v>
      </c>
      <c r="Q162" s="186" t="s">
        <v>20</v>
      </c>
      <c r="R162" s="186" t="s">
        <v>15</v>
      </c>
      <c r="S162" s="186" t="s">
        <v>20</v>
      </c>
      <c r="T162" s="186" t="s">
        <v>20</v>
      </c>
      <c r="U162" s="186" t="s">
        <v>15</v>
      </c>
      <c r="V162" s="186" t="s">
        <v>15</v>
      </c>
      <c r="W162" s="186" t="s">
        <v>15</v>
      </c>
      <c r="X162" s="186" t="s">
        <v>15</v>
      </c>
      <c r="Y162" s="186" t="s">
        <v>15</v>
      </c>
      <c r="Z162" s="186"/>
      <c r="AA162" s="186" t="s">
        <v>372</v>
      </c>
      <c r="AB162" s="186" t="s">
        <v>292</v>
      </c>
      <c r="AC162" s="186" t="s">
        <v>292</v>
      </c>
      <c r="AD162" s="268" t="s">
        <v>373</v>
      </c>
      <c r="AE162" s="268"/>
      <c r="AF162" s="144" t="str">
        <f t="shared" si="8"/>
        <v/>
      </c>
      <c r="AG162" s="144" t="str">
        <f t="shared" si="9"/>
        <v/>
      </c>
      <c r="AH162" s="146" t="str">
        <f t="shared" si="10"/>
        <v/>
      </c>
      <c r="AI162" s="146" t="str">
        <f t="shared" si="11"/>
        <v/>
      </c>
      <c r="AJ162" s="303"/>
      <c r="AK162" s="303"/>
      <c r="AL162" s="303"/>
      <c r="AM162" s="303"/>
      <c r="AN162" s="303"/>
      <c r="AO162" s="303"/>
      <c r="AP162" s="303"/>
      <c r="AQ162" s="303"/>
      <c r="AR162" s="303"/>
      <c r="AS162" s="170"/>
      <c r="AT162" s="170"/>
      <c r="AU162" s="310"/>
      <c r="AW162" s="294"/>
      <c r="AX162" s="294"/>
      <c r="AY162" s="294"/>
      <c r="AZ162" s="294"/>
      <c r="BA162" s="294"/>
      <c r="BB162" s="294"/>
      <c r="BC162" s="294"/>
      <c r="BD162" s="294"/>
      <c r="BE162" s="294"/>
      <c r="BF162" s="383"/>
      <c r="BG162" s="382">
        <v>7.81</v>
      </c>
      <c r="BH162" s="278"/>
      <c r="BI162" s="365" t="s">
        <v>374</v>
      </c>
      <c r="BJ162" s="411"/>
    </row>
    <row r="163" spans="1:62" ht="15.75" customHeight="1" thickBot="1" x14ac:dyDescent="0.25">
      <c r="A163" s="156">
        <v>162</v>
      </c>
      <c r="B163" s="155">
        <v>1</v>
      </c>
      <c r="C163" s="148" t="s">
        <v>398</v>
      </c>
      <c r="D163" s="148" t="s">
        <v>399</v>
      </c>
      <c r="E163" s="148"/>
      <c r="F163" s="148"/>
      <c r="G163" s="148" t="s">
        <v>122</v>
      </c>
      <c r="H163" s="148"/>
      <c r="I163" s="161">
        <v>2011</v>
      </c>
      <c r="J163" s="161" t="s">
        <v>370</v>
      </c>
      <c r="K163" s="161" t="s">
        <v>371</v>
      </c>
      <c r="L163" s="161" t="s">
        <v>83</v>
      </c>
      <c r="M163" s="453" t="s">
        <v>4128</v>
      </c>
      <c r="N163" s="186" t="s">
        <v>20</v>
      </c>
      <c r="O163" s="186" t="s">
        <v>20</v>
      </c>
      <c r="P163" s="186" t="s">
        <v>20</v>
      </c>
      <c r="Q163" s="186" t="s">
        <v>20</v>
      </c>
      <c r="R163" s="186" t="s">
        <v>15</v>
      </c>
      <c r="S163" s="186" t="s">
        <v>20</v>
      </c>
      <c r="T163" s="186" t="s">
        <v>20</v>
      </c>
      <c r="U163" s="186" t="s">
        <v>15</v>
      </c>
      <c r="V163" s="186" t="s">
        <v>15</v>
      </c>
      <c r="W163" s="186" t="s">
        <v>15</v>
      </c>
      <c r="X163" s="186" t="s">
        <v>15</v>
      </c>
      <c r="Y163" s="186" t="s">
        <v>15</v>
      </c>
      <c r="Z163" s="186"/>
      <c r="AA163" s="186" t="s">
        <v>372</v>
      </c>
      <c r="AB163" s="186" t="s">
        <v>292</v>
      </c>
      <c r="AC163" s="186" t="s">
        <v>292</v>
      </c>
      <c r="AD163" s="268" t="s">
        <v>373</v>
      </c>
      <c r="AE163" s="268"/>
      <c r="AF163" s="144" t="str">
        <f t="shared" si="8"/>
        <v/>
      </c>
      <c r="AG163" s="144" t="str">
        <f t="shared" si="9"/>
        <v/>
      </c>
      <c r="AH163" s="146" t="str">
        <f t="shared" si="10"/>
        <v/>
      </c>
      <c r="AI163" s="146" t="str">
        <f t="shared" si="11"/>
        <v/>
      </c>
      <c r="AJ163" s="303"/>
      <c r="AK163" s="303"/>
      <c r="AL163" s="303"/>
      <c r="AM163" s="303"/>
      <c r="AN163" s="303"/>
      <c r="AO163" s="303"/>
      <c r="AP163" s="303"/>
      <c r="AQ163" s="303"/>
      <c r="AR163" s="303"/>
      <c r="AS163" s="170"/>
      <c r="AT163" s="170"/>
      <c r="AU163" s="310"/>
      <c r="AW163" s="294"/>
      <c r="AX163" s="294"/>
      <c r="AY163" s="294"/>
      <c r="AZ163" s="294"/>
      <c r="BA163" s="294"/>
      <c r="BB163" s="294"/>
      <c r="BC163" s="294"/>
      <c r="BD163" s="294"/>
      <c r="BE163" s="294"/>
      <c r="BF163" s="383"/>
      <c r="BG163" s="382">
        <v>2.5099999999999998</v>
      </c>
      <c r="BH163" s="278"/>
      <c r="BI163" s="365" t="s">
        <v>374</v>
      </c>
      <c r="BJ163" s="411"/>
    </row>
    <row r="164" spans="1:62" ht="15.75" customHeight="1" thickBot="1" x14ac:dyDescent="0.25">
      <c r="A164" s="154">
        <v>163</v>
      </c>
      <c r="B164" s="155">
        <v>1</v>
      </c>
      <c r="C164" s="148" t="s">
        <v>398</v>
      </c>
      <c r="D164" s="148" t="s">
        <v>400</v>
      </c>
      <c r="E164" s="148"/>
      <c r="F164" s="249" t="s">
        <v>401</v>
      </c>
      <c r="G164" s="148" t="s">
        <v>122</v>
      </c>
      <c r="H164" s="148"/>
      <c r="I164" s="161">
        <v>2011</v>
      </c>
      <c r="J164" s="161" t="s">
        <v>370</v>
      </c>
      <c r="K164" s="161" t="s">
        <v>371</v>
      </c>
      <c r="L164" s="161" t="s">
        <v>83</v>
      </c>
      <c r="M164" s="453" t="s">
        <v>4128</v>
      </c>
      <c r="N164" s="186" t="s">
        <v>20</v>
      </c>
      <c r="O164" s="186" t="s">
        <v>20</v>
      </c>
      <c r="P164" s="186" t="s">
        <v>20</v>
      </c>
      <c r="Q164" s="186" t="s">
        <v>20</v>
      </c>
      <c r="R164" s="186" t="s">
        <v>15</v>
      </c>
      <c r="S164" s="186" t="s">
        <v>20</v>
      </c>
      <c r="T164" s="186" t="s">
        <v>20</v>
      </c>
      <c r="U164" s="186" t="s">
        <v>15</v>
      </c>
      <c r="V164" s="186" t="s">
        <v>15</v>
      </c>
      <c r="W164" s="186" t="s">
        <v>15</v>
      </c>
      <c r="X164" s="186" t="s">
        <v>15</v>
      </c>
      <c r="Y164" s="186" t="s">
        <v>15</v>
      </c>
      <c r="Z164" s="186"/>
      <c r="AA164" s="186" t="s">
        <v>372</v>
      </c>
      <c r="AB164" s="186" t="s">
        <v>292</v>
      </c>
      <c r="AC164" s="186" t="s">
        <v>292</v>
      </c>
      <c r="AD164" s="268" t="s">
        <v>373</v>
      </c>
      <c r="AE164" s="268"/>
      <c r="AF164" s="144" t="str">
        <f t="shared" si="8"/>
        <v/>
      </c>
      <c r="AG164" s="144" t="str">
        <f t="shared" si="9"/>
        <v/>
      </c>
      <c r="AH164" s="146" t="str">
        <f t="shared" si="10"/>
        <v/>
      </c>
      <c r="AI164" s="146" t="str">
        <f t="shared" si="11"/>
        <v/>
      </c>
      <c r="AJ164" s="303"/>
      <c r="AK164" s="303"/>
      <c r="AL164" s="303"/>
      <c r="AM164" s="303"/>
      <c r="AN164" s="303"/>
      <c r="AO164" s="303"/>
      <c r="AP164" s="303"/>
      <c r="AQ164" s="303"/>
      <c r="AR164" s="303"/>
      <c r="AS164" s="170"/>
      <c r="AT164" s="170"/>
      <c r="AU164" s="310"/>
      <c r="AW164" s="294"/>
      <c r="AX164" s="294"/>
      <c r="AY164" s="294"/>
      <c r="AZ164" s="294"/>
      <c r="BA164" s="294"/>
      <c r="BB164" s="294"/>
      <c r="BC164" s="294"/>
      <c r="BD164" s="294"/>
      <c r="BE164" s="294"/>
      <c r="BF164" s="383"/>
      <c r="BG164" s="382">
        <v>2.95</v>
      </c>
      <c r="BH164" s="278"/>
      <c r="BI164" s="365" t="s">
        <v>374</v>
      </c>
      <c r="BJ164" s="411"/>
    </row>
    <row r="165" spans="1:62" ht="15.75" customHeight="1" thickBot="1" x14ac:dyDescent="0.25">
      <c r="A165" s="156">
        <v>164</v>
      </c>
      <c r="B165" s="155">
        <v>1</v>
      </c>
      <c r="C165" s="148" t="s">
        <v>398</v>
      </c>
      <c r="D165" s="148" t="s">
        <v>402</v>
      </c>
      <c r="E165" s="148"/>
      <c r="F165" s="148" t="s">
        <v>403</v>
      </c>
      <c r="G165" s="148" t="s">
        <v>122</v>
      </c>
      <c r="H165" s="148"/>
      <c r="I165" s="161">
        <v>2011</v>
      </c>
      <c r="J165" s="161" t="s">
        <v>370</v>
      </c>
      <c r="K165" s="161" t="s">
        <v>371</v>
      </c>
      <c r="L165" s="161" t="s">
        <v>83</v>
      </c>
      <c r="M165" s="453" t="s">
        <v>4128</v>
      </c>
      <c r="N165" s="186" t="s">
        <v>20</v>
      </c>
      <c r="O165" s="186" t="s">
        <v>20</v>
      </c>
      <c r="P165" s="186" t="s">
        <v>20</v>
      </c>
      <c r="Q165" s="186" t="s">
        <v>20</v>
      </c>
      <c r="R165" s="186" t="s">
        <v>15</v>
      </c>
      <c r="S165" s="186" t="s">
        <v>20</v>
      </c>
      <c r="T165" s="186" t="s">
        <v>20</v>
      </c>
      <c r="U165" s="186" t="s">
        <v>15</v>
      </c>
      <c r="V165" s="186" t="s">
        <v>15</v>
      </c>
      <c r="W165" s="186" t="s">
        <v>15</v>
      </c>
      <c r="X165" s="186" t="s">
        <v>15</v>
      </c>
      <c r="Y165" s="186" t="s">
        <v>15</v>
      </c>
      <c r="Z165" s="186"/>
      <c r="AA165" s="186" t="s">
        <v>372</v>
      </c>
      <c r="AB165" s="186" t="s">
        <v>292</v>
      </c>
      <c r="AC165" s="186" t="s">
        <v>292</v>
      </c>
      <c r="AD165" s="268" t="s">
        <v>373</v>
      </c>
      <c r="AE165" s="268"/>
      <c r="AF165" s="144" t="str">
        <f t="shared" si="8"/>
        <v/>
      </c>
      <c r="AG165" s="144" t="str">
        <f t="shared" si="9"/>
        <v/>
      </c>
      <c r="AH165" s="146" t="str">
        <f t="shared" si="10"/>
        <v/>
      </c>
      <c r="AI165" s="146" t="str">
        <f t="shared" si="11"/>
        <v/>
      </c>
      <c r="AJ165" s="303"/>
      <c r="AK165" s="303"/>
      <c r="AL165" s="303"/>
      <c r="AM165" s="303"/>
      <c r="AN165" s="303"/>
      <c r="AO165" s="303"/>
      <c r="AP165" s="303"/>
      <c r="AQ165" s="303"/>
      <c r="AR165" s="303"/>
      <c r="AS165" s="170"/>
      <c r="AT165" s="170"/>
      <c r="AU165" s="310"/>
      <c r="AW165" s="294"/>
      <c r="AX165" s="294"/>
      <c r="AY165" s="294"/>
      <c r="AZ165" s="294"/>
      <c r="BA165" s="294"/>
      <c r="BB165" s="294"/>
      <c r="BC165" s="294"/>
      <c r="BD165" s="294"/>
      <c r="BE165" s="294"/>
      <c r="BF165" s="383"/>
      <c r="BG165" s="382">
        <v>2.29</v>
      </c>
      <c r="BH165" s="278"/>
      <c r="BI165" s="365" t="s">
        <v>374</v>
      </c>
      <c r="BJ165" s="411"/>
    </row>
    <row r="166" spans="1:62" ht="15.75" customHeight="1" thickBot="1" x14ac:dyDescent="0.25">
      <c r="A166" s="154">
        <v>165</v>
      </c>
      <c r="B166" s="155">
        <v>1</v>
      </c>
      <c r="C166" s="148" t="s">
        <v>398</v>
      </c>
      <c r="D166" s="148" t="s">
        <v>404</v>
      </c>
      <c r="E166" s="148"/>
      <c r="F166" s="148" t="s">
        <v>405</v>
      </c>
      <c r="G166" s="148" t="s">
        <v>122</v>
      </c>
      <c r="H166" s="148"/>
      <c r="I166" s="161">
        <v>2011</v>
      </c>
      <c r="J166" s="161" t="s">
        <v>370</v>
      </c>
      <c r="K166" s="161" t="s">
        <v>371</v>
      </c>
      <c r="L166" s="161" t="s">
        <v>83</v>
      </c>
      <c r="M166" s="453" t="s">
        <v>4128</v>
      </c>
      <c r="N166" s="186" t="s">
        <v>20</v>
      </c>
      <c r="O166" s="186" t="s">
        <v>20</v>
      </c>
      <c r="P166" s="186" t="s">
        <v>20</v>
      </c>
      <c r="Q166" s="186" t="s">
        <v>20</v>
      </c>
      <c r="R166" s="186" t="s">
        <v>15</v>
      </c>
      <c r="S166" s="186" t="s">
        <v>20</v>
      </c>
      <c r="T166" s="186" t="s">
        <v>20</v>
      </c>
      <c r="U166" s="186" t="s">
        <v>15</v>
      </c>
      <c r="V166" s="186" t="s">
        <v>15</v>
      </c>
      <c r="W166" s="186" t="s">
        <v>15</v>
      </c>
      <c r="X166" s="186" t="s">
        <v>15</v>
      </c>
      <c r="Y166" s="186" t="s">
        <v>15</v>
      </c>
      <c r="Z166" s="186"/>
      <c r="AA166" s="186" t="s">
        <v>372</v>
      </c>
      <c r="AB166" s="186" t="s">
        <v>292</v>
      </c>
      <c r="AC166" s="186" t="s">
        <v>292</v>
      </c>
      <c r="AD166" s="268" t="s">
        <v>373</v>
      </c>
      <c r="AE166" s="268"/>
      <c r="AF166" s="144" t="str">
        <f t="shared" si="8"/>
        <v/>
      </c>
      <c r="AG166" s="144" t="str">
        <f t="shared" si="9"/>
        <v/>
      </c>
      <c r="AH166" s="146" t="str">
        <f t="shared" si="10"/>
        <v/>
      </c>
      <c r="AI166" s="146" t="str">
        <f t="shared" si="11"/>
        <v/>
      </c>
      <c r="AJ166" s="303"/>
      <c r="AK166" s="303"/>
      <c r="AL166" s="303"/>
      <c r="AM166" s="303"/>
      <c r="AN166" s="303"/>
      <c r="AO166" s="303"/>
      <c r="AP166" s="303"/>
      <c r="AQ166" s="303"/>
      <c r="AR166" s="303"/>
      <c r="AS166" s="170"/>
      <c r="AT166" s="170"/>
      <c r="AU166" s="310"/>
      <c r="AW166" s="294"/>
      <c r="AX166" s="294"/>
      <c r="AY166" s="294"/>
      <c r="AZ166" s="294"/>
      <c r="BA166" s="294"/>
      <c r="BB166" s="294"/>
      <c r="BC166" s="294"/>
      <c r="BD166" s="294"/>
      <c r="BE166" s="294"/>
      <c r="BF166" s="383"/>
      <c r="BG166" s="382">
        <v>2.4</v>
      </c>
      <c r="BH166" s="278"/>
      <c r="BI166" s="365" t="s">
        <v>374</v>
      </c>
      <c r="BJ166" s="411"/>
    </row>
    <row r="167" spans="1:62" ht="15.75" customHeight="1" thickBot="1" x14ac:dyDescent="0.25">
      <c r="A167" s="156">
        <v>166</v>
      </c>
      <c r="B167" s="155">
        <v>1</v>
      </c>
      <c r="C167" s="148" t="s">
        <v>398</v>
      </c>
      <c r="D167" s="148" t="s">
        <v>406</v>
      </c>
      <c r="E167" s="148"/>
      <c r="F167" s="148" t="s">
        <v>407</v>
      </c>
      <c r="G167" s="148" t="s">
        <v>122</v>
      </c>
      <c r="H167" s="148"/>
      <c r="I167" s="161">
        <v>2011</v>
      </c>
      <c r="J167" s="161" t="s">
        <v>370</v>
      </c>
      <c r="K167" s="161" t="s">
        <v>371</v>
      </c>
      <c r="L167" s="161" t="s">
        <v>83</v>
      </c>
      <c r="M167" s="453" t="s">
        <v>4128</v>
      </c>
      <c r="N167" s="186" t="s">
        <v>20</v>
      </c>
      <c r="O167" s="186" t="s">
        <v>20</v>
      </c>
      <c r="P167" s="186" t="s">
        <v>20</v>
      </c>
      <c r="Q167" s="186" t="s">
        <v>20</v>
      </c>
      <c r="R167" s="186" t="s">
        <v>15</v>
      </c>
      <c r="S167" s="186" t="s">
        <v>20</v>
      </c>
      <c r="T167" s="186" t="s">
        <v>20</v>
      </c>
      <c r="U167" s="186" t="s">
        <v>15</v>
      </c>
      <c r="V167" s="186" t="s">
        <v>15</v>
      </c>
      <c r="W167" s="186" t="s">
        <v>15</v>
      </c>
      <c r="X167" s="186" t="s">
        <v>15</v>
      </c>
      <c r="Y167" s="186" t="s">
        <v>15</v>
      </c>
      <c r="Z167" s="186"/>
      <c r="AA167" s="186" t="s">
        <v>372</v>
      </c>
      <c r="AB167" s="186" t="s">
        <v>292</v>
      </c>
      <c r="AC167" s="186" t="s">
        <v>292</v>
      </c>
      <c r="AD167" s="268" t="s">
        <v>373</v>
      </c>
      <c r="AE167" s="268"/>
      <c r="AF167" s="144" t="str">
        <f t="shared" si="8"/>
        <v/>
      </c>
      <c r="AG167" s="144" t="str">
        <f t="shared" si="9"/>
        <v/>
      </c>
      <c r="AH167" s="146" t="str">
        <f t="shared" si="10"/>
        <v/>
      </c>
      <c r="AI167" s="146" t="str">
        <f t="shared" si="11"/>
        <v/>
      </c>
      <c r="AJ167" s="303"/>
      <c r="AK167" s="303"/>
      <c r="AL167" s="303"/>
      <c r="AM167" s="303"/>
      <c r="AN167" s="303"/>
      <c r="AO167" s="303"/>
      <c r="AP167" s="303"/>
      <c r="AQ167" s="303"/>
      <c r="AR167" s="303"/>
      <c r="AS167" s="170"/>
      <c r="AT167" s="170"/>
      <c r="AU167" s="310"/>
      <c r="AW167" s="294"/>
      <c r="AX167" s="294"/>
      <c r="AY167" s="294"/>
      <c r="AZ167" s="294"/>
      <c r="BA167" s="294"/>
      <c r="BB167" s="294"/>
      <c r="BC167" s="294"/>
      <c r="BD167" s="294"/>
      <c r="BE167" s="294"/>
      <c r="BF167" s="383"/>
      <c r="BG167" s="382">
        <v>2.54</v>
      </c>
      <c r="BH167" s="278"/>
      <c r="BI167" s="365" t="s">
        <v>374</v>
      </c>
      <c r="BJ167" s="411"/>
    </row>
    <row r="168" spans="1:62" ht="15.75" customHeight="1" thickBot="1" x14ac:dyDescent="0.25">
      <c r="A168" s="154">
        <v>167</v>
      </c>
      <c r="B168" s="155">
        <v>1</v>
      </c>
      <c r="C168" s="148" t="s">
        <v>398</v>
      </c>
      <c r="D168" s="148" t="s">
        <v>406</v>
      </c>
      <c r="E168" s="148"/>
      <c r="F168" s="148" t="s">
        <v>408</v>
      </c>
      <c r="G168" s="148" t="s">
        <v>122</v>
      </c>
      <c r="H168" s="148"/>
      <c r="I168" s="161">
        <v>2011</v>
      </c>
      <c r="J168" s="161" t="s">
        <v>370</v>
      </c>
      <c r="K168" s="161" t="s">
        <v>371</v>
      </c>
      <c r="L168" s="161" t="s">
        <v>83</v>
      </c>
      <c r="M168" s="453" t="s">
        <v>4128</v>
      </c>
      <c r="N168" s="186" t="s">
        <v>20</v>
      </c>
      <c r="O168" s="186" t="s">
        <v>20</v>
      </c>
      <c r="P168" s="186" t="s">
        <v>20</v>
      </c>
      <c r="Q168" s="186" t="s">
        <v>20</v>
      </c>
      <c r="R168" s="186" t="s">
        <v>15</v>
      </c>
      <c r="S168" s="186" t="s">
        <v>20</v>
      </c>
      <c r="T168" s="186" t="s">
        <v>20</v>
      </c>
      <c r="U168" s="186" t="s">
        <v>15</v>
      </c>
      <c r="V168" s="186" t="s">
        <v>15</v>
      </c>
      <c r="W168" s="186" t="s">
        <v>15</v>
      </c>
      <c r="X168" s="186" t="s">
        <v>15</v>
      </c>
      <c r="Y168" s="186" t="s">
        <v>15</v>
      </c>
      <c r="Z168" s="186"/>
      <c r="AA168" s="186" t="s">
        <v>372</v>
      </c>
      <c r="AB168" s="186" t="s">
        <v>292</v>
      </c>
      <c r="AC168" s="186" t="s">
        <v>292</v>
      </c>
      <c r="AD168" s="268" t="s">
        <v>373</v>
      </c>
      <c r="AE168" s="268"/>
      <c r="AF168" s="144" t="str">
        <f t="shared" si="8"/>
        <v/>
      </c>
      <c r="AG168" s="144" t="str">
        <f t="shared" si="9"/>
        <v/>
      </c>
      <c r="AH168" s="146" t="str">
        <f t="shared" si="10"/>
        <v/>
      </c>
      <c r="AI168" s="146" t="str">
        <f t="shared" si="11"/>
        <v/>
      </c>
      <c r="AJ168" s="303"/>
      <c r="AK168" s="303"/>
      <c r="AL168" s="303"/>
      <c r="AM168" s="303"/>
      <c r="AN168" s="303"/>
      <c r="AO168" s="303"/>
      <c r="AP168" s="303"/>
      <c r="AQ168" s="303"/>
      <c r="AR168" s="303"/>
      <c r="AS168" s="170"/>
      <c r="AT168" s="170"/>
      <c r="AU168" s="310"/>
      <c r="AW168" s="294"/>
      <c r="AX168" s="294"/>
      <c r="AY168" s="294"/>
      <c r="AZ168" s="294"/>
      <c r="BA168" s="294"/>
      <c r="BB168" s="294"/>
      <c r="BC168" s="294"/>
      <c r="BD168" s="294"/>
      <c r="BE168" s="294"/>
      <c r="BF168" s="383"/>
      <c r="BG168" s="382">
        <v>3</v>
      </c>
      <c r="BH168" s="278"/>
      <c r="BI168" s="365" t="s">
        <v>374</v>
      </c>
      <c r="BJ168" s="411"/>
    </row>
    <row r="169" spans="1:62" ht="15.75" customHeight="1" thickBot="1" x14ac:dyDescent="0.25">
      <c r="A169" s="156">
        <v>168</v>
      </c>
      <c r="B169" s="155">
        <v>1</v>
      </c>
      <c r="C169" s="148" t="s">
        <v>398</v>
      </c>
      <c r="D169" s="148" t="s">
        <v>406</v>
      </c>
      <c r="E169" s="148"/>
      <c r="F169" s="148" t="s">
        <v>409</v>
      </c>
      <c r="G169" s="148" t="s">
        <v>122</v>
      </c>
      <c r="H169" s="148"/>
      <c r="I169" s="161">
        <v>2011</v>
      </c>
      <c r="J169" s="161" t="s">
        <v>370</v>
      </c>
      <c r="K169" s="161" t="s">
        <v>371</v>
      </c>
      <c r="L169" s="161" t="s">
        <v>83</v>
      </c>
      <c r="M169" s="453" t="s">
        <v>4128</v>
      </c>
      <c r="N169" s="186" t="s">
        <v>20</v>
      </c>
      <c r="O169" s="186" t="s">
        <v>20</v>
      </c>
      <c r="P169" s="186" t="s">
        <v>20</v>
      </c>
      <c r="Q169" s="186" t="s">
        <v>20</v>
      </c>
      <c r="R169" s="186" t="s">
        <v>15</v>
      </c>
      <c r="S169" s="186" t="s">
        <v>20</v>
      </c>
      <c r="T169" s="186" t="s">
        <v>20</v>
      </c>
      <c r="U169" s="186" t="s">
        <v>15</v>
      </c>
      <c r="V169" s="186" t="s">
        <v>15</v>
      </c>
      <c r="W169" s="186" t="s">
        <v>15</v>
      </c>
      <c r="X169" s="186" t="s">
        <v>15</v>
      </c>
      <c r="Y169" s="186" t="s">
        <v>15</v>
      </c>
      <c r="Z169" s="186"/>
      <c r="AA169" s="186" t="s">
        <v>372</v>
      </c>
      <c r="AB169" s="186" t="s">
        <v>292</v>
      </c>
      <c r="AC169" s="186" t="s">
        <v>292</v>
      </c>
      <c r="AD169" s="268" t="s">
        <v>373</v>
      </c>
      <c r="AE169" s="268"/>
      <c r="AF169" s="144" t="str">
        <f t="shared" si="8"/>
        <v/>
      </c>
      <c r="AG169" s="144" t="str">
        <f t="shared" si="9"/>
        <v/>
      </c>
      <c r="AH169" s="146" t="str">
        <f t="shared" si="10"/>
        <v/>
      </c>
      <c r="AI169" s="146" t="str">
        <f t="shared" si="11"/>
        <v/>
      </c>
      <c r="AJ169" s="303"/>
      <c r="AK169" s="303"/>
      <c r="AL169" s="303"/>
      <c r="AM169" s="303"/>
      <c r="AN169" s="303"/>
      <c r="AO169" s="303"/>
      <c r="AP169" s="303"/>
      <c r="AQ169" s="303"/>
      <c r="AR169" s="303"/>
      <c r="AS169" s="170"/>
      <c r="AT169" s="170"/>
      <c r="AU169" s="310"/>
      <c r="AW169" s="294"/>
      <c r="AX169" s="294"/>
      <c r="AY169" s="294"/>
      <c r="AZ169" s="294"/>
      <c r="BA169" s="294"/>
      <c r="BB169" s="294"/>
      <c r="BC169" s="294"/>
      <c r="BD169" s="294"/>
      <c r="BE169" s="294"/>
      <c r="BF169" s="383"/>
      <c r="BG169" s="382">
        <v>3.72</v>
      </c>
      <c r="BH169" s="278"/>
      <c r="BI169" s="365" t="s">
        <v>374</v>
      </c>
      <c r="BJ169" s="411"/>
    </row>
    <row r="170" spans="1:62" ht="15.75" customHeight="1" thickBot="1" x14ac:dyDescent="0.25">
      <c r="A170" s="154">
        <v>169</v>
      </c>
      <c r="B170" s="155">
        <v>1</v>
      </c>
      <c r="C170" s="148" t="s">
        <v>398</v>
      </c>
      <c r="D170" s="148" t="s">
        <v>406</v>
      </c>
      <c r="E170" s="148"/>
      <c r="F170" s="148" t="s">
        <v>410</v>
      </c>
      <c r="G170" s="148" t="s">
        <v>122</v>
      </c>
      <c r="H170" s="148"/>
      <c r="I170" s="161">
        <v>2011</v>
      </c>
      <c r="J170" s="161" t="s">
        <v>370</v>
      </c>
      <c r="K170" s="161" t="s">
        <v>371</v>
      </c>
      <c r="L170" s="161" t="s">
        <v>83</v>
      </c>
      <c r="M170" s="453" t="s">
        <v>4128</v>
      </c>
      <c r="N170" s="186" t="s">
        <v>20</v>
      </c>
      <c r="O170" s="186" t="s">
        <v>20</v>
      </c>
      <c r="P170" s="186" t="s">
        <v>20</v>
      </c>
      <c r="Q170" s="186" t="s">
        <v>20</v>
      </c>
      <c r="R170" s="186" t="s">
        <v>15</v>
      </c>
      <c r="S170" s="186" t="s">
        <v>20</v>
      </c>
      <c r="T170" s="186" t="s">
        <v>20</v>
      </c>
      <c r="U170" s="186" t="s">
        <v>15</v>
      </c>
      <c r="V170" s="186" t="s">
        <v>15</v>
      </c>
      <c r="W170" s="186" t="s">
        <v>15</v>
      </c>
      <c r="X170" s="186" t="s">
        <v>15</v>
      </c>
      <c r="Y170" s="186" t="s">
        <v>15</v>
      </c>
      <c r="Z170" s="186"/>
      <c r="AA170" s="186" t="s">
        <v>372</v>
      </c>
      <c r="AB170" s="186" t="s">
        <v>292</v>
      </c>
      <c r="AC170" s="186" t="s">
        <v>292</v>
      </c>
      <c r="AD170" s="268" t="s">
        <v>373</v>
      </c>
      <c r="AE170" s="268"/>
      <c r="AF170" s="144" t="str">
        <f t="shared" si="8"/>
        <v/>
      </c>
      <c r="AG170" s="144" t="str">
        <f t="shared" si="9"/>
        <v/>
      </c>
      <c r="AH170" s="146" t="str">
        <f t="shared" si="10"/>
        <v/>
      </c>
      <c r="AI170" s="146" t="str">
        <f t="shared" si="11"/>
        <v/>
      </c>
      <c r="AJ170" s="303"/>
      <c r="AK170" s="303"/>
      <c r="AL170" s="303"/>
      <c r="AM170" s="303"/>
      <c r="AN170" s="303"/>
      <c r="AO170" s="303"/>
      <c r="AP170" s="303"/>
      <c r="AQ170" s="303"/>
      <c r="AR170" s="303"/>
      <c r="AS170" s="170"/>
      <c r="AT170" s="170"/>
      <c r="AU170" s="310"/>
      <c r="AW170" s="294"/>
      <c r="AX170" s="294"/>
      <c r="AY170" s="294"/>
      <c r="AZ170" s="294"/>
      <c r="BA170" s="294"/>
      <c r="BB170" s="294"/>
      <c r="BC170" s="294"/>
      <c r="BD170" s="294"/>
      <c r="BE170" s="294"/>
      <c r="BF170" s="383"/>
      <c r="BG170" s="382">
        <v>3.24</v>
      </c>
      <c r="BH170" s="278"/>
      <c r="BI170" s="365" t="s">
        <v>374</v>
      </c>
      <c r="BJ170" s="411"/>
    </row>
    <row r="171" spans="1:62" ht="15.75" customHeight="1" thickBot="1" x14ac:dyDescent="0.25">
      <c r="A171" s="156">
        <v>170</v>
      </c>
      <c r="B171" s="155">
        <v>1</v>
      </c>
      <c r="C171" s="148" t="s">
        <v>398</v>
      </c>
      <c r="D171" s="148" t="s">
        <v>411</v>
      </c>
      <c r="E171" s="148"/>
      <c r="F171" s="148" t="s">
        <v>412</v>
      </c>
      <c r="G171" s="148" t="s">
        <v>122</v>
      </c>
      <c r="H171" s="148"/>
      <c r="I171" s="161">
        <v>2011</v>
      </c>
      <c r="J171" s="161" t="s">
        <v>370</v>
      </c>
      <c r="K171" s="161" t="s">
        <v>371</v>
      </c>
      <c r="L171" s="161" t="s">
        <v>83</v>
      </c>
      <c r="M171" s="453" t="s">
        <v>4128</v>
      </c>
      <c r="N171" s="186" t="s">
        <v>20</v>
      </c>
      <c r="O171" s="186" t="s">
        <v>20</v>
      </c>
      <c r="P171" s="186" t="s">
        <v>20</v>
      </c>
      <c r="Q171" s="186" t="s">
        <v>20</v>
      </c>
      <c r="R171" s="186" t="s">
        <v>15</v>
      </c>
      <c r="S171" s="186" t="s">
        <v>20</v>
      </c>
      <c r="T171" s="186" t="s">
        <v>20</v>
      </c>
      <c r="U171" s="186" t="s">
        <v>15</v>
      </c>
      <c r="V171" s="186" t="s">
        <v>15</v>
      </c>
      <c r="W171" s="186" t="s">
        <v>15</v>
      </c>
      <c r="X171" s="186" t="s">
        <v>15</v>
      </c>
      <c r="Y171" s="186" t="s">
        <v>15</v>
      </c>
      <c r="Z171" s="186"/>
      <c r="AA171" s="186" t="s">
        <v>372</v>
      </c>
      <c r="AB171" s="186" t="s">
        <v>292</v>
      </c>
      <c r="AC171" s="186" t="s">
        <v>292</v>
      </c>
      <c r="AD171" s="268" t="s">
        <v>373</v>
      </c>
      <c r="AE171" s="268"/>
      <c r="AF171" s="144" t="str">
        <f t="shared" si="8"/>
        <v/>
      </c>
      <c r="AG171" s="144" t="str">
        <f t="shared" si="9"/>
        <v/>
      </c>
      <c r="AH171" s="146" t="str">
        <f t="shared" si="10"/>
        <v/>
      </c>
      <c r="AI171" s="146" t="str">
        <f t="shared" si="11"/>
        <v/>
      </c>
      <c r="AJ171" s="303"/>
      <c r="AK171" s="303"/>
      <c r="AL171" s="303"/>
      <c r="AM171" s="303"/>
      <c r="AN171" s="303"/>
      <c r="AO171" s="303"/>
      <c r="AP171" s="303"/>
      <c r="AQ171" s="303"/>
      <c r="AR171" s="303"/>
      <c r="AS171" s="170"/>
      <c r="AT171" s="170"/>
      <c r="AU171" s="310"/>
      <c r="AW171" s="294"/>
      <c r="AX171" s="294"/>
      <c r="AY171" s="294"/>
      <c r="AZ171" s="294"/>
      <c r="BA171" s="294"/>
      <c r="BB171" s="294"/>
      <c r="BC171" s="294"/>
      <c r="BD171" s="294"/>
      <c r="BE171" s="294"/>
      <c r="BF171" s="383"/>
      <c r="BG171" s="382">
        <v>3.79</v>
      </c>
      <c r="BH171" s="278"/>
      <c r="BI171" s="365" t="s">
        <v>374</v>
      </c>
      <c r="BJ171" s="411"/>
    </row>
    <row r="172" spans="1:62" ht="15.75" customHeight="1" thickBot="1" x14ac:dyDescent="0.25">
      <c r="A172" s="154">
        <v>171</v>
      </c>
      <c r="B172" s="155">
        <v>1</v>
      </c>
      <c r="C172" s="148" t="s">
        <v>11</v>
      </c>
      <c r="D172" s="148" t="s">
        <v>12</v>
      </c>
      <c r="E172" s="148"/>
      <c r="F172" s="148" t="s">
        <v>413</v>
      </c>
      <c r="G172" s="148" t="s">
        <v>122</v>
      </c>
      <c r="H172" s="148"/>
      <c r="I172" s="161">
        <v>2011</v>
      </c>
      <c r="J172" s="161" t="s">
        <v>370</v>
      </c>
      <c r="K172" s="161" t="s">
        <v>371</v>
      </c>
      <c r="L172" s="161" t="s">
        <v>83</v>
      </c>
      <c r="M172" s="453" t="s">
        <v>4128</v>
      </c>
      <c r="N172" s="186" t="s">
        <v>20</v>
      </c>
      <c r="O172" s="186" t="s">
        <v>20</v>
      </c>
      <c r="P172" s="186" t="s">
        <v>20</v>
      </c>
      <c r="Q172" s="186" t="s">
        <v>20</v>
      </c>
      <c r="R172" s="186" t="s">
        <v>15</v>
      </c>
      <c r="S172" s="186" t="s">
        <v>20</v>
      </c>
      <c r="T172" s="186" t="s">
        <v>20</v>
      </c>
      <c r="U172" s="186" t="s">
        <v>15</v>
      </c>
      <c r="V172" s="186" t="s">
        <v>15</v>
      </c>
      <c r="W172" s="186" t="s">
        <v>15</v>
      </c>
      <c r="X172" s="186" t="s">
        <v>15</v>
      </c>
      <c r="Y172" s="186" t="s">
        <v>15</v>
      </c>
      <c r="Z172" s="186"/>
      <c r="AA172" s="186" t="s">
        <v>372</v>
      </c>
      <c r="AB172" s="186" t="s">
        <v>292</v>
      </c>
      <c r="AC172" s="186" t="s">
        <v>292</v>
      </c>
      <c r="AD172" s="268" t="s">
        <v>373</v>
      </c>
      <c r="AE172" s="268"/>
      <c r="AF172" s="144" t="str">
        <f t="shared" si="8"/>
        <v/>
      </c>
      <c r="AG172" s="144" t="str">
        <f t="shared" si="9"/>
        <v/>
      </c>
      <c r="AH172" s="146" t="str">
        <f t="shared" si="10"/>
        <v/>
      </c>
      <c r="AI172" s="146" t="str">
        <f t="shared" si="11"/>
        <v/>
      </c>
      <c r="AJ172" s="303"/>
      <c r="AK172" s="303"/>
      <c r="AL172" s="303"/>
      <c r="AM172" s="303"/>
      <c r="AN172" s="303"/>
      <c r="AO172" s="303"/>
      <c r="AP172" s="303"/>
      <c r="AQ172" s="303"/>
      <c r="AR172" s="303"/>
      <c r="AS172" s="170"/>
      <c r="AT172" s="170"/>
      <c r="AU172" s="310"/>
      <c r="AW172" s="294"/>
      <c r="AX172" s="294"/>
      <c r="AY172" s="294"/>
      <c r="AZ172" s="294"/>
      <c r="BA172" s="294"/>
      <c r="BB172" s="294"/>
      <c r="BC172" s="294"/>
      <c r="BD172" s="294"/>
      <c r="BE172" s="294"/>
      <c r="BF172" s="383"/>
      <c r="BG172" s="382">
        <v>1.31</v>
      </c>
      <c r="BH172" s="278"/>
      <c r="BI172" s="365" t="s">
        <v>374</v>
      </c>
      <c r="BJ172" s="411"/>
    </row>
    <row r="173" spans="1:62" ht="15.75" customHeight="1" thickBot="1" x14ac:dyDescent="0.25">
      <c r="A173" s="156">
        <v>172</v>
      </c>
      <c r="B173" s="155">
        <v>1</v>
      </c>
      <c r="C173" s="148" t="s">
        <v>11</v>
      </c>
      <c r="D173" s="148" t="s">
        <v>12</v>
      </c>
      <c r="E173" s="148"/>
      <c r="F173" s="148" t="s">
        <v>414</v>
      </c>
      <c r="G173" s="148" t="s">
        <v>122</v>
      </c>
      <c r="H173" s="148"/>
      <c r="I173" s="161">
        <v>2011</v>
      </c>
      <c r="J173" s="161" t="s">
        <v>370</v>
      </c>
      <c r="K173" s="161" t="s">
        <v>371</v>
      </c>
      <c r="L173" s="161" t="s">
        <v>83</v>
      </c>
      <c r="M173" s="453" t="s">
        <v>4128</v>
      </c>
      <c r="N173" s="186" t="s">
        <v>20</v>
      </c>
      <c r="O173" s="186" t="s">
        <v>20</v>
      </c>
      <c r="P173" s="186" t="s">
        <v>20</v>
      </c>
      <c r="Q173" s="186" t="s">
        <v>20</v>
      </c>
      <c r="R173" s="186" t="s">
        <v>15</v>
      </c>
      <c r="S173" s="186" t="s">
        <v>20</v>
      </c>
      <c r="T173" s="186" t="s">
        <v>20</v>
      </c>
      <c r="U173" s="186" t="s">
        <v>15</v>
      </c>
      <c r="V173" s="186" t="s">
        <v>15</v>
      </c>
      <c r="W173" s="186" t="s">
        <v>15</v>
      </c>
      <c r="X173" s="186" t="s">
        <v>15</v>
      </c>
      <c r="Y173" s="186" t="s">
        <v>15</v>
      </c>
      <c r="Z173" s="186"/>
      <c r="AA173" s="186" t="s">
        <v>372</v>
      </c>
      <c r="AB173" s="186" t="s">
        <v>292</v>
      </c>
      <c r="AC173" s="186" t="s">
        <v>292</v>
      </c>
      <c r="AD173" s="268" t="s">
        <v>373</v>
      </c>
      <c r="AE173" s="268"/>
      <c r="AF173" s="144" t="str">
        <f t="shared" si="8"/>
        <v/>
      </c>
      <c r="AG173" s="144" t="str">
        <f t="shared" si="9"/>
        <v/>
      </c>
      <c r="AH173" s="146" t="str">
        <f t="shared" si="10"/>
        <v/>
      </c>
      <c r="AI173" s="146" t="str">
        <f t="shared" si="11"/>
        <v/>
      </c>
      <c r="AJ173" s="303"/>
      <c r="AK173" s="303"/>
      <c r="AL173" s="303"/>
      <c r="AM173" s="303"/>
      <c r="AN173" s="303"/>
      <c r="AO173" s="303"/>
      <c r="AP173" s="303"/>
      <c r="AQ173" s="303"/>
      <c r="AR173" s="303"/>
      <c r="AS173" s="170"/>
      <c r="AT173" s="170"/>
      <c r="AU173" s="310"/>
      <c r="AW173" s="294"/>
      <c r="AX173" s="294"/>
      <c r="AY173" s="294"/>
      <c r="AZ173" s="294"/>
      <c r="BA173" s="294"/>
      <c r="BB173" s="294"/>
      <c r="BC173" s="294"/>
      <c r="BD173" s="294"/>
      <c r="BE173" s="294"/>
      <c r="BF173" s="383"/>
      <c r="BG173" s="382">
        <v>1.57</v>
      </c>
      <c r="BH173" s="278"/>
      <c r="BI173" s="365" t="s">
        <v>374</v>
      </c>
      <c r="BJ173" s="411"/>
    </row>
    <row r="174" spans="1:62" ht="15.75" customHeight="1" thickBot="1" x14ac:dyDescent="0.25">
      <c r="A174" s="154">
        <v>173</v>
      </c>
      <c r="B174" s="155">
        <v>1</v>
      </c>
      <c r="C174" s="148" t="s">
        <v>11</v>
      </c>
      <c r="D174" s="148" t="s">
        <v>12</v>
      </c>
      <c r="E174" s="148"/>
      <c r="F174" s="148" t="s">
        <v>415</v>
      </c>
      <c r="G174" s="148" t="s">
        <v>122</v>
      </c>
      <c r="H174" s="148"/>
      <c r="I174" s="161">
        <v>2011</v>
      </c>
      <c r="J174" s="161" t="s">
        <v>370</v>
      </c>
      <c r="K174" s="161" t="s">
        <v>371</v>
      </c>
      <c r="L174" s="161" t="s">
        <v>83</v>
      </c>
      <c r="M174" s="453" t="s">
        <v>4128</v>
      </c>
      <c r="N174" s="186" t="s">
        <v>20</v>
      </c>
      <c r="O174" s="186" t="s">
        <v>20</v>
      </c>
      <c r="P174" s="186" t="s">
        <v>20</v>
      </c>
      <c r="Q174" s="186" t="s">
        <v>20</v>
      </c>
      <c r="R174" s="186" t="s">
        <v>15</v>
      </c>
      <c r="S174" s="186" t="s">
        <v>20</v>
      </c>
      <c r="T174" s="186" t="s">
        <v>20</v>
      </c>
      <c r="U174" s="186" t="s">
        <v>15</v>
      </c>
      <c r="V174" s="186" t="s">
        <v>15</v>
      </c>
      <c r="W174" s="186" t="s">
        <v>15</v>
      </c>
      <c r="X174" s="186" t="s">
        <v>15</v>
      </c>
      <c r="Y174" s="186" t="s">
        <v>15</v>
      </c>
      <c r="Z174" s="186"/>
      <c r="AA174" s="186" t="s">
        <v>372</v>
      </c>
      <c r="AB174" s="186" t="s">
        <v>292</v>
      </c>
      <c r="AC174" s="186" t="s">
        <v>292</v>
      </c>
      <c r="AD174" s="268" t="s">
        <v>373</v>
      </c>
      <c r="AE174" s="268"/>
      <c r="AF174" s="144" t="str">
        <f t="shared" si="8"/>
        <v/>
      </c>
      <c r="AG174" s="144" t="str">
        <f t="shared" si="9"/>
        <v/>
      </c>
      <c r="AH174" s="146" t="str">
        <f t="shared" si="10"/>
        <v/>
      </c>
      <c r="AI174" s="146" t="str">
        <f t="shared" si="11"/>
        <v/>
      </c>
      <c r="AJ174" s="303"/>
      <c r="AK174" s="303"/>
      <c r="AL174" s="303"/>
      <c r="AM174" s="303"/>
      <c r="AN174" s="303"/>
      <c r="AO174" s="303"/>
      <c r="AP174" s="303"/>
      <c r="AQ174" s="303"/>
      <c r="AR174" s="303"/>
      <c r="AS174" s="170"/>
      <c r="AT174" s="170"/>
      <c r="AU174" s="310"/>
      <c r="AW174" s="294"/>
      <c r="AX174" s="294"/>
      <c r="AY174" s="294"/>
      <c r="AZ174" s="294"/>
      <c r="BA174" s="294"/>
      <c r="BB174" s="294"/>
      <c r="BC174" s="294"/>
      <c r="BD174" s="294"/>
      <c r="BE174" s="294"/>
      <c r="BF174" s="383"/>
      <c r="BG174" s="382">
        <v>1.3</v>
      </c>
      <c r="BH174" s="278"/>
      <c r="BI174" s="365" t="s">
        <v>374</v>
      </c>
      <c r="BJ174" s="411"/>
    </row>
    <row r="175" spans="1:62" ht="15.75" customHeight="1" thickBot="1" x14ac:dyDescent="0.25">
      <c r="A175" s="156">
        <v>174</v>
      </c>
      <c r="B175" s="155">
        <v>1</v>
      </c>
      <c r="C175" s="148" t="s">
        <v>11</v>
      </c>
      <c r="D175" s="148" t="s">
        <v>12</v>
      </c>
      <c r="E175" s="148"/>
      <c r="F175" s="148" t="s">
        <v>416</v>
      </c>
      <c r="G175" s="148" t="s">
        <v>122</v>
      </c>
      <c r="H175" s="148"/>
      <c r="I175" s="161">
        <v>2011</v>
      </c>
      <c r="J175" s="161" t="s">
        <v>370</v>
      </c>
      <c r="K175" s="161" t="s">
        <v>371</v>
      </c>
      <c r="L175" s="161" t="s">
        <v>83</v>
      </c>
      <c r="M175" s="453" t="s">
        <v>4128</v>
      </c>
      <c r="N175" s="186" t="s">
        <v>20</v>
      </c>
      <c r="O175" s="186" t="s">
        <v>20</v>
      </c>
      <c r="P175" s="186" t="s">
        <v>20</v>
      </c>
      <c r="Q175" s="186" t="s">
        <v>20</v>
      </c>
      <c r="R175" s="186" t="s">
        <v>15</v>
      </c>
      <c r="S175" s="186" t="s">
        <v>20</v>
      </c>
      <c r="T175" s="186" t="s">
        <v>20</v>
      </c>
      <c r="U175" s="186" t="s">
        <v>15</v>
      </c>
      <c r="V175" s="186" t="s">
        <v>15</v>
      </c>
      <c r="W175" s="186" t="s">
        <v>15</v>
      </c>
      <c r="X175" s="186" t="s">
        <v>15</v>
      </c>
      <c r="Y175" s="186" t="s">
        <v>15</v>
      </c>
      <c r="Z175" s="186"/>
      <c r="AA175" s="186" t="s">
        <v>372</v>
      </c>
      <c r="AB175" s="186" t="s">
        <v>292</v>
      </c>
      <c r="AC175" s="186" t="s">
        <v>292</v>
      </c>
      <c r="AD175" s="268" t="s">
        <v>373</v>
      </c>
      <c r="AE175" s="268"/>
      <c r="AF175" s="144" t="str">
        <f t="shared" si="8"/>
        <v/>
      </c>
      <c r="AG175" s="144" t="str">
        <f t="shared" si="9"/>
        <v/>
      </c>
      <c r="AH175" s="146" t="str">
        <f t="shared" si="10"/>
        <v/>
      </c>
      <c r="AI175" s="146" t="str">
        <f t="shared" si="11"/>
        <v/>
      </c>
      <c r="AJ175" s="303"/>
      <c r="AK175" s="303"/>
      <c r="AL175" s="303"/>
      <c r="AM175" s="303"/>
      <c r="AN175" s="303"/>
      <c r="AO175" s="303"/>
      <c r="AP175" s="303"/>
      <c r="AQ175" s="303"/>
      <c r="AR175" s="303"/>
      <c r="AS175" s="170"/>
      <c r="AT175" s="170"/>
      <c r="AU175" s="310"/>
      <c r="AW175" s="294"/>
      <c r="AX175" s="294"/>
      <c r="AY175" s="294"/>
      <c r="AZ175" s="294"/>
      <c r="BA175" s="294"/>
      <c r="BB175" s="294"/>
      <c r="BC175" s="294"/>
      <c r="BD175" s="294"/>
      <c r="BE175" s="294"/>
      <c r="BF175" s="383"/>
      <c r="BG175" s="382">
        <v>1.21</v>
      </c>
      <c r="BH175" s="278"/>
      <c r="BI175" s="365" t="s">
        <v>374</v>
      </c>
      <c r="BJ175" s="411"/>
    </row>
    <row r="176" spans="1:62" ht="15.75" customHeight="1" thickBot="1" x14ac:dyDescent="0.25">
      <c r="A176" s="154">
        <v>175</v>
      </c>
      <c r="B176" s="155">
        <v>1</v>
      </c>
      <c r="C176" s="148" t="s">
        <v>11</v>
      </c>
      <c r="D176" s="148" t="s">
        <v>12</v>
      </c>
      <c r="E176" s="148"/>
      <c r="F176" s="148" t="s">
        <v>417</v>
      </c>
      <c r="G176" s="148" t="s">
        <v>122</v>
      </c>
      <c r="H176" s="148"/>
      <c r="I176" s="161">
        <v>2011</v>
      </c>
      <c r="J176" s="161" t="s">
        <v>370</v>
      </c>
      <c r="K176" s="161" t="s">
        <v>371</v>
      </c>
      <c r="L176" s="161" t="s">
        <v>83</v>
      </c>
      <c r="M176" s="453" t="s">
        <v>4128</v>
      </c>
      <c r="N176" s="186" t="s">
        <v>20</v>
      </c>
      <c r="O176" s="186" t="s">
        <v>20</v>
      </c>
      <c r="P176" s="186" t="s">
        <v>20</v>
      </c>
      <c r="Q176" s="186" t="s">
        <v>20</v>
      </c>
      <c r="R176" s="186" t="s">
        <v>15</v>
      </c>
      <c r="S176" s="186" t="s">
        <v>20</v>
      </c>
      <c r="T176" s="186" t="s">
        <v>20</v>
      </c>
      <c r="U176" s="186" t="s">
        <v>15</v>
      </c>
      <c r="V176" s="186" t="s">
        <v>15</v>
      </c>
      <c r="W176" s="186" t="s">
        <v>15</v>
      </c>
      <c r="X176" s="186" t="s">
        <v>15</v>
      </c>
      <c r="Y176" s="186" t="s">
        <v>15</v>
      </c>
      <c r="Z176" s="186"/>
      <c r="AA176" s="186" t="s">
        <v>372</v>
      </c>
      <c r="AB176" s="186" t="s">
        <v>292</v>
      </c>
      <c r="AC176" s="186" t="s">
        <v>292</v>
      </c>
      <c r="AD176" s="268" t="s">
        <v>373</v>
      </c>
      <c r="AE176" s="268"/>
      <c r="AF176" s="144" t="str">
        <f t="shared" si="8"/>
        <v/>
      </c>
      <c r="AG176" s="144" t="str">
        <f t="shared" si="9"/>
        <v/>
      </c>
      <c r="AH176" s="146" t="str">
        <f t="shared" si="10"/>
        <v/>
      </c>
      <c r="AI176" s="146" t="str">
        <f t="shared" si="11"/>
        <v/>
      </c>
      <c r="AJ176" s="303"/>
      <c r="AK176" s="303"/>
      <c r="AL176" s="303"/>
      <c r="AM176" s="303"/>
      <c r="AN176" s="303"/>
      <c r="AO176" s="303"/>
      <c r="AP176" s="303"/>
      <c r="AQ176" s="303"/>
      <c r="AR176" s="303"/>
      <c r="AS176" s="170"/>
      <c r="AT176" s="170"/>
      <c r="AU176" s="310"/>
      <c r="AW176" s="294"/>
      <c r="AX176" s="294"/>
      <c r="AY176" s="294"/>
      <c r="AZ176" s="294"/>
      <c r="BA176" s="294"/>
      <c r="BB176" s="294"/>
      <c r="BC176" s="294"/>
      <c r="BD176" s="294"/>
      <c r="BE176" s="294"/>
      <c r="BF176" s="383"/>
      <c r="BG176" s="382">
        <v>1.45</v>
      </c>
      <c r="BH176" s="278"/>
      <c r="BI176" s="365" t="s">
        <v>374</v>
      </c>
      <c r="BJ176" s="411"/>
    </row>
    <row r="177" spans="1:62" ht="15.75" customHeight="1" thickBot="1" x14ac:dyDescent="0.25">
      <c r="A177" s="156">
        <v>176</v>
      </c>
      <c r="B177" s="155">
        <v>1</v>
      </c>
      <c r="C177" s="148" t="s">
        <v>11</v>
      </c>
      <c r="D177" s="148" t="s">
        <v>12</v>
      </c>
      <c r="E177" s="148"/>
      <c r="F177" s="148" t="s">
        <v>418</v>
      </c>
      <c r="G177" s="148" t="s">
        <v>122</v>
      </c>
      <c r="H177" s="148"/>
      <c r="I177" s="161">
        <v>2011</v>
      </c>
      <c r="J177" s="161" t="s">
        <v>370</v>
      </c>
      <c r="K177" s="161" t="s">
        <v>371</v>
      </c>
      <c r="L177" s="161" t="s">
        <v>83</v>
      </c>
      <c r="M177" s="453" t="s">
        <v>4128</v>
      </c>
      <c r="N177" s="186" t="s">
        <v>20</v>
      </c>
      <c r="O177" s="186" t="s">
        <v>20</v>
      </c>
      <c r="P177" s="186" t="s">
        <v>20</v>
      </c>
      <c r="Q177" s="186" t="s">
        <v>20</v>
      </c>
      <c r="R177" s="186" t="s">
        <v>15</v>
      </c>
      <c r="S177" s="186" t="s">
        <v>20</v>
      </c>
      <c r="T177" s="186" t="s">
        <v>20</v>
      </c>
      <c r="U177" s="186" t="s">
        <v>15</v>
      </c>
      <c r="V177" s="186" t="s">
        <v>15</v>
      </c>
      <c r="W177" s="186" t="s">
        <v>15</v>
      </c>
      <c r="X177" s="186" t="s">
        <v>15</v>
      </c>
      <c r="Y177" s="186" t="s">
        <v>15</v>
      </c>
      <c r="Z177" s="186"/>
      <c r="AA177" s="186" t="s">
        <v>372</v>
      </c>
      <c r="AB177" s="186" t="s">
        <v>292</v>
      </c>
      <c r="AC177" s="186" t="s">
        <v>292</v>
      </c>
      <c r="AD177" s="268" t="s">
        <v>373</v>
      </c>
      <c r="AE177" s="268"/>
      <c r="AF177" s="144" t="str">
        <f t="shared" si="8"/>
        <v/>
      </c>
      <c r="AG177" s="144" t="str">
        <f t="shared" si="9"/>
        <v/>
      </c>
      <c r="AH177" s="146" t="str">
        <f t="shared" si="10"/>
        <v/>
      </c>
      <c r="AI177" s="146" t="str">
        <f t="shared" si="11"/>
        <v/>
      </c>
      <c r="AJ177" s="303"/>
      <c r="AK177" s="303"/>
      <c r="AL177" s="303"/>
      <c r="AM177" s="303"/>
      <c r="AN177" s="303"/>
      <c r="AO177" s="303"/>
      <c r="AP177" s="303"/>
      <c r="AQ177" s="303"/>
      <c r="AR177" s="303"/>
      <c r="AS177" s="170"/>
      <c r="AT177" s="170"/>
      <c r="AU177" s="310"/>
      <c r="AW177" s="294"/>
      <c r="AX177" s="294"/>
      <c r="AY177" s="294"/>
      <c r="AZ177" s="294"/>
      <c r="BA177" s="294"/>
      <c r="BB177" s="294"/>
      <c r="BC177" s="294"/>
      <c r="BD177" s="294"/>
      <c r="BE177" s="294"/>
      <c r="BF177" s="383"/>
      <c r="BG177" s="382">
        <v>1.2</v>
      </c>
      <c r="BH177" s="278"/>
      <c r="BI177" s="365" t="s">
        <v>374</v>
      </c>
      <c r="BJ177" s="411"/>
    </row>
    <row r="178" spans="1:62" ht="15.75" customHeight="1" thickBot="1" x14ac:dyDescent="0.25">
      <c r="A178" s="154">
        <v>177</v>
      </c>
      <c r="B178" s="155">
        <v>1</v>
      </c>
      <c r="C178" s="148" t="s">
        <v>11</v>
      </c>
      <c r="D178" s="148" t="s">
        <v>12</v>
      </c>
      <c r="E178" s="148"/>
      <c r="F178" s="148" t="s">
        <v>419</v>
      </c>
      <c r="G178" s="148" t="s">
        <v>122</v>
      </c>
      <c r="H178" s="148"/>
      <c r="I178" s="161">
        <v>2011</v>
      </c>
      <c r="J178" s="161" t="s">
        <v>370</v>
      </c>
      <c r="K178" s="161" t="s">
        <v>371</v>
      </c>
      <c r="L178" s="161" t="s">
        <v>83</v>
      </c>
      <c r="M178" s="453" t="s">
        <v>4128</v>
      </c>
      <c r="N178" s="186" t="s">
        <v>20</v>
      </c>
      <c r="O178" s="186" t="s">
        <v>20</v>
      </c>
      <c r="P178" s="186" t="s">
        <v>20</v>
      </c>
      <c r="Q178" s="186" t="s">
        <v>20</v>
      </c>
      <c r="R178" s="186" t="s">
        <v>15</v>
      </c>
      <c r="S178" s="186" t="s">
        <v>20</v>
      </c>
      <c r="T178" s="186" t="s">
        <v>20</v>
      </c>
      <c r="U178" s="186" t="s">
        <v>15</v>
      </c>
      <c r="V178" s="186" t="s">
        <v>15</v>
      </c>
      <c r="W178" s="186" t="s">
        <v>15</v>
      </c>
      <c r="X178" s="186" t="s">
        <v>15</v>
      </c>
      <c r="Y178" s="186" t="s">
        <v>15</v>
      </c>
      <c r="Z178" s="186"/>
      <c r="AA178" s="186" t="s">
        <v>372</v>
      </c>
      <c r="AB178" s="186" t="s">
        <v>292</v>
      </c>
      <c r="AC178" s="186" t="s">
        <v>292</v>
      </c>
      <c r="AD178" s="268" t="s">
        <v>373</v>
      </c>
      <c r="AE178" s="268"/>
      <c r="AF178" s="144" t="str">
        <f t="shared" si="8"/>
        <v/>
      </c>
      <c r="AG178" s="144" t="str">
        <f t="shared" si="9"/>
        <v/>
      </c>
      <c r="AH178" s="146" t="str">
        <f t="shared" si="10"/>
        <v/>
      </c>
      <c r="AI178" s="146" t="str">
        <f t="shared" si="11"/>
        <v/>
      </c>
      <c r="AJ178" s="303"/>
      <c r="AK178" s="303"/>
      <c r="AL178" s="303"/>
      <c r="AM178" s="303"/>
      <c r="AN178" s="303"/>
      <c r="AO178" s="303"/>
      <c r="AP178" s="303"/>
      <c r="AQ178" s="303"/>
      <c r="AR178" s="303"/>
      <c r="AS178" s="170"/>
      <c r="AT178" s="170"/>
      <c r="AU178" s="310"/>
      <c r="AW178" s="294"/>
      <c r="AX178" s="294"/>
      <c r="AY178" s="294"/>
      <c r="AZ178" s="294"/>
      <c r="BA178" s="294"/>
      <c r="BB178" s="294"/>
      <c r="BC178" s="294"/>
      <c r="BD178" s="294"/>
      <c r="BE178" s="294"/>
      <c r="BF178" s="383"/>
      <c r="BG178" s="382">
        <v>1.01</v>
      </c>
      <c r="BH178" s="278"/>
      <c r="BI178" s="365" t="s">
        <v>374</v>
      </c>
      <c r="BJ178" s="411"/>
    </row>
    <row r="179" spans="1:62" ht="15.75" customHeight="1" thickBot="1" x14ac:dyDescent="0.25">
      <c r="A179" s="156">
        <v>178</v>
      </c>
      <c r="B179" s="155">
        <v>1</v>
      </c>
      <c r="C179" s="148" t="s">
        <v>11</v>
      </c>
      <c r="D179" s="148" t="s">
        <v>12</v>
      </c>
      <c r="E179" s="148"/>
      <c r="F179" s="148" t="s">
        <v>420</v>
      </c>
      <c r="G179" s="148" t="s">
        <v>122</v>
      </c>
      <c r="H179" s="148"/>
      <c r="I179" s="161">
        <v>2011</v>
      </c>
      <c r="J179" s="161" t="s">
        <v>370</v>
      </c>
      <c r="K179" s="161" t="s">
        <v>371</v>
      </c>
      <c r="L179" s="161" t="s">
        <v>83</v>
      </c>
      <c r="M179" s="453" t="s">
        <v>4128</v>
      </c>
      <c r="N179" s="186" t="s">
        <v>20</v>
      </c>
      <c r="O179" s="186" t="s">
        <v>20</v>
      </c>
      <c r="P179" s="186" t="s">
        <v>20</v>
      </c>
      <c r="Q179" s="186" t="s">
        <v>20</v>
      </c>
      <c r="R179" s="186" t="s">
        <v>15</v>
      </c>
      <c r="S179" s="186" t="s">
        <v>20</v>
      </c>
      <c r="T179" s="186" t="s">
        <v>20</v>
      </c>
      <c r="U179" s="186" t="s">
        <v>15</v>
      </c>
      <c r="V179" s="186" t="s">
        <v>15</v>
      </c>
      <c r="W179" s="186" t="s">
        <v>15</v>
      </c>
      <c r="X179" s="186" t="s">
        <v>15</v>
      </c>
      <c r="Y179" s="186" t="s">
        <v>15</v>
      </c>
      <c r="Z179" s="186"/>
      <c r="AA179" s="186" t="s">
        <v>372</v>
      </c>
      <c r="AB179" s="186" t="s">
        <v>292</v>
      </c>
      <c r="AC179" s="186" t="s">
        <v>292</v>
      </c>
      <c r="AD179" s="268" t="s">
        <v>373</v>
      </c>
      <c r="AE179" s="268"/>
      <c r="AF179" s="144" t="str">
        <f t="shared" si="8"/>
        <v/>
      </c>
      <c r="AG179" s="144" t="str">
        <f t="shared" si="9"/>
        <v/>
      </c>
      <c r="AH179" s="146" t="str">
        <f t="shared" si="10"/>
        <v/>
      </c>
      <c r="AI179" s="146" t="str">
        <f t="shared" si="11"/>
        <v/>
      </c>
      <c r="AJ179" s="303"/>
      <c r="AK179" s="303"/>
      <c r="AL179" s="303"/>
      <c r="AM179" s="303"/>
      <c r="AN179" s="303"/>
      <c r="AO179" s="303"/>
      <c r="AP179" s="303"/>
      <c r="AQ179" s="303"/>
      <c r="AR179" s="303"/>
      <c r="AS179" s="170"/>
      <c r="AT179" s="170"/>
      <c r="AU179" s="310"/>
      <c r="AW179" s="294"/>
      <c r="AX179" s="294"/>
      <c r="AY179" s="294"/>
      <c r="AZ179" s="294"/>
      <c r="BA179" s="294"/>
      <c r="BB179" s="294"/>
      <c r="BC179" s="294"/>
      <c r="BD179" s="294"/>
      <c r="BE179" s="294"/>
      <c r="BF179" s="383"/>
      <c r="BG179" s="382">
        <v>1.2</v>
      </c>
      <c r="BH179" s="278"/>
      <c r="BI179" s="365" t="s">
        <v>374</v>
      </c>
      <c r="BJ179" s="411"/>
    </row>
    <row r="180" spans="1:62" ht="15.75" customHeight="1" thickBot="1" x14ac:dyDescent="0.25">
      <c r="A180" s="154">
        <v>179</v>
      </c>
      <c r="B180" s="155">
        <v>1</v>
      </c>
      <c r="C180" s="148" t="s">
        <v>11</v>
      </c>
      <c r="D180" s="148" t="s">
        <v>12</v>
      </c>
      <c r="E180" s="148"/>
      <c r="F180" s="148" t="s">
        <v>421</v>
      </c>
      <c r="G180" s="148" t="s">
        <v>122</v>
      </c>
      <c r="H180" s="148"/>
      <c r="I180" s="161">
        <v>2011</v>
      </c>
      <c r="J180" s="161" t="s">
        <v>370</v>
      </c>
      <c r="K180" s="161" t="s">
        <v>371</v>
      </c>
      <c r="L180" s="161" t="s">
        <v>83</v>
      </c>
      <c r="M180" s="453" t="s">
        <v>4128</v>
      </c>
      <c r="N180" s="186" t="s">
        <v>20</v>
      </c>
      <c r="O180" s="186" t="s">
        <v>20</v>
      </c>
      <c r="P180" s="186" t="s">
        <v>20</v>
      </c>
      <c r="Q180" s="186" t="s">
        <v>20</v>
      </c>
      <c r="R180" s="186" t="s">
        <v>15</v>
      </c>
      <c r="S180" s="186" t="s">
        <v>20</v>
      </c>
      <c r="T180" s="186" t="s">
        <v>20</v>
      </c>
      <c r="U180" s="186" t="s">
        <v>15</v>
      </c>
      <c r="V180" s="186" t="s">
        <v>15</v>
      </c>
      <c r="W180" s="186" t="s">
        <v>15</v>
      </c>
      <c r="X180" s="186" t="s">
        <v>15</v>
      </c>
      <c r="Y180" s="186" t="s">
        <v>15</v>
      </c>
      <c r="Z180" s="186"/>
      <c r="AA180" s="186" t="s">
        <v>372</v>
      </c>
      <c r="AB180" s="186" t="s">
        <v>292</v>
      </c>
      <c r="AC180" s="186" t="s">
        <v>292</v>
      </c>
      <c r="AD180" s="268" t="s">
        <v>373</v>
      </c>
      <c r="AE180" s="268"/>
      <c r="AF180" s="144" t="str">
        <f t="shared" si="8"/>
        <v/>
      </c>
      <c r="AG180" s="144" t="str">
        <f t="shared" si="9"/>
        <v/>
      </c>
      <c r="AH180" s="146" t="str">
        <f t="shared" si="10"/>
        <v/>
      </c>
      <c r="AI180" s="146" t="str">
        <f t="shared" si="11"/>
        <v/>
      </c>
      <c r="AJ180" s="303"/>
      <c r="AK180" s="303"/>
      <c r="AL180" s="303"/>
      <c r="AM180" s="303"/>
      <c r="AN180" s="303"/>
      <c r="AO180" s="303"/>
      <c r="AP180" s="303"/>
      <c r="AQ180" s="303"/>
      <c r="AR180" s="303"/>
      <c r="AS180" s="170"/>
      <c r="AT180" s="170"/>
      <c r="AU180" s="310"/>
      <c r="AW180" s="294"/>
      <c r="AX180" s="294"/>
      <c r="AY180" s="294"/>
      <c r="AZ180" s="294"/>
      <c r="BA180" s="294"/>
      <c r="BB180" s="294"/>
      <c r="BC180" s="294"/>
      <c r="BD180" s="294"/>
      <c r="BE180" s="294"/>
      <c r="BF180" s="383"/>
      <c r="BG180" s="382">
        <v>1</v>
      </c>
      <c r="BH180" s="278"/>
      <c r="BI180" s="365" t="s">
        <v>374</v>
      </c>
      <c r="BJ180" s="411"/>
    </row>
    <row r="181" spans="1:62" ht="15.75" customHeight="1" thickBot="1" x14ac:dyDescent="0.25">
      <c r="A181" s="156">
        <v>180</v>
      </c>
      <c r="B181" s="155">
        <v>1</v>
      </c>
      <c r="C181" s="148" t="s">
        <v>11</v>
      </c>
      <c r="D181" s="148" t="s">
        <v>12</v>
      </c>
      <c r="E181" s="148"/>
      <c r="F181" s="148" t="s">
        <v>422</v>
      </c>
      <c r="G181" s="148" t="s">
        <v>122</v>
      </c>
      <c r="H181" s="148"/>
      <c r="I181" s="161">
        <v>2011</v>
      </c>
      <c r="J181" s="161" t="s">
        <v>370</v>
      </c>
      <c r="K181" s="161" t="s">
        <v>371</v>
      </c>
      <c r="L181" s="161" t="s">
        <v>83</v>
      </c>
      <c r="M181" s="453" t="s">
        <v>4128</v>
      </c>
      <c r="N181" s="186" t="s">
        <v>20</v>
      </c>
      <c r="O181" s="186" t="s">
        <v>20</v>
      </c>
      <c r="P181" s="186" t="s">
        <v>20</v>
      </c>
      <c r="Q181" s="186" t="s">
        <v>20</v>
      </c>
      <c r="R181" s="186" t="s">
        <v>15</v>
      </c>
      <c r="S181" s="186" t="s">
        <v>20</v>
      </c>
      <c r="T181" s="186" t="s">
        <v>20</v>
      </c>
      <c r="U181" s="186" t="s">
        <v>15</v>
      </c>
      <c r="V181" s="186" t="s">
        <v>15</v>
      </c>
      <c r="W181" s="186" t="s">
        <v>15</v>
      </c>
      <c r="X181" s="186" t="s">
        <v>15</v>
      </c>
      <c r="Y181" s="186" t="s">
        <v>15</v>
      </c>
      <c r="Z181" s="186"/>
      <c r="AA181" s="186" t="s">
        <v>372</v>
      </c>
      <c r="AB181" s="186" t="s">
        <v>292</v>
      </c>
      <c r="AC181" s="186" t="s">
        <v>292</v>
      </c>
      <c r="AD181" s="268" t="s">
        <v>373</v>
      </c>
      <c r="AE181" s="268"/>
      <c r="AF181" s="144" t="str">
        <f t="shared" si="8"/>
        <v/>
      </c>
      <c r="AG181" s="144" t="str">
        <f t="shared" si="9"/>
        <v/>
      </c>
      <c r="AH181" s="146" t="str">
        <f t="shared" si="10"/>
        <v/>
      </c>
      <c r="AI181" s="146" t="str">
        <f t="shared" si="11"/>
        <v/>
      </c>
      <c r="AJ181" s="303"/>
      <c r="AK181" s="303"/>
      <c r="AL181" s="303"/>
      <c r="AM181" s="303"/>
      <c r="AN181" s="303"/>
      <c r="AO181" s="303"/>
      <c r="AP181" s="303"/>
      <c r="AQ181" s="303"/>
      <c r="AR181" s="303"/>
      <c r="AS181" s="170"/>
      <c r="AT181" s="170"/>
      <c r="AU181" s="310"/>
      <c r="AW181" s="294"/>
      <c r="AX181" s="294"/>
      <c r="AY181" s="294"/>
      <c r="AZ181" s="294"/>
      <c r="BA181" s="294"/>
      <c r="BB181" s="294"/>
      <c r="BC181" s="294"/>
      <c r="BD181" s="294"/>
      <c r="BE181" s="294"/>
      <c r="BF181" s="383"/>
      <c r="BG181" s="382">
        <v>1.04</v>
      </c>
      <c r="BH181" s="278"/>
      <c r="BI181" s="365" t="s">
        <v>374</v>
      </c>
      <c r="BJ181" s="411"/>
    </row>
    <row r="182" spans="1:62" ht="15.75" customHeight="1" thickBot="1" x14ac:dyDescent="0.25">
      <c r="A182" s="154">
        <v>181</v>
      </c>
      <c r="B182" s="155">
        <v>1</v>
      </c>
      <c r="C182" s="148" t="s">
        <v>11</v>
      </c>
      <c r="D182" s="148" t="s">
        <v>12</v>
      </c>
      <c r="E182" s="148"/>
      <c r="F182" s="148" t="s">
        <v>423</v>
      </c>
      <c r="G182" s="148" t="s">
        <v>122</v>
      </c>
      <c r="H182" s="148"/>
      <c r="I182" s="161">
        <v>2011</v>
      </c>
      <c r="J182" s="161" t="s">
        <v>370</v>
      </c>
      <c r="K182" s="161" t="s">
        <v>371</v>
      </c>
      <c r="L182" s="161" t="s">
        <v>83</v>
      </c>
      <c r="M182" s="453" t="s">
        <v>4128</v>
      </c>
      <c r="N182" s="186" t="s">
        <v>20</v>
      </c>
      <c r="O182" s="186" t="s">
        <v>20</v>
      </c>
      <c r="P182" s="186" t="s">
        <v>20</v>
      </c>
      <c r="Q182" s="186" t="s">
        <v>20</v>
      </c>
      <c r="R182" s="186" t="s">
        <v>15</v>
      </c>
      <c r="S182" s="186" t="s">
        <v>20</v>
      </c>
      <c r="T182" s="186" t="s">
        <v>20</v>
      </c>
      <c r="U182" s="186" t="s">
        <v>15</v>
      </c>
      <c r="V182" s="186" t="s">
        <v>15</v>
      </c>
      <c r="W182" s="186" t="s">
        <v>15</v>
      </c>
      <c r="X182" s="186" t="s">
        <v>15</v>
      </c>
      <c r="Y182" s="186" t="s">
        <v>15</v>
      </c>
      <c r="Z182" s="186"/>
      <c r="AA182" s="186" t="s">
        <v>372</v>
      </c>
      <c r="AB182" s="186" t="s">
        <v>292</v>
      </c>
      <c r="AC182" s="186" t="s">
        <v>292</v>
      </c>
      <c r="AD182" s="268" t="s">
        <v>373</v>
      </c>
      <c r="AE182" s="268"/>
      <c r="AF182" s="144" t="str">
        <f t="shared" si="8"/>
        <v/>
      </c>
      <c r="AG182" s="144" t="str">
        <f t="shared" si="9"/>
        <v/>
      </c>
      <c r="AH182" s="146" t="str">
        <f t="shared" si="10"/>
        <v/>
      </c>
      <c r="AI182" s="146" t="str">
        <f t="shared" si="11"/>
        <v/>
      </c>
      <c r="AJ182" s="303"/>
      <c r="AK182" s="303"/>
      <c r="AL182" s="303"/>
      <c r="AM182" s="303"/>
      <c r="AN182" s="303"/>
      <c r="AO182" s="303"/>
      <c r="AP182" s="303"/>
      <c r="AQ182" s="303"/>
      <c r="AR182" s="303"/>
      <c r="AS182" s="170"/>
      <c r="AT182" s="170"/>
      <c r="AU182" s="310"/>
      <c r="AW182" s="294"/>
      <c r="AX182" s="294"/>
      <c r="AY182" s="294"/>
      <c r="AZ182" s="294"/>
      <c r="BA182" s="294"/>
      <c r="BB182" s="294"/>
      <c r="BC182" s="294"/>
      <c r="BD182" s="294"/>
      <c r="BE182" s="294"/>
      <c r="BF182" s="383"/>
      <c r="BG182" s="382">
        <v>1.23</v>
      </c>
      <c r="BH182" s="278"/>
      <c r="BI182" s="365" t="s">
        <v>374</v>
      </c>
      <c r="BJ182" s="411"/>
    </row>
    <row r="183" spans="1:62" ht="15.75" customHeight="1" thickBot="1" x14ac:dyDescent="0.25">
      <c r="A183" s="156">
        <v>182</v>
      </c>
      <c r="B183" s="155">
        <v>1</v>
      </c>
      <c r="C183" s="148" t="s">
        <v>11</v>
      </c>
      <c r="D183" s="148" t="s">
        <v>12</v>
      </c>
      <c r="E183" s="148"/>
      <c r="F183" s="148" t="s">
        <v>424</v>
      </c>
      <c r="G183" s="148" t="s">
        <v>122</v>
      </c>
      <c r="H183" s="148"/>
      <c r="I183" s="161">
        <v>2011</v>
      </c>
      <c r="J183" s="161" t="s">
        <v>370</v>
      </c>
      <c r="K183" s="161" t="s">
        <v>371</v>
      </c>
      <c r="L183" s="161" t="s">
        <v>83</v>
      </c>
      <c r="M183" s="453" t="s">
        <v>4128</v>
      </c>
      <c r="N183" s="186" t="s">
        <v>20</v>
      </c>
      <c r="O183" s="186" t="s">
        <v>20</v>
      </c>
      <c r="P183" s="186" t="s">
        <v>20</v>
      </c>
      <c r="Q183" s="186" t="s">
        <v>20</v>
      </c>
      <c r="R183" s="186" t="s">
        <v>15</v>
      </c>
      <c r="S183" s="186" t="s">
        <v>20</v>
      </c>
      <c r="T183" s="186" t="s">
        <v>20</v>
      </c>
      <c r="U183" s="186" t="s">
        <v>15</v>
      </c>
      <c r="V183" s="186" t="s">
        <v>15</v>
      </c>
      <c r="W183" s="186" t="s">
        <v>15</v>
      </c>
      <c r="X183" s="186" t="s">
        <v>15</v>
      </c>
      <c r="Y183" s="186" t="s">
        <v>15</v>
      </c>
      <c r="Z183" s="186"/>
      <c r="AA183" s="186" t="s">
        <v>372</v>
      </c>
      <c r="AB183" s="186" t="s">
        <v>292</v>
      </c>
      <c r="AC183" s="186" t="s">
        <v>292</v>
      </c>
      <c r="AD183" s="268" t="s">
        <v>373</v>
      </c>
      <c r="AE183" s="268"/>
      <c r="AF183" s="144" t="str">
        <f t="shared" si="8"/>
        <v/>
      </c>
      <c r="AG183" s="144" t="str">
        <f t="shared" si="9"/>
        <v/>
      </c>
      <c r="AH183" s="146" t="str">
        <f t="shared" si="10"/>
        <v/>
      </c>
      <c r="AI183" s="146" t="str">
        <f t="shared" si="11"/>
        <v/>
      </c>
      <c r="AJ183" s="303"/>
      <c r="AK183" s="303"/>
      <c r="AL183" s="303"/>
      <c r="AM183" s="303"/>
      <c r="AN183" s="303"/>
      <c r="AO183" s="303"/>
      <c r="AP183" s="303"/>
      <c r="AQ183" s="303"/>
      <c r="AR183" s="303"/>
      <c r="AS183" s="170"/>
      <c r="AT183" s="170"/>
      <c r="AU183" s="310"/>
      <c r="AW183" s="294"/>
      <c r="AX183" s="294"/>
      <c r="AY183" s="294"/>
      <c r="AZ183" s="294"/>
      <c r="BA183" s="294"/>
      <c r="BB183" s="294"/>
      <c r="BC183" s="294"/>
      <c r="BD183" s="294"/>
      <c r="BE183" s="294"/>
      <c r="BF183" s="383"/>
      <c r="BG183" s="382">
        <v>1.03</v>
      </c>
      <c r="BH183" s="278"/>
      <c r="BI183" s="365" t="s">
        <v>374</v>
      </c>
      <c r="BJ183" s="411"/>
    </row>
    <row r="184" spans="1:62" ht="15.75" customHeight="1" thickBot="1" x14ac:dyDescent="0.25">
      <c r="A184" s="154">
        <v>183</v>
      </c>
      <c r="B184" s="155">
        <v>1</v>
      </c>
      <c r="C184" s="148" t="s">
        <v>11</v>
      </c>
      <c r="D184" s="148" t="s">
        <v>425</v>
      </c>
      <c r="E184" s="148"/>
      <c r="F184" s="148" t="s">
        <v>413</v>
      </c>
      <c r="G184" s="148" t="s">
        <v>122</v>
      </c>
      <c r="H184" s="148"/>
      <c r="I184" s="161">
        <v>2011</v>
      </c>
      <c r="J184" s="161" t="s">
        <v>370</v>
      </c>
      <c r="K184" s="161" t="s">
        <v>371</v>
      </c>
      <c r="L184" s="161" t="s">
        <v>83</v>
      </c>
      <c r="M184" s="453" t="s">
        <v>4128</v>
      </c>
      <c r="N184" s="186" t="s">
        <v>20</v>
      </c>
      <c r="O184" s="186" t="s">
        <v>20</v>
      </c>
      <c r="P184" s="186" t="s">
        <v>20</v>
      </c>
      <c r="Q184" s="186" t="s">
        <v>20</v>
      </c>
      <c r="R184" s="186" t="s">
        <v>15</v>
      </c>
      <c r="S184" s="186" t="s">
        <v>20</v>
      </c>
      <c r="T184" s="186" t="s">
        <v>20</v>
      </c>
      <c r="U184" s="186" t="s">
        <v>15</v>
      </c>
      <c r="V184" s="186" t="s">
        <v>15</v>
      </c>
      <c r="W184" s="186" t="s">
        <v>15</v>
      </c>
      <c r="X184" s="186" t="s">
        <v>15</v>
      </c>
      <c r="Y184" s="186" t="s">
        <v>15</v>
      </c>
      <c r="Z184" s="186"/>
      <c r="AA184" s="186" t="s">
        <v>372</v>
      </c>
      <c r="AB184" s="186" t="s">
        <v>292</v>
      </c>
      <c r="AC184" s="186" t="s">
        <v>292</v>
      </c>
      <c r="AD184" s="268" t="s">
        <v>373</v>
      </c>
      <c r="AE184" s="268"/>
      <c r="AF184" s="144" t="str">
        <f t="shared" si="8"/>
        <v/>
      </c>
      <c r="AG184" s="144" t="str">
        <f t="shared" si="9"/>
        <v/>
      </c>
      <c r="AH184" s="146" t="str">
        <f t="shared" si="10"/>
        <v/>
      </c>
      <c r="AI184" s="146" t="str">
        <f t="shared" si="11"/>
        <v/>
      </c>
      <c r="AJ184" s="303"/>
      <c r="AK184" s="303"/>
      <c r="AL184" s="303"/>
      <c r="AM184" s="303"/>
      <c r="AN184" s="303"/>
      <c r="AO184" s="303"/>
      <c r="AP184" s="303"/>
      <c r="AQ184" s="303"/>
      <c r="AR184" s="303"/>
      <c r="AS184" s="170"/>
      <c r="AT184" s="170"/>
      <c r="AU184" s="310"/>
      <c r="AW184" s="294"/>
      <c r="AX184" s="294"/>
      <c r="AY184" s="294"/>
      <c r="AZ184" s="294"/>
      <c r="BA184" s="294"/>
      <c r="BB184" s="294"/>
      <c r="BC184" s="294"/>
      <c r="BD184" s="294"/>
      <c r="BE184" s="294"/>
      <c r="BF184" s="383"/>
      <c r="BG184" s="382">
        <v>1.25</v>
      </c>
      <c r="BH184" s="278"/>
      <c r="BI184" s="365" t="s">
        <v>374</v>
      </c>
      <c r="BJ184" s="411"/>
    </row>
    <row r="185" spans="1:62" ht="15.75" customHeight="1" thickBot="1" x14ac:dyDescent="0.25">
      <c r="A185" s="156">
        <v>184</v>
      </c>
      <c r="B185" s="155">
        <v>1</v>
      </c>
      <c r="C185" s="148" t="s">
        <v>11</v>
      </c>
      <c r="D185" s="148" t="s">
        <v>425</v>
      </c>
      <c r="E185" s="148"/>
      <c r="F185" s="148" t="s">
        <v>414</v>
      </c>
      <c r="G185" s="148" t="s">
        <v>122</v>
      </c>
      <c r="H185" s="148"/>
      <c r="I185" s="161">
        <v>2011</v>
      </c>
      <c r="J185" s="161" t="s">
        <v>370</v>
      </c>
      <c r="K185" s="161" t="s">
        <v>371</v>
      </c>
      <c r="L185" s="161" t="s">
        <v>83</v>
      </c>
      <c r="M185" s="453" t="s">
        <v>4128</v>
      </c>
      <c r="N185" s="186" t="s">
        <v>20</v>
      </c>
      <c r="O185" s="186" t="s">
        <v>20</v>
      </c>
      <c r="P185" s="186" t="s">
        <v>20</v>
      </c>
      <c r="Q185" s="186" t="s">
        <v>20</v>
      </c>
      <c r="R185" s="186" t="s">
        <v>15</v>
      </c>
      <c r="S185" s="186" t="s">
        <v>20</v>
      </c>
      <c r="T185" s="186" t="s">
        <v>20</v>
      </c>
      <c r="U185" s="186" t="s">
        <v>15</v>
      </c>
      <c r="V185" s="186" t="s">
        <v>15</v>
      </c>
      <c r="W185" s="186" t="s">
        <v>15</v>
      </c>
      <c r="X185" s="186" t="s">
        <v>15</v>
      </c>
      <c r="Y185" s="186" t="s">
        <v>15</v>
      </c>
      <c r="Z185" s="186"/>
      <c r="AA185" s="186" t="s">
        <v>372</v>
      </c>
      <c r="AB185" s="186" t="s">
        <v>292</v>
      </c>
      <c r="AC185" s="186" t="s">
        <v>292</v>
      </c>
      <c r="AD185" s="268" t="s">
        <v>373</v>
      </c>
      <c r="AE185" s="268"/>
      <c r="AF185" s="144" t="str">
        <f t="shared" si="8"/>
        <v/>
      </c>
      <c r="AG185" s="144" t="str">
        <f t="shared" si="9"/>
        <v/>
      </c>
      <c r="AH185" s="146" t="str">
        <f t="shared" si="10"/>
        <v/>
      </c>
      <c r="AI185" s="146" t="str">
        <f t="shared" si="11"/>
        <v/>
      </c>
      <c r="AJ185" s="303"/>
      <c r="AK185" s="303"/>
      <c r="AL185" s="303"/>
      <c r="AM185" s="303"/>
      <c r="AN185" s="303"/>
      <c r="AO185" s="303"/>
      <c r="AP185" s="303"/>
      <c r="AQ185" s="303"/>
      <c r="AR185" s="303"/>
      <c r="AS185" s="170"/>
      <c r="AT185" s="170"/>
      <c r="AU185" s="310"/>
      <c r="AW185" s="294"/>
      <c r="AX185" s="294"/>
      <c r="AY185" s="294"/>
      <c r="AZ185" s="294"/>
      <c r="BA185" s="294"/>
      <c r="BB185" s="294"/>
      <c r="BC185" s="294"/>
      <c r="BD185" s="294"/>
      <c r="BE185" s="294"/>
      <c r="BF185" s="383"/>
      <c r="BG185" s="382">
        <v>1.56</v>
      </c>
      <c r="BH185" s="278"/>
      <c r="BI185" s="365" t="s">
        <v>374</v>
      </c>
      <c r="BJ185" s="411"/>
    </row>
    <row r="186" spans="1:62" ht="15.75" customHeight="1" thickBot="1" x14ac:dyDescent="0.25">
      <c r="A186" s="154">
        <v>185</v>
      </c>
      <c r="B186" s="155">
        <v>1</v>
      </c>
      <c r="C186" s="148" t="s">
        <v>596</v>
      </c>
      <c r="D186" s="141" t="s">
        <v>2272</v>
      </c>
      <c r="E186" s="148"/>
      <c r="F186" s="148" t="s">
        <v>407</v>
      </c>
      <c r="G186" s="148" t="s">
        <v>122</v>
      </c>
      <c r="H186" s="148"/>
      <c r="I186" s="161">
        <v>2011</v>
      </c>
      <c r="J186" s="161" t="s">
        <v>370</v>
      </c>
      <c r="K186" s="161" t="s">
        <v>371</v>
      </c>
      <c r="L186" s="161" t="s">
        <v>83</v>
      </c>
      <c r="M186" s="453" t="s">
        <v>4128</v>
      </c>
      <c r="N186" s="186" t="s">
        <v>20</v>
      </c>
      <c r="O186" s="186" t="s">
        <v>20</v>
      </c>
      <c r="P186" s="186" t="s">
        <v>20</v>
      </c>
      <c r="Q186" s="186" t="s">
        <v>20</v>
      </c>
      <c r="R186" s="186" t="s">
        <v>15</v>
      </c>
      <c r="S186" s="186" t="s">
        <v>20</v>
      </c>
      <c r="T186" s="186" t="s">
        <v>20</v>
      </c>
      <c r="U186" s="186" t="s">
        <v>15</v>
      </c>
      <c r="V186" s="186" t="s">
        <v>15</v>
      </c>
      <c r="W186" s="186" t="s">
        <v>15</v>
      </c>
      <c r="X186" s="186" t="s">
        <v>15</v>
      </c>
      <c r="Y186" s="186" t="s">
        <v>15</v>
      </c>
      <c r="Z186" s="186"/>
      <c r="AA186" s="186" t="s">
        <v>372</v>
      </c>
      <c r="AB186" s="186" t="s">
        <v>292</v>
      </c>
      <c r="AC186" s="186" t="s">
        <v>292</v>
      </c>
      <c r="AD186" s="268" t="s">
        <v>373</v>
      </c>
      <c r="AE186" s="268"/>
      <c r="AF186" s="144" t="str">
        <f t="shared" si="8"/>
        <v/>
      </c>
      <c r="AG186" s="144" t="str">
        <f t="shared" si="9"/>
        <v/>
      </c>
      <c r="AH186" s="146" t="str">
        <f t="shared" si="10"/>
        <v/>
      </c>
      <c r="AI186" s="146" t="str">
        <f t="shared" si="11"/>
        <v/>
      </c>
      <c r="AJ186" s="303"/>
      <c r="AK186" s="303"/>
      <c r="AL186" s="303"/>
      <c r="AM186" s="303"/>
      <c r="AN186" s="303"/>
      <c r="AO186" s="303"/>
      <c r="AP186" s="303"/>
      <c r="AQ186" s="303"/>
      <c r="AR186" s="303"/>
      <c r="AS186" s="170"/>
      <c r="AT186" s="170"/>
      <c r="AU186" s="310"/>
      <c r="AW186" s="294"/>
      <c r="AX186" s="294"/>
      <c r="AY186" s="294"/>
      <c r="AZ186" s="294"/>
      <c r="BA186" s="294"/>
      <c r="BB186" s="294"/>
      <c r="BC186" s="294"/>
      <c r="BD186" s="294"/>
      <c r="BE186" s="294"/>
      <c r="BF186" s="383"/>
      <c r="BG186" s="382">
        <v>0.61</v>
      </c>
      <c r="BH186" s="278"/>
      <c r="BI186" s="365" t="s">
        <v>374</v>
      </c>
      <c r="BJ186" s="411"/>
    </row>
    <row r="187" spans="1:62" ht="15.75" customHeight="1" thickBot="1" x14ac:dyDescent="0.25">
      <c r="A187" s="156">
        <v>186</v>
      </c>
      <c r="B187" s="155">
        <v>1</v>
      </c>
      <c r="C187" s="148" t="s">
        <v>596</v>
      </c>
      <c r="D187" s="141" t="s">
        <v>2272</v>
      </c>
      <c r="E187" s="148"/>
      <c r="F187" s="148" t="s">
        <v>408</v>
      </c>
      <c r="G187" s="148" t="s">
        <v>122</v>
      </c>
      <c r="H187" s="148"/>
      <c r="I187" s="161">
        <v>2011</v>
      </c>
      <c r="J187" s="161" t="s">
        <v>370</v>
      </c>
      <c r="K187" s="161" t="s">
        <v>371</v>
      </c>
      <c r="L187" s="161" t="s">
        <v>83</v>
      </c>
      <c r="M187" s="453" t="s">
        <v>4128</v>
      </c>
      <c r="N187" s="186" t="s">
        <v>20</v>
      </c>
      <c r="O187" s="186" t="s">
        <v>20</v>
      </c>
      <c r="P187" s="186" t="s">
        <v>20</v>
      </c>
      <c r="Q187" s="186" t="s">
        <v>20</v>
      </c>
      <c r="R187" s="186" t="s">
        <v>15</v>
      </c>
      <c r="S187" s="186" t="s">
        <v>20</v>
      </c>
      <c r="T187" s="186" t="s">
        <v>20</v>
      </c>
      <c r="U187" s="186" t="s">
        <v>15</v>
      </c>
      <c r="V187" s="186" t="s">
        <v>15</v>
      </c>
      <c r="W187" s="186" t="s">
        <v>15</v>
      </c>
      <c r="X187" s="186" t="s">
        <v>15</v>
      </c>
      <c r="Y187" s="186" t="s">
        <v>15</v>
      </c>
      <c r="Z187" s="186"/>
      <c r="AA187" s="186" t="s">
        <v>372</v>
      </c>
      <c r="AB187" s="186" t="s">
        <v>292</v>
      </c>
      <c r="AC187" s="186" t="s">
        <v>292</v>
      </c>
      <c r="AD187" s="268" t="s">
        <v>373</v>
      </c>
      <c r="AE187" s="268"/>
      <c r="AF187" s="144" t="str">
        <f t="shared" si="8"/>
        <v/>
      </c>
      <c r="AG187" s="144" t="str">
        <f t="shared" si="9"/>
        <v/>
      </c>
      <c r="AH187" s="146" t="str">
        <f t="shared" si="10"/>
        <v/>
      </c>
      <c r="AI187" s="146" t="str">
        <f t="shared" si="11"/>
        <v/>
      </c>
      <c r="AJ187" s="303"/>
      <c r="AK187" s="303"/>
      <c r="AL187" s="303"/>
      <c r="AM187" s="303"/>
      <c r="AN187" s="303"/>
      <c r="AO187" s="303"/>
      <c r="AP187" s="303"/>
      <c r="AQ187" s="303"/>
      <c r="AR187" s="303"/>
      <c r="AS187" s="170"/>
      <c r="AT187" s="170"/>
      <c r="AU187" s="310"/>
      <c r="AW187" s="294"/>
      <c r="AX187" s="294"/>
      <c r="AY187" s="294"/>
      <c r="AZ187" s="294"/>
      <c r="BA187" s="294"/>
      <c r="BB187" s="294"/>
      <c r="BC187" s="294"/>
      <c r="BD187" s="294"/>
      <c r="BE187" s="294"/>
      <c r="BF187" s="383"/>
      <c r="BG187" s="382">
        <v>0.72</v>
      </c>
      <c r="BH187" s="278"/>
      <c r="BI187" s="365" t="s">
        <v>374</v>
      </c>
      <c r="BJ187" s="411"/>
    </row>
    <row r="188" spans="1:62" ht="15.75" customHeight="1" thickBot="1" x14ac:dyDescent="0.25">
      <c r="A188" s="154">
        <v>187</v>
      </c>
      <c r="B188" s="155">
        <v>1</v>
      </c>
      <c r="C188" s="148" t="s">
        <v>596</v>
      </c>
      <c r="D188" s="141" t="s">
        <v>2272</v>
      </c>
      <c r="E188" s="148"/>
      <c r="F188" s="148" t="s">
        <v>409</v>
      </c>
      <c r="G188" s="148" t="s">
        <v>122</v>
      </c>
      <c r="H188" s="148"/>
      <c r="I188" s="161">
        <v>2011</v>
      </c>
      <c r="J188" s="161" t="s">
        <v>370</v>
      </c>
      <c r="K188" s="161" t="s">
        <v>371</v>
      </c>
      <c r="L188" s="161" t="s">
        <v>83</v>
      </c>
      <c r="M188" s="453" t="s">
        <v>4128</v>
      </c>
      <c r="N188" s="186" t="s">
        <v>20</v>
      </c>
      <c r="O188" s="186" t="s">
        <v>20</v>
      </c>
      <c r="P188" s="186" t="s">
        <v>20</v>
      </c>
      <c r="Q188" s="186" t="s">
        <v>20</v>
      </c>
      <c r="R188" s="186" t="s">
        <v>15</v>
      </c>
      <c r="S188" s="186" t="s">
        <v>20</v>
      </c>
      <c r="T188" s="186" t="s">
        <v>20</v>
      </c>
      <c r="U188" s="186" t="s">
        <v>15</v>
      </c>
      <c r="V188" s="186" t="s">
        <v>15</v>
      </c>
      <c r="W188" s="186" t="s">
        <v>15</v>
      </c>
      <c r="X188" s="186" t="s">
        <v>15</v>
      </c>
      <c r="Y188" s="186" t="s">
        <v>15</v>
      </c>
      <c r="Z188" s="186"/>
      <c r="AA188" s="186" t="s">
        <v>372</v>
      </c>
      <c r="AB188" s="186" t="s">
        <v>292</v>
      </c>
      <c r="AC188" s="186" t="s">
        <v>292</v>
      </c>
      <c r="AD188" s="268" t="s">
        <v>373</v>
      </c>
      <c r="AE188" s="268"/>
      <c r="AF188" s="144" t="str">
        <f t="shared" si="8"/>
        <v/>
      </c>
      <c r="AG188" s="144" t="str">
        <f t="shared" si="9"/>
        <v/>
      </c>
      <c r="AH188" s="146" t="str">
        <f t="shared" si="10"/>
        <v/>
      </c>
      <c r="AI188" s="146" t="str">
        <f t="shared" si="11"/>
        <v/>
      </c>
      <c r="AJ188" s="303"/>
      <c r="AK188" s="303"/>
      <c r="AL188" s="303"/>
      <c r="AM188" s="303"/>
      <c r="AN188" s="303"/>
      <c r="AO188" s="303"/>
      <c r="AP188" s="303"/>
      <c r="AQ188" s="303"/>
      <c r="AR188" s="303"/>
      <c r="AS188" s="170"/>
      <c r="AT188" s="170"/>
      <c r="AU188" s="310"/>
      <c r="AW188" s="294"/>
      <c r="AX188" s="294"/>
      <c r="AY188" s="294"/>
      <c r="AZ188" s="294"/>
      <c r="BA188" s="294"/>
      <c r="BB188" s="294"/>
      <c r="BC188" s="294"/>
      <c r="BD188" s="294"/>
      <c r="BE188" s="294"/>
      <c r="BF188" s="383"/>
      <c r="BG188" s="382">
        <v>0.89</v>
      </c>
      <c r="BH188" s="278"/>
      <c r="BI188" s="365" t="s">
        <v>374</v>
      </c>
      <c r="BJ188" s="411"/>
    </row>
    <row r="189" spans="1:62" ht="15.75" customHeight="1" thickBot="1" x14ac:dyDescent="0.25">
      <c r="A189" s="156">
        <v>188</v>
      </c>
      <c r="B189" s="155">
        <v>1</v>
      </c>
      <c r="C189" s="148" t="s">
        <v>596</v>
      </c>
      <c r="D189" s="141" t="s">
        <v>2272</v>
      </c>
      <c r="E189" s="148"/>
      <c r="F189" s="148" t="s">
        <v>410</v>
      </c>
      <c r="G189" s="148" t="s">
        <v>122</v>
      </c>
      <c r="H189" s="148"/>
      <c r="I189" s="161">
        <v>2011</v>
      </c>
      <c r="J189" s="161" t="s">
        <v>370</v>
      </c>
      <c r="K189" s="161" t="s">
        <v>371</v>
      </c>
      <c r="L189" s="161" t="s">
        <v>83</v>
      </c>
      <c r="M189" s="453" t="s">
        <v>4128</v>
      </c>
      <c r="N189" s="186" t="s">
        <v>20</v>
      </c>
      <c r="O189" s="186" t="s">
        <v>20</v>
      </c>
      <c r="P189" s="186" t="s">
        <v>20</v>
      </c>
      <c r="Q189" s="186" t="s">
        <v>20</v>
      </c>
      <c r="R189" s="186" t="s">
        <v>15</v>
      </c>
      <c r="S189" s="186" t="s">
        <v>20</v>
      </c>
      <c r="T189" s="186" t="s">
        <v>20</v>
      </c>
      <c r="U189" s="186" t="s">
        <v>15</v>
      </c>
      <c r="V189" s="186" t="s">
        <v>15</v>
      </c>
      <c r="W189" s="186" t="s">
        <v>15</v>
      </c>
      <c r="X189" s="186" t="s">
        <v>15</v>
      </c>
      <c r="Y189" s="186" t="s">
        <v>15</v>
      </c>
      <c r="Z189" s="186"/>
      <c r="AA189" s="186" t="s">
        <v>372</v>
      </c>
      <c r="AB189" s="186" t="s">
        <v>292</v>
      </c>
      <c r="AC189" s="186" t="s">
        <v>292</v>
      </c>
      <c r="AD189" s="268" t="s">
        <v>373</v>
      </c>
      <c r="AE189" s="268"/>
      <c r="AF189" s="144" t="str">
        <f t="shared" si="8"/>
        <v/>
      </c>
      <c r="AG189" s="144" t="str">
        <f t="shared" si="9"/>
        <v/>
      </c>
      <c r="AH189" s="146" t="str">
        <f t="shared" si="10"/>
        <v/>
      </c>
      <c r="AI189" s="146" t="str">
        <f t="shared" si="11"/>
        <v/>
      </c>
      <c r="AJ189" s="303"/>
      <c r="AK189" s="303"/>
      <c r="AL189" s="303"/>
      <c r="AM189" s="303"/>
      <c r="AN189" s="303"/>
      <c r="AO189" s="303"/>
      <c r="AP189" s="303"/>
      <c r="AQ189" s="303"/>
      <c r="AR189" s="303"/>
      <c r="AS189" s="170"/>
      <c r="AT189" s="170"/>
      <c r="AU189" s="310"/>
      <c r="AW189" s="294"/>
      <c r="AX189" s="294"/>
      <c r="AY189" s="294"/>
      <c r="AZ189" s="294"/>
      <c r="BA189" s="294"/>
      <c r="BB189" s="294"/>
      <c r="BC189" s="294"/>
      <c r="BD189" s="294"/>
      <c r="BE189" s="294"/>
      <c r="BF189" s="383"/>
      <c r="BG189" s="382">
        <v>0.78</v>
      </c>
      <c r="BH189" s="278"/>
      <c r="BI189" s="365" t="s">
        <v>374</v>
      </c>
      <c r="BJ189" s="411"/>
    </row>
    <row r="190" spans="1:62" ht="15.75" customHeight="1" thickBot="1" x14ac:dyDescent="0.25">
      <c r="A190" s="154">
        <v>189</v>
      </c>
      <c r="B190" s="155">
        <v>1</v>
      </c>
      <c r="C190" s="148" t="s">
        <v>11</v>
      </c>
      <c r="D190" s="148" t="s">
        <v>426</v>
      </c>
      <c r="E190" s="148"/>
      <c r="F190" s="148" t="s">
        <v>427</v>
      </c>
      <c r="G190" s="148" t="s">
        <v>122</v>
      </c>
      <c r="H190" s="148"/>
      <c r="I190" s="161">
        <v>2011</v>
      </c>
      <c r="J190" s="161" t="s">
        <v>370</v>
      </c>
      <c r="K190" s="161" t="s">
        <v>371</v>
      </c>
      <c r="L190" s="161" t="s">
        <v>83</v>
      </c>
      <c r="M190" s="453" t="s">
        <v>4128</v>
      </c>
      <c r="N190" s="186" t="s">
        <v>20</v>
      </c>
      <c r="O190" s="186" t="s">
        <v>20</v>
      </c>
      <c r="P190" s="186" t="s">
        <v>20</v>
      </c>
      <c r="Q190" s="186" t="s">
        <v>20</v>
      </c>
      <c r="R190" s="186" t="s">
        <v>15</v>
      </c>
      <c r="S190" s="186" t="s">
        <v>20</v>
      </c>
      <c r="T190" s="186" t="s">
        <v>20</v>
      </c>
      <c r="U190" s="186" t="s">
        <v>15</v>
      </c>
      <c r="V190" s="186" t="s">
        <v>15</v>
      </c>
      <c r="W190" s="186" t="s">
        <v>15</v>
      </c>
      <c r="X190" s="186" t="s">
        <v>15</v>
      </c>
      <c r="Y190" s="186" t="s">
        <v>15</v>
      </c>
      <c r="Z190" s="186"/>
      <c r="AA190" s="186" t="s">
        <v>372</v>
      </c>
      <c r="AB190" s="186" t="s">
        <v>292</v>
      </c>
      <c r="AC190" s="186" t="s">
        <v>292</v>
      </c>
      <c r="AD190" s="268" t="s">
        <v>373</v>
      </c>
      <c r="AE190" s="268"/>
      <c r="AF190" s="144" t="str">
        <f t="shared" si="8"/>
        <v/>
      </c>
      <c r="AG190" s="144" t="str">
        <f t="shared" si="9"/>
        <v/>
      </c>
      <c r="AH190" s="146" t="str">
        <f t="shared" si="10"/>
        <v/>
      </c>
      <c r="AI190" s="146" t="str">
        <f t="shared" si="11"/>
        <v/>
      </c>
      <c r="AJ190" s="303"/>
      <c r="AK190" s="303"/>
      <c r="AL190" s="303"/>
      <c r="AM190" s="303"/>
      <c r="AN190" s="303"/>
      <c r="AO190" s="303"/>
      <c r="AP190" s="303"/>
      <c r="AQ190" s="303"/>
      <c r="AR190" s="303"/>
      <c r="AS190" s="170"/>
      <c r="AT190" s="170"/>
      <c r="AU190" s="310"/>
      <c r="AW190" s="294"/>
      <c r="AX190" s="294"/>
      <c r="AY190" s="294"/>
      <c r="AZ190" s="294"/>
      <c r="BA190" s="294"/>
      <c r="BB190" s="294"/>
      <c r="BC190" s="294"/>
      <c r="BD190" s="294"/>
      <c r="BE190" s="294"/>
      <c r="BF190" s="383"/>
      <c r="BG190" s="382">
        <v>8.8000000000000007</v>
      </c>
      <c r="BH190" s="278"/>
      <c r="BI190" s="365" t="s">
        <v>374</v>
      </c>
      <c r="BJ190" s="411"/>
    </row>
    <row r="191" spans="1:62" ht="15.75" customHeight="1" thickBot="1" x14ac:dyDescent="0.25">
      <c r="A191" s="156">
        <v>190</v>
      </c>
      <c r="B191" s="155">
        <v>1</v>
      </c>
      <c r="C191" s="148" t="s">
        <v>11</v>
      </c>
      <c r="D191" s="148" t="s">
        <v>426</v>
      </c>
      <c r="E191" s="148"/>
      <c r="F191" s="148" t="s">
        <v>428</v>
      </c>
      <c r="G191" s="148" t="s">
        <v>122</v>
      </c>
      <c r="H191" s="148"/>
      <c r="I191" s="161">
        <v>2011</v>
      </c>
      <c r="J191" s="161" t="s">
        <v>370</v>
      </c>
      <c r="K191" s="161" t="s">
        <v>371</v>
      </c>
      <c r="L191" s="161" t="s">
        <v>83</v>
      </c>
      <c r="M191" s="453" t="s">
        <v>4128</v>
      </c>
      <c r="N191" s="186" t="s">
        <v>20</v>
      </c>
      <c r="O191" s="186" t="s">
        <v>20</v>
      </c>
      <c r="P191" s="186" t="s">
        <v>20</v>
      </c>
      <c r="Q191" s="186" t="s">
        <v>20</v>
      </c>
      <c r="R191" s="186" t="s">
        <v>15</v>
      </c>
      <c r="S191" s="186" t="s">
        <v>20</v>
      </c>
      <c r="T191" s="186" t="s">
        <v>20</v>
      </c>
      <c r="U191" s="186" t="s">
        <v>15</v>
      </c>
      <c r="V191" s="186" t="s">
        <v>15</v>
      </c>
      <c r="W191" s="186" t="s">
        <v>15</v>
      </c>
      <c r="X191" s="186" t="s">
        <v>15</v>
      </c>
      <c r="Y191" s="186" t="s">
        <v>15</v>
      </c>
      <c r="Z191" s="186"/>
      <c r="AA191" s="186" t="s">
        <v>372</v>
      </c>
      <c r="AB191" s="186" t="s">
        <v>292</v>
      </c>
      <c r="AC191" s="186" t="s">
        <v>292</v>
      </c>
      <c r="AD191" s="268" t="s">
        <v>373</v>
      </c>
      <c r="AE191" s="268"/>
      <c r="AF191" s="144" t="str">
        <f t="shared" si="8"/>
        <v/>
      </c>
      <c r="AG191" s="144" t="str">
        <f t="shared" si="9"/>
        <v/>
      </c>
      <c r="AH191" s="146" t="str">
        <f t="shared" si="10"/>
        <v/>
      </c>
      <c r="AI191" s="146" t="str">
        <f t="shared" si="11"/>
        <v/>
      </c>
      <c r="AJ191" s="303"/>
      <c r="AK191" s="303"/>
      <c r="AL191" s="303"/>
      <c r="AM191" s="303"/>
      <c r="AN191" s="303"/>
      <c r="AO191" s="303"/>
      <c r="AP191" s="303"/>
      <c r="AQ191" s="303"/>
      <c r="AR191" s="303"/>
      <c r="AS191" s="170"/>
      <c r="AT191" s="170"/>
      <c r="AU191" s="310"/>
      <c r="AW191" s="294"/>
      <c r="AX191" s="294"/>
      <c r="AY191" s="294"/>
      <c r="AZ191" s="294"/>
      <c r="BA191" s="294"/>
      <c r="BB191" s="294"/>
      <c r="BC191" s="294"/>
      <c r="BD191" s="294"/>
      <c r="BE191" s="294"/>
      <c r="BF191" s="383"/>
      <c r="BG191" s="382">
        <v>10.17</v>
      </c>
      <c r="BH191" s="278"/>
      <c r="BI191" s="365" t="s">
        <v>374</v>
      </c>
      <c r="BJ191" s="411"/>
    </row>
    <row r="192" spans="1:62" ht="15.75" customHeight="1" thickBot="1" x14ac:dyDescent="0.25">
      <c r="A192" s="154">
        <v>191</v>
      </c>
      <c r="B192" s="155">
        <v>1</v>
      </c>
      <c r="C192" s="148" t="s">
        <v>11</v>
      </c>
      <c r="D192" s="148" t="s">
        <v>426</v>
      </c>
      <c r="E192" s="148"/>
      <c r="F192" s="148" t="s">
        <v>429</v>
      </c>
      <c r="G192" s="148" t="s">
        <v>122</v>
      </c>
      <c r="H192" s="148"/>
      <c r="I192" s="161">
        <v>2011</v>
      </c>
      <c r="J192" s="161" t="s">
        <v>370</v>
      </c>
      <c r="K192" s="161" t="s">
        <v>371</v>
      </c>
      <c r="L192" s="161" t="s">
        <v>83</v>
      </c>
      <c r="M192" s="453" t="s">
        <v>4128</v>
      </c>
      <c r="N192" s="186" t="s">
        <v>20</v>
      </c>
      <c r="O192" s="186" t="s">
        <v>20</v>
      </c>
      <c r="P192" s="186" t="s">
        <v>20</v>
      </c>
      <c r="Q192" s="186" t="s">
        <v>20</v>
      </c>
      <c r="R192" s="186" t="s">
        <v>15</v>
      </c>
      <c r="S192" s="186" t="s">
        <v>20</v>
      </c>
      <c r="T192" s="186" t="s">
        <v>20</v>
      </c>
      <c r="U192" s="186" t="s">
        <v>15</v>
      </c>
      <c r="V192" s="186" t="s">
        <v>15</v>
      </c>
      <c r="W192" s="186" t="s">
        <v>15</v>
      </c>
      <c r="X192" s="186" t="s">
        <v>15</v>
      </c>
      <c r="Y192" s="186" t="s">
        <v>15</v>
      </c>
      <c r="Z192" s="186"/>
      <c r="AA192" s="186" t="s">
        <v>372</v>
      </c>
      <c r="AB192" s="186" t="s">
        <v>292</v>
      </c>
      <c r="AC192" s="186" t="s">
        <v>292</v>
      </c>
      <c r="AD192" s="268" t="s">
        <v>373</v>
      </c>
      <c r="AE192" s="268"/>
      <c r="AF192" s="144" t="str">
        <f t="shared" si="8"/>
        <v/>
      </c>
      <c r="AG192" s="144" t="str">
        <f t="shared" si="9"/>
        <v/>
      </c>
      <c r="AH192" s="146" t="str">
        <f t="shared" si="10"/>
        <v/>
      </c>
      <c r="AI192" s="146" t="str">
        <f t="shared" si="11"/>
        <v/>
      </c>
      <c r="AJ192" s="303"/>
      <c r="AK192" s="303"/>
      <c r="AL192" s="303"/>
      <c r="AM192" s="303"/>
      <c r="AN192" s="303"/>
      <c r="AO192" s="303"/>
      <c r="AP192" s="303"/>
      <c r="AQ192" s="303"/>
      <c r="AR192" s="303"/>
      <c r="AS192" s="170"/>
      <c r="AT192" s="170"/>
      <c r="AU192" s="310"/>
      <c r="AW192" s="294"/>
      <c r="AX192" s="294"/>
      <c r="AY192" s="294"/>
      <c r="AZ192" s="294"/>
      <c r="BA192" s="294"/>
      <c r="BB192" s="294"/>
      <c r="BC192" s="294"/>
      <c r="BD192" s="294"/>
      <c r="BE192" s="294"/>
      <c r="BF192" s="383"/>
      <c r="BG192" s="382">
        <v>8.75</v>
      </c>
      <c r="BH192" s="278"/>
      <c r="BI192" s="365" t="s">
        <v>374</v>
      </c>
      <c r="BJ192" s="411"/>
    </row>
    <row r="193" spans="1:62" ht="15.75" customHeight="1" thickBot="1" x14ac:dyDescent="0.25">
      <c r="A193" s="156">
        <v>192</v>
      </c>
      <c r="B193" s="155">
        <v>1</v>
      </c>
      <c r="C193" s="148" t="s">
        <v>11</v>
      </c>
      <c r="D193" s="148" t="s">
        <v>426</v>
      </c>
      <c r="E193" s="148"/>
      <c r="F193" s="148" t="s">
        <v>430</v>
      </c>
      <c r="G193" s="148" t="s">
        <v>122</v>
      </c>
      <c r="H193" s="148"/>
      <c r="I193" s="161">
        <v>2011</v>
      </c>
      <c r="J193" s="161" t="s">
        <v>370</v>
      </c>
      <c r="K193" s="161" t="s">
        <v>371</v>
      </c>
      <c r="L193" s="161" t="s">
        <v>83</v>
      </c>
      <c r="M193" s="453" t="s">
        <v>4128</v>
      </c>
      <c r="N193" s="186" t="s">
        <v>20</v>
      </c>
      <c r="O193" s="186" t="s">
        <v>20</v>
      </c>
      <c r="P193" s="186" t="s">
        <v>20</v>
      </c>
      <c r="Q193" s="186" t="s">
        <v>20</v>
      </c>
      <c r="R193" s="186" t="s">
        <v>15</v>
      </c>
      <c r="S193" s="186" t="s">
        <v>20</v>
      </c>
      <c r="T193" s="186" t="s">
        <v>20</v>
      </c>
      <c r="U193" s="186" t="s">
        <v>15</v>
      </c>
      <c r="V193" s="186" t="s">
        <v>15</v>
      </c>
      <c r="W193" s="186" t="s">
        <v>15</v>
      </c>
      <c r="X193" s="186" t="s">
        <v>15</v>
      </c>
      <c r="Y193" s="186" t="s">
        <v>15</v>
      </c>
      <c r="Z193" s="186"/>
      <c r="AA193" s="186" t="s">
        <v>372</v>
      </c>
      <c r="AB193" s="186" t="s">
        <v>292</v>
      </c>
      <c r="AC193" s="186" t="s">
        <v>292</v>
      </c>
      <c r="AD193" s="268" t="s">
        <v>373</v>
      </c>
      <c r="AE193" s="268"/>
      <c r="AF193" s="144" t="str">
        <f t="shared" si="8"/>
        <v/>
      </c>
      <c r="AG193" s="144" t="str">
        <f t="shared" si="9"/>
        <v/>
      </c>
      <c r="AH193" s="146" t="str">
        <f t="shared" si="10"/>
        <v/>
      </c>
      <c r="AI193" s="146" t="str">
        <f t="shared" si="11"/>
        <v/>
      </c>
      <c r="AJ193" s="303"/>
      <c r="AK193" s="303"/>
      <c r="AL193" s="303"/>
      <c r="AM193" s="303"/>
      <c r="AN193" s="303"/>
      <c r="AO193" s="303"/>
      <c r="AP193" s="303"/>
      <c r="AQ193" s="303"/>
      <c r="AR193" s="303"/>
      <c r="AS193" s="170"/>
      <c r="AT193" s="170"/>
      <c r="AU193" s="310"/>
      <c r="AW193" s="294"/>
      <c r="AX193" s="294"/>
      <c r="AY193" s="294"/>
      <c r="AZ193" s="294"/>
      <c r="BA193" s="294"/>
      <c r="BB193" s="294"/>
      <c r="BC193" s="294"/>
      <c r="BD193" s="294"/>
      <c r="BE193" s="294"/>
      <c r="BF193" s="383"/>
      <c r="BG193" s="382">
        <v>8.02</v>
      </c>
      <c r="BH193" s="278"/>
      <c r="BI193" s="365" t="s">
        <v>374</v>
      </c>
      <c r="BJ193" s="411"/>
    </row>
    <row r="194" spans="1:62" ht="15.75" customHeight="1" thickBot="1" x14ac:dyDescent="0.25">
      <c r="A194" s="154">
        <v>193</v>
      </c>
      <c r="B194" s="155">
        <v>1</v>
      </c>
      <c r="C194" s="148" t="s">
        <v>11</v>
      </c>
      <c r="D194" s="148" t="s">
        <v>426</v>
      </c>
      <c r="E194" s="148"/>
      <c r="F194" s="148" t="s">
        <v>431</v>
      </c>
      <c r="G194" s="148" t="s">
        <v>122</v>
      </c>
      <c r="H194" s="148"/>
      <c r="I194" s="161">
        <v>2011</v>
      </c>
      <c r="J194" s="161" t="s">
        <v>370</v>
      </c>
      <c r="K194" s="161" t="s">
        <v>371</v>
      </c>
      <c r="L194" s="161" t="s">
        <v>83</v>
      </c>
      <c r="M194" s="453" t="s">
        <v>4128</v>
      </c>
      <c r="N194" s="186" t="s">
        <v>20</v>
      </c>
      <c r="O194" s="186" t="s">
        <v>20</v>
      </c>
      <c r="P194" s="186" t="s">
        <v>20</v>
      </c>
      <c r="Q194" s="186" t="s">
        <v>20</v>
      </c>
      <c r="R194" s="186" t="s">
        <v>15</v>
      </c>
      <c r="S194" s="186" t="s">
        <v>20</v>
      </c>
      <c r="T194" s="186" t="s">
        <v>20</v>
      </c>
      <c r="U194" s="186" t="s">
        <v>15</v>
      </c>
      <c r="V194" s="186" t="s">
        <v>15</v>
      </c>
      <c r="W194" s="186" t="s">
        <v>15</v>
      </c>
      <c r="X194" s="186" t="s">
        <v>15</v>
      </c>
      <c r="Y194" s="186" t="s">
        <v>15</v>
      </c>
      <c r="Z194" s="186"/>
      <c r="AA194" s="186" t="s">
        <v>372</v>
      </c>
      <c r="AB194" s="186" t="s">
        <v>292</v>
      </c>
      <c r="AC194" s="186" t="s">
        <v>292</v>
      </c>
      <c r="AD194" s="268" t="s">
        <v>373</v>
      </c>
      <c r="AE194" s="268"/>
      <c r="AF194" s="144" t="str">
        <f t="shared" ref="AF194:AF257" si="12">IF(AS194&lt;&gt;0,AS194,"")</f>
        <v/>
      </c>
      <c r="AG194" s="144" t="str">
        <f t="shared" ref="AG194:AG257" si="13">IF(AND(SUM(AJ194:AL194)&lt;&gt;0,SUM(AJ194:AL194)&lt;&gt;AJ194),SUM(AJ194:AL194),"")</f>
        <v/>
      </c>
      <c r="AH194" s="146" t="str">
        <f t="shared" ref="AH194:AH257" si="14">IF(BF194&lt;&gt;0,BF194,"")</f>
        <v/>
      </c>
      <c r="AI194" s="146" t="str">
        <f t="shared" ref="AI194:AI257" si="15">IF(AND(SUM(AW194:AY194)&lt;&gt;0,SUM(AW194:AY194)&lt;&gt;AW194),SUM(AW194:AY194),"")</f>
        <v/>
      </c>
      <c r="AJ194" s="303"/>
      <c r="AK194" s="303"/>
      <c r="AL194" s="303"/>
      <c r="AM194" s="303"/>
      <c r="AN194" s="303"/>
      <c r="AO194" s="303"/>
      <c r="AP194" s="303"/>
      <c r="AQ194" s="303"/>
      <c r="AR194" s="303"/>
      <c r="AS194" s="170"/>
      <c r="AT194" s="170"/>
      <c r="AU194" s="310"/>
      <c r="AW194" s="294"/>
      <c r="AX194" s="294"/>
      <c r="AY194" s="294"/>
      <c r="AZ194" s="294"/>
      <c r="BA194" s="294"/>
      <c r="BB194" s="294"/>
      <c r="BC194" s="294"/>
      <c r="BD194" s="294"/>
      <c r="BE194" s="294"/>
      <c r="BF194" s="383"/>
      <c r="BG194" s="382">
        <v>9.32</v>
      </c>
      <c r="BH194" s="278"/>
      <c r="BI194" s="365" t="s">
        <v>374</v>
      </c>
      <c r="BJ194" s="411"/>
    </row>
    <row r="195" spans="1:62" ht="15.75" customHeight="1" thickBot="1" x14ac:dyDescent="0.25">
      <c r="A195" s="156">
        <v>194</v>
      </c>
      <c r="B195" s="155">
        <v>1</v>
      </c>
      <c r="C195" s="148" t="s">
        <v>11</v>
      </c>
      <c r="D195" s="148" t="s">
        <v>426</v>
      </c>
      <c r="E195" s="148"/>
      <c r="F195" s="148" t="s">
        <v>432</v>
      </c>
      <c r="G195" s="148" t="s">
        <v>122</v>
      </c>
      <c r="H195" s="148"/>
      <c r="I195" s="161">
        <v>2011</v>
      </c>
      <c r="J195" s="161" t="s">
        <v>370</v>
      </c>
      <c r="K195" s="161" t="s">
        <v>371</v>
      </c>
      <c r="L195" s="161" t="s">
        <v>83</v>
      </c>
      <c r="M195" s="453" t="s">
        <v>4128</v>
      </c>
      <c r="N195" s="186" t="s">
        <v>20</v>
      </c>
      <c r="O195" s="186" t="s">
        <v>20</v>
      </c>
      <c r="P195" s="186" t="s">
        <v>20</v>
      </c>
      <c r="Q195" s="186" t="s">
        <v>20</v>
      </c>
      <c r="R195" s="186" t="s">
        <v>15</v>
      </c>
      <c r="S195" s="186" t="s">
        <v>20</v>
      </c>
      <c r="T195" s="186" t="s">
        <v>20</v>
      </c>
      <c r="U195" s="186" t="s">
        <v>15</v>
      </c>
      <c r="V195" s="186" t="s">
        <v>15</v>
      </c>
      <c r="W195" s="186" t="s">
        <v>15</v>
      </c>
      <c r="X195" s="186" t="s">
        <v>15</v>
      </c>
      <c r="Y195" s="186" t="s">
        <v>15</v>
      </c>
      <c r="Z195" s="186"/>
      <c r="AA195" s="186" t="s">
        <v>372</v>
      </c>
      <c r="AB195" s="186" t="s">
        <v>292</v>
      </c>
      <c r="AC195" s="186" t="s">
        <v>292</v>
      </c>
      <c r="AD195" s="268" t="s">
        <v>373</v>
      </c>
      <c r="AE195" s="268"/>
      <c r="AF195" s="144" t="str">
        <f t="shared" si="12"/>
        <v/>
      </c>
      <c r="AG195" s="144" t="str">
        <f t="shared" si="13"/>
        <v/>
      </c>
      <c r="AH195" s="146" t="str">
        <f t="shared" si="14"/>
        <v/>
      </c>
      <c r="AI195" s="146" t="str">
        <f t="shared" si="15"/>
        <v/>
      </c>
      <c r="AJ195" s="303"/>
      <c r="AK195" s="303"/>
      <c r="AL195" s="303"/>
      <c r="AM195" s="303"/>
      <c r="AN195" s="303"/>
      <c r="AO195" s="303"/>
      <c r="AP195" s="303"/>
      <c r="AQ195" s="303"/>
      <c r="AR195" s="303"/>
      <c r="AS195" s="170"/>
      <c r="AT195" s="170"/>
      <c r="AU195" s="310"/>
      <c r="AW195" s="294"/>
      <c r="AX195" s="294"/>
      <c r="AY195" s="294"/>
      <c r="AZ195" s="294"/>
      <c r="BA195" s="294"/>
      <c r="BB195" s="294"/>
      <c r="BC195" s="294"/>
      <c r="BD195" s="294"/>
      <c r="BE195" s="294"/>
      <c r="BF195" s="383"/>
      <c r="BG195" s="382">
        <v>7.98</v>
      </c>
      <c r="BH195" s="278"/>
      <c r="BI195" s="365" t="s">
        <v>374</v>
      </c>
      <c r="BJ195" s="411"/>
    </row>
    <row r="196" spans="1:62" ht="15.75" customHeight="1" thickBot="1" x14ac:dyDescent="0.25">
      <c r="A196" s="154">
        <v>195</v>
      </c>
      <c r="B196" s="155">
        <v>1</v>
      </c>
      <c r="C196" s="148" t="s">
        <v>11</v>
      </c>
      <c r="D196" s="148" t="s">
        <v>426</v>
      </c>
      <c r="E196" s="148"/>
      <c r="F196" s="148" t="s">
        <v>433</v>
      </c>
      <c r="G196" s="148" t="s">
        <v>122</v>
      </c>
      <c r="H196" s="148"/>
      <c r="I196" s="161">
        <v>2011</v>
      </c>
      <c r="J196" s="161" t="s">
        <v>370</v>
      </c>
      <c r="K196" s="161" t="s">
        <v>371</v>
      </c>
      <c r="L196" s="161" t="s">
        <v>83</v>
      </c>
      <c r="M196" s="453" t="s">
        <v>4128</v>
      </c>
      <c r="N196" s="186" t="s">
        <v>20</v>
      </c>
      <c r="O196" s="186" t="s">
        <v>20</v>
      </c>
      <c r="P196" s="186" t="s">
        <v>20</v>
      </c>
      <c r="Q196" s="186" t="s">
        <v>20</v>
      </c>
      <c r="R196" s="186" t="s">
        <v>15</v>
      </c>
      <c r="S196" s="186" t="s">
        <v>20</v>
      </c>
      <c r="T196" s="186" t="s">
        <v>20</v>
      </c>
      <c r="U196" s="186" t="s">
        <v>15</v>
      </c>
      <c r="V196" s="186" t="s">
        <v>15</v>
      </c>
      <c r="W196" s="186" t="s">
        <v>15</v>
      </c>
      <c r="X196" s="186" t="s">
        <v>15</v>
      </c>
      <c r="Y196" s="186" t="s">
        <v>15</v>
      </c>
      <c r="Z196" s="186"/>
      <c r="AA196" s="186" t="s">
        <v>372</v>
      </c>
      <c r="AB196" s="186" t="s">
        <v>292</v>
      </c>
      <c r="AC196" s="186" t="s">
        <v>292</v>
      </c>
      <c r="AD196" s="268" t="s">
        <v>373</v>
      </c>
      <c r="AE196" s="268"/>
      <c r="AF196" s="144" t="str">
        <f t="shared" si="12"/>
        <v/>
      </c>
      <c r="AG196" s="144" t="str">
        <f t="shared" si="13"/>
        <v/>
      </c>
      <c r="AH196" s="146" t="str">
        <f t="shared" si="14"/>
        <v/>
      </c>
      <c r="AI196" s="146" t="str">
        <f t="shared" si="15"/>
        <v/>
      </c>
      <c r="AJ196" s="303"/>
      <c r="AK196" s="303"/>
      <c r="AL196" s="303"/>
      <c r="AM196" s="303"/>
      <c r="AN196" s="303"/>
      <c r="AO196" s="303"/>
      <c r="AP196" s="303"/>
      <c r="AQ196" s="303"/>
      <c r="AR196" s="303"/>
      <c r="AS196" s="170"/>
      <c r="AT196" s="170"/>
      <c r="AU196" s="310"/>
      <c r="AW196" s="294"/>
      <c r="AX196" s="294"/>
      <c r="AY196" s="294"/>
      <c r="AZ196" s="294"/>
      <c r="BA196" s="294"/>
      <c r="BB196" s="294"/>
      <c r="BC196" s="294"/>
      <c r="BD196" s="294"/>
      <c r="BE196" s="294"/>
      <c r="BF196" s="383"/>
      <c r="BG196" s="382">
        <v>7.57</v>
      </c>
      <c r="BH196" s="278"/>
      <c r="BI196" s="365" t="s">
        <v>374</v>
      </c>
      <c r="BJ196" s="411"/>
    </row>
    <row r="197" spans="1:62" ht="15.75" customHeight="1" thickBot="1" x14ac:dyDescent="0.25">
      <c r="A197" s="156">
        <v>196</v>
      </c>
      <c r="B197" s="155">
        <v>1</v>
      </c>
      <c r="C197" s="148" t="s">
        <v>11</v>
      </c>
      <c r="D197" s="148" t="s">
        <v>426</v>
      </c>
      <c r="E197" s="148"/>
      <c r="F197" s="148" t="s">
        <v>434</v>
      </c>
      <c r="G197" s="148" t="s">
        <v>122</v>
      </c>
      <c r="H197" s="148"/>
      <c r="I197" s="161">
        <v>2011</v>
      </c>
      <c r="J197" s="161" t="s">
        <v>370</v>
      </c>
      <c r="K197" s="161" t="s">
        <v>371</v>
      </c>
      <c r="L197" s="161" t="s">
        <v>83</v>
      </c>
      <c r="M197" s="453" t="s">
        <v>4128</v>
      </c>
      <c r="N197" s="186" t="s">
        <v>20</v>
      </c>
      <c r="O197" s="186" t="s">
        <v>20</v>
      </c>
      <c r="P197" s="186" t="s">
        <v>20</v>
      </c>
      <c r="Q197" s="186" t="s">
        <v>20</v>
      </c>
      <c r="R197" s="186" t="s">
        <v>15</v>
      </c>
      <c r="S197" s="186" t="s">
        <v>20</v>
      </c>
      <c r="T197" s="186" t="s">
        <v>20</v>
      </c>
      <c r="U197" s="186" t="s">
        <v>15</v>
      </c>
      <c r="V197" s="186" t="s">
        <v>15</v>
      </c>
      <c r="W197" s="186" t="s">
        <v>15</v>
      </c>
      <c r="X197" s="186" t="s">
        <v>15</v>
      </c>
      <c r="Y197" s="186" t="s">
        <v>15</v>
      </c>
      <c r="Z197" s="186"/>
      <c r="AA197" s="186" t="s">
        <v>372</v>
      </c>
      <c r="AB197" s="186" t="s">
        <v>292</v>
      </c>
      <c r="AC197" s="186" t="s">
        <v>292</v>
      </c>
      <c r="AD197" s="268" t="s">
        <v>373</v>
      </c>
      <c r="AE197" s="268"/>
      <c r="AF197" s="144" t="str">
        <f t="shared" si="12"/>
        <v/>
      </c>
      <c r="AG197" s="144" t="str">
        <f t="shared" si="13"/>
        <v/>
      </c>
      <c r="AH197" s="146" t="str">
        <f t="shared" si="14"/>
        <v/>
      </c>
      <c r="AI197" s="146" t="str">
        <f t="shared" si="15"/>
        <v/>
      </c>
      <c r="AJ197" s="303"/>
      <c r="AK197" s="303"/>
      <c r="AL197" s="303"/>
      <c r="AM197" s="303"/>
      <c r="AN197" s="303"/>
      <c r="AO197" s="303"/>
      <c r="AP197" s="303"/>
      <c r="AQ197" s="303"/>
      <c r="AR197" s="303"/>
      <c r="AS197" s="170"/>
      <c r="AT197" s="170"/>
      <c r="AU197" s="310"/>
      <c r="AW197" s="294"/>
      <c r="AX197" s="294"/>
      <c r="AY197" s="294"/>
      <c r="AZ197" s="294"/>
      <c r="BA197" s="294"/>
      <c r="BB197" s="294"/>
      <c r="BC197" s="294"/>
      <c r="BD197" s="294"/>
      <c r="BE197" s="294"/>
      <c r="BF197" s="383"/>
      <c r="BG197" s="382">
        <v>8.82</v>
      </c>
      <c r="BH197" s="278"/>
      <c r="BI197" s="365" t="s">
        <v>374</v>
      </c>
      <c r="BJ197" s="411"/>
    </row>
    <row r="198" spans="1:62" ht="15.75" customHeight="1" thickBot="1" x14ac:dyDescent="0.25">
      <c r="A198" s="154">
        <v>197</v>
      </c>
      <c r="B198" s="155">
        <v>1</v>
      </c>
      <c r="C198" s="148" t="s">
        <v>11</v>
      </c>
      <c r="D198" s="148" t="s">
        <v>426</v>
      </c>
      <c r="E198" s="148"/>
      <c r="F198" s="148" t="s">
        <v>435</v>
      </c>
      <c r="G198" s="148" t="s">
        <v>122</v>
      </c>
      <c r="H198" s="148"/>
      <c r="I198" s="161">
        <v>2011</v>
      </c>
      <c r="J198" s="161" t="s">
        <v>370</v>
      </c>
      <c r="K198" s="161" t="s">
        <v>371</v>
      </c>
      <c r="L198" s="161" t="s">
        <v>83</v>
      </c>
      <c r="M198" s="453" t="s">
        <v>4128</v>
      </c>
      <c r="N198" s="186" t="s">
        <v>20</v>
      </c>
      <c r="O198" s="186" t="s">
        <v>20</v>
      </c>
      <c r="P198" s="186" t="s">
        <v>20</v>
      </c>
      <c r="Q198" s="186" t="s">
        <v>20</v>
      </c>
      <c r="R198" s="186" t="s">
        <v>15</v>
      </c>
      <c r="S198" s="186" t="s">
        <v>20</v>
      </c>
      <c r="T198" s="186" t="s">
        <v>20</v>
      </c>
      <c r="U198" s="186" t="s">
        <v>15</v>
      </c>
      <c r="V198" s="186" t="s">
        <v>15</v>
      </c>
      <c r="W198" s="186" t="s">
        <v>15</v>
      </c>
      <c r="X198" s="186" t="s">
        <v>15</v>
      </c>
      <c r="Y198" s="186" t="s">
        <v>15</v>
      </c>
      <c r="Z198" s="186"/>
      <c r="AA198" s="186" t="s">
        <v>372</v>
      </c>
      <c r="AB198" s="186" t="s">
        <v>292</v>
      </c>
      <c r="AC198" s="186" t="s">
        <v>292</v>
      </c>
      <c r="AD198" s="268" t="s">
        <v>373</v>
      </c>
      <c r="AE198" s="268"/>
      <c r="AF198" s="144" t="str">
        <f t="shared" si="12"/>
        <v/>
      </c>
      <c r="AG198" s="144" t="str">
        <f t="shared" si="13"/>
        <v/>
      </c>
      <c r="AH198" s="146" t="str">
        <f t="shared" si="14"/>
        <v/>
      </c>
      <c r="AI198" s="146" t="str">
        <f t="shared" si="15"/>
        <v/>
      </c>
      <c r="AJ198" s="303"/>
      <c r="AK198" s="303"/>
      <c r="AL198" s="303"/>
      <c r="AM198" s="303"/>
      <c r="AN198" s="303"/>
      <c r="AO198" s="303"/>
      <c r="AP198" s="303"/>
      <c r="AQ198" s="303"/>
      <c r="AR198" s="303"/>
      <c r="AS198" s="170"/>
      <c r="AT198" s="170"/>
      <c r="AU198" s="310"/>
      <c r="AW198" s="294"/>
      <c r="AX198" s="294"/>
      <c r="AY198" s="294"/>
      <c r="AZ198" s="294"/>
      <c r="BA198" s="294"/>
      <c r="BB198" s="294"/>
      <c r="BC198" s="294"/>
      <c r="BD198" s="294"/>
      <c r="BE198" s="294"/>
      <c r="BF198" s="383"/>
      <c r="BG198" s="382">
        <v>7.52</v>
      </c>
      <c r="BH198" s="278"/>
      <c r="BI198" s="365" t="s">
        <v>374</v>
      </c>
      <c r="BJ198" s="411"/>
    </row>
    <row r="199" spans="1:62" ht="15.75" customHeight="1" thickBot="1" x14ac:dyDescent="0.25">
      <c r="A199" s="156">
        <v>198</v>
      </c>
      <c r="B199" s="155">
        <v>1</v>
      </c>
      <c r="C199" s="148" t="s">
        <v>11</v>
      </c>
      <c r="D199" s="148" t="s">
        <v>436</v>
      </c>
      <c r="E199" s="148"/>
      <c r="F199" s="148" t="s">
        <v>437</v>
      </c>
      <c r="G199" s="148" t="s">
        <v>122</v>
      </c>
      <c r="H199" s="148"/>
      <c r="I199" s="161">
        <v>2011</v>
      </c>
      <c r="J199" s="161" t="s">
        <v>370</v>
      </c>
      <c r="K199" s="161" t="s">
        <v>371</v>
      </c>
      <c r="L199" s="161" t="s">
        <v>83</v>
      </c>
      <c r="M199" s="453" t="s">
        <v>4128</v>
      </c>
      <c r="N199" s="186" t="s">
        <v>20</v>
      </c>
      <c r="O199" s="186" t="s">
        <v>20</v>
      </c>
      <c r="P199" s="186" t="s">
        <v>20</v>
      </c>
      <c r="Q199" s="186" t="s">
        <v>20</v>
      </c>
      <c r="R199" s="186" t="s">
        <v>15</v>
      </c>
      <c r="S199" s="186" t="s">
        <v>20</v>
      </c>
      <c r="T199" s="186" t="s">
        <v>20</v>
      </c>
      <c r="U199" s="186" t="s">
        <v>15</v>
      </c>
      <c r="V199" s="186" t="s">
        <v>15</v>
      </c>
      <c r="W199" s="186" t="s">
        <v>15</v>
      </c>
      <c r="X199" s="186" t="s">
        <v>15</v>
      </c>
      <c r="Y199" s="186" t="s">
        <v>15</v>
      </c>
      <c r="Z199" s="186"/>
      <c r="AA199" s="186" t="s">
        <v>372</v>
      </c>
      <c r="AB199" s="186" t="s">
        <v>292</v>
      </c>
      <c r="AC199" s="186" t="s">
        <v>292</v>
      </c>
      <c r="AD199" s="268" t="s">
        <v>373</v>
      </c>
      <c r="AE199" s="268"/>
      <c r="AF199" s="144" t="str">
        <f t="shared" si="12"/>
        <v/>
      </c>
      <c r="AG199" s="144" t="str">
        <f t="shared" si="13"/>
        <v/>
      </c>
      <c r="AH199" s="146" t="str">
        <f t="shared" si="14"/>
        <v/>
      </c>
      <c r="AI199" s="146" t="str">
        <f t="shared" si="15"/>
        <v/>
      </c>
      <c r="AJ199" s="303"/>
      <c r="AK199" s="303"/>
      <c r="AL199" s="303"/>
      <c r="AM199" s="303"/>
      <c r="AN199" s="303"/>
      <c r="AO199" s="303"/>
      <c r="AP199" s="303"/>
      <c r="AQ199" s="303"/>
      <c r="AR199" s="303"/>
      <c r="AS199" s="170"/>
      <c r="AT199" s="170"/>
      <c r="AU199" s="310"/>
      <c r="AW199" s="294"/>
      <c r="AX199" s="294"/>
      <c r="AY199" s="294"/>
      <c r="AZ199" s="294"/>
      <c r="BA199" s="294"/>
      <c r="BB199" s="294"/>
      <c r="BC199" s="294"/>
      <c r="BD199" s="294"/>
      <c r="BE199" s="294"/>
      <c r="BF199" s="383"/>
      <c r="BG199" s="382">
        <v>8.48</v>
      </c>
      <c r="BH199" s="278"/>
      <c r="BI199" s="365" t="s">
        <v>374</v>
      </c>
      <c r="BJ199" s="411"/>
    </row>
    <row r="200" spans="1:62" ht="15.75" customHeight="1" thickBot="1" x14ac:dyDescent="0.25">
      <c r="A200" s="154">
        <v>199</v>
      </c>
      <c r="B200" s="155">
        <v>1</v>
      </c>
      <c r="C200" s="148" t="s">
        <v>11</v>
      </c>
      <c r="D200" s="148" t="s">
        <v>436</v>
      </c>
      <c r="E200" s="148"/>
      <c r="F200" s="148" t="s">
        <v>438</v>
      </c>
      <c r="G200" s="148" t="s">
        <v>122</v>
      </c>
      <c r="H200" s="148"/>
      <c r="I200" s="161">
        <v>2011</v>
      </c>
      <c r="J200" s="161" t="s">
        <v>370</v>
      </c>
      <c r="K200" s="161" t="s">
        <v>371</v>
      </c>
      <c r="L200" s="161" t="s">
        <v>83</v>
      </c>
      <c r="M200" s="453" t="s">
        <v>4128</v>
      </c>
      <c r="N200" s="186" t="s">
        <v>20</v>
      </c>
      <c r="O200" s="186" t="s">
        <v>20</v>
      </c>
      <c r="P200" s="186" t="s">
        <v>20</v>
      </c>
      <c r="Q200" s="186" t="s">
        <v>20</v>
      </c>
      <c r="R200" s="186" t="s">
        <v>15</v>
      </c>
      <c r="S200" s="186" t="s">
        <v>20</v>
      </c>
      <c r="T200" s="186" t="s">
        <v>20</v>
      </c>
      <c r="U200" s="186" t="s">
        <v>15</v>
      </c>
      <c r="V200" s="186" t="s">
        <v>15</v>
      </c>
      <c r="W200" s="186" t="s">
        <v>15</v>
      </c>
      <c r="X200" s="186" t="s">
        <v>15</v>
      </c>
      <c r="Y200" s="186" t="s">
        <v>15</v>
      </c>
      <c r="Z200" s="186"/>
      <c r="AA200" s="186" t="s">
        <v>372</v>
      </c>
      <c r="AB200" s="186" t="s">
        <v>292</v>
      </c>
      <c r="AC200" s="186" t="s">
        <v>292</v>
      </c>
      <c r="AD200" s="268" t="s">
        <v>373</v>
      </c>
      <c r="AE200" s="268"/>
      <c r="AF200" s="144" t="str">
        <f t="shared" si="12"/>
        <v/>
      </c>
      <c r="AG200" s="144" t="str">
        <f t="shared" si="13"/>
        <v/>
      </c>
      <c r="AH200" s="146" t="str">
        <f t="shared" si="14"/>
        <v/>
      </c>
      <c r="AI200" s="146" t="str">
        <f t="shared" si="15"/>
        <v/>
      </c>
      <c r="AJ200" s="303"/>
      <c r="AK200" s="303"/>
      <c r="AL200" s="303"/>
      <c r="AM200" s="303"/>
      <c r="AN200" s="303"/>
      <c r="AO200" s="303"/>
      <c r="AP200" s="303"/>
      <c r="AQ200" s="303"/>
      <c r="AR200" s="303"/>
      <c r="AS200" s="170"/>
      <c r="AT200" s="170"/>
      <c r="AU200" s="310"/>
      <c r="AW200" s="294"/>
      <c r="AX200" s="294"/>
      <c r="AY200" s="294"/>
      <c r="AZ200" s="294"/>
      <c r="BA200" s="294"/>
      <c r="BB200" s="294"/>
      <c r="BC200" s="294"/>
      <c r="BD200" s="294"/>
      <c r="BE200" s="294"/>
      <c r="BF200" s="383"/>
      <c r="BG200" s="382">
        <v>10.130000000000001</v>
      </c>
      <c r="BH200" s="278"/>
      <c r="BI200" s="365" t="s">
        <v>374</v>
      </c>
      <c r="BJ200" s="411"/>
    </row>
    <row r="201" spans="1:62" ht="15.75" customHeight="1" thickBot="1" x14ac:dyDescent="0.25">
      <c r="A201" s="156">
        <v>200</v>
      </c>
      <c r="B201" s="155">
        <v>1</v>
      </c>
      <c r="C201" s="148" t="s">
        <v>11</v>
      </c>
      <c r="D201" s="148" t="s">
        <v>436</v>
      </c>
      <c r="E201" s="148"/>
      <c r="F201" s="148" t="s">
        <v>439</v>
      </c>
      <c r="G201" s="148" t="s">
        <v>122</v>
      </c>
      <c r="H201" s="148"/>
      <c r="I201" s="161">
        <v>2011</v>
      </c>
      <c r="J201" s="161" t="s">
        <v>370</v>
      </c>
      <c r="K201" s="161" t="s">
        <v>371</v>
      </c>
      <c r="L201" s="161" t="s">
        <v>83</v>
      </c>
      <c r="M201" s="453" t="s">
        <v>4128</v>
      </c>
      <c r="N201" s="186" t="s">
        <v>20</v>
      </c>
      <c r="O201" s="186" t="s">
        <v>20</v>
      </c>
      <c r="P201" s="186" t="s">
        <v>20</v>
      </c>
      <c r="Q201" s="186" t="s">
        <v>20</v>
      </c>
      <c r="R201" s="186" t="s">
        <v>15</v>
      </c>
      <c r="S201" s="186" t="s">
        <v>20</v>
      </c>
      <c r="T201" s="186" t="s">
        <v>20</v>
      </c>
      <c r="U201" s="186" t="s">
        <v>15</v>
      </c>
      <c r="V201" s="186" t="s">
        <v>15</v>
      </c>
      <c r="W201" s="186" t="s">
        <v>15</v>
      </c>
      <c r="X201" s="186" t="s">
        <v>15</v>
      </c>
      <c r="Y201" s="186" t="s">
        <v>15</v>
      </c>
      <c r="Z201" s="186"/>
      <c r="AA201" s="186" t="s">
        <v>372</v>
      </c>
      <c r="AB201" s="186" t="s">
        <v>292</v>
      </c>
      <c r="AC201" s="186" t="s">
        <v>292</v>
      </c>
      <c r="AD201" s="268" t="s">
        <v>373</v>
      </c>
      <c r="AE201" s="268"/>
      <c r="AF201" s="144" t="str">
        <f t="shared" si="12"/>
        <v/>
      </c>
      <c r="AG201" s="144" t="str">
        <f t="shared" si="13"/>
        <v/>
      </c>
      <c r="AH201" s="146" t="str">
        <f t="shared" si="14"/>
        <v/>
      </c>
      <c r="AI201" s="146" t="str">
        <f t="shared" si="15"/>
        <v/>
      </c>
      <c r="AJ201" s="303"/>
      <c r="AK201" s="303"/>
      <c r="AL201" s="303"/>
      <c r="AM201" s="303"/>
      <c r="AN201" s="303"/>
      <c r="AO201" s="303"/>
      <c r="AP201" s="303"/>
      <c r="AQ201" s="303"/>
      <c r="AR201" s="303"/>
      <c r="AS201" s="170"/>
      <c r="AT201" s="170"/>
      <c r="AU201" s="310"/>
      <c r="AW201" s="294"/>
      <c r="AX201" s="294"/>
      <c r="AY201" s="294"/>
      <c r="AZ201" s="294"/>
      <c r="BA201" s="294"/>
      <c r="BB201" s="294"/>
      <c r="BC201" s="294"/>
      <c r="BD201" s="294"/>
      <c r="BE201" s="294"/>
      <c r="BF201" s="383"/>
      <c r="BG201" s="382">
        <v>7.71</v>
      </c>
      <c r="BH201" s="278"/>
      <c r="BI201" s="365" t="s">
        <v>374</v>
      </c>
      <c r="BJ201" s="411"/>
    </row>
    <row r="202" spans="1:62" ht="15.75" customHeight="1" thickBot="1" x14ac:dyDescent="0.25">
      <c r="A202" s="154">
        <v>201</v>
      </c>
      <c r="B202" s="155">
        <v>1</v>
      </c>
      <c r="C202" s="148" t="s">
        <v>11</v>
      </c>
      <c r="D202" s="148" t="s">
        <v>436</v>
      </c>
      <c r="E202" s="148"/>
      <c r="F202" s="148" t="s">
        <v>440</v>
      </c>
      <c r="G202" s="148" t="s">
        <v>122</v>
      </c>
      <c r="H202" s="148"/>
      <c r="I202" s="161">
        <v>2011</v>
      </c>
      <c r="J202" s="161" t="s">
        <v>370</v>
      </c>
      <c r="K202" s="161" t="s">
        <v>371</v>
      </c>
      <c r="L202" s="161" t="s">
        <v>83</v>
      </c>
      <c r="M202" s="453" t="s">
        <v>4128</v>
      </c>
      <c r="N202" s="186" t="s">
        <v>20</v>
      </c>
      <c r="O202" s="186" t="s">
        <v>20</v>
      </c>
      <c r="P202" s="186" t="s">
        <v>20</v>
      </c>
      <c r="Q202" s="186" t="s">
        <v>20</v>
      </c>
      <c r="R202" s="186" t="s">
        <v>15</v>
      </c>
      <c r="S202" s="186" t="s">
        <v>20</v>
      </c>
      <c r="T202" s="186" t="s">
        <v>20</v>
      </c>
      <c r="U202" s="186" t="s">
        <v>15</v>
      </c>
      <c r="V202" s="186" t="s">
        <v>15</v>
      </c>
      <c r="W202" s="186" t="s">
        <v>15</v>
      </c>
      <c r="X202" s="186" t="s">
        <v>15</v>
      </c>
      <c r="Y202" s="186" t="s">
        <v>15</v>
      </c>
      <c r="Z202" s="186"/>
      <c r="AA202" s="186" t="s">
        <v>372</v>
      </c>
      <c r="AB202" s="186" t="s">
        <v>292</v>
      </c>
      <c r="AC202" s="186" t="s">
        <v>292</v>
      </c>
      <c r="AD202" s="268" t="s">
        <v>373</v>
      </c>
      <c r="AE202" s="268"/>
      <c r="AF202" s="144" t="str">
        <f t="shared" si="12"/>
        <v/>
      </c>
      <c r="AG202" s="144" t="str">
        <f t="shared" si="13"/>
        <v/>
      </c>
      <c r="AH202" s="146" t="str">
        <f t="shared" si="14"/>
        <v/>
      </c>
      <c r="AI202" s="146" t="str">
        <f t="shared" si="15"/>
        <v/>
      </c>
      <c r="AJ202" s="303"/>
      <c r="AK202" s="303"/>
      <c r="AL202" s="303"/>
      <c r="AM202" s="303"/>
      <c r="AN202" s="303"/>
      <c r="AO202" s="303"/>
      <c r="AP202" s="303"/>
      <c r="AQ202" s="303"/>
      <c r="AR202" s="303"/>
      <c r="AS202" s="170"/>
      <c r="AT202" s="170"/>
      <c r="AU202" s="310"/>
      <c r="AW202" s="294"/>
      <c r="AX202" s="294"/>
      <c r="AY202" s="294"/>
      <c r="AZ202" s="294"/>
      <c r="BA202" s="294"/>
      <c r="BB202" s="294"/>
      <c r="BC202" s="294"/>
      <c r="BD202" s="294"/>
      <c r="BE202" s="294"/>
      <c r="BF202" s="383"/>
      <c r="BG202" s="382">
        <v>9.2899999999999991</v>
      </c>
      <c r="BH202" s="278"/>
      <c r="BI202" s="365" t="s">
        <v>374</v>
      </c>
      <c r="BJ202" s="411"/>
    </row>
    <row r="203" spans="1:62" ht="15.75" customHeight="1" thickBot="1" x14ac:dyDescent="0.25">
      <c r="A203" s="156">
        <v>202</v>
      </c>
      <c r="B203" s="155">
        <v>1</v>
      </c>
      <c r="C203" s="148" t="s">
        <v>11</v>
      </c>
      <c r="D203" s="148" t="s">
        <v>436</v>
      </c>
      <c r="E203" s="148"/>
      <c r="F203" s="148" t="s">
        <v>441</v>
      </c>
      <c r="G203" s="148" t="s">
        <v>122</v>
      </c>
      <c r="H203" s="148"/>
      <c r="I203" s="161">
        <v>2011</v>
      </c>
      <c r="J203" s="161" t="s">
        <v>370</v>
      </c>
      <c r="K203" s="161" t="s">
        <v>371</v>
      </c>
      <c r="L203" s="161" t="s">
        <v>83</v>
      </c>
      <c r="M203" s="453" t="s">
        <v>4128</v>
      </c>
      <c r="N203" s="186" t="s">
        <v>20</v>
      </c>
      <c r="O203" s="186" t="s">
        <v>20</v>
      </c>
      <c r="P203" s="186" t="s">
        <v>20</v>
      </c>
      <c r="Q203" s="186" t="s">
        <v>20</v>
      </c>
      <c r="R203" s="186" t="s">
        <v>15</v>
      </c>
      <c r="S203" s="186" t="s">
        <v>20</v>
      </c>
      <c r="T203" s="186" t="s">
        <v>20</v>
      </c>
      <c r="U203" s="186" t="s">
        <v>15</v>
      </c>
      <c r="V203" s="186" t="s">
        <v>15</v>
      </c>
      <c r="W203" s="186" t="s">
        <v>15</v>
      </c>
      <c r="X203" s="186" t="s">
        <v>15</v>
      </c>
      <c r="Y203" s="186" t="s">
        <v>15</v>
      </c>
      <c r="Z203" s="186"/>
      <c r="AA203" s="186" t="s">
        <v>372</v>
      </c>
      <c r="AB203" s="186" t="s">
        <v>292</v>
      </c>
      <c r="AC203" s="186" t="s">
        <v>292</v>
      </c>
      <c r="AD203" s="268" t="s">
        <v>373</v>
      </c>
      <c r="AE203" s="268"/>
      <c r="AF203" s="144" t="str">
        <f t="shared" si="12"/>
        <v/>
      </c>
      <c r="AG203" s="144" t="str">
        <f t="shared" si="13"/>
        <v/>
      </c>
      <c r="AH203" s="146" t="str">
        <f t="shared" si="14"/>
        <v/>
      </c>
      <c r="AI203" s="146" t="str">
        <f t="shared" si="15"/>
        <v/>
      </c>
      <c r="AJ203" s="303"/>
      <c r="AK203" s="303"/>
      <c r="AL203" s="303"/>
      <c r="AM203" s="303"/>
      <c r="AN203" s="303"/>
      <c r="AO203" s="303"/>
      <c r="AP203" s="303"/>
      <c r="AQ203" s="303"/>
      <c r="AR203" s="303"/>
      <c r="AS203" s="170"/>
      <c r="AT203" s="170"/>
      <c r="AU203" s="310"/>
      <c r="AW203" s="294"/>
      <c r="AX203" s="294"/>
      <c r="AY203" s="294"/>
      <c r="AZ203" s="294"/>
      <c r="BA203" s="294"/>
      <c r="BB203" s="294"/>
      <c r="BC203" s="294"/>
      <c r="BD203" s="294"/>
      <c r="BE203" s="294"/>
      <c r="BF203" s="383"/>
      <c r="BG203" s="382">
        <v>7.27</v>
      </c>
      <c r="BH203" s="278"/>
      <c r="BI203" s="365" t="s">
        <v>374</v>
      </c>
      <c r="BJ203" s="411"/>
    </row>
    <row r="204" spans="1:62" ht="15.75" customHeight="1" thickBot="1" x14ac:dyDescent="0.25">
      <c r="A204" s="154">
        <v>203</v>
      </c>
      <c r="B204" s="155">
        <v>1</v>
      </c>
      <c r="C204" s="148" t="s">
        <v>11</v>
      </c>
      <c r="D204" s="148" t="s">
        <v>436</v>
      </c>
      <c r="E204" s="148"/>
      <c r="F204" s="148" t="s">
        <v>442</v>
      </c>
      <c r="G204" s="148" t="s">
        <v>122</v>
      </c>
      <c r="H204" s="148"/>
      <c r="I204" s="161">
        <v>2011</v>
      </c>
      <c r="J204" s="161" t="s">
        <v>370</v>
      </c>
      <c r="K204" s="161" t="s">
        <v>371</v>
      </c>
      <c r="L204" s="161" t="s">
        <v>83</v>
      </c>
      <c r="M204" s="453" t="s">
        <v>4128</v>
      </c>
      <c r="N204" s="186" t="s">
        <v>20</v>
      </c>
      <c r="O204" s="186" t="s">
        <v>20</v>
      </c>
      <c r="P204" s="186" t="s">
        <v>20</v>
      </c>
      <c r="Q204" s="186" t="s">
        <v>20</v>
      </c>
      <c r="R204" s="186" t="s">
        <v>15</v>
      </c>
      <c r="S204" s="186" t="s">
        <v>20</v>
      </c>
      <c r="T204" s="186" t="s">
        <v>20</v>
      </c>
      <c r="U204" s="186" t="s">
        <v>15</v>
      </c>
      <c r="V204" s="186" t="s">
        <v>15</v>
      </c>
      <c r="W204" s="186" t="s">
        <v>15</v>
      </c>
      <c r="X204" s="186" t="s">
        <v>15</v>
      </c>
      <c r="Y204" s="186" t="s">
        <v>15</v>
      </c>
      <c r="Z204" s="186"/>
      <c r="AA204" s="186" t="s">
        <v>372</v>
      </c>
      <c r="AB204" s="186" t="s">
        <v>292</v>
      </c>
      <c r="AC204" s="186" t="s">
        <v>292</v>
      </c>
      <c r="AD204" s="268" t="s">
        <v>373</v>
      </c>
      <c r="AE204" s="268"/>
      <c r="AF204" s="144" t="str">
        <f t="shared" si="12"/>
        <v/>
      </c>
      <c r="AG204" s="144" t="str">
        <f t="shared" si="13"/>
        <v/>
      </c>
      <c r="AH204" s="146" t="str">
        <f t="shared" si="14"/>
        <v/>
      </c>
      <c r="AI204" s="146" t="str">
        <f t="shared" si="15"/>
        <v/>
      </c>
      <c r="AJ204" s="303"/>
      <c r="AK204" s="303"/>
      <c r="AL204" s="303"/>
      <c r="AM204" s="303"/>
      <c r="AN204" s="303"/>
      <c r="AO204" s="303"/>
      <c r="AP204" s="303"/>
      <c r="AQ204" s="303"/>
      <c r="AR204" s="303"/>
      <c r="AS204" s="170"/>
      <c r="AT204" s="170"/>
      <c r="AU204" s="310"/>
      <c r="AW204" s="294"/>
      <c r="AX204" s="294"/>
      <c r="AY204" s="294"/>
      <c r="AZ204" s="294"/>
      <c r="BA204" s="294"/>
      <c r="BB204" s="294"/>
      <c r="BC204" s="294"/>
      <c r="BD204" s="294"/>
      <c r="BE204" s="294"/>
      <c r="BF204" s="383"/>
      <c r="BG204" s="382">
        <v>8.7899999999999991</v>
      </c>
      <c r="BH204" s="278"/>
      <c r="BI204" s="365" t="s">
        <v>374</v>
      </c>
      <c r="BJ204" s="411"/>
    </row>
    <row r="205" spans="1:62" ht="15.75" customHeight="1" thickBot="1" x14ac:dyDescent="0.25">
      <c r="A205" s="156">
        <v>204</v>
      </c>
      <c r="B205" s="155">
        <v>1</v>
      </c>
      <c r="C205" s="148" t="s">
        <v>11</v>
      </c>
      <c r="D205" s="148" t="s">
        <v>443</v>
      </c>
      <c r="E205" s="148"/>
      <c r="F205" s="148" t="s">
        <v>444</v>
      </c>
      <c r="G205" s="148" t="s">
        <v>122</v>
      </c>
      <c r="H205" s="148" t="s">
        <v>87</v>
      </c>
      <c r="I205" s="161">
        <v>2011</v>
      </c>
      <c r="J205" s="161" t="s">
        <v>370</v>
      </c>
      <c r="K205" s="161" t="s">
        <v>371</v>
      </c>
      <c r="L205" s="161" t="s">
        <v>83</v>
      </c>
      <c r="M205" s="453" t="s">
        <v>4128</v>
      </c>
      <c r="N205" s="186" t="s">
        <v>20</v>
      </c>
      <c r="O205" s="186" t="s">
        <v>20</v>
      </c>
      <c r="P205" s="186" t="s">
        <v>20</v>
      </c>
      <c r="Q205" s="186" t="s">
        <v>20</v>
      </c>
      <c r="R205" s="186" t="s">
        <v>15</v>
      </c>
      <c r="S205" s="186" t="s">
        <v>20</v>
      </c>
      <c r="T205" s="186" t="s">
        <v>20</v>
      </c>
      <c r="U205" s="186" t="s">
        <v>15</v>
      </c>
      <c r="V205" s="186" t="s">
        <v>15</v>
      </c>
      <c r="W205" s="186" t="s">
        <v>15</v>
      </c>
      <c r="X205" s="186" t="s">
        <v>15</v>
      </c>
      <c r="Y205" s="186" t="s">
        <v>15</v>
      </c>
      <c r="Z205" s="186"/>
      <c r="AA205" s="186" t="s">
        <v>372</v>
      </c>
      <c r="AB205" s="186" t="s">
        <v>292</v>
      </c>
      <c r="AC205" s="186" t="s">
        <v>292</v>
      </c>
      <c r="AD205" s="268" t="s">
        <v>373</v>
      </c>
      <c r="AE205" s="268"/>
      <c r="AF205" s="144" t="str">
        <f t="shared" si="12"/>
        <v/>
      </c>
      <c r="AG205" s="144" t="str">
        <f t="shared" si="13"/>
        <v/>
      </c>
      <c r="AH205" s="146" t="str">
        <f t="shared" si="14"/>
        <v/>
      </c>
      <c r="AI205" s="146" t="str">
        <f t="shared" si="15"/>
        <v/>
      </c>
      <c r="AJ205" s="303"/>
      <c r="AK205" s="303"/>
      <c r="AL205" s="303"/>
      <c r="AM205" s="303"/>
      <c r="AN205" s="303"/>
      <c r="AO205" s="303"/>
      <c r="AP205" s="303"/>
      <c r="AQ205" s="303"/>
      <c r="AR205" s="303"/>
      <c r="AS205" s="170"/>
      <c r="AT205" s="170"/>
      <c r="AU205" s="310"/>
      <c r="AW205" s="294"/>
      <c r="AX205" s="294"/>
      <c r="AY205" s="294"/>
      <c r="AZ205" s="294"/>
      <c r="BA205" s="294"/>
      <c r="BB205" s="294"/>
      <c r="BC205" s="294"/>
      <c r="BD205" s="294"/>
      <c r="BE205" s="294"/>
      <c r="BF205" s="383"/>
      <c r="BG205" s="382">
        <v>9.99</v>
      </c>
      <c r="BH205" s="278"/>
      <c r="BI205" s="365" t="s">
        <v>374</v>
      </c>
      <c r="BJ205" s="411"/>
    </row>
    <row r="206" spans="1:62" ht="15.75" customHeight="1" thickBot="1" x14ac:dyDescent="0.25">
      <c r="A206" s="154">
        <v>205</v>
      </c>
      <c r="B206" s="155">
        <v>1</v>
      </c>
      <c r="C206" s="148" t="s">
        <v>11</v>
      </c>
      <c r="D206" s="148" t="s">
        <v>426</v>
      </c>
      <c r="E206" s="148"/>
      <c r="F206" s="148" t="s">
        <v>445</v>
      </c>
      <c r="G206" s="148" t="s">
        <v>122</v>
      </c>
      <c r="H206" s="148"/>
      <c r="I206" s="161">
        <v>2011</v>
      </c>
      <c r="J206" s="161" t="s">
        <v>370</v>
      </c>
      <c r="K206" s="161" t="s">
        <v>371</v>
      </c>
      <c r="L206" s="161" t="s">
        <v>83</v>
      </c>
      <c r="M206" s="453" t="s">
        <v>4128</v>
      </c>
      <c r="N206" s="186" t="s">
        <v>20</v>
      </c>
      <c r="O206" s="186" t="s">
        <v>20</v>
      </c>
      <c r="P206" s="186" t="s">
        <v>20</v>
      </c>
      <c r="Q206" s="186" t="s">
        <v>20</v>
      </c>
      <c r="R206" s="186" t="s">
        <v>15</v>
      </c>
      <c r="S206" s="186" t="s">
        <v>20</v>
      </c>
      <c r="T206" s="186" t="s">
        <v>20</v>
      </c>
      <c r="U206" s="186" t="s">
        <v>15</v>
      </c>
      <c r="V206" s="186" t="s">
        <v>15</v>
      </c>
      <c r="W206" s="186" t="s">
        <v>15</v>
      </c>
      <c r="X206" s="186" t="s">
        <v>15</v>
      </c>
      <c r="Y206" s="186" t="s">
        <v>15</v>
      </c>
      <c r="Z206" s="186"/>
      <c r="AA206" s="186" t="s">
        <v>372</v>
      </c>
      <c r="AB206" s="186" t="s">
        <v>292</v>
      </c>
      <c r="AC206" s="186" t="s">
        <v>292</v>
      </c>
      <c r="AD206" s="268" t="s">
        <v>373</v>
      </c>
      <c r="AE206" s="268"/>
      <c r="AF206" s="144" t="str">
        <f t="shared" si="12"/>
        <v/>
      </c>
      <c r="AG206" s="144" t="str">
        <f t="shared" si="13"/>
        <v/>
      </c>
      <c r="AH206" s="146" t="str">
        <f t="shared" si="14"/>
        <v/>
      </c>
      <c r="AI206" s="146" t="str">
        <f t="shared" si="15"/>
        <v/>
      </c>
      <c r="AJ206" s="303"/>
      <c r="AK206" s="303"/>
      <c r="AL206" s="303"/>
      <c r="AM206" s="303"/>
      <c r="AN206" s="303"/>
      <c r="AO206" s="303"/>
      <c r="AP206" s="303"/>
      <c r="AQ206" s="303"/>
      <c r="AR206" s="303"/>
      <c r="AS206" s="170"/>
      <c r="AT206" s="170"/>
      <c r="AU206" s="310"/>
      <c r="AW206" s="294"/>
      <c r="AX206" s="294"/>
      <c r="AY206" s="294"/>
      <c r="AZ206" s="294"/>
      <c r="BA206" s="294"/>
      <c r="BB206" s="294"/>
      <c r="BC206" s="294"/>
      <c r="BD206" s="294"/>
      <c r="BE206" s="294"/>
      <c r="BF206" s="383"/>
      <c r="BG206" s="382">
        <v>6.89</v>
      </c>
      <c r="BH206" s="278"/>
      <c r="BI206" s="365" t="s">
        <v>374</v>
      </c>
      <c r="BJ206" s="411"/>
    </row>
    <row r="207" spans="1:62" ht="15.75" customHeight="1" thickBot="1" x14ac:dyDescent="0.25">
      <c r="A207" s="156">
        <v>206</v>
      </c>
      <c r="B207" s="155">
        <v>1</v>
      </c>
      <c r="C207" s="148" t="s">
        <v>11</v>
      </c>
      <c r="D207" s="148" t="s">
        <v>140</v>
      </c>
      <c r="E207" s="148"/>
      <c r="F207" s="148" t="s">
        <v>446</v>
      </c>
      <c r="G207" s="148" t="s">
        <v>122</v>
      </c>
      <c r="H207" s="148"/>
      <c r="I207" s="161">
        <v>2011</v>
      </c>
      <c r="J207" s="161" t="s">
        <v>370</v>
      </c>
      <c r="K207" s="161" t="s">
        <v>371</v>
      </c>
      <c r="L207" s="161" t="s">
        <v>83</v>
      </c>
      <c r="M207" s="453" t="s">
        <v>4128</v>
      </c>
      <c r="N207" s="186" t="s">
        <v>20</v>
      </c>
      <c r="O207" s="186" t="s">
        <v>20</v>
      </c>
      <c r="P207" s="186" t="s">
        <v>20</v>
      </c>
      <c r="Q207" s="186" t="s">
        <v>20</v>
      </c>
      <c r="R207" s="186" t="s">
        <v>15</v>
      </c>
      <c r="S207" s="186" t="s">
        <v>20</v>
      </c>
      <c r="T207" s="186" t="s">
        <v>20</v>
      </c>
      <c r="U207" s="186" t="s">
        <v>15</v>
      </c>
      <c r="V207" s="186" t="s">
        <v>15</v>
      </c>
      <c r="W207" s="186" t="s">
        <v>15</v>
      </c>
      <c r="X207" s="186" t="s">
        <v>15</v>
      </c>
      <c r="Y207" s="186" t="s">
        <v>15</v>
      </c>
      <c r="Z207" s="186"/>
      <c r="AA207" s="186" t="s">
        <v>372</v>
      </c>
      <c r="AB207" s="186" t="s">
        <v>292</v>
      </c>
      <c r="AC207" s="186" t="s">
        <v>292</v>
      </c>
      <c r="AD207" s="268" t="s">
        <v>373</v>
      </c>
      <c r="AE207" s="268"/>
      <c r="AF207" s="144" t="str">
        <f t="shared" si="12"/>
        <v/>
      </c>
      <c r="AG207" s="144" t="str">
        <f t="shared" si="13"/>
        <v/>
      </c>
      <c r="AH207" s="146" t="str">
        <f t="shared" si="14"/>
        <v/>
      </c>
      <c r="AI207" s="146" t="str">
        <f t="shared" si="15"/>
        <v/>
      </c>
      <c r="AJ207" s="303"/>
      <c r="AK207" s="303"/>
      <c r="AL207" s="303"/>
      <c r="AM207" s="303"/>
      <c r="AN207" s="303"/>
      <c r="AO207" s="303"/>
      <c r="AP207" s="303"/>
      <c r="AQ207" s="303"/>
      <c r="AR207" s="303"/>
      <c r="AS207" s="170"/>
      <c r="AT207" s="170"/>
      <c r="AU207" s="310"/>
      <c r="AW207" s="294"/>
      <c r="AX207" s="294"/>
      <c r="AY207" s="294"/>
      <c r="AZ207" s="294"/>
      <c r="BA207" s="294"/>
      <c r="BB207" s="294"/>
      <c r="BC207" s="294"/>
      <c r="BD207" s="294"/>
      <c r="BE207" s="294"/>
      <c r="BF207" s="383"/>
      <c r="BG207" s="382">
        <v>1.8</v>
      </c>
      <c r="BH207" s="278"/>
      <c r="BI207" s="365" t="s">
        <v>374</v>
      </c>
      <c r="BJ207" s="411"/>
    </row>
    <row r="208" spans="1:62" ht="15.75" customHeight="1" thickBot="1" x14ac:dyDescent="0.25">
      <c r="A208" s="154">
        <v>207</v>
      </c>
      <c r="B208" s="155">
        <v>1</v>
      </c>
      <c r="C208" s="148" t="s">
        <v>11</v>
      </c>
      <c r="D208" s="148" t="s">
        <v>140</v>
      </c>
      <c r="E208" s="148"/>
      <c r="F208" s="148" t="s">
        <v>447</v>
      </c>
      <c r="G208" s="148" t="s">
        <v>122</v>
      </c>
      <c r="H208" s="148"/>
      <c r="I208" s="161">
        <v>2011</v>
      </c>
      <c r="J208" s="161" t="s">
        <v>370</v>
      </c>
      <c r="K208" s="161" t="s">
        <v>371</v>
      </c>
      <c r="L208" s="161" t="s">
        <v>83</v>
      </c>
      <c r="M208" s="453" t="s">
        <v>4128</v>
      </c>
      <c r="N208" s="186" t="s">
        <v>20</v>
      </c>
      <c r="O208" s="186" t="s">
        <v>20</v>
      </c>
      <c r="P208" s="186" t="s">
        <v>20</v>
      </c>
      <c r="Q208" s="186" t="s">
        <v>20</v>
      </c>
      <c r="R208" s="186" t="s">
        <v>15</v>
      </c>
      <c r="S208" s="186" t="s">
        <v>20</v>
      </c>
      <c r="T208" s="186" t="s">
        <v>20</v>
      </c>
      <c r="U208" s="186" t="s">
        <v>15</v>
      </c>
      <c r="V208" s="186" t="s">
        <v>15</v>
      </c>
      <c r="W208" s="186" t="s">
        <v>15</v>
      </c>
      <c r="X208" s="186" t="s">
        <v>15</v>
      </c>
      <c r="Y208" s="186" t="s">
        <v>15</v>
      </c>
      <c r="Z208" s="186"/>
      <c r="AA208" s="186" t="s">
        <v>372</v>
      </c>
      <c r="AB208" s="186" t="s">
        <v>292</v>
      </c>
      <c r="AC208" s="186" t="s">
        <v>292</v>
      </c>
      <c r="AD208" s="268" t="s">
        <v>373</v>
      </c>
      <c r="AE208" s="268"/>
      <c r="AF208" s="144" t="str">
        <f t="shared" si="12"/>
        <v/>
      </c>
      <c r="AG208" s="144" t="str">
        <f t="shared" si="13"/>
        <v/>
      </c>
      <c r="AH208" s="146" t="str">
        <f t="shared" si="14"/>
        <v/>
      </c>
      <c r="AI208" s="146" t="str">
        <f t="shared" si="15"/>
        <v/>
      </c>
      <c r="AJ208" s="303"/>
      <c r="AK208" s="303"/>
      <c r="AL208" s="303"/>
      <c r="AM208" s="303"/>
      <c r="AN208" s="303"/>
      <c r="AO208" s="303"/>
      <c r="AP208" s="303"/>
      <c r="AQ208" s="303"/>
      <c r="AR208" s="303"/>
      <c r="AS208" s="170"/>
      <c r="AT208" s="170"/>
      <c r="AU208" s="310"/>
      <c r="AW208" s="294"/>
      <c r="AX208" s="294"/>
      <c r="AY208" s="294"/>
      <c r="AZ208" s="294"/>
      <c r="BA208" s="294"/>
      <c r="BB208" s="294"/>
      <c r="BC208" s="294"/>
      <c r="BD208" s="294"/>
      <c r="BE208" s="294"/>
      <c r="BF208" s="383"/>
      <c r="BG208" s="382">
        <v>2.06</v>
      </c>
      <c r="BH208" s="278"/>
      <c r="BI208" s="365" t="s">
        <v>374</v>
      </c>
      <c r="BJ208" s="411"/>
    </row>
    <row r="209" spans="1:62" ht="15.75" customHeight="1" thickBot="1" x14ac:dyDescent="0.25">
      <c r="A209" s="156">
        <v>208</v>
      </c>
      <c r="B209" s="155">
        <v>1</v>
      </c>
      <c r="C209" s="148" t="s">
        <v>11</v>
      </c>
      <c r="D209" s="148" t="s">
        <v>140</v>
      </c>
      <c r="E209" s="148"/>
      <c r="F209" s="148" t="s">
        <v>448</v>
      </c>
      <c r="G209" s="148" t="s">
        <v>122</v>
      </c>
      <c r="H209" s="148"/>
      <c r="I209" s="161">
        <v>2011</v>
      </c>
      <c r="J209" s="161" t="s">
        <v>370</v>
      </c>
      <c r="K209" s="161" t="s">
        <v>371</v>
      </c>
      <c r="L209" s="161" t="s">
        <v>83</v>
      </c>
      <c r="M209" s="453" t="s">
        <v>4128</v>
      </c>
      <c r="N209" s="186" t="s">
        <v>20</v>
      </c>
      <c r="O209" s="186" t="s">
        <v>20</v>
      </c>
      <c r="P209" s="186" t="s">
        <v>20</v>
      </c>
      <c r="Q209" s="186" t="s">
        <v>20</v>
      </c>
      <c r="R209" s="186" t="s">
        <v>15</v>
      </c>
      <c r="S209" s="186" t="s">
        <v>20</v>
      </c>
      <c r="T209" s="186" t="s">
        <v>20</v>
      </c>
      <c r="U209" s="186" t="s">
        <v>15</v>
      </c>
      <c r="V209" s="186" t="s">
        <v>15</v>
      </c>
      <c r="W209" s="186" t="s">
        <v>15</v>
      </c>
      <c r="X209" s="186" t="s">
        <v>15</v>
      </c>
      <c r="Y209" s="186" t="s">
        <v>15</v>
      </c>
      <c r="Z209" s="186"/>
      <c r="AA209" s="186" t="s">
        <v>372</v>
      </c>
      <c r="AB209" s="186" t="s">
        <v>292</v>
      </c>
      <c r="AC209" s="186" t="s">
        <v>292</v>
      </c>
      <c r="AD209" s="268" t="s">
        <v>373</v>
      </c>
      <c r="AE209" s="268"/>
      <c r="AF209" s="144" t="str">
        <f t="shared" si="12"/>
        <v/>
      </c>
      <c r="AG209" s="144" t="str">
        <f t="shared" si="13"/>
        <v/>
      </c>
      <c r="AH209" s="146" t="str">
        <f t="shared" si="14"/>
        <v/>
      </c>
      <c r="AI209" s="146" t="str">
        <f t="shared" si="15"/>
        <v/>
      </c>
      <c r="AJ209" s="303"/>
      <c r="AK209" s="303"/>
      <c r="AL209" s="303"/>
      <c r="AM209" s="303"/>
      <c r="AN209" s="303"/>
      <c r="AO209" s="303"/>
      <c r="AP209" s="303"/>
      <c r="AQ209" s="303"/>
      <c r="AR209" s="303"/>
      <c r="AS209" s="170"/>
      <c r="AT209" s="170"/>
      <c r="AU209" s="310"/>
      <c r="AW209" s="294"/>
      <c r="AX209" s="294"/>
      <c r="AY209" s="294"/>
      <c r="AZ209" s="294"/>
      <c r="BA209" s="294"/>
      <c r="BB209" s="294"/>
      <c r="BC209" s="294"/>
      <c r="BD209" s="294"/>
      <c r="BE209" s="294"/>
      <c r="BF209" s="383"/>
      <c r="BG209" s="382">
        <v>1.79</v>
      </c>
      <c r="BH209" s="278"/>
      <c r="BI209" s="365" t="s">
        <v>374</v>
      </c>
      <c r="BJ209" s="411"/>
    </row>
    <row r="210" spans="1:62" ht="15.75" customHeight="1" thickBot="1" x14ac:dyDescent="0.25">
      <c r="A210" s="154">
        <v>209</v>
      </c>
      <c r="B210" s="155">
        <v>1</v>
      </c>
      <c r="C210" s="148" t="s">
        <v>11</v>
      </c>
      <c r="D210" s="148" t="s">
        <v>140</v>
      </c>
      <c r="E210" s="148"/>
      <c r="F210" s="148" t="s">
        <v>449</v>
      </c>
      <c r="G210" s="148" t="s">
        <v>122</v>
      </c>
      <c r="H210" s="148"/>
      <c r="I210" s="161">
        <v>2011</v>
      </c>
      <c r="J210" s="161" t="s">
        <v>370</v>
      </c>
      <c r="K210" s="161" t="s">
        <v>371</v>
      </c>
      <c r="L210" s="161" t="s">
        <v>83</v>
      </c>
      <c r="M210" s="453" t="s">
        <v>4128</v>
      </c>
      <c r="N210" s="186" t="s">
        <v>20</v>
      </c>
      <c r="O210" s="186" t="s">
        <v>20</v>
      </c>
      <c r="P210" s="186" t="s">
        <v>20</v>
      </c>
      <c r="Q210" s="186" t="s">
        <v>20</v>
      </c>
      <c r="R210" s="186" t="s">
        <v>15</v>
      </c>
      <c r="S210" s="186" t="s">
        <v>20</v>
      </c>
      <c r="T210" s="186" t="s">
        <v>20</v>
      </c>
      <c r="U210" s="186" t="s">
        <v>15</v>
      </c>
      <c r="V210" s="186" t="s">
        <v>15</v>
      </c>
      <c r="W210" s="186" t="s">
        <v>15</v>
      </c>
      <c r="X210" s="186" t="s">
        <v>15</v>
      </c>
      <c r="Y210" s="186" t="s">
        <v>15</v>
      </c>
      <c r="Z210" s="186"/>
      <c r="AA210" s="186" t="s">
        <v>372</v>
      </c>
      <c r="AB210" s="186" t="s">
        <v>292</v>
      </c>
      <c r="AC210" s="186" t="s">
        <v>292</v>
      </c>
      <c r="AD210" s="268" t="s">
        <v>373</v>
      </c>
      <c r="AE210" s="268"/>
      <c r="AF210" s="144" t="str">
        <f t="shared" si="12"/>
        <v/>
      </c>
      <c r="AG210" s="144" t="str">
        <f t="shared" si="13"/>
        <v/>
      </c>
      <c r="AH210" s="146" t="str">
        <f t="shared" si="14"/>
        <v/>
      </c>
      <c r="AI210" s="146" t="str">
        <f t="shared" si="15"/>
        <v/>
      </c>
      <c r="AJ210" s="303"/>
      <c r="AK210" s="303"/>
      <c r="AL210" s="303"/>
      <c r="AM210" s="303"/>
      <c r="AN210" s="303"/>
      <c r="AO210" s="303"/>
      <c r="AP210" s="303"/>
      <c r="AQ210" s="303"/>
      <c r="AR210" s="303"/>
      <c r="AS210" s="170"/>
      <c r="AT210" s="170"/>
      <c r="AU210" s="310"/>
      <c r="AW210" s="294"/>
      <c r="AX210" s="294"/>
      <c r="AY210" s="294"/>
      <c r="AZ210" s="294"/>
      <c r="BA210" s="294"/>
      <c r="BB210" s="294"/>
      <c r="BC210" s="294"/>
      <c r="BD210" s="294"/>
      <c r="BE210" s="294"/>
      <c r="BF210" s="383"/>
      <c r="BG210" s="382">
        <v>1.66</v>
      </c>
      <c r="BH210" s="278"/>
      <c r="BI210" s="365" t="s">
        <v>374</v>
      </c>
      <c r="BJ210" s="411"/>
    </row>
    <row r="211" spans="1:62" ht="15.75" customHeight="1" thickBot="1" x14ac:dyDescent="0.25">
      <c r="A211" s="156">
        <v>210</v>
      </c>
      <c r="B211" s="155">
        <v>1</v>
      </c>
      <c r="C211" s="148" t="s">
        <v>11</v>
      </c>
      <c r="D211" s="148" t="s">
        <v>140</v>
      </c>
      <c r="E211" s="148"/>
      <c r="F211" s="148" t="s">
        <v>450</v>
      </c>
      <c r="G211" s="148" t="s">
        <v>122</v>
      </c>
      <c r="H211" s="148"/>
      <c r="I211" s="161">
        <v>2011</v>
      </c>
      <c r="J211" s="161" t="s">
        <v>370</v>
      </c>
      <c r="K211" s="161" t="s">
        <v>371</v>
      </c>
      <c r="L211" s="161" t="s">
        <v>83</v>
      </c>
      <c r="M211" s="453" t="s">
        <v>4128</v>
      </c>
      <c r="N211" s="186" t="s">
        <v>20</v>
      </c>
      <c r="O211" s="186" t="s">
        <v>20</v>
      </c>
      <c r="P211" s="186" t="s">
        <v>20</v>
      </c>
      <c r="Q211" s="186" t="s">
        <v>20</v>
      </c>
      <c r="R211" s="186" t="s">
        <v>15</v>
      </c>
      <c r="S211" s="186" t="s">
        <v>20</v>
      </c>
      <c r="T211" s="186" t="s">
        <v>20</v>
      </c>
      <c r="U211" s="186" t="s">
        <v>15</v>
      </c>
      <c r="V211" s="186" t="s">
        <v>15</v>
      </c>
      <c r="W211" s="186" t="s">
        <v>15</v>
      </c>
      <c r="X211" s="186" t="s">
        <v>15</v>
      </c>
      <c r="Y211" s="186" t="s">
        <v>15</v>
      </c>
      <c r="Z211" s="186"/>
      <c r="AA211" s="186" t="s">
        <v>372</v>
      </c>
      <c r="AB211" s="186" t="s">
        <v>292</v>
      </c>
      <c r="AC211" s="186" t="s">
        <v>292</v>
      </c>
      <c r="AD211" s="268" t="s">
        <v>373</v>
      </c>
      <c r="AE211" s="268"/>
      <c r="AF211" s="144" t="str">
        <f t="shared" si="12"/>
        <v/>
      </c>
      <c r="AG211" s="144" t="str">
        <f t="shared" si="13"/>
        <v/>
      </c>
      <c r="AH211" s="146" t="str">
        <f t="shared" si="14"/>
        <v/>
      </c>
      <c r="AI211" s="146" t="str">
        <f t="shared" si="15"/>
        <v/>
      </c>
      <c r="AJ211" s="303"/>
      <c r="AK211" s="303"/>
      <c r="AL211" s="303"/>
      <c r="AM211" s="303"/>
      <c r="AN211" s="303"/>
      <c r="AO211" s="303"/>
      <c r="AP211" s="303"/>
      <c r="AQ211" s="303"/>
      <c r="AR211" s="303"/>
      <c r="AS211" s="170"/>
      <c r="AT211" s="170"/>
      <c r="AU211" s="310"/>
      <c r="AW211" s="294"/>
      <c r="AX211" s="294"/>
      <c r="AY211" s="294"/>
      <c r="AZ211" s="294"/>
      <c r="BA211" s="294"/>
      <c r="BB211" s="294"/>
      <c r="BC211" s="294"/>
      <c r="BD211" s="294"/>
      <c r="BE211" s="294"/>
      <c r="BF211" s="383"/>
      <c r="BG211" s="382">
        <v>1.9</v>
      </c>
      <c r="BH211" s="278"/>
      <c r="BI211" s="365" t="s">
        <v>374</v>
      </c>
      <c r="BJ211" s="411"/>
    </row>
    <row r="212" spans="1:62" ht="15.75" customHeight="1" thickBot="1" x14ac:dyDescent="0.25">
      <c r="A212" s="154">
        <v>211</v>
      </c>
      <c r="B212" s="155">
        <v>1</v>
      </c>
      <c r="C212" s="148" t="s">
        <v>11</v>
      </c>
      <c r="D212" s="148" t="s">
        <v>140</v>
      </c>
      <c r="E212" s="148"/>
      <c r="F212" s="148" t="s">
        <v>451</v>
      </c>
      <c r="G212" s="148" t="s">
        <v>122</v>
      </c>
      <c r="H212" s="148"/>
      <c r="I212" s="161">
        <v>2011</v>
      </c>
      <c r="J212" s="161" t="s">
        <v>370</v>
      </c>
      <c r="K212" s="161" t="s">
        <v>371</v>
      </c>
      <c r="L212" s="161" t="s">
        <v>83</v>
      </c>
      <c r="M212" s="453" t="s">
        <v>4128</v>
      </c>
      <c r="N212" s="186" t="s">
        <v>20</v>
      </c>
      <c r="O212" s="186" t="s">
        <v>20</v>
      </c>
      <c r="P212" s="186" t="s">
        <v>20</v>
      </c>
      <c r="Q212" s="186" t="s">
        <v>20</v>
      </c>
      <c r="R212" s="186" t="s">
        <v>15</v>
      </c>
      <c r="S212" s="186" t="s">
        <v>20</v>
      </c>
      <c r="T212" s="186" t="s">
        <v>20</v>
      </c>
      <c r="U212" s="186" t="s">
        <v>15</v>
      </c>
      <c r="V212" s="186" t="s">
        <v>15</v>
      </c>
      <c r="W212" s="186" t="s">
        <v>15</v>
      </c>
      <c r="X212" s="186" t="s">
        <v>15</v>
      </c>
      <c r="Y212" s="186" t="s">
        <v>15</v>
      </c>
      <c r="Z212" s="186"/>
      <c r="AA212" s="186" t="s">
        <v>372</v>
      </c>
      <c r="AB212" s="186" t="s">
        <v>292</v>
      </c>
      <c r="AC212" s="186" t="s">
        <v>292</v>
      </c>
      <c r="AD212" s="268" t="s">
        <v>373</v>
      </c>
      <c r="AE212" s="268"/>
      <c r="AF212" s="144" t="str">
        <f t="shared" si="12"/>
        <v/>
      </c>
      <c r="AG212" s="144" t="str">
        <f t="shared" si="13"/>
        <v/>
      </c>
      <c r="AH212" s="146" t="str">
        <f t="shared" si="14"/>
        <v/>
      </c>
      <c r="AI212" s="146" t="str">
        <f t="shared" si="15"/>
        <v/>
      </c>
      <c r="AJ212" s="303"/>
      <c r="AK212" s="303"/>
      <c r="AL212" s="303"/>
      <c r="AM212" s="303"/>
      <c r="AN212" s="303"/>
      <c r="AO212" s="303"/>
      <c r="AP212" s="303"/>
      <c r="AQ212" s="303"/>
      <c r="AR212" s="303"/>
      <c r="AS212" s="170"/>
      <c r="AT212" s="170"/>
      <c r="AU212" s="310"/>
      <c r="AW212" s="294"/>
      <c r="AX212" s="294"/>
      <c r="AY212" s="294"/>
      <c r="AZ212" s="294"/>
      <c r="BA212" s="294"/>
      <c r="BB212" s="294"/>
      <c r="BC212" s="294"/>
      <c r="BD212" s="294"/>
      <c r="BE212" s="294"/>
      <c r="BF212" s="383"/>
      <c r="BG212" s="382">
        <v>1.65</v>
      </c>
      <c r="BH212" s="278"/>
      <c r="BI212" s="365" t="s">
        <v>374</v>
      </c>
      <c r="BJ212" s="411"/>
    </row>
    <row r="213" spans="1:62" ht="15.75" customHeight="1" thickBot="1" x14ac:dyDescent="0.25">
      <c r="A213" s="156">
        <v>212</v>
      </c>
      <c r="B213" s="155">
        <v>1</v>
      </c>
      <c r="C213" s="148" t="s">
        <v>11</v>
      </c>
      <c r="D213" s="148" t="s">
        <v>140</v>
      </c>
      <c r="E213" s="148"/>
      <c r="F213" s="148" t="s">
        <v>452</v>
      </c>
      <c r="G213" s="148" t="s">
        <v>122</v>
      </c>
      <c r="H213" s="148"/>
      <c r="I213" s="161">
        <v>2011</v>
      </c>
      <c r="J213" s="161" t="s">
        <v>370</v>
      </c>
      <c r="K213" s="161" t="s">
        <v>371</v>
      </c>
      <c r="L213" s="161" t="s">
        <v>83</v>
      </c>
      <c r="M213" s="453" t="s">
        <v>4128</v>
      </c>
      <c r="N213" s="186" t="s">
        <v>20</v>
      </c>
      <c r="O213" s="186" t="s">
        <v>20</v>
      </c>
      <c r="P213" s="186" t="s">
        <v>20</v>
      </c>
      <c r="Q213" s="186" t="s">
        <v>20</v>
      </c>
      <c r="R213" s="186" t="s">
        <v>15</v>
      </c>
      <c r="S213" s="186" t="s">
        <v>20</v>
      </c>
      <c r="T213" s="186" t="s">
        <v>20</v>
      </c>
      <c r="U213" s="186" t="s">
        <v>15</v>
      </c>
      <c r="V213" s="186" t="s">
        <v>15</v>
      </c>
      <c r="W213" s="186" t="s">
        <v>15</v>
      </c>
      <c r="X213" s="186" t="s">
        <v>15</v>
      </c>
      <c r="Y213" s="186" t="s">
        <v>15</v>
      </c>
      <c r="Z213" s="186"/>
      <c r="AA213" s="186" t="s">
        <v>372</v>
      </c>
      <c r="AB213" s="186" t="s">
        <v>292</v>
      </c>
      <c r="AC213" s="186" t="s">
        <v>292</v>
      </c>
      <c r="AD213" s="268" t="s">
        <v>373</v>
      </c>
      <c r="AE213" s="268"/>
      <c r="AF213" s="144" t="str">
        <f t="shared" si="12"/>
        <v/>
      </c>
      <c r="AG213" s="144" t="str">
        <f t="shared" si="13"/>
        <v/>
      </c>
      <c r="AH213" s="146" t="str">
        <f t="shared" si="14"/>
        <v/>
      </c>
      <c r="AI213" s="146" t="str">
        <f t="shared" si="15"/>
        <v/>
      </c>
      <c r="AJ213" s="303"/>
      <c r="AK213" s="303"/>
      <c r="AL213" s="303"/>
      <c r="AM213" s="303"/>
      <c r="AN213" s="303"/>
      <c r="AO213" s="303"/>
      <c r="AP213" s="303"/>
      <c r="AQ213" s="303"/>
      <c r="AR213" s="303"/>
      <c r="AS213" s="170"/>
      <c r="AT213" s="170"/>
      <c r="AU213" s="310"/>
      <c r="AW213" s="294"/>
      <c r="AX213" s="294"/>
      <c r="AY213" s="294"/>
      <c r="AZ213" s="294"/>
      <c r="BA213" s="294"/>
      <c r="BB213" s="294"/>
      <c r="BC213" s="294"/>
      <c r="BD213" s="294"/>
      <c r="BE213" s="294"/>
      <c r="BF213" s="383"/>
      <c r="BG213" s="382">
        <v>1.38</v>
      </c>
      <c r="BH213" s="278"/>
      <c r="BI213" s="365" t="s">
        <v>374</v>
      </c>
      <c r="BJ213" s="411"/>
    </row>
    <row r="214" spans="1:62" ht="15.75" customHeight="1" thickBot="1" x14ac:dyDescent="0.25">
      <c r="A214" s="154">
        <v>213</v>
      </c>
      <c r="B214" s="155">
        <v>1</v>
      </c>
      <c r="C214" s="148" t="s">
        <v>11</v>
      </c>
      <c r="D214" s="148" t="s">
        <v>140</v>
      </c>
      <c r="E214" s="148"/>
      <c r="F214" s="148" t="s">
        <v>453</v>
      </c>
      <c r="G214" s="148" t="s">
        <v>122</v>
      </c>
      <c r="H214" s="148"/>
      <c r="I214" s="161">
        <v>2011</v>
      </c>
      <c r="J214" s="161" t="s">
        <v>370</v>
      </c>
      <c r="K214" s="161" t="s">
        <v>371</v>
      </c>
      <c r="L214" s="161" t="s">
        <v>83</v>
      </c>
      <c r="M214" s="453" t="s">
        <v>4128</v>
      </c>
      <c r="N214" s="186" t="s">
        <v>20</v>
      </c>
      <c r="O214" s="186" t="s">
        <v>20</v>
      </c>
      <c r="P214" s="186" t="s">
        <v>20</v>
      </c>
      <c r="Q214" s="186" t="s">
        <v>20</v>
      </c>
      <c r="R214" s="186" t="s">
        <v>15</v>
      </c>
      <c r="S214" s="186" t="s">
        <v>20</v>
      </c>
      <c r="T214" s="186" t="s">
        <v>20</v>
      </c>
      <c r="U214" s="186" t="s">
        <v>15</v>
      </c>
      <c r="V214" s="186" t="s">
        <v>15</v>
      </c>
      <c r="W214" s="186" t="s">
        <v>15</v>
      </c>
      <c r="X214" s="186" t="s">
        <v>15</v>
      </c>
      <c r="Y214" s="186" t="s">
        <v>15</v>
      </c>
      <c r="Z214" s="186"/>
      <c r="AA214" s="186" t="s">
        <v>372</v>
      </c>
      <c r="AB214" s="186" t="s">
        <v>292</v>
      </c>
      <c r="AC214" s="186" t="s">
        <v>292</v>
      </c>
      <c r="AD214" s="268" t="s">
        <v>373</v>
      </c>
      <c r="AE214" s="268"/>
      <c r="AF214" s="144" t="str">
        <f t="shared" si="12"/>
        <v/>
      </c>
      <c r="AG214" s="144" t="str">
        <f t="shared" si="13"/>
        <v/>
      </c>
      <c r="AH214" s="146" t="str">
        <f t="shared" si="14"/>
        <v/>
      </c>
      <c r="AI214" s="146" t="str">
        <f t="shared" si="15"/>
        <v/>
      </c>
      <c r="AJ214" s="303"/>
      <c r="AK214" s="303"/>
      <c r="AL214" s="303"/>
      <c r="AM214" s="303"/>
      <c r="AN214" s="303"/>
      <c r="AO214" s="303"/>
      <c r="AP214" s="303"/>
      <c r="AQ214" s="303"/>
      <c r="AR214" s="303"/>
      <c r="AS214" s="170"/>
      <c r="AT214" s="170"/>
      <c r="AU214" s="310"/>
      <c r="AW214" s="294"/>
      <c r="AX214" s="294"/>
      <c r="AY214" s="294"/>
      <c r="AZ214" s="294"/>
      <c r="BA214" s="294"/>
      <c r="BB214" s="294"/>
      <c r="BC214" s="294"/>
      <c r="BD214" s="294"/>
      <c r="BE214" s="294"/>
      <c r="BF214" s="383"/>
      <c r="BG214" s="382">
        <v>1.37</v>
      </c>
      <c r="BH214" s="278"/>
      <c r="BI214" s="365" t="s">
        <v>374</v>
      </c>
      <c r="BJ214" s="411"/>
    </row>
    <row r="215" spans="1:62" ht="15.75" customHeight="1" thickBot="1" x14ac:dyDescent="0.25">
      <c r="A215" s="156">
        <v>214</v>
      </c>
      <c r="B215" s="155">
        <v>1</v>
      </c>
      <c r="C215" s="148" t="s">
        <v>11</v>
      </c>
      <c r="D215" s="148" t="s">
        <v>140</v>
      </c>
      <c r="E215" s="148"/>
      <c r="F215" s="148" t="s">
        <v>454</v>
      </c>
      <c r="G215" s="148" t="s">
        <v>122</v>
      </c>
      <c r="H215" s="148"/>
      <c r="I215" s="161">
        <v>2011</v>
      </c>
      <c r="J215" s="161" t="s">
        <v>370</v>
      </c>
      <c r="K215" s="161" t="s">
        <v>371</v>
      </c>
      <c r="L215" s="161" t="s">
        <v>83</v>
      </c>
      <c r="M215" s="453" t="s">
        <v>4128</v>
      </c>
      <c r="N215" s="186" t="s">
        <v>20</v>
      </c>
      <c r="O215" s="186" t="s">
        <v>20</v>
      </c>
      <c r="P215" s="186" t="s">
        <v>20</v>
      </c>
      <c r="Q215" s="186" t="s">
        <v>20</v>
      </c>
      <c r="R215" s="186" t="s">
        <v>15</v>
      </c>
      <c r="S215" s="186" t="s">
        <v>20</v>
      </c>
      <c r="T215" s="186" t="s">
        <v>20</v>
      </c>
      <c r="U215" s="186" t="s">
        <v>15</v>
      </c>
      <c r="V215" s="186" t="s">
        <v>15</v>
      </c>
      <c r="W215" s="186" t="s">
        <v>15</v>
      </c>
      <c r="X215" s="186" t="s">
        <v>15</v>
      </c>
      <c r="Y215" s="186" t="s">
        <v>15</v>
      </c>
      <c r="Z215" s="186"/>
      <c r="AA215" s="186" t="s">
        <v>372</v>
      </c>
      <c r="AB215" s="186" t="s">
        <v>292</v>
      </c>
      <c r="AC215" s="186" t="s">
        <v>292</v>
      </c>
      <c r="AD215" s="268" t="s">
        <v>373</v>
      </c>
      <c r="AE215" s="268"/>
      <c r="AF215" s="144" t="str">
        <f t="shared" si="12"/>
        <v/>
      </c>
      <c r="AG215" s="144" t="str">
        <f t="shared" si="13"/>
        <v/>
      </c>
      <c r="AH215" s="146" t="str">
        <f t="shared" si="14"/>
        <v/>
      </c>
      <c r="AI215" s="146" t="str">
        <f t="shared" si="15"/>
        <v/>
      </c>
      <c r="AJ215" s="303"/>
      <c r="AK215" s="303"/>
      <c r="AL215" s="303"/>
      <c r="AM215" s="303"/>
      <c r="AN215" s="303"/>
      <c r="AO215" s="303"/>
      <c r="AP215" s="303"/>
      <c r="AQ215" s="303"/>
      <c r="AR215" s="303"/>
      <c r="AS215" s="170"/>
      <c r="AT215" s="170"/>
      <c r="AU215" s="310"/>
      <c r="AW215" s="294"/>
      <c r="AX215" s="294"/>
      <c r="AY215" s="294"/>
      <c r="AZ215" s="294"/>
      <c r="BA215" s="294"/>
      <c r="BB215" s="294"/>
      <c r="BC215" s="294"/>
      <c r="BD215" s="294"/>
      <c r="BE215" s="294"/>
      <c r="BF215" s="383"/>
      <c r="BG215" s="382">
        <v>1.57</v>
      </c>
      <c r="BH215" s="278"/>
      <c r="BI215" s="365" t="s">
        <v>374</v>
      </c>
      <c r="BJ215" s="411"/>
    </row>
    <row r="216" spans="1:62" ht="15.75" customHeight="1" thickBot="1" x14ac:dyDescent="0.25">
      <c r="A216" s="154">
        <v>215</v>
      </c>
      <c r="B216" s="155">
        <v>1</v>
      </c>
      <c r="C216" s="148" t="s">
        <v>39</v>
      </c>
      <c r="D216" s="148" t="s">
        <v>40</v>
      </c>
      <c r="E216" s="148"/>
      <c r="F216" s="148" t="s">
        <v>455</v>
      </c>
      <c r="G216" s="148" t="s">
        <v>122</v>
      </c>
      <c r="H216" s="148"/>
      <c r="I216" s="161">
        <v>2011</v>
      </c>
      <c r="J216" s="161" t="s">
        <v>370</v>
      </c>
      <c r="K216" s="161" t="s">
        <v>371</v>
      </c>
      <c r="L216" s="161" t="s">
        <v>83</v>
      </c>
      <c r="M216" s="453" t="s">
        <v>4128</v>
      </c>
      <c r="N216" s="186" t="s">
        <v>20</v>
      </c>
      <c r="O216" s="186" t="s">
        <v>20</v>
      </c>
      <c r="P216" s="186" t="s">
        <v>20</v>
      </c>
      <c r="Q216" s="186" t="s">
        <v>20</v>
      </c>
      <c r="R216" s="186" t="s">
        <v>15</v>
      </c>
      <c r="S216" s="186" t="s">
        <v>20</v>
      </c>
      <c r="T216" s="186" t="s">
        <v>20</v>
      </c>
      <c r="U216" s="186" t="s">
        <v>15</v>
      </c>
      <c r="V216" s="186" t="s">
        <v>15</v>
      </c>
      <c r="W216" s="186" t="s">
        <v>15</v>
      </c>
      <c r="X216" s="186" t="s">
        <v>15</v>
      </c>
      <c r="Y216" s="186" t="s">
        <v>15</v>
      </c>
      <c r="Z216" s="186"/>
      <c r="AA216" s="186" t="s">
        <v>372</v>
      </c>
      <c r="AB216" s="186" t="s">
        <v>292</v>
      </c>
      <c r="AC216" s="186" t="s">
        <v>292</v>
      </c>
      <c r="AD216" s="268" t="s">
        <v>373</v>
      </c>
      <c r="AE216" s="268"/>
      <c r="AF216" s="144" t="str">
        <f t="shared" si="12"/>
        <v/>
      </c>
      <c r="AG216" s="144" t="str">
        <f t="shared" si="13"/>
        <v/>
      </c>
      <c r="AH216" s="146" t="str">
        <f t="shared" si="14"/>
        <v/>
      </c>
      <c r="AI216" s="146" t="str">
        <f t="shared" si="15"/>
        <v/>
      </c>
      <c r="AJ216" s="303"/>
      <c r="AK216" s="303"/>
      <c r="AL216" s="303"/>
      <c r="AM216" s="303"/>
      <c r="AN216" s="303"/>
      <c r="AO216" s="303"/>
      <c r="AP216" s="303"/>
      <c r="AQ216" s="303"/>
      <c r="AR216" s="303"/>
      <c r="AS216" s="170"/>
      <c r="AT216" s="170"/>
      <c r="AU216" s="310"/>
      <c r="AW216" s="294"/>
      <c r="AX216" s="294"/>
      <c r="AY216" s="294"/>
      <c r="AZ216" s="294"/>
      <c r="BA216" s="294"/>
      <c r="BB216" s="294"/>
      <c r="BC216" s="294"/>
      <c r="BD216" s="294"/>
      <c r="BE216" s="294"/>
      <c r="BF216" s="383"/>
      <c r="BG216" s="382">
        <v>4.26</v>
      </c>
      <c r="BH216" s="278"/>
      <c r="BI216" s="365" t="s">
        <v>374</v>
      </c>
      <c r="BJ216" s="411"/>
    </row>
    <row r="217" spans="1:62" ht="15.75" customHeight="1" thickBot="1" x14ac:dyDescent="0.25">
      <c r="A217" s="156">
        <v>216</v>
      </c>
      <c r="B217" s="155">
        <v>1</v>
      </c>
      <c r="C217" s="148" t="s">
        <v>39</v>
      </c>
      <c r="D217" s="148" t="s">
        <v>40</v>
      </c>
      <c r="E217" s="148"/>
      <c r="F217" s="148" t="s">
        <v>379</v>
      </c>
      <c r="G217" s="148" t="s">
        <v>122</v>
      </c>
      <c r="H217" s="148"/>
      <c r="I217" s="161">
        <v>2011</v>
      </c>
      <c r="J217" s="161" t="s">
        <v>370</v>
      </c>
      <c r="K217" s="161" t="s">
        <v>371</v>
      </c>
      <c r="L217" s="161" t="s">
        <v>83</v>
      </c>
      <c r="M217" s="453" t="s">
        <v>4128</v>
      </c>
      <c r="N217" s="186" t="s">
        <v>20</v>
      </c>
      <c r="O217" s="186" t="s">
        <v>20</v>
      </c>
      <c r="P217" s="186" t="s">
        <v>20</v>
      </c>
      <c r="Q217" s="186" t="s">
        <v>20</v>
      </c>
      <c r="R217" s="186" t="s">
        <v>15</v>
      </c>
      <c r="S217" s="186" t="s">
        <v>20</v>
      </c>
      <c r="T217" s="186" t="s">
        <v>20</v>
      </c>
      <c r="U217" s="186" t="s">
        <v>15</v>
      </c>
      <c r="V217" s="186" t="s">
        <v>15</v>
      </c>
      <c r="W217" s="186" t="s">
        <v>15</v>
      </c>
      <c r="X217" s="186" t="s">
        <v>15</v>
      </c>
      <c r="Y217" s="186" t="s">
        <v>15</v>
      </c>
      <c r="Z217" s="186"/>
      <c r="AA217" s="186" t="s">
        <v>372</v>
      </c>
      <c r="AB217" s="186" t="s">
        <v>292</v>
      </c>
      <c r="AC217" s="186" t="s">
        <v>292</v>
      </c>
      <c r="AD217" s="268" t="s">
        <v>373</v>
      </c>
      <c r="AE217" s="268"/>
      <c r="AF217" s="144" t="str">
        <f t="shared" si="12"/>
        <v/>
      </c>
      <c r="AG217" s="144" t="str">
        <f t="shared" si="13"/>
        <v/>
      </c>
      <c r="AH217" s="146" t="str">
        <f t="shared" si="14"/>
        <v/>
      </c>
      <c r="AI217" s="146" t="str">
        <f t="shared" si="15"/>
        <v/>
      </c>
      <c r="AJ217" s="303"/>
      <c r="AK217" s="303"/>
      <c r="AL217" s="303"/>
      <c r="AM217" s="303"/>
      <c r="AN217" s="303"/>
      <c r="AO217" s="303"/>
      <c r="AP217" s="303"/>
      <c r="AQ217" s="303"/>
      <c r="AR217" s="303"/>
      <c r="AS217" s="170"/>
      <c r="AT217" s="170"/>
      <c r="AU217" s="310"/>
      <c r="AW217" s="294"/>
      <c r="AX217" s="294"/>
      <c r="AY217" s="294"/>
      <c r="AZ217" s="294"/>
      <c r="BA217" s="294"/>
      <c r="BB217" s="294"/>
      <c r="BC217" s="294"/>
      <c r="BD217" s="294"/>
      <c r="BE217" s="294"/>
      <c r="BF217" s="383"/>
      <c r="BG217" s="382">
        <v>4.43</v>
      </c>
      <c r="BH217" s="278"/>
      <c r="BI217" s="365" t="s">
        <v>374</v>
      </c>
      <c r="BJ217" s="411"/>
    </row>
    <row r="218" spans="1:62" ht="15.75" customHeight="1" thickBot="1" x14ac:dyDescent="0.25">
      <c r="A218" s="154">
        <v>217</v>
      </c>
      <c r="B218" s="155">
        <v>1</v>
      </c>
      <c r="C218" s="148" t="s">
        <v>39</v>
      </c>
      <c r="D218" s="148" t="s">
        <v>40</v>
      </c>
      <c r="E218" s="148"/>
      <c r="F218" s="148" t="s">
        <v>456</v>
      </c>
      <c r="G218" s="148" t="s">
        <v>122</v>
      </c>
      <c r="H218" s="148"/>
      <c r="I218" s="161">
        <v>2011</v>
      </c>
      <c r="J218" s="161" t="s">
        <v>370</v>
      </c>
      <c r="K218" s="161" t="s">
        <v>371</v>
      </c>
      <c r="L218" s="161" t="s">
        <v>83</v>
      </c>
      <c r="M218" s="453" t="s">
        <v>4128</v>
      </c>
      <c r="N218" s="186" t="s">
        <v>20</v>
      </c>
      <c r="O218" s="186" t="s">
        <v>20</v>
      </c>
      <c r="P218" s="186" t="s">
        <v>20</v>
      </c>
      <c r="Q218" s="186" t="s">
        <v>20</v>
      </c>
      <c r="R218" s="186" t="s">
        <v>15</v>
      </c>
      <c r="S218" s="186" t="s">
        <v>20</v>
      </c>
      <c r="T218" s="186" t="s">
        <v>20</v>
      </c>
      <c r="U218" s="186" t="s">
        <v>15</v>
      </c>
      <c r="V218" s="186" t="s">
        <v>15</v>
      </c>
      <c r="W218" s="186" t="s">
        <v>15</v>
      </c>
      <c r="X218" s="186" t="s">
        <v>15</v>
      </c>
      <c r="Y218" s="186" t="s">
        <v>15</v>
      </c>
      <c r="Z218" s="186"/>
      <c r="AA218" s="186" t="s">
        <v>372</v>
      </c>
      <c r="AB218" s="186" t="s">
        <v>292</v>
      </c>
      <c r="AC218" s="186" t="s">
        <v>292</v>
      </c>
      <c r="AD218" s="268" t="s">
        <v>373</v>
      </c>
      <c r="AE218" s="268"/>
      <c r="AF218" s="144" t="str">
        <f t="shared" si="12"/>
        <v/>
      </c>
      <c r="AG218" s="144" t="str">
        <f t="shared" si="13"/>
        <v/>
      </c>
      <c r="AH218" s="146" t="str">
        <f t="shared" si="14"/>
        <v/>
      </c>
      <c r="AI218" s="146" t="str">
        <f t="shared" si="15"/>
        <v/>
      </c>
      <c r="AJ218" s="303"/>
      <c r="AK218" s="303"/>
      <c r="AL218" s="303"/>
      <c r="AM218" s="303"/>
      <c r="AN218" s="303"/>
      <c r="AO218" s="303"/>
      <c r="AP218" s="303"/>
      <c r="AQ218" s="303"/>
      <c r="AR218" s="303"/>
      <c r="AS218" s="170"/>
      <c r="AT218" s="170"/>
      <c r="AU218" s="310"/>
      <c r="AW218" s="294"/>
      <c r="AX218" s="294"/>
      <c r="AY218" s="294"/>
      <c r="AZ218" s="294"/>
      <c r="BA218" s="294"/>
      <c r="BB218" s="294"/>
      <c r="BC218" s="294"/>
      <c r="BD218" s="294"/>
      <c r="BE218" s="294"/>
      <c r="BF218" s="383"/>
      <c r="BG218" s="382">
        <v>4.26</v>
      </c>
      <c r="BH218" s="278"/>
      <c r="BI218" s="365" t="s">
        <v>374</v>
      </c>
      <c r="BJ218" s="411"/>
    </row>
    <row r="219" spans="1:62" ht="15.75" customHeight="1" thickBot="1" x14ac:dyDescent="0.25">
      <c r="A219" s="156">
        <v>218</v>
      </c>
      <c r="B219" s="155">
        <v>1</v>
      </c>
      <c r="C219" s="148" t="s">
        <v>39</v>
      </c>
      <c r="D219" s="148" t="s">
        <v>40</v>
      </c>
      <c r="E219" s="148"/>
      <c r="F219" s="148" t="s">
        <v>457</v>
      </c>
      <c r="G219" s="148" t="s">
        <v>122</v>
      </c>
      <c r="H219" s="148"/>
      <c r="I219" s="161">
        <v>2011</v>
      </c>
      <c r="J219" s="161" t="s">
        <v>370</v>
      </c>
      <c r="K219" s="161" t="s">
        <v>371</v>
      </c>
      <c r="L219" s="161" t="s">
        <v>83</v>
      </c>
      <c r="M219" s="453" t="s">
        <v>4128</v>
      </c>
      <c r="N219" s="186" t="s">
        <v>20</v>
      </c>
      <c r="O219" s="186" t="s">
        <v>20</v>
      </c>
      <c r="P219" s="186" t="s">
        <v>20</v>
      </c>
      <c r="Q219" s="186" t="s">
        <v>20</v>
      </c>
      <c r="R219" s="186" t="s">
        <v>15</v>
      </c>
      <c r="S219" s="186" t="s">
        <v>20</v>
      </c>
      <c r="T219" s="186" t="s">
        <v>20</v>
      </c>
      <c r="U219" s="186" t="s">
        <v>15</v>
      </c>
      <c r="V219" s="186" t="s">
        <v>15</v>
      </c>
      <c r="W219" s="186" t="s">
        <v>15</v>
      </c>
      <c r="X219" s="186" t="s">
        <v>15</v>
      </c>
      <c r="Y219" s="186" t="s">
        <v>15</v>
      </c>
      <c r="Z219" s="186"/>
      <c r="AA219" s="186" t="s">
        <v>372</v>
      </c>
      <c r="AB219" s="186" t="s">
        <v>292</v>
      </c>
      <c r="AC219" s="186" t="s">
        <v>292</v>
      </c>
      <c r="AD219" s="268" t="s">
        <v>373</v>
      </c>
      <c r="AE219" s="268"/>
      <c r="AF219" s="144" t="str">
        <f t="shared" si="12"/>
        <v/>
      </c>
      <c r="AG219" s="144" t="str">
        <f t="shared" si="13"/>
        <v/>
      </c>
      <c r="AH219" s="146" t="str">
        <f t="shared" si="14"/>
        <v/>
      </c>
      <c r="AI219" s="146" t="str">
        <f t="shared" si="15"/>
        <v/>
      </c>
      <c r="AJ219" s="303"/>
      <c r="AK219" s="303"/>
      <c r="AL219" s="303"/>
      <c r="AM219" s="303"/>
      <c r="AN219" s="303"/>
      <c r="AO219" s="303"/>
      <c r="AP219" s="303"/>
      <c r="AQ219" s="303"/>
      <c r="AR219" s="303"/>
      <c r="AS219" s="170"/>
      <c r="AT219" s="170"/>
      <c r="AU219" s="310"/>
      <c r="AW219" s="294"/>
      <c r="AX219" s="294"/>
      <c r="AY219" s="294"/>
      <c r="AZ219" s="294"/>
      <c r="BA219" s="294"/>
      <c r="BB219" s="294"/>
      <c r="BC219" s="294"/>
      <c r="BD219" s="294"/>
      <c r="BE219" s="294"/>
      <c r="BF219" s="383"/>
      <c r="BG219" s="382">
        <v>4.49</v>
      </c>
      <c r="BH219" s="278"/>
      <c r="BI219" s="365" t="s">
        <v>374</v>
      </c>
      <c r="BJ219" s="411"/>
    </row>
    <row r="220" spans="1:62" ht="15.75" customHeight="1" thickBot="1" x14ac:dyDescent="0.25">
      <c r="A220" s="154">
        <v>219</v>
      </c>
      <c r="B220" s="155">
        <v>1</v>
      </c>
      <c r="C220" s="148" t="s">
        <v>39</v>
      </c>
      <c r="D220" s="148" t="s">
        <v>40</v>
      </c>
      <c r="E220" s="148"/>
      <c r="F220" s="148" t="s">
        <v>458</v>
      </c>
      <c r="G220" s="148" t="s">
        <v>122</v>
      </c>
      <c r="H220" s="148"/>
      <c r="I220" s="161">
        <v>2011</v>
      </c>
      <c r="J220" s="161" t="s">
        <v>370</v>
      </c>
      <c r="K220" s="161" t="s">
        <v>371</v>
      </c>
      <c r="L220" s="161" t="s">
        <v>83</v>
      </c>
      <c r="M220" s="453" t="s">
        <v>4128</v>
      </c>
      <c r="N220" s="186" t="s">
        <v>20</v>
      </c>
      <c r="O220" s="186" t="s">
        <v>20</v>
      </c>
      <c r="P220" s="186" t="s">
        <v>20</v>
      </c>
      <c r="Q220" s="186" t="s">
        <v>20</v>
      </c>
      <c r="R220" s="186" t="s">
        <v>15</v>
      </c>
      <c r="S220" s="186" t="s">
        <v>20</v>
      </c>
      <c r="T220" s="186" t="s">
        <v>20</v>
      </c>
      <c r="U220" s="186" t="s">
        <v>15</v>
      </c>
      <c r="V220" s="186" t="s">
        <v>15</v>
      </c>
      <c r="W220" s="186" t="s">
        <v>15</v>
      </c>
      <c r="X220" s="186" t="s">
        <v>15</v>
      </c>
      <c r="Y220" s="186" t="s">
        <v>15</v>
      </c>
      <c r="Z220" s="186"/>
      <c r="AA220" s="186" t="s">
        <v>372</v>
      </c>
      <c r="AB220" s="186" t="s">
        <v>292</v>
      </c>
      <c r="AC220" s="186" t="s">
        <v>292</v>
      </c>
      <c r="AD220" s="268" t="s">
        <v>373</v>
      </c>
      <c r="AE220" s="268"/>
      <c r="AF220" s="144" t="str">
        <f t="shared" si="12"/>
        <v/>
      </c>
      <c r="AG220" s="144" t="str">
        <f t="shared" si="13"/>
        <v/>
      </c>
      <c r="AH220" s="146" t="str">
        <f t="shared" si="14"/>
        <v/>
      </c>
      <c r="AI220" s="146" t="str">
        <f t="shared" si="15"/>
        <v/>
      </c>
      <c r="AJ220" s="303"/>
      <c r="AK220" s="303"/>
      <c r="AL220" s="303"/>
      <c r="AM220" s="303"/>
      <c r="AN220" s="303"/>
      <c r="AO220" s="303"/>
      <c r="AP220" s="303"/>
      <c r="AQ220" s="303"/>
      <c r="AR220" s="303"/>
      <c r="AS220" s="170"/>
      <c r="AT220" s="170"/>
      <c r="AU220" s="310"/>
      <c r="AW220" s="294"/>
      <c r="AX220" s="294"/>
      <c r="AY220" s="294"/>
      <c r="AZ220" s="294"/>
      <c r="BA220" s="294"/>
      <c r="BB220" s="294"/>
      <c r="BC220" s="294"/>
      <c r="BD220" s="294"/>
      <c r="BE220" s="294"/>
      <c r="BF220" s="383"/>
      <c r="BG220" s="382">
        <v>4.49</v>
      </c>
      <c r="BH220" s="278"/>
      <c r="BI220" s="365" t="s">
        <v>374</v>
      </c>
      <c r="BJ220" s="411"/>
    </row>
    <row r="221" spans="1:62" ht="15.75" customHeight="1" thickBot="1" x14ac:dyDescent="0.25">
      <c r="A221" s="156">
        <v>220</v>
      </c>
      <c r="B221" s="155">
        <v>1</v>
      </c>
      <c r="C221" s="148" t="s">
        <v>39</v>
      </c>
      <c r="D221" s="148" t="s">
        <v>40</v>
      </c>
      <c r="E221" s="148"/>
      <c r="F221" s="148" t="s">
        <v>459</v>
      </c>
      <c r="G221" s="148" t="s">
        <v>122</v>
      </c>
      <c r="H221" s="148"/>
      <c r="I221" s="161">
        <v>2011</v>
      </c>
      <c r="J221" s="161" t="s">
        <v>370</v>
      </c>
      <c r="K221" s="161" t="s">
        <v>371</v>
      </c>
      <c r="L221" s="161" t="s">
        <v>83</v>
      </c>
      <c r="M221" s="453" t="s">
        <v>4128</v>
      </c>
      <c r="N221" s="186" t="s">
        <v>20</v>
      </c>
      <c r="O221" s="186" t="s">
        <v>20</v>
      </c>
      <c r="P221" s="186" t="s">
        <v>20</v>
      </c>
      <c r="Q221" s="186" t="s">
        <v>20</v>
      </c>
      <c r="R221" s="186" t="s">
        <v>15</v>
      </c>
      <c r="S221" s="186" t="s">
        <v>20</v>
      </c>
      <c r="T221" s="186" t="s">
        <v>20</v>
      </c>
      <c r="U221" s="186" t="s">
        <v>15</v>
      </c>
      <c r="V221" s="186" t="s">
        <v>15</v>
      </c>
      <c r="W221" s="186" t="s">
        <v>15</v>
      </c>
      <c r="X221" s="186" t="s">
        <v>15</v>
      </c>
      <c r="Y221" s="186" t="s">
        <v>15</v>
      </c>
      <c r="Z221" s="186"/>
      <c r="AA221" s="186" t="s">
        <v>372</v>
      </c>
      <c r="AB221" s="186" t="s">
        <v>292</v>
      </c>
      <c r="AC221" s="186" t="s">
        <v>292</v>
      </c>
      <c r="AD221" s="268" t="s">
        <v>373</v>
      </c>
      <c r="AE221" s="268"/>
      <c r="AF221" s="144" t="str">
        <f t="shared" si="12"/>
        <v/>
      </c>
      <c r="AG221" s="144" t="str">
        <f t="shared" si="13"/>
        <v/>
      </c>
      <c r="AH221" s="146" t="str">
        <f t="shared" si="14"/>
        <v/>
      </c>
      <c r="AI221" s="146" t="str">
        <f t="shared" si="15"/>
        <v/>
      </c>
      <c r="AJ221" s="303"/>
      <c r="AK221" s="303"/>
      <c r="AL221" s="303"/>
      <c r="AM221" s="303"/>
      <c r="AN221" s="303"/>
      <c r="AO221" s="303"/>
      <c r="AP221" s="303"/>
      <c r="AQ221" s="303"/>
      <c r="AR221" s="303"/>
      <c r="AS221" s="170"/>
      <c r="AT221" s="170"/>
      <c r="AU221" s="310"/>
      <c r="AW221" s="294"/>
      <c r="AX221" s="294"/>
      <c r="AY221" s="294"/>
      <c r="AZ221" s="294"/>
      <c r="BA221" s="294"/>
      <c r="BB221" s="294"/>
      <c r="BC221" s="294"/>
      <c r="BD221" s="294"/>
      <c r="BE221" s="294"/>
      <c r="BF221" s="383"/>
      <c r="BG221" s="382">
        <v>3.86</v>
      </c>
      <c r="BH221" s="278"/>
      <c r="BI221" s="365" t="s">
        <v>374</v>
      </c>
      <c r="BJ221" s="411"/>
    </row>
    <row r="222" spans="1:62" ht="15.75" customHeight="1" thickBot="1" x14ac:dyDescent="0.25">
      <c r="A222" s="154">
        <v>221</v>
      </c>
      <c r="B222" s="155">
        <v>1</v>
      </c>
      <c r="C222" s="148" t="s">
        <v>39</v>
      </c>
      <c r="D222" s="148" t="s">
        <v>40</v>
      </c>
      <c r="E222" s="148"/>
      <c r="F222" s="148" t="s">
        <v>460</v>
      </c>
      <c r="G222" s="148" t="s">
        <v>122</v>
      </c>
      <c r="H222" s="148"/>
      <c r="I222" s="161">
        <v>2011</v>
      </c>
      <c r="J222" s="161" t="s">
        <v>370</v>
      </c>
      <c r="K222" s="161" t="s">
        <v>371</v>
      </c>
      <c r="L222" s="161" t="s">
        <v>83</v>
      </c>
      <c r="M222" s="453" t="s">
        <v>4128</v>
      </c>
      <c r="N222" s="186" t="s">
        <v>20</v>
      </c>
      <c r="O222" s="186" t="s">
        <v>20</v>
      </c>
      <c r="P222" s="186" t="s">
        <v>20</v>
      </c>
      <c r="Q222" s="186" t="s">
        <v>20</v>
      </c>
      <c r="R222" s="186" t="s">
        <v>15</v>
      </c>
      <c r="S222" s="186" t="s">
        <v>20</v>
      </c>
      <c r="T222" s="186" t="s">
        <v>20</v>
      </c>
      <c r="U222" s="186" t="s">
        <v>15</v>
      </c>
      <c r="V222" s="186" t="s">
        <v>15</v>
      </c>
      <c r="W222" s="186" t="s">
        <v>15</v>
      </c>
      <c r="X222" s="186" t="s">
        <v>15</v>
      </c>
      <c r="Y222" s="186" t="s">
        <v>15</v>
      </c>
      <c r="Z222" s="186"/>
      <c r="AA222" s="186" t="s">
        <v>372</v>
      </c>
      <c r="AB222" s="186" t="s">
        <v>292</v>
      </c>
      <c r="AC222" s="186" t="s">
        <v>292</v>
      </c>
      <c r="AD222" s="268" t="s">
        <v>373</v>
      </c>
      <c r="AE222" s="268"/>
      <c r="AF222" s="144" t="str">
        <f t="shared" si="12"/>
        <v/>
      </c>
      <c r="AG222" s="144" t="str">
        <f t="shared" si="13"/>
        <v/>
      </c>
      <c r="AH222" s="146" t="str">
        <f t="shared" si="14"/>
        <v/>
      </c>
      <c r="AI222" s="146" t="str">
        <f t="shared" si="15"/>
        <v/>
      </c>
      <c r="AJ222" s="303"/>
      <c r="AK222" s="303"/>
      <c r="AL222" s="303"/>
      <c r="AM222" s="303"/>
      <c r="AN222" s="303"/>
      <c r="AO222" s="303"/>
      <c r="AP222" s="303"/>
      <c r="AQ222" s="303"/>
      <c r="AR222" s="303"/>
      <c r="AS222" s="170"/>
      <c r="AT222" s="170"/>
      <c r="AU222" s="310"/>
      <c r="AW222" s="294"/>
      <c r="AX222" s="294"/>
      <c r="AY222" s="294"/>
      <c r="AZ222" s="294"/>
      <c r="BA222" s="294"/>
      <c r="BB222" s="294"/>
      <c r="BC222" s="294"/>
      <c r="BD222" s="294"/>
      <c r="BE222" s="294"/>
      <c r="BF222" s="383"/>
      <c r="BG222" s="382">
        <v>4.5599999999999996</v>
      </c>
      <c r="BH222" s="278"/>
      <c r="BI222" s="365" t="s">
        <v>374</v>
      </c>
      <c r="BJ222" s="411"/>
    </row>
    <row r="223" spans="1:62" ht="15.75" customHeight="1" thickBot="1" x14ac:dyDescent="0.25">
      <c r="A223" s="156">
        <v>222</v>
      </c>
      <c r="B223" s="155">
        <v>1</v>
      </c>
      <c r="C223" s="148" t="s">
        <v>39</v>
      </c>
      <c r="D223" s="148" t="s">
        <v>40</v>
      </c>
      <c r="E223" s="148"/>
      <c r="F223" s="148" t="s">
        <v>461</v>
      </c>
      <c r="G223" s="148" t="s">
        <v>122</v>
      </c>
      <c r="H223" s="148"/>
      <c r="I223" s="161">
        <v>2011</v>
      </c>
      <c r="J223" s="161" t="s">
        <v>370</v>
      </c>
      <c r="K223" s="161" t="s">
        <v>371</v>
      </c>
      <c r="L223" s="161" t="s">
        <v>83</v>
      </c>
      <c r="M223" s="453" t="s">
        <v>4128</v>
      </c>
      <c r="N223" s="186" t="s">
        <v>20</v>
      </c>
      <c r="O223" s="186" t="s">
        <v>20</v>
      </c>
      <c r="P223" s="186" t="s">
        <v>20</v>
      </c>
      <c r="Q223" s="186" t="s">
        <v>20</v>
      </c>
      <c r="R223" s="186" t="s">
        <v>15</v>
      </c>
      <c r="S223" s="186" t="s">
        <v>20</v>
      </c>
      <c r="T223" s="186" t="s">
        <v>20</v>
      </c>
      <c r="U223" s="186" t="s">
        <v>15</v>
      </c>
      <c r="V223" s="186" t="s">
        <v>15</v>
      </c>
      <c r="W223" s="186" t="s">
        <v>15</v>
      </c>
      <c r="X223" s="186" t="s">
        <v>15</v>
      </c>
      <c r="Y223" s="186" t="s">
        <v>15</v>
      </c>
      <c r="Z223" s="186"/>
      <c r="AA223" s="186" t="s">
        <v>372</v>
      </c>
      <c r="AB223" s="186" t="s">
        <v>292</v>
      </c>
      <c r="AC223" s="186" t="s">
        <v>292</v>
      </c>
      <c r="AD223" s="268" t="s">
        <v>373</v>
      </c>
      <c r="AE223" s="268"/>
      <c r="AF223" s="144" t="str">
        <f t="shared" si="12"/>
        <v/>
      </c>
      <c r="AG223" s="144" t="str">
        <f t="shared" si="13"/>
        <v/>
      </c>
      <c r="AH223" s="146" t="str">
        <f t="shared" si="14"/>
        <v/>
      </c>
      <c r="AI223" s="146" t="str">
        <f t="shared" si="15"/>
        <v/>
      </c>
      <c r="AJ223" s="303"/>
      <c r="AK223" s="303"/>
      <c r="AL223" s="303"/>
      <c r="AM223" s="303"/>
      <c r="AN223" s="303"/>
      <c r="AO223" s="303"/>
      <c r="AP223" s="303"/>
      <c r="AQ223" s="303"/>
      <c r="AR223" s="303"/>
      <c r="AS223" s="170"/>
      <c r="AT223" s="170"/>
      <c r="AU223" s="310"/>
      <c r="AW223" s="294"/>
      <c r="AX223" s="294"/>
      <c r="AY223" s="294"/>
      <c r="AZ223" s="294"/>
      <c r="BA223" s="294"/>
      <c r="BB223" s="294"/>
      <c r="BC223" s="294"/>
      <c r="BD223" s="294"/>
      <c r="BE223" s="294"/>
      <c r="BF223" s="383"/>
      <c r="BG223" s="382">
        <v>4.49</v>
      </c>
      <c r="BH223" s="278"/>
      <c r="BI223" s="365" t="s">
        <v>374</v>
      </c>
      <c r="BJ223" s="411"/>
    </row>
    <row r="224" spans="1:62" ht="15.75" customHeight="1" thickBot="1" x14ac:dyDescent="0.25">
      <c r="A224" s="154">
        <v>223</v>
      </c>
      <c r="B224" s="155">
        <v>1</v>
      </c>
      <c r="C224" s="148" t="s">
        <v>39</v>
      </c>
      <c r="D224" s="148" t="s">
        <v>40</v>
      </c>
      <c r="E224" s="148"/>
      <c r="F224" s="148" t="s">
        <v>462</v>
      </c>
      <c r="G224" s="148" t="s">
        <v>122</v>
      </c>
      <c r="H224" s="148"/>
      <c r="I224" s="161">
        <v>2011</v>
      </c>
      <c r="J224" s="161" t="s">
        <v>370</v>
      </c>
      <c r="K224" s="161" t="s">
        <v>371</v>
      </c>
      <c r="L224" s="161" t="s">
        <v>83</v>
      </c>
      <c r="M224" s="453" t="s">
        <v>4128</v>
      </c>
      <c r="N224" s="186" t="s">
        <v>20</v>
      </c>
      <c r="O224" s="186" t="s">
        <v>20</v>
      </c>
      <c r="P224" s="186" t="s">
        <v>20</v>
      </c>
      <c r="Q224" s="186" t="s">
        <v>20</v>
      </c>
      <c r="R224" s="186" t="s">
        <v>15</v>
      </c>
      <c r="S224" s="186" t="s">
        <v>20</v>
      </c>
      <c r="T224" s="186" t="s">
        <v>20</v>
      </c>
      <c r="U224" s="186" t="s">
        <v>15</v>
      </c>
      <c r="V224" s="186" t="s">
        <v>15</v>
      </c>
      <c r="W224" s="186" t="s">
        <v>15</v>
      </c>
      <c r="X224" s="186" t="s">
        <v>15</v>
      </c>
      <c r="Y224" s="186" t="s">
        <v>15</v>
      </c>
      <c r="Z224" s="186"/>
      <c r="AA224" s="186" t="s">
        <v>372</v>
      </c>
      <c r="AB224" s="186" t="s">
        <v>292</v>
      </c>
      <c r="AC224" s="186" t="s">
        <v>292</v>
      </c>
      <c r="AD224" s="268" t="s">
        <v>373</v>
      </c>
      <c r="AE224" s="268"/>
      <c r="AF224" s="144" t="str">
        <f t="shared" si="12"/>
        <v/>
      </c>
      <c r="AG224" s="144" t="str">
        <f t="shared" si="13"/>
        <v/>
      </c>
      <c r="AH224" s="146" t="str">
        <f t="shared" si="14"/>
        <v/>
      </c>
      <c r="AI224" s="146" t="str">
        <f t="shared" si="15"/>
        <v/>
      </c>
      <c r="AJ224" s="303"/>
      <c r="AK224" s="303"/>
      <c r="AL224" s="303"/>
      <c r="AM224" s="303"/>
      <c r="AN224" s="303"/>
      <c r="AO224" s="303"/>
      <c r="AP224" s="303"/>
      <c r="AQ224" s="303"/>
      <c r="AR224" s="303"/>
      <c r="AS224" s="170"/>
      <c r="AT224" s="170"/>
      <c r="AU224" s="310"/>
      <c r="AW224" s="294"/>
      <c r="AX224" s="294"/>
      <c r="AY224" s="294"/>
      <c r="AZ224" s="294"/>
      <c r="BA224" s="294"/>
      <c r="BB224" s="294"/>
      <c r="BC224" s="294"/>
      <c r="BD224" s="294"/>
      <c r="BE224" s="294"/>
      <c r="BF224" s="383"/>
      <c r="BG224" s="382">
        <v>3.82</v>
      </c>
      <c r="BH224" s="278"/>
      <c r="BI224" s="365" t="s">
        <v>374</v>
      </c>
      <c r="BJ224" s="411"/>
    </row>
    <row r="225" spans="1:62" ht="15.75" customHeight="1" thickBot="1" x14ac:dyDescent="0.25">
      <c r="A225" s="156">
        <v>224</v>
      </c>
      <c r="B225" s="155">
        <v>1</v>
      </c>
      <c r="C225" s="148" t="s">
        <v>39</v>
      </c>
      <c r="D225" s="148" t="s">
        <v>40</v>
      </c>
      <c r="E225" s="148"/>
      <c r="F225" s="148" t="s">
        <v>463</v>
      </c>
      <c r="G225" s="148" t="s">
        <v>122</v>
      </c>
      <c r="H225" s="148"/>
      <c r="I225" s="161">
        <v>2011</v>
      </c>
      <c r="J225" s="161" t="s">
        <v>370</v>
      </c>
      <c r="K225" s="161" t="s">
        <v>371</v>
      </c>
      <c r="L225" s="161" t="s">
        <v>83</v>
      </c>
      <c r="M225" s="453" t="s">
        <v>4128</v>
      </c>
      <c r="N225" s="186" t="s">
        <v>20</v>
      </c>
      <c r="O225" s="186" t="s">
        <v>20</v>
      </c>
      <c r="P225" s="186" t="s">
        <v>20</v>
      </c>
      <c r="Q225" s="186" t="s">
        <v>20</v>
      </c>
      <c r="R225" s="186" t="s">
        <v>15</v>
      </c>
      <c r="S225" s="186" t="s">
        <v>20</v>
      </c>
      <c r="T225" s="186" t="s">
        <v>20</v>
      </c>
      <c r="U225" s="186" t="s">
        <v>15</v>
      </c>
      <c r="V225" s="186" t="s">
        <v>15</v>
      </c>
      <c r="W225" s="186" t="s">
        <v>15</v>
      </c>
      <c r="X225" s="186" t="s">
        <v>15</v>
      </c>
      <c r="Y225" s="186" t="s">
        <v>15</v>
      </c>
      <c r="Z225" s="186"/>
      <c r="AA225" s="186" t="s">
        <v>372</v>
      </c>
      <c r="AB225" s="186" t="s">
        <v>292</v>
      </c>
      <c r="AC225" s="186" t="s">
        <v>292</v>
      </c>
      <c r="AD225" s="268" t="s">
        <v>373</v>
      </c>
      <c r="AE225" s="268"/>
      <c r="AF225" s="144" t="str">
        <f t="shared" si="12"/>
        <v/>
      </c>
      <c r="AG225" s="144" t="str">
        <f t="shared" si="13"/>
        <v/>
      </c>
      <c r="AH225" s="146" t="str">
        <f t="shared" si="14"/>
        <v/>
      </c>
      <c r="AI225" s="146" t="str">
        <f t="shared" si="15"/>
        <v/>
      </c>
      <c r="AJ225" s="303"/>
      <c r="AK225" s="303"/>
      <c r="AL225" s="303"/>
      <c r="AM225" s="303"/>
      <c r="AN225" s="303"/>
      <c r="AO225" s="303"/>
      <c r="AP225" s="303"/>
      <c r="AQ225" s="303"/>
      <c r="AR225" s="303"/>
      <c r="AS225" s="170"/>
      <c r="AT225" s="170"/>
      <c r="AU225" s="310"/>
      <c r="AW225" s="294"/>
      <c r="AX225" s="294"/>
      <c r="AY225" s="294"/>
      <c r="AZ225" s="294"/>
      <c r="BA225" s="294"/>
      <c r="BB225" s="294"/>
      <c r="BC225" s="294"/>
      <c r="BD225" s="294"/>
      <c r="BE225" s="294"/>
      <c r="BF225" s="383"/>
      <c r="BG225" s="382">
        <v>4.05</v>
      </c>
      <c r="BH225" s="278"/>
      <c r="BI225" s="365" t="s">
        <v>374</v>
      </c>
      <c r="BJ225" s="411"/>
    </row>
    <row r="226" spans="1:62" ht="15.75" customHeight="1" thickBot="1" x14ac:dyDescent="0.25">
      <c r="A226" s="154">
        <v>225</v>
      </c>
      <c r="B226" s="155">
        <v>1</v>
      </c>
      <c r="C226" s="148" t="s">
        <v>236</v>
      </c>
      <c r="D226" s="148" t="s">
        <v>1769</v>
      </c>
      <c r="E226" s="148" t="s">
        <v>13</v>
      </c>
      <c r="F226" s="148" t="s">
        <v>464</v>
      </c>
      <c r="G226" s="148" t="s">
        <v>15</v>
      </c>
      <c r="H226" s="148" t="s">
        <v>16</v>
      </c>
      <c r="I226" s="161">
        <v>2012</v>
      </c>
      <c r="J226" s="161" t="s">
        <v>465</v>
      </c>
      <c r="K226" s="161" t="s">
        <v>466</v>
      </c>
      <c r="L226" s="161" t="s">
        <v>83</v>
      </c>
      <c r="M226" s="453" t="s">
        <v>4129</v>
      </c>
      <c r="N226" s="186" t="s">
        <v>20</v>
      </c>
      <c r="O226" s="186" t="s">
        <v>15</v>
      </c>
      <c r="P226" s="186" t="s">
        <v>20</v>
      </c>
      <c r="Q226" s="186" t="s">
        <v>20</v>
      </c>
      <c r="R226" s="186" t="s">
        <v>20</v>
      </c>
      <c r="S226" s="186" t="s">
        <v>20</v>
      </c>
      <c r="T226" s="186" t="s">
        <v>20</v>
      </c>
      <c r="U226" s="186" t="s">
        <v>15</v>
      </c>
      <c r="V226" s="186" t="s">
        <v>15</v>
      </c>
      <c r="W226" s="186" t="s">
        <v>15</v>
      </c>
      <c r="X226" s="186" t="s">
        <v>15</v>
      </c>
      <c r="Y226" s="186" t="s">
        <v>15</v>
      </c>
      <c r="Z226" s="186"/>
      <c r="AA226" s="186" t="s">
        <v>467</v>
      </c>
      <c r="AB226" s="186" t="s">
        <v>292</v>
      </c>
      <c r="AC226" s="186" t="s">
        <v>122</v>
      </c>
      <c r="AD226" s="268" t="s">
        <v>468</v>
      </c>
      <c r="AE226" s="268" t="s">
        <v>469</v>
      </c>
      <c r="AF226" s="144" t="str">
        <f t="shared" si="12"/>
        <v/>
      </c>
      <c r="AG226" s="144" t="str">
        <f t="shared" si="13"/>
        <v/>
      </c>
      <c r="AH226" s="146">
        <f t="shared" si="14"/>
        <v>0.20396912899669239</v>
      </c>
      <c r="AI226" s="146" t="str">
        <f t="shared" si="15"/>
        <v/>
      </c>
      <c r="AJ226" s="303"/>
      <c r="AK226" s="303"/>
      <c r="AL226" s="303"/>
      <c r="AM226" s="303"/>
      <c r="AN226" s="303"/>
      <c r="AO226" s="303"/>
      <c r="AP226" s="303"/>
      <c r="AQ226" s="303"/>
      <c r="AR226" s="303"/>
      <c r="AS226" s="170"/>
      <c r="AT226" s="170"/>
      <c r="AU226" s="310"/>
      <c r="AW226" s="294">
        <f>3.7/18.14</f>
        <v>0.20396912899669239</v>
      </c>
      <c r="AX226" s="294"/>
      <c r="AY226" s="294">
        <v>0</v>
      </c>
      <c r="AZ226" s="294">
        <f>1.3/18.14</f>
        <v>7.1664829106945979E-2</v>
      </c>
      <c r="BA226" s="294">
        <f>(0.8+3.6+0.8+0.5+0.5+0.9+0.2+0.5)/18.14</f>
        <v>0.4299889746416759</v>
      </c>
      <c r="BB226" s="294">
        <f>(2.3+1.2)/18.14</f>
        <v>0.19294377067254684</v>
      </c>
      <c r="BC226" s="294"/>
      <c r="BD226" s="294"/>
      <c r="BE226" s="294"/>
      <c r="BF226" s="383">
        <f>3.7/18.14</f>
        <v>0.20396912899669239</v>
      </c>
      <c r="BG226" s="383">
        <f>17/18.17</f>
        <v>0.93560814529444125</v>
      </c>
      <c r="BH226" s="278"/>
      <c r="BI226" s="365" t="s">
        <v>470</v>
      </c>
      <c r="BJ226" s="409"/>
    </row>
    <row r="227" spans="1:62" ht="15.75" customHeight="1" thickBot="1" x14ac:dyDescent="0.25">
      <c r="A227" s="156">
        <v>226</v>
      </c>
      <c r="B227" s="155">
        <v>1</v>
      </c>
      <c r="C227" s="148" t="s">
        <v>236</v>
      </c>
      <c r="D227" s="148" t="s">
        <v>1769</v>
      </c>
      <c r="E227" s="148" t="s">
        <v>13</v>
      </c>
      <c r="F227" s="148" t="s">
        <v>464</v>
      </c>
      <c r="G227" s="148" t="s">
        <v>15</v>
      </c>
      <c r="H227" s="148" t="s">
        <v>471</v>
      </c>
      <c r="I227" s="161">
        <v>2013</v>
      </c>
      <c r="J227" s="161" t="s">
        <v>472</v>
      </c>
      <c r="K227" s="161" t="s">
        <v>473</v>
      </c>
      <c r="L227" s="161" t="s">
        <v>19</v>
      </c>
      <c r="M227" s="453" t="s">
        <v>4130</v>
      </c>
      <c r="N227" s="186" t="s">
        <v>20</v>
      </c>
      <c r="O227" s="186" t="s">
        <v>15</v>
      </c>
      <c r="P227" s="186" t="s">
        <v>20</v>
      </c>
      <c r="Q227" s="186" t="s">
        <v>20</v>
      </c>
      <c r="R227" s="186" t="s">
        <v>20</v>
      </c>
      <c r="S227" s="186" t="s">
        <v>20</v>
      </c>
      <c r="T227" s="186" t="s">
        <v>20</v>
      </c>
      <c r="U227" s="186" t="s">
        <v>20</v>
      </c>
      <c r="V227" s="186" t="s">
        <v>15</v>
      </c>
      <c r="W227" s="186" t="s">
        <v>15</v>
      </c>
      <c r="X227" s="186" t="s">
        <v>15</v>
      </c>
      <c r="Y227" s="186" t="s">
        <v>15</v>
      </c>
      <c r="Z227" s="186"/>
      <c r="AA227" s="186" t="s">
        <v>474</v>
      </c>
      <c r="AB227" s="186" t="s">
        <v>20</v>
      </c>
      <c r="AC227" s="186" t="s">
        <v>20</v>
      </c>
      <c r="AD227" s="268" t="s">
        <v>244</v>
      </c>
      <c r="AE227" s="268"/>
      <c r="AF227" s="144" t="str">
        <f t="shared" si="12"/>
        <v/>
      </c>
      <c r="AG227" s="144" t="str">
        <f t="shared" si="13"/>
        <v/>
      </c>
      <c r="AH227" s="146">
        <f t="shared" si="14"/>
        <v>0.2944</v>
      </c>
      <c r="AI227" s="146">
        <f t="shared" si="15"/>
        <v>0.33119999999999999</v>
      </c>
      <c r="AJ227" s="303"/>
      <c r="AK227" s="303"/>
      <c r="AL227" s="303"/>
      <c r="AM227" s="303"/>
      <c r="AN227" s="303"/>
      <c r="AO227" s="303"/>
      <c r="AP227" s="303"/>
      <c r="AQ227" s="303"/>
      <c r="AR227" s="303"/>
      <c r="AS227" s="170"/>
      <c r="AT227" s="170"/>
      <c r="AU227" s="310"/>
      <c r="AW227" s="294">
        <f>1.84*0.16</f>
        <v>0.2944</v>
      </c>
      <c r="AX227" s="294"/>
      <c r="AY227" s="294">
        <f>1.84*0.02</f>
        <v>3.6799999999999999E-2</v>
      </c>
      <c r="AZ227" s="294">
        <f>1.84*0.07</f>
        <v>0.12880000000000003</v>
      </c>
      <c r="BA227" s="294">
        <f>1.84*0.67</f>
        <v>1.2328000000000001</v>
      </c>
      <c r="BB227" s="294">
        <f>1.84*0.03</f>
        <v>5.5199999999999999E-2</v>
      </c>
      <c r="BC227" s="294">
        <f>1.84*0.05</f>
        <v>9.2000000000000012E-2</v>
      </c>
      <c r="BD227" s="294"/>
      <c r="BE227" s="294">
        <v>2.3E-3</v>
      </c>
      <c r="BF227" s="383">
        <v>0.2944</v>
      </c>
      <c r="BG227" s="383">
        <v>1.84</v>
      </c>
      <c r="BH227" s="278"/>
      <c r="BI227" s="365" t="s">
        <v>47</v>
      </c>
      <c r="BJ227" s="409"/>
    </row>
    <row r="228" spans="1:62" ht="15.75" customHeight="1" thickBot="1" x14ac:dyDescent="0.25">
      <c r="A228" s="154">
        <v>227</v>
      </c>
      <c r="B228" s="155">
        <v>1</v>
      </c>
      <c r="C228" s="148" t="s">
        <v>236</v>
      </c>
      <c r="D228" s="148" t="s">
        <v>1769</v>
      </c>
      <c r="E228" s="148" t="s">
        <v>13</v>
      </c>
      <c r="F228" s="148" t="s">
        <v>378</v>
      </c>
      <c r="G228" s="148" t="s">
        <v>20</v>
      </c>
      <c r="H228" s="148" t="s">
        <v>471</v>
      </c>
      <c r="I228" s="161">
        <v>2011</v>
      </c>
      <c r="J228" s="161" t="s">
        <v>475</v>
      </c>
      <c r="K228" s="161" t="s">
        <v>476</v>
      </c>
      <c r="L228" s="161" t="s">
        <v>477</v>
      </c>
      <c r="M228" s="453" t="s">
        <v>4131</v>
      </c>
      <c r="N228" s="186" t="s">
        <v>20</v>
      </c>
      <c r="O228" s="186" t="s">
        <v>15</v>
      </c>
      <c r="P228" s="186" t="s">
        <v>15</v>
      </c>
      <c r="Q228" s="186" t="s">
        <v>20</v>
      </c>
      <c r="R228" s="186" t="s">
        <v>15</v>
      </c>
      <c r="S228" s="186" t="s">
        <v>15</v>
      </c>
      <c r="T228" s="186" t="s">
        <v>15</v>
      </c>
      <c r="U228" s="186" t="s">
        <v>15</v>
      </c>
      <c r="V228" s="186" t="s">
        <v>15</v>
      </c>
      <c r="W228" s="186" t="s">
        <v>15</v>
      </c>
      <c r="X228" s="186" t="s">
        <v>15</v>
      </c>
      <c r="Y228" s="186" t="s">
        <v>15</v>
      </c>
      <c r="Z228" s="186"/>
      <c r="AA228" s="186" t="s">
        <v>478</v>
      </c>
      <c r="AB228" s="186" t="s">
        <v>15</v>
      </c>
      <c r="AC228" s="186"/>
      <c r="AD228" s="268" t="s">
        <v>244</v>
      </c>
      <c r="AE228" s="268"/>
      <c r="AF228" s="144" t="str">
        <f t="shared" si="12"/>
        <v/>
      </c>
      <c r="AG228" s="144" t="str">
        <f t="shared" si="13"/>
        <v/>
      </c>
      <c r="AH228" s="146" t="str">
        <f t="shared" si="14"/>
        <v/>
      </c>
      <c r="AI228" s="146" t="str">
        <f t="shared" si="15"/>
        <v/>
      </c>
      <c r="AJ228" s="303"/>
      <c r="AK228" s="303"/>
      <c r="AL228" s="303"/>
      <c r="AM228" s="303"/>
      <c r="AN228" s="303"/>
      <c r="AO228" s="303"/>
      <c r="AP228" s="303"/>
      <c r="AQ228" s="303"/>
      <c r="AR228" s="303"/>
      <c r="AS228" s="170"/>
      <c r="AT228" s="170"/>
      <c r="AU228" s="310"/>
      <c r="AW228" s="294"/>
      <c r="AX228" s="294"/>
      <c r="AY228" s="294"/>
      <c r="AZ228" s="294"/>
      <c r="BA228" s="294"/>
      <c r="BB228" s="294"/>
      <c r="BC228" s="294"/>
      <c r="BD228" s="294"/>
      <c r="BE228" s="294"/>
      <c r="BF228" s="383"/>
      <c r="BG228" s="383"/>
      <c r="BH228" s="278"/>
      <c r="BI228" s="365"/>
      <c r="BJ228" s="409"/>
    </row>
    <row r="229" spans="1:62" ht="15.75" customHeight="1" thickBot="1" x14ac:dyDescent="0.25">
      <c r="A229" s="156">
        <v>228</v>
      </c>
      <c r="B229" s="155">
        <v>1</v>
      </c>
      <c r="C229" s="148" t="s">
        <v>236</v>
      </c>
      <c r="D229" s="148" t="s">
        <v>1769</v>
      </c>
      <c r="E229" s="148" t="s">
        <v>13</v>
      </c>
      <c r="F229" s="148" t="s">
        <v>378</v>
      </c>
      <c r="G229" s="148" t="s">
        <v>20</v>
      </c>
      <c r="H229" s="148" t="s">
        <v>479</v>
      </c>
      <c r="I229" s="161">
        <v>2011</v>
      </c>
      <c r="J229" s="161" t="s">
        <v>475</v>
      </c>
      <c r="K229" s="161" t="s">
        <v>476</v>
      </c>
      <c r="L229" s="161" t="s">
        <v>477</v>
      </c>
      <c r="M229" s="453" t="s">
        <v>4131</v>
      </c>
      <c r="N229" s="186" t="s">
        <v>20</v>
      </c>
      <c r="O229" s="186" t="s">
        <v>15</v>
      </c>
      <c r="P229" s="186" t="s">
        <v>15</v>
      </c>
      <c r="Q229" s="186" t="s">
        <v>20</v>
      </c>
      <c r="R229" s="186" t="s">
        <v>15</v>
      </c>
      <c r="S229" s="186" t="s">
        <v>15</v>
      </c>
      <c r="T229" s="186" t="s">
        <v>15</v>
      </c>
      <c r="U229" s="186" t="s">
        <v>15</v>
      </c>
      <c r="V229" s="186" t="s">
        <v>15</v>
      </c>
      <c r="W229" s="186" t="s">
        <v>15</v>
      </c>
      <c r="X229" s="186" t="s">
        <v>15</v>
      </c>
      <c r="Y229" s="186" t="s">
        <v>15</v>
      </c>
      <c r="Z229" s="186"/>
      <c r="AA229" s="186" t="s">
        <v>478</v>
      </c>
      <c r="AB229" s="186" t="s">
        <v>15</v>
      </c>
      <c r="AC229" s="186"/>
      <c r="AD229" s="268" t="s">
        <v>244</v>
      </c>
      <c r="AE229" s="268"/>
      <c r="AF229" s="144" t="str">
        <f t="shared" si="12"/>
        <v/>
      </c>
      <c r="AG229" s="144" t="str">
        <f t="shared" si="13"/>
        <v/>
      </c>
      <c r="AH229" s="146" t="str">
        <f t="shared" si="14"/>
        <v/>
      </c>
      <c r="AI229" s="146" t="str">
        <f t="shared" si="15"/>
        <v/>
      </c>
      <c r="AJ229" s="303"/>
      <c r="AK229" s="303"/>
      <c r="AL229" s="303"/>
      <c r="AM229" s="303"/>
      <c r="AN229" s="303"/>
      <c r="AO229" s="303"/>
      <c r="AP229" s="303"/>
      <c r="AQ229" s="303"/>
      <c r="AR229" s="303"/>
      <c r="AS229" s="170"/>
      <c r="AT229" s="170"/>
      <c r="AU229" s="310"/>
      <c r="AW229" s="294"/>
      <c r="AX229" s="294"/>
      <c r="AY229" s="294"/>
      <c r="AZ229" s="294"/>
      <c r="BA229" s="294"/>
      <c r="BB229" s="294"/>
      <c r="BC229" s="294"/>
      <c r="BD229" s="294"/>
      <c r="BE229" s="294"/>
      <c r="BF229" s="383"/>
      <c r="BG229" s="383"/>
      <c r="BH229" s="278"/>
      <c r="BI229" s="365"/>
      <c r="BJ229" s="409"/>
    </row>
    <row r="230" spans="1:62" ht="15.75" customHeight="1" thickBot="1" x14ac:dyDescent="0.25">
      <c r="A230" s="154">
        <v>229</v>
      </c>
      <c r="B230" s="155">
        <v>1</v>
      </c>
      <c r="C230" s="148" t="s">
        <v>236</v>
      </c>
      <c r="D230" s="148" t="s">
        <v>480</v>
      </c>
      <c r="E230" s="148" t="s">
        <v>13</v>
      </c>
      <c r="F230" s="148" t="s">
        <v>378</v>
      </c>
      <c r="G230" s="148" t="s">
        <v>20</v>
      </c>
      <c r="H230" s="148" t="s">
        <v>471</v>
      </c>
      <c r="I230" s="161">
        <v>2011</v>
      </c>
      <c r="J230" s="161" t="s">
        <v>475</v>
      </c>
      <c r="K230" s="161" t="s">
        <v>476</v>
      </c>
      <c r="L230" s="161" t="s">
        <v>477</v>
      </c>
      <c r="M230" s="453" t="s">
        <v>4131</v>
      </c>
      <c r="N230" s="186" t="s">
        <v>20</v>
      </c>
      <c r="O230" s="186" t="s">
        <v>15</v>
      </c>
      <c r="P230" s="186" t="s">
        <v>15</v>
      </c>
      <c r="Q230" s="186" t="s">
        <v>20</v>
      </c>
      <c r="R230" s="186" t="s">
        <v>15</v>
      </c>
      <c r="S230" s="186" t="s">
        <v>15</v>
      </c>
      <c r="T230" s="186" t="s">
        <v>15</v>
      </c>
      <c r="U230" s="186" t="s">
        <v>15</v>
      </c>
      <c r="V230" s="186" t="s">
        <v>15</v>
      </c>
      <c r="W230" s="186" t="s">
        <v>15</v>
      </c>
      <c r="X230" s="186" t="s">
        <v>15</v>
      </c>
      <c r="Y230" s="186" t="s">
        <v>15</v>
      </c>
      <c r="Z230" s="186"/>
      <c r="AA230" s="186" t="s">
        <v>478</v>
      </c>
      <c r="AB230" s="186" t="s">
        <v>15</v>
      </c>
      <c r="AC230" s="186"/>
      <c r="AD230" s="268" t="s">
        <v>481</v>
      </c>
      <c r="AE230" s="268"/>
      <c r="AF230" s="144" t="str">
        <f t="shared" si="12"/>
        <v/>
      </c>
      <c r="AG230" s="144" t="str">
        <f t="shared" si="13"/>
        <v/>
      </c>
      <c r="AH230" s="146" t="str">
        <f t="shared" si="14"/>
        <v/>
      </c>
      <c r="AI230" s="146" t="str">
        <f t="shared" si="15"/>
        <v/>
      </c>
      <c r="AJ230" s="303"/>
      <c r="AK230" s="303"/>
      <c r="AL230" s="303"/>
      <c r="AM230" s="303"/>
      <c r="AN230" s="303"/>
      <c r="AO230" s="303"/>
      <c r="AP230" s="303"/>
      <c r="AQ230" s="303"/>
      <c r="AR230" s="303"/>
      <c r="AS230" s="170"/>
      <c r="AT230" s="170"/>
      <c r="AU230" s="310"/>
      <c r="AW230" s="294"/>
      <c r="AX230" s="294"/>
      <c r="AY230" s="294"/>
      <c r="AZ230" s="294"/>
      <c r="BA230" s="294"/>
      <c r="BB230" s="294"/>
      <c r="BC230" s="294"/>
      <c r="BD230" s="294"/>
      <c r="BE230" s="294"/>
      <c r="BF230" s="383"/>
      <c r="BG230" s="383"/>
      <c r="BH230" s="278"/>
      <c r="BI230" s="365"/>
      <c r="BJ230" s="409"/>
    </row>
    <row r="231" spans="1:62" ht="15.75" customHeight="1" thickBot="1" x14ac:dyDescent="0.25">
      <c r="A231" s="156">
        <v>230</v>
      </c>
      <c r="B231" s="155">
        <v>1</v>
      </c>
      <c r="C231" s="148" t="s">
        <v>236</v>
      </c>
      <c r="D231" s="148" t="s">
        <v>480</v>
      </c>
      <c r="E231" s="148" t="s">
        <v>13</v>
      </c>
      <c r="F231" s="148" t="s">
        <v>379</v>
      </c>
      <c r="G231" s="148" t="s">
        <v>20</v>
      </c>
      <c r="H231" s="148" t="s">
        <v>471</v>
      </c>
      <c r="I231" s="161">
        <v>2011</v>
      </c>
      <c r="J231" s="161" t="s">
        <v>475</v>
      </c>
      <c r="K231" s="161" t="s">
        <v>476</v>
      </c>
      <c r="L231" s="161" t="s">
        <v>477</v>
      </c>
      <c r="M231" s="453" t="s">
        <v>4131</v>
      </c>
      <c r="N231" s="186" t="s">
        <v>20</v>
      </c>
      <c r="O231" s="186" t="s">
        <v>15</v>
      </c>
      <c r="P231" s="186" t="s">
        <v>15</v>
      </c>
      <c r="Q231" s="186" t="s">
        <v>20</v>
      </c>
      <c r="R231" s="186" t="s">
        <v>15</v>
      </c>
      <c r="S231" s="186" t="s">
        <v>15</v>
      </c>
      <c r="T231" s="186" t="s">
        <v>15</v>
      </c>
      <c r="U231" s="186" t="s">
        <v>15</v>
      </c>
      <c r="V231" s="186" t="s">
        <v>15</v>
      </c>
      <c r="W231" s="186" t="s">
        <v>15</v>
      </c>
      <c r="X231" s="186" t="s">
        <v>15</v>
      </c>
      <c r="Y231" s="186" t="s">
        <v>15</v>
      </c>
      <c r="Z231" s="186"/>
      <c r="AA231" s="186" t="s">
        <v>478</v>
      </c>
      <c r="AB231" s="186" t="s">
        <v>15</v>
      </c>
      <c r="AC231" s="186"/>
      <c r="AD231" s="268" t="s">
        <v>481</v>
      </c>
      <c r="AE231" s="268"/>
      <c r="AF231" s="144" t="str">
        <f t="shared" si="12"/>
        <v/>
      </c>
      <c r="AG231" s="144" t="str">
        <f t="shared" si="13"/>
        <v/>
      </c>
      <c r="AH231" s="146" t="str">
        <f t="shared" si="14"/>
        <v/>
      </c>
      <c r="AI231" s="146" t="str">
        <f t="shared" si="15"/>
        <v/>
      </c>
      <c r="AJ231" s="303"/>
      <c r="AK231" s="303"/>
      <c r="AL231" s="303"/>
      <c r="AM231" s="303"/>
      <c r="AN231" s="303"/>
      <c r="AO231" s="303"/>
      <c r="AP231" s="303"/>
      <c r="AQ231" s="303"/>
      <c r="AR231" s="303"/>
      <c r="AS231" s="170"/>
      <c r="AT231" s="170"/>
      <c r="AU231" s="310"/>
      <c r="AW231" s="294"/>
      <c r="AX231" s="294"/>
      <c r="AY231" s="294"/>
      <c r="AZ231" s="294"/>
      <c r="BA231" s="294"/>
      <c r="BB231" s="294"/>
      <c r="BC231" s="294"/>
      <c r="BD231" s="294"/>
      <c r="BE231" s="294"/>
      <c r="BF231" s="383"/>
      <c r="BG231" s="383"/>
      <c r="BH231" s="278"/>
      <c r="BI231" s="365"/>
      <c r="BJ231" s="409"/>
    </row>
    <row r="232" spans="1:62" ht="15.75" customHeight="1" thickBot="1" x14ac:dyDescent="0.25">
      <c r="A232" s="154">
        <v>231</v>
      </c>
      <c r="B232" s="155">
        <v>1</v>
      </c>
      <c r="C232" s="148" t="s">
        <v>236</v>
      </c>
      <c r="D232" s="148" t="s">
        <v>480</v>
      </c>
      <c r="E232" s="148" t="s">
        <v>13</v>
      </c>
      <c r="F232" s="148" t="s">
        <v>378</v>
      </c>
      <c r="G232" s="148" t="s">
        <v>20</v>
      </c>
      <c r="H232" s="148" t="s">
        <v>479</v>
      </c>
      <c r="I232" s="161">
        <v>2011</v>
      </c>
      <c r="J232" s="161" t="s">
        <v>475</v>
      </c>
      <c r="K232" s="161" t="s">
        <v>476</v>
      </c>
      <c r="L232" s="161" t="s">
        <v>477</v>
      </c>
      <c r="M232" s="453" t="s">
        <v>4131</v>
      </c>
      <c r="N232" s="186" t="s">
        <v>20</v>
      </c>
      <c r="O232" s="186" t="s">
        <v>15</v>
      </c>
      <c r="P232" s="186" t="s">
        <v>15</v>
      </c>
      <c r="Q232" s="186" t="s">
        <v>20</v>
      </c>
      <c r="R232" s="186" t="s">
        <v>15</v>
      </c>
      <c r="S232" s="186" t="s">
        <v>15</v>
      </c>
      <c r="T232" s="186" t="s">
        <v>15</v>
      </c>
      <c r="U232" s="186" t="s">
        <v>15</v>
      </c>
      <c r="V232" s="186" t="s">
        <v>15</v>
      </c>
      <c r="W232" s="186" t="s">
        <v>15</v>
      </c>
      <c r="X232" s="186" t="s">
        <v>15</v>
      </c>
      <c r="Y232" s="186" t="s">
        <v>15</v>
      </c>
      <c r="Z232" s="186"/>
      <c r="AA232" s="186" t="s">
        <v>478</v>
      </c>
      <c r="AB232" s="186" t="s">
        <v>15</v>
      </c>
      <c r="AC232" s="186"/>
      <c r="AD232" s="268" t="s">
        <v>481</v>
      </c>
      <c r="AE232" s="268"/>
      <c r="AF232" s="144" t="str">
        <f t="shared" si="12"/>
        <v/>
      </c>
      <c r="AG232" s="144" t="str">
        <f t="shared" si="13"/>
        <v/>
      </c>
      <c r="AH232" s="146" t="str">
        <f t="shared" si="14"/>
        <v/>
      </c>
      <c r="AI232" s="146" t="str">
        <f t="shared" si="15"/>
        <v/>
      </c>
      <c r="AJ232" s="303"/>
      <c r="AK232" s="303"/>
      <c r="AL232" s="303"/>
      <c r="AM232" s="303"/>
      <c r="AN232" s="303"/>
      <c r="AO232" s="303"/>
      <c r="AP232" s="303"/>
      <c r="AQ232" s="303"/>
      <c r="AR232" s="303"/>
      <c r="AS232" s="170"/>
      <c r="AT232" s="170"/>
      <c r="AU232" s="310"/>
      <c r="AW232" s="294"/>
      <c r="AX232" s="294"/>
      <c r="AY232" s="294"/>
      <c r="AZ232" s="294"/>
      <c r="BA232" s="294"/>
      <c r="BB232" s="294"/>
      <c r="BC232" s="294"/>
      <c r="BD232" s="294"/>
      <c r="BE232" s="294"/>
      <c r="BF232" s="383"/>
      <c r="BG232" s="383"/>
      <c r="BH232" s="278"/>
      <c r="BI232" s="365"/>
      <c r="BJ232" s="409"/>
    </row>
    <row r="233" spans="1:62" ht="15.75" customHeight="1" thickBot="1" x14ac:dyDescent="0.25">
      <c r="A233" s="156">
        <v>232</v>
      </c>
      <c r="B233" s="155">
        <v>1</v>
      </c>
      <c r="C233" s="148" t="s">
        <v>236</v>
      </c>
      <c r="D233" s="148" t="s">
        <v>1769</v>
      </c>
      <c r="E233" s="148" t="s">
        <v>13</v>
      </c>
      <c r="F233" s="148" t="s">
        <v>378</v>
      </c>
      <c r="G233" s="148" t="s">
        <v>15</v>
      </c>
      <c r="H233" s="148" t="s">
        <v>471</v>
      </c>
      <c r="I233" s="161">
        <v>2010</v>
      </c>
      <c r="J233" s="161" t="s">
        <v>482</v>
      </c>
      <c r="K233" s="161" t="s">
        <v>476</v>
      </c>
      <c r="L233" s="161" t="s">
        <v>477</v>
      </c>
      <c r="M233" s="453" t="s">
        <v>4132</v>
      </c>
      <c r="N233" s="186" t="s">
        <v>20</v>
      </c>
      <c r="O233" s="186" t="s">
        <v>15</v>
      </c>
      <c r="P233" s="186" t="s">
        <v>20</v>
      </c>
      <c r="Q233" s="186" t="s">
        <v>20</v>
      </c>
      <c r="R233" s="186" t="s">
        <v>20</v>
      </c>
      <c r="S233" s="186" t="s">
        <v>20</v>
      </c>
      <c r="T233" s="186" t="s">
        <v>15</v>
      </c>
      <c r="U233" s="186" t="s">
        <v>15</v>
      </c>
      <c r="V233" s="186" t="s">
        <v>15</v>
      </c>
      <c r="W233" s="186" t="s">
        <v>15</v>
      </c>
      <c r="X233" s="186" t="s">
        <v>15</v>
      </c>
      <c r="Y233" s="186" t="s">
        <v>15</v>
      </c>
      <c r="Z233" s="186"/>
      <c r="AA233" s="186" t="s">
        <v>483</v>
      </c>
      <c r="AB233" s="186" t="s">
        <v>15</v>
      </c>
      <c r="AC233" s="186" t="s">
        <v>122</v>
      </c>
      <c r="AD233" s="268" t="s">
        <v>484</v>
      </c>
      <c r="AE233" s="268" t="s">
        <v>485</v>
      </c>
      <c r="AF233" s="144" t="str">
        <f t="shared" si="12"/>
        <v/>
      </c>
      <c r="AG233" s="144" t="str">
        <f t="shared" si="13"/>
        <v/>
      </c>
      <c r="AH233" s="146">
        <f t="shared" si="14"/>
        <v>0.13783000000000001</v>
      </c>
      <c r="AI233" s="146" t="str">
        <f t="shared" si="15"/>
        <v/>
      </c>
      <c r="AJ233" s="303"/>
      <c r="AK233" s="303"/>
      <c r="AL233" s="303"/>
      <c r="AM233" s="303"/>
      <c r="AN233" s="303"/>
      <c r="AO233" s="303"/>
      <c r="AP233" s="303"/>
      <c r="AQ233" s="303"/>
      <c r="AR233" s="303"/>
      <c r="AS233" s="170"/>
      <c r="AT233" s="170"/>
      <c r="AU233" s="310"/>
      <c r="AW233" s="294">
        <v>0.13783000000000001</v>
      </c>
      <c r="AX233" s="294"/>
      <c r="AY233" s="294"/>
      <c r="AZ233" s="294">
        <v>8.9599999999999999E-2</v>
      </c>
      <c r="BA233" s="294">
        <f>0.01411+0.02575+0.69174+0.08446+0.02662</f>
        <v>0.84267999999999998</v>
      </c>
      <c r="BB233" s="294"/>
      <c r="BC233" s="294"/>
      <c r="BD233" s="294"/>
      <c r="BE233" s="294"/>
      <c r="BF233" s="383">
        <v>0.13783000000000001</v>
      </c>
      <c r="BG233" s="383">
        <v>1.1240000000000001</v>
      </c>
      <c r="BH233" s="278"/>
      <c r="BI233" s="368" t="s">
        <v>47</v>
      </c>
      <c r="BJ233" s="409"/>
    </row>
    <row r="234" spans="1:62" ht="15.75" customHeight="1" thickBot="1" x14ac:dyDescent="0.25">
      <c r="A234" s="154">
        <v>233</v>
      </c>
      <c r="B234" s="155">
        <v>1</v>
      </c>
      <c r="C234" s="148" t="s">
        <v>259</v>
      </c>
      <c r="D234" s="148" t="s">
        <v>260</v>
      </c>
      <c r="E234" s="148" t="s">
        <v>13</v>
      </c>
      <c r="F234" s="148" t="s">
        <v>486</v>
      </c>
      <c r="G234" s="148" t="s">
        <v>20</v>
      </c>
      <c r="H234" s="148" t="s">
        <v>101</v>
      </c>
      <c r="I234" s="161">
        <v>2006</v>
      </c>
      <c r="J234" s="161" t="s">
        <v>487</v>
      </c>
      <c r="K234" s="161" t="s">
        <v>488</v>
      </c>
      <c r="L234" s="161" t="s">
        <v>9</v>
      </c>
      <c r="M234" s="453" t="s">
        <v>4133</v>
      </c>
      <c r="N234" s="186" t="s">
        <v>20</v>
      </c>
      <c r="O234" s="186" t="s">
        <v>15</v>
      </c>
      <c r="P234" s="186" t="s">
        <v>20</v>
      </c>
      <c r="Q234" s="186" t="s">
        <v>20</v>
      </c>
      <c r="R234" s="186" t="s">
        <v>20</v>
      </c>
      <c r="S234" s="186" t="s">
        <v>20</v>
      </c>
      <c r="T234" s="186" t="s">
        <v>20</v>
      </c>
      <c r="U234" s="186" t="s">
        <v>20</v>
      </c>
      <c r="V234" s="186" t="s">
        <v>15</v>
      </c>
      <c r="W234" s="186" t="s">
        <v>15</v>
      </c>
      <c r="X234" s="186" t="s">
        <v>15</v>
      </c>
      <c r="Y234" s="186" t="s">
        <v>15</v>
      </c>
      <c r="Z234" s="186"/>
      <c r="AA234" s="186" t="s">
        <v>243</v>
      </c>
      <c r="AB234" s="186" t="s">
        <v>15</v>
      </c>
      <c r="AC234" s="186" t="s">
        <v>292</v>
      </c>
      <c r="AD234" s="268" t="s">
        <v>489</v>
      </c>
      <c r="AE234" s="268" t="s">
        <v>92</v>
      </c>
      <c r="AF234" s="144" t="str">
        <f t="shared" si="12"/>
        <v/>
      </c>
      <c r="AG234" s="144" t="str">
        <f t="shared" si="13"/>
        <v/>
      </c>
      <c r="AH234" s="146" t="str">
        <f t="shared" si="14"/>
        <v/>
      </c>
      <c r="AI234" s="146" t="str">
        <f t="shared" si="15"/>
        <v/>
      </c>
      <c r="AJ234" s="303"/>
      <c r="AK234" s="303"/>
      <c r="AL234" s="303"/>
      <c r="AM234" s="303"/>
      <c r="AN234" s="303"/>
      <c r="AO234" s="303"/>
      <c r="AP234" s="303"/>
      <c r="AQ234" s="303"/>
      <c r="AR234" s="303"/>
      <c r="AS234" s="170"/>
      <c r="AT234" s="169">
        <f>1459*3.6</f>
        <v>5252.4000000000005</v>
      </c>
      <c r="AU234" s="310"/>
      <c r="AW234" s="294"/>
      <c r="AX234" s="294"/>
      <c r="AY234" s="294"/>
      <c r="AZ234" s="294"/>
      <c r="BA234" s="294"/>
      <c r="BB234" s="294"/>
      <c r="BC234" s="294"/>
      <c r="BD234" s="294"/>
      <c r="BE234" s="294"/>
      <c r="BF234" s="383"/>
      <c r="BG234" s="382">
        <v>-0.56000000000000005</v>
      </c>
      <c r="BH234" s="278"/>
      <c r="BI234" s="365"/>
      <c r="BJ234" s="409"/>
    </row>
    <row r="235" spans="1:62" ht="15.75" customHeight="1" thickBot="1" x14ac:dyDescent="0.25">
      <c r="A235" s="156">
        <v>234</v>
      </c>
      <c r="B235" s="155">
        <v>1</v>
      </c>
      <c r="C235" s="148" t="s">
        <v>259</v>
      </c>
      <c r="D235" s="148" t="s">
        <v>260</v>
      </c>
      <c r="E235" s="148" t="s">
        <v>13</v>
      </c>
      <c r="F235" s="148" t="s">
        <v>490</v>
      </c>
      <c r="G235" s="148" t="s">
        <v>20</v>
      </c>
      <c r="H235" s="148" t="s">
        <v>101</v>
      </c>
      <c r="I235" s="161">
        <v>2006</v>
      </c>
      <c r="J235" s="161" t="s">
        <v>487</v>
      </c>
      <c r="K235" s="161" t="s">
        <v>488</v>
      </c>
      <c r="L235" s="161" t="s">
        <v>9</v>
      </c>
      <c r="M235" s="453" t="s">
        <v>4133</v>
      </c>
      <c r="N235" s="186" t="s">
        <v>20</v>
      </c>
      <c r="O235" s="186" t="s">
        <v>15</v>
      </c>
      <c r="P235" s="186" t="s">
        <v>20</v>
      </c>
      <c r="Q235" s="186" t="s">
        <v>20</v>
      </c>
      <c r="R235" s="186" t="s">
        <v>20</v>
      </c>
      <c r="S235" s="186" t="s">
        <v>20</v>
      </c>
      <c r="T235" s="186" t="s">
        <v>20</v>
      </c>
      <c r="U235" s="186" t="s">
        <v>15</v>
      </c>
      <c r="V235" s="186" t="s">
        <v>15</v>
      </c>
      <c r="W235" s="186" t="s">
        <v>20</v>
      </c>
      <c r="X235" s="186" t="s">
        <v>15</v>
      </c>
      <c r="Y235" s="186" t="s">
        <v>15</v>
      </c>
      <c r="Z235" s="186"/>
      <c r="AA235" s="186" t="s">
        <v>243</v>
      </c>
      <c r="AB235" s="186" t="s">
        <v>15</v>
      </c>
      <c r="AC235" s="186" t="s">
        <v>292</v>
      </c>
      <c r="AD235" s="268" t="s">
        <v>489</v>
      </c>
      <c r="AE235" s="268" t="s">
        <v>92</v>
      </c>
      <c r="AF235" s="144" t="str">
        <f t="shared" si="12"/>
        <v/>
      </c>
      <c r="AG235" s="144" t="str">
        <f t="shared" si="13"/>
        <v/>
      </c>
      <c r="AH235" s="146" t="str">
        <f t="shared" si="14"/>
        <v/>
      </c>
      <c r="AI235" s="146" t="str">
        <f t="shared" si="15"/>
        <v/>
      </c>
      <c r="AJ235" s="303"/>
      <c r="AK235" s="303"/>
      <c r="AL235" s="303"/>
      <c r="AM235" s="303"/>
      <c r="AN235" s="303"/>
      <c r="AO235" s="303"/>
      <c r="AP235" s="303"/>
      <c r="AQ235" s="303"/>
      <c r="AR235" s="303"/>
      <c r="AS235" s="170"/>
      <c r="AT235" s="169">
        <f>2000*3.6</f>
        <v>7200</v>
      </c>
      <c r="AU235" s="310"/>
      <c r="AW235" s="294"/>
      <c r="AX235" s="294"/>
      <c r="AY235" s="294"/>
      <c r="AZ235" s="294"/>
      <c r="BA235" s="294"/>
      <c r="BB235" s="294"/>
      <c r="BC235" s="294"/>
      <c r="BD235" s="294"/>
      <c r="BE235" s="294"/>
      <c r="BF235" s="383"/>
      <c r="BG235" s="382">
        <v>-0.501</v>
      </c>
      <c r="BH235" s="278"/>
      <c r="BI235" s="365"/>
      <c r="BJ235" s="409"/>
    </row>
    <row r="236" spans="1:62" ht="15.75" customHeight="1" thickBot="1" x14ac:dyDescent="0.25">
      <c r="A236" s="154">
        <v>235</v>
      </c>
      <c r="B236" s="155">
        <v>1</v>
      </c>
      <c r="C236" s="148" t="s">
        <v>259</v>
      </c>
      <c r="D236" s="148" t="s">
        <v>260</v>
      </c>
      <c r="E236" s="148" t="s">
        <v>13</v>
      </c>
      <c r="F236" s="148" t="s">
        <v>491</v>
      </c>
      <c r="G236" s="148" t="s">
        <v>20</v>
      </c>
      <c r="H236" s="148" t="s">
        <v>492</v>
      </c>
      <c r="I236" s="161">
        <v>2006</v>
      </c>
      <c r="J236" s="161" t="s">
        <v>493</v>
      </c>
      <c r="K236" s="161" t="s">
        <v>494</v>
      </c>
      <c r="L236" s="161" t="s">
        <v>19</v>
      </c>
      <c r="M236" s="453" t="s">
        <v>4134</v>
      </c>
      <c r="N236" s="186" t="s">
        <v>20</v>
      </c>
      <c r="O236" s="186" t="s">
        <v>15</v>
      </c>
      <c r="P236" s="186" t="s">
        <v>20</v>
      </c>
      <c r="Q236" s="186" t="s">
        <v>20</v>
      </c>
      <c r="R236" s="186" t="s">
        <v>20</v>
      </c>
      <c r="S236" s="186" t="s">
        <v>20</v>
      </c>
      <c r="T236" s="186" t="s">
        <v>20</v>
      </c>
      <c r="U236" s="186" t="s">
        <v>15</v>
      </c>
      <c r="V236" s="186" t="s">
        <v>15</v>
      </c>
      <c r="W236" s="186" t="s">
        <v>15</v>
      </c>
      <c r="X236" s="186" t="s">
        <v>15</v>
      </c>
      <c r="Y236" s="186" t="s">
        <v>15</v>
      </c>
      <c r="Z236" s="186"/>
      <c r="AA236" s="186" t="s">
        <v>495</v>
      </c>
      <c r="AB236" s="186" t="s">
        <v>15</v>
      </c>
      <c r="AC236" s="186" t="s">
        <v>20</v>
      </c>
      <c r="AD236" s="268" t="s">
        <v>496</v>
      </c>
      <c r="AE236" s="268" t="s">
        <v>497</v>
      </c>
      <c r="AF236" s="144">
        <f t="shared" si="12"/>
        <v>3.64</v>
      </c>
      <c r="AG236" s="144">
        <f t="shared" si="13"/>
        <v>14.21</v>
      </c>
      <c r="AH236" s="146" t="str">
        <f t="shared" si="14"/>
        <v/>
      </c>
      <c r="AI236" s="146">
        <f t="shared" si="15"/>
        <v>10.57</v>
      </c>
      <c r="AJ236" s="303">
        <v>3.64</v>
      </c>
      <c r="AK236" s="303"/>
      <c r="AL236" s="303">
        <f>6.76+3.81</f>
        <v>10.57</v>
      </c>
      <c r="AM236" s="303">
        <f>0.45</f>
        <v>0.45</v>
      </c>
      <c r="AN236" s="303">
        <v>0.67</v>
      </c>
      <c r="AO236" s="303"/>
      <c r="AP236" s="303"/>
      <c r="AQ236" s="303"/>
      <c r="AR236" s="303"/>
      <c r="AS236" s="170">
        <v>3.64</v>
      </c>
      <c r="AT236" s="170">
        <v>15.3</v>
      </c>
      <c r="AU236" s="310"/>
      <c r="AW236" s="294"/>
      <c r="AX236" s="294"/>
      <c r="AY236" s="294">
        <f>6.76+3.81</f>
        <v>10.57</v>
      </c>
      <c r="AZ236" s="294">
        <v>0.45</v>
      </c>
      <c r="BA236" s="294">
        <v>0.67</v>
      </c>
      <c r="BB236" s="294"/>
      <c r="BC236" s="294"/>
      <c r="BD236" s="294"/>
      <c r="BE236" s="294"/>
      <c r="BF236" s="383"/>
      <c r="BG236" s="383"/>
      <c r="BH236" s="278"/>
      <c r="BI236" s="365"/>
      <c r="BJ236" s="410" t="s">
        <v>3234</v>
      </c>
    </row>
    <row r="237" spans="1:62" ht="15.75" customHeight="1" thickBot="1" x14ac:dyDescent="0.25">
      <c r="A237" s="156">
        <v>236</v>
      </c>
      <c r="B237" s="155">
        <v>1</v>
      </c>
      <c r="C237" s="148" t="s">
        <v>259</v>
      </c>
      <c r="D237" s="148" t="s">
        <v>260</v>
      </c>
      <c r="E237" s="148" t="s">
        <v>13</v>
      </c>
      <c r="F237" s="148" t="s">
        <v>498</v>
      </c>
      <c r="G237" s="148" t="s">
        <v>20</v>
      </c>
      <c r="H237" s="148" t="s">
        <v>492</v>
      </c>
      <c r="I237" s="161">
        <v>2006</v>
      </c>
      <c r="J237" s="161" t="s">
        <v>493</v>
      </c>
      <c r="K237" s="161" t="s">
        <v>494</v>
      </c>
      <c r="L237" s="161" t="s">
        <v>19</v>
      </c>
      <c r="M237" s="453" t="s">
        <v>4134</v>
      </c>
      <c r="N237" s="186" t="s">
        <v>20</v>
      </c>
      <c r="O237" s="186" t="s">
        <v>15</v>
      </c>
      <c r="P237" s="186" t="s">
        <v>20</v>
      </c>
      <c r="Q237" s="186" t="s">
        <v>20</v>
      </c>
      <c r="R237" s="186" t="s">
        <v>20</v>
      </c>
      <c r="S237" s="186" t="s">
        <v>20</v>
      </c>
      <c r="T237" s="186" t="s">
        <v>20</v>
      </c>
      <c r="U237" s="186" t="s">
        <v>15</v>
      </c>
      <c r="V237" s="186" t="s">
        <v>15</v>
      </c>
      <c r="W237" s="186" t="s">
        <v>15</v>
      </c>
      <c r="X237" s="186" t="s">
        <v>15</v>
      </c>
      <c r="Y237" s="186" t="s">
        <v>15</v>
      </c>
      <c r="Z237" s="186"/>
      <c r="AA237" s="186" t="s">
        <v>495</v>
      </c>
      <c r="AB237" s="186" t="s">
        <v>15</v>
      </c>
      <c r="AC237" s="186" t="s">
        <v>20</v>
      </c>
      <c r="AD237" s="268" t="s">
        <v>496</v>
      </c>
      <c r="AE237" s="268" t="s">
        <v>497</v>
      </c>
      <c r="AF237" s="144">
        <f t="shared" si="12"/>
        <v>1.61</v>
      </c>
      <c r="AG237" s="144">
        <f t="shared" si="13"/>
        <v>12.18</v>
      </c>
      <c r="AH237" s="146" t="str">
        <f t="shared" si="14"/>
        <v/>
      </c>
      <c r="AI237" s="146">
        <f t="shared" si="15"/>
        <v>7.57</v>
      </c>
      <c r="AJ237" s="303">
        <v>1.61</v>
      </c>
      <c r="AK237" s="303"/>
      <c r="AL237" s="303">
        <f>6.76+3.81</f>
        <v>10.57</v>
      </c>
      <c r="AM237" s="303">
        <v>0.45</v>
      </c>
      <c r="AN237" s="303">
        <v>0.71</v>
      </c>
      <c r="AO237" s="303"/>
      <c r="AP237" s="303"/>
      <c r="AQ237" s="303"/>
      <c r="AR237" s="303"/>
      <c r="AS237" s="170">
        <v>1.61</v>
      </c>
      <c r="AT237" s="170">
        <v>13.3</v>
      </c>
      <c r="AU237" s="310"/>
      <c r="AW237" s="294"/>
      <c r="AX237" s="294"/>
      <c r="AY237" s="294">
        <f>3.76+3.81</f>
        <v>7.57</v>
      </c>
      <c r="AZ237" s="294">
        <v>0.45</v>
      </c>
      <c r="BA237" s="294">
        <v>0.71</v>
      </c>
      <c r="BB237" s="294"/>
      <c r="BC237" s="294"/>
      <c r="BD237" s="294"/>
      <c r="BE237" s="294"/>
      <c r="BF237" s="383"/>
      <c r="BG237" s="383"/>
      <c r="BH237" s="278"/>
      <c r="BI237" s="365"/>
      <c r="BJ237" s="410" t="s">
        <v>3234</v>
      </c>
    </row>
    <row r="238" spans="1:62" ht="15.75" customHeight="1" thickBot="1" x14ac:dyDescent="0.25">
      <c r="A238" s="154">
        <v>237</v>
      </c>
      <c r="B238" s="155">
        <v>1</v>
      </c>
      <c r="C238" s="148" t="s">
        <v>11</v>
      </c>
      <c r="D238" s="150" t="s">
        <v>12</v>
      </c>
      <c r="E238" s="148" t="s">
        <v>13</v>
      </c>
      <c r="F238" s="148" t="s">
        <v>499</v>
      </c>
      <c r="G238" s="148" t="s">
        <v>20</v>
      </c>
      <c r="H238" s="148" t="s">
        <v>492</v>
      </c>
      <c r="I238" s="161">
        <v>2006</v>
      </c>
      <c r="J238" s="161" t="s">
        <v>493</v>
      </c>
      <c r="K238" s="161" t="s">
        <v>494</v>
      </c>
      <c r="L238" s="161" t="s">
        <v>19</v>
      </c>
      <c r="M238" s="453" t="s">
        <v>4134</v>
      </c>
      <c r="N238" s="186" t="s">
        <v>20</v>
      </c>
      <c r="O238" s="186" t="s">
        <v>15</v>
      </c>
      <c r="P238" s="186" t="s">
        <v>20</v>
      </c>
      <c r="Q238" s="186" t="s">
        <v>20</v>
      </c>
      <c r="R238" s="186" t="s">
        <v>20</v>
      </c>
      <c r="S238" s="186" t="s">
        <v>20</v>
      </c>
      <c r="T238" s="186" t="s">
        <v>20</v>
      </c>
      <c r="U238" s="186" t="s">
        <v>15</v>
      </c>
      <c r="V238" s="186" t="s">
        <v>15</v>
      </c>
      <c r="W238" s="186" t="s">
        <v>15</v>
      </c>
      <c r="X238" s="186" t="s">
        <v>15</v>
      </c>
      <c r="Y238" s="186" t="s">
        <v>15</v>
      </c>
      <c r="Z238" s="186"/>
      <c r="AA238" s="186" t="s">
        <v>495</v>
      </c>
      <c r="AB238" s="186" t="s">
        <v>15</v>
      </c>
      <c r="AC238" s="186" t="s">
        <v>20</v>
      </c>
      <c r="AD238" s="268" t="s">
        <v>500</v>
      </c>
      <c r="AE238" s="268" t="s">
        <v>501</v>
      </c>
      <c r="AF238" s="144">
        <f t="shared" si="12"/>
        <v>4.2849000000000004</v>
      </c>
      <c r="AG238" s="144">
        <f t="shared" si="13"/>
        <v>5.3095500000000007</v>
      </c>
      <c r="AH238" s="146" t="str">
        <f t="shared" si="14"/>
        <v/>
      </c>
      <c r="AI238" s="146">
        <f t="shared" si="15"/>
        <v>1.0246500000000001</v>
      </c>
      <c r="AJ238" s="303">
        <v>4.2849000000000004</v>
      </c>
      <c r="AK238" s="303"/>
      <c r="AL238" s="303">
        <f>(0.59+0.4)*0.001*1035</f>
        <v>1.0246500000000001</v>
      </c>
      <c r="AM238" s="303">
        <f>1*0.001*1035</f>
        <v>1.0349999999999999</v>
      </c>
      <c r="AN238" s="303">
        <f>0.25*0.001*1035</f>
        <v>0.25874999999999998</v>
      </c>
      <c r="AO238" s="303"/>
      <c r="AP238" s="303"/>
      <c r="AQ238" s="303"/>
      <c r="AR238" s="303"/>
      <c r="AS238" s="170">
        <v>4.2849000000000004</v>
      </c>
      <c r="AT238" s="170">
        <v>6.6139999999999999</v>
      </c>
      <c r="AU238" s="310"/>
      <c r="AW238" s="294"/>
      <c r="AX238" s="294"/>
      <c r="AY238" s="294">
        <v>1.0246500000000001</v>
      </c>
      <c r="AZ238" s="294">
        <v>1.0349999999999999</v>
      </c>
      <c r="BA238" s="294">
        <v>0.25874999999999998</v>
      </c>
      <c r="BB238" s="294"/>
      <c r="BC238" s="294"/>
      <c r="BD238" s="294"/>
      <c r="BE238" s="294"/>
      <c r="BF238" s="383"/>
      <c r="BG238" s="383"/>
      <c r="BH238" s="278"/>
      <c r="BI238" s="365"/>
      <c r="BJ238" s="410" t="s">
        <v>3234</v>
      </c>
    </row>
    <row r="239" spans="1:62" ht="15.75" customHeight="1" thickBot="1" x14ac:dyDescent="0.25">
      <c r="A239" s="156">
        <v>238</v>
      </c>
      <c r="B239" s="155">
        <v>1</v>
      </c>
      <c r="C239" s="148" t="s">
        <v>11</v>
      </c>
      <c r="D239" s="150" t="s">
        <v>12</v>
      </c>
      <c r="E239" s="148" t="s">
        <v>13</v>
      </c>
      <c r="F239" s="148" t="s">
        <v>502</v>
      </c>
      <c r="G239" s="148" t="s">
        <v>20</v>
      </c>
      <c r="H239" s="148" t="s">
        <v>492</v>
      </c>
      <c r="I239" s="161">
        <v>2006</v>
      </c>
      <c r="J239" s="161" t="s">
        <v>493</v>
      </c>
      <c r="K239" s="161" t="s">
        <v>494</v>
      </c>
      <c r="L239" s="161" t="s">
        <v>19</v>
      </c>
      <c r="M239" s="453" t="s">
        <v>4134</v>
      </c>
      <c r="N239" s="186" t="s">
        <v>20</v>
      </c>
      <c r="O239" s="186" t="s">
        <v>15</v>
      </c>
      <c r="P239" s="186" t="s">
        <v>20</v>
      </c>
      <c r="Q239" s="186" t="s">
        <v>20</v>
      </c>
      <c r="R239" s="186" t="s">
        <v>20</v>
      </c>
      <c r="S239" s="186" t="s">
        <v>20</v>
      </c>
      <c r="T239" s="186" t="s">
        <v>20</v>
      </c>
      <c r="U239" s="186" t="s">
        <v>15</v>
      </c>
      <c r="V239" s="186" t="s">
        <v>15</v>
      </c>
      <c r="W239" s="186" t="s">
        <v>15</v>
      </c>
      <c r="X239" s="186" t="s">
        <v>15</v>
      </c>
      <c r="Y239" s="186" t="s">
        <v>15</v>
      </c>
      <c r="Z239" s="186"/>
      <c r="AA239" s="186" t="s">
        <v>495</v>
      </c>
      <c r="AB239" s="186" t="s">
        <v>15</v>
      </c>
      <c r="AC239" s="186" t="s">
        <v>20</v>
      </c>
      <c r="AD239" s="268" t="s">
        <v>500</v>
      </c>
      <c r="AE239" s="268" t="s">
        <v>501</v>
      </c>
      <c r="AF239" s="144">
        <f t="shared" si="12"/>
        <v>2.2149000000000001</v>
      </c>
      <c r="AG239" s="144">
        <f t="shared" si="13"/>
        <v>3.2395500000000004</v>
      </c>
      <c r="AH239" s="146" t="str">
        <f t="shared" si="14"/>
        <v/>
      </c>
      <c r="AI239" s="146">
        <f t="shared" si="15"/>
        <v>1.0246500000000001</v>
      </c>
      <c r="AJ239" s="303">
        <v>2.2149000000000001</v>
      </c>
      <c r="AK239" s="303"/>
      <c r="AL239" s="303">
        <f>(0.59+0.4)*0.001*1035</f>
        <v>1.0246500000000001</v>
      </c>
      <c r="AM239" s="303">
        <f>1*0.001*1035</f>
        <v>1.0349999999999999</v>
      </c>
      <c r="AN239" s="303">
        <f>0.29*0.001*1035</f>
        <v>0.30015000000000003</v>
      </c>
      <c r="AO239" s="303"/>
      <c r="AP239" s="303"/>
      <c r="AQ239" s="303"/>
      <c r="AR239" s="303"/>
      <c r="AS239" s="170">
        <v>2.2149000000000001</v>
      </c>
      <c r="AT239" s="170">
        <v>4.5640000000000001</v>
      </c>
      <c r="AU239" s="310"/>
      <c r="AW239" s="294"/>
      <c r="AX239" s="294"/>
      <c r="AY239" s="294">
        <v>1.0246500000000001</v>
      </c>
      <c r="AZ239" s="294">
        <v>1.0349999999999999</v>
      </c>
      <c r="BA239" s="294">
        <v>0.30014999999999997</v>
      </c>
      <c r="BB239" s="294"/>
      <c r="BC239" s="294"/>
      <c r="BD239" s="294"/>
      <c r="BE239" s="294"/>
      <c r="BF239" s="383"/>
      <c r="BG239" s="383"/>
      <c r="BH239" s="278"/>
      <c r="BI239" s="365"/>
      <c r="BJ239" s="410" t="s">
        <v>3234</v>
      </c>
    </row>
    <row r="240" spans="1:62" ht="15.75" customHeight="1" thickBot="1" x14ac:dyDescent="0.25">
      <c r="A240" s="154">
        <v>239</v>
      </c>
      <c r="B240" s="155">
        <v>1</v>
      </c>
      <c r="C240" s="148" t="s">
        <v>162</v>
      </c>
      <c r="D240" s="141" t="s">
        <v>2206</v>
      </c>
      <c r="E240" s="148" t="s">
        <v>13</v>
      </c>
      <c r="F240" s="148" t="s">
        <v>504</v>
      </c>
      <c r="G240" s="148" t="s">
        <v>20</v>
      </c>
      <c r="H240" s="148" t="s">
        <v>108</v>
      </c>
      <c r="I240" s="161">
        <v>2006</v>
      </c>
      <c r="J240" s="161" t="s">
        <v>505</v>
      </c>
      <c r="K240" s="161" t="s">
        <v>506</v>
      </c>
      <c r="L240" s="161" t="s">
        <v>104</v>
      </c>
      <c r="M240" s="453" t="s">
        <v>4135</v>
      </c>
      <c r="N240" s="186" t="s">
        <v>20</v>
      </c>
      <c r="O240" s="186" t="s">
        <v>20</v>
      </c>
      <c r="P240" s="186" t="s">
        <v>15</v>
      </c>
      <c r="Q240" s="186" t="s">
        <v>15</v>
      </c>
      <c r="R240" s="186" t="s">
        <v>15</v>
      </c>
      <c r="S240" s="186" t="s">
        <v>15</v>
      </c>
      <c r="T240" s="186" t="s">
        <v>15</v>
      </c>
      <c r="U240" s="186" t="s">
        <v>15</v>
      </c>
      <c r="V240" s="186" t="s">
        <v>15</v>
      </c>
      <c r="W240" s="186" t="s">
        <v>15</v>
      </c>
      <c r="X240" s="186" t="s">
        <v>15</v>
      </c>
      <c r="Y240" s="186" t="s">
        <v>20</v>
      </c>
      <c r="Z240" s="186"/>
      <c r="AA240" s="186" t="s">
        <v>507</v>
      </c>
      <c r="AB240" s="186"/>
      <c r="AC240" s="186" t="s">
        <v>15</v>
      </c>
      <c r="AD240" s="268" t="s">
        <v>508</v>
      </c>
      <c r="AE240" s="268" t="s">
        <v>509</v>
      </c>
      <c r="AF240" s="144" t="str">
        <f t="shared" si="12"/>
        <v/>
      </c>
      <c r="AG240" s="144" t="str">
        <f t="shared" si="13"/>
        <v/>
      </c>
      <c r="AH240" s="146">
        <f t="shared" si="14"/>
        <v>0.215</v>
      </c>
      <c r="AI240" s="146" t="str">
        <f t="shared" si="15"/>
        <v/>
      </c>
      <c r="AJ240" s="303"/>
      <c r="AK240" s="303"/>
      <c r="AL240" s="303"/>
      <c r="AM240" s="303"/>
      <c r="AN240" s="303"/>
      <c r="AO240" s="303"/>
      <c r="AP240" s="303"/>
      <c r="AQ240" s="303"/>
      <c r="AR240" s="303"/>
      <c r="AS240" s="170"/>
      <c r="AT240" s="170"/>
      <c r="AU240" s="310"/>
      <c r="AW240" s="294"/>
      <c r="AX240" s="294"/>
      <c r="AY240" s="294"/>
      <c r="AZ240" s="294"/>
      <c r="BA240" s="294"/>
      <c r="BB240" s="294"/>
      <c r="BC240" s="294"/>
      <c r="BD240" s="294"/>
      <c r="BE240" s="294"/>
      <c r="BF240" s="382">
        <v>0.215</v>
      </c>
      <c r="BG240" s="383"/>
      <c r="BH240" s="278"/>
      <c r="BI240" s="365"/>
      <c r="BJ240" s="411"/>
    </row>
    <row r="241" spans="1:62" ht="15.75" customHeight="1" thickBot="1" x14ac:dyDescent="0.25">
      <c r="A241" s="156">
        <v>240</v>
      </c>
      <c r="B241" s="155">
        <v>1</v>
      </c>
      <c r="C241" s="148" t="s">
        <v>162</v>
      </c>
      <c r="D241" s="141" t="s">
        <v>2206</v>
      </c>
      <c r="E241" s="148" t="s">
        <v>13</v>
      </c>
      <c r="F241" s="148" t="s">
        <v>379</v>
      </c>
      <c r="G241" s="148" t="s">
        <v>20</v>
      </c>
      <c r="H241" s="148" t="s">
        <v>108</v>
      </c>
      <c r="I241" s="161">
        <v>2006</v>
      </c>
      <c r="J241" s="161" t="s">
        <v>505</v>
      </c>
      <c r="K241" s="161" t="s">
        <v>506</v>
      </c>
      <c r="L241" s="161" t="s">
        <v>104</v>
      </c>
      <c r="M241" s="453" t="s">
        <v>4135</v>
      </c>
      <c r="N241" s="186" t="s">
        <v>20</v>
      </c>
      <c r="O241" s="186" t="s">
        <v>20</v>
      </c>
      <c r="P241" s="186" t="s">
        <v>15</v>
      </c>
      <c r="Q241" s="186" t="s">
        <v>15</v>
      </c>
      <c r="R241" s="186" t="s">
        <v>15</v>
      </c>
      <c r="S241" s="186" t="s">
        <v>15</v>
      </c>
      <c r="T241" s="186" t="s">
        <v>15</v>
      </c>
      <c r="U241" s="186" t="s">
        <v>15</v>
      </c>
      <c r="V241" s="186" t="s">
        <v>15</v>
      </c>
      <c r="W241" s="186" t="s">
        <v>15</v>
      </c>
      <c r="X241" s="186" t="s">
        <v>15</v>
      </c>
      <c r="Y241" s="186" t="s">
        <v>20</v>
      </c>
      <c r="Z241" s="186"/>
      <c r="AA241" s="186" t="s">
        <v>507</v>
      </c>
      <c r="AB241" s="186"/>
      <c r="AC241" s="186" t="s">
        <v>15</v>
      </c>
      <c r="AD241" s="268" t="s">
        <v>508</v>
      </c>
      <c r="AE241" s="268" t="s">
        <v>509</v>
      </c>
      <c r="AF241" s="144" t="str">
        <f t="shared" si="12"/>
        <v/>
      </c>
      <c r="AG241" s="144" t="str">
        <f t="shared" si="13"/>
        <v/>
      </c>
      <c r="AH241" s="146">
        <f t="shared" si="14"/>
        <v>0.19900000000000001</v>
      </c>
      <c r="AI241" s="146" t="str">
        <f t="shared" si="15"/>
        <v/>
      </c>
      <c r="AJ241" s="303"/>
      <c r="AK241" s="303"/>
      <c r="AL241" s="303"/>
      <c r="AM241" s="303"/>
      <c r="AN241" s="303"/>
      <c r="AO241" s="303"/>
      <c r="AP241" s="303"/>
      <c r="AQ241" s="303"/>
      <c r="AR241" s="303"/>
      <c r="AS241" s="170"/>
      <c r="AT241" s="170"/>
      <c r="AU241" s="310"/>
      <c r="AW241" s="294"/>
      <c r="AX241" s="294"/>
      <c r="AY241" s="294"/>
      <c r="AZ241" s="294"/>
      <c r="BA241" s="294"/>
      <c r="BB241" s="294"/>
      <c r="BC241" s="294"/>
      <c r="BD241" s="294"/>
      <c r="BE241" s="294"/>
      <c r="BF241" s="382">
        <v>0.19900000000000001</v>
      </c>
      <c r="BG241" s="383"/>
      <c r="BH241" s="278"/>
      <c r="BI241" s="365"/>
      <c r="BJ241" s="411"/>
    </row>
    <row r="242" spans="1:62" ht="15.75" customHeight="1" thickBot="1" x14ac:dyDescent="0.25">
      <c r="A242" s="154">
        <v>241</v>
      </c>
      <c r="B242" s="155">
        <v>1</v>
      </c>
      <c r="C242" s="148" t="s">
        <v>259</v>
      </c>
      <c r="D242" s="148" t="s">
        <v>260</v>
      </c>
      <c r="E242" s="148" t="s">
        <v>13</v>
      </c>
      <c r="F242" s="148" t="s">
        <v>510</v>
      </c>
      <c r="G242" s="148" t="s">
        <v>20</v>
      </c>
      <c r="H242" s="148" t="s">
        <v>108</v>
      </c>
      <c r="I242" s="161">
        <v>2006</v>
      </c>
      <c r="J242" s="161" t="s">
        <v>505</v>
      </c>
      <c r="K242" s="161" t="s">
        <v>506</v>
      </c>
      <c r="L242" s="161" t="s">
        <v>104</v>
      </c>
      <c r="M242" s="453" t="s">
        <v>4135</v>
      </c>
      <c r="N242" s="186" t="s">
        <v>20</v>
      </c>
      <c r="O242" s="186" t="s">
        <v>20</v>
      </c>
      <c r="P242" s="186" t="s">
        <v>15</v>
      </c>
      <c r="Q242" s="186" t="s">
        <v>15</v>
      </c>
      <c r="R242" s="186" t="s">
        <v>15</v>
      </c>
      <c r="S242" s="186" t="s">
        <v>15</v>
      </c>
      <c r="T242" s="186" t="s">
        <v>15</v>
      </c>
      <c r="U242" s="186" t="s">
        <v>15</v>
      </c>
      <c r="V242" s="186" t="s">
        <v>15</v>
      </c>
      <c r="W242" s="186" t="s">
        <v>15</v>
      </c>
      <c r="X242" s="186" t="s">
        <v>15</v>
      </c>
      <c r="Y242" s="186" t="s">
        <v>20</v>
      </c>
      <c r="Z242" s="186"/>
      <c r="AA242" s="186" t="s">
        <v>507</v>
      </c>
      <c r="AB242" s="186"/>
      <c r="AC242" s="186" t="s">
        <v>15</v>
      </c>
      <c r="AD242" s="268" t="s">
        <v>511</v>
      </c>
      <c r="AE242" s="268" t="s">
        <v>509</v>
      </c>
      <c r="AF242" s="144" t="str">
        <f t="shared" si="12"/>
        <v/>
      </c>
      <c r="AG242" s="144" t="str">
        <f t="shared" si="13"/>
        <v/>
      </c>
      <c r="AH242" s="146">
        <f t="shared" si="14"/>
        <v>0.80400000000000005</v>
      </c>
      <c r="AI242" s="146" t="str">
        <f t="shared" si="15"/>
        <v/>
      </c>
      <c r="AJ242" s="303"/>
      <c r="AK242" s="303"/>
      <c r="AL242" s="303"/>
      <c r="AM242" s="303"/>
      <c r="AN242" s="303"/>
      <c r="AO242" s="303"/>
      <c r="AP242" s="303"/>
      <c r="AQ242" s="303"/>
      <c r="AR242" s="303"/>
      <c r="AS242" s="170"/>
      <c r="AT242" s="170"/>
      <c r="AU242" s="310"/>
      <c r="AW242" s="294"/>
      <c r="AX242" s="294"/>
      <c r="AY242" s="294"/>
      <c r="AZ242" s="294"/>
      <c r="BA242" s="294"/>
      <c r="BB242" s="294"/>
      <c r="BC242" s="294"/>
      <c r="BD242" s="294"/>
      <c r="BE242" s="294"/>
      <c r="BF242" s="382">
        <v>0.80400000000000005</v>
      </c>
      <c r="BG242" s="383"/>
      <c r="BH242" s="278"/>
      <c r="BI242" s="365"/>
      <c r="BJ242" s="411"/>
    </row>
    <row r="243" spans="1:62" ht="15.75" customHeight="1" thickBot="1" x14ac:dyDescent="0.25">
      <c r="A243" s="156">
        <v>242</v>
      </c>
      <c r="B243" s="155">
        <v>1</v>
      </c>
      <c r="C243" s="148" t="s">
        <v>259</v>
      </c>
      <c r="D243" s="148" t="s">
        <v>260</v>
      </c>
      <c r="E243" s="148" t="s">
        <v>13</v>
      </c>
      <c r="F243" s="148" t="s">
        <v>512</v>
      </c>
      <c r="G243" s="148" t="s">
        <v>20</v>
      </c>
      <c r="H243" s="148" t="s">
        <v>108</v>
      </c>
      <c r="I243" s="161">
        <v>2006</v>
      </c>
      <c r="J243" s="161" t="s">
        <v>505</v>
      </c>
      <c r="K243" s="161" t="s">
        <v>506</v>
      </c>
      <c r="L243" s="161" t="s">
        <v>104</v>
      </c>
      <c r="M243" s="453" t="s">
        <v>4135</v>
      </c>
      <c r="N243" s="186" t="s">
        <v>20</v>
      </c>
      <c r="O243" s="186" t="s">
        <v>20</v>
      </c>
      <c r="P243" s="186" t="s">
        <v>15</v>
      </c>
      <c r="Q243" s="186" t="s">
        <v>15</v>
      </c>
      <c r="R243" s="186" t="s">
        <v>15</v>
      </c>
      <c r="S243" s="186" t="s">
        <v>15</v>
      </c>
      <c r="T243" s="186" t="s">
        <v>15</v>
      </c>
      <c r="U243" s="186" t="s">
        <v>15</v>
      </c>
      <c r="V243" s="186" t="s">
        <v>15</v>
      </c>
      <c r="W243" s="186" t="s">
        <v>15</v>
      </c>
      <c r="X243" s="186" t="s">
        <v>15</v>
      </c>
      <c r="Y243" s="186" t="s">
        <v>20</v>
      </c>
      <c r="Z243" s="186"/>
      <c r="AA243" s="186" t="s">
        <v>507</v>
      </c>
      <c r="AB243" s="186"/>
      <c r="AC243" s="186" t="s">
        <v>15</v>
      </c>
      <c r="AD243" s="268" t="s">
        <v>511</v>
      </c>
      <c r="AE243" s="268" t="s">
        <v>509</v>
      </c>
      <c r="AF243" s="144" t="str">
        <f t="shared" si="12"/>
        <v/>
      </c>
      <c r="AG243" s="144" t="str">
        <f t="shared" si="13"/>
        <v/>
      </c>
      <c r="AH243" s="146">
        <f t="shared" si="14"/>
        <v>0.78600000000000003</v>
      </c>
      <c r="AI243" s="146" t="str">
        <f t="shared" si="15"/>
        <v/>
      </c>
      <c r="AJ243" s="303"/>
      <c r="AK243" s="303"/>
      <c r="AL243" s="303"/>
      <c r="AM243" s="303"/>
      <c r="AN243" s="303"/>
      <c r="AO243" s="303"/>
      <c r="AP243" s="303"/>
      <c r="AQ243" s="303"/>
      <c r="AR243" s="303"/>
      <c r="AS243" s="170"/>
      <c r="AT243" s="170"/>
      <c r="AU243" s="310"/>
      <c r="AW243" s="294"/>
      <c r="AX243" s="294"/>
      <c r="AY243" s="294"/>
      <c r="AZ243" s="294"/>
      <c r="BA243" s="294"/>
      <c r="BB243" s="294"/>
      <c r="BC243" s="294"/>
      <c r="BD243" s="294"/>
      <c r="BE243" s="294"/>
      <c r="BF243" s="382">
        <v>0.78600000000000003</v>
      </c>
      <c r="BG243" s="383"/>
      <c r="BH243" s="278"/>
      <c r="BI243" s="365"/>
      <c r="BJ243" s="411"/>
    </row>
    <row r="244" spans="1:62" ht="15.75" customHeight="1" thickBot="1" x14ac:dyDescent="0.25">
      <c r="A244" s="154">
        <v>243</v>
      </c>
      <c r="B244" s="155">
        <v>1</v>
      </c>
      <c r="C244" s="148" t="s">
        <v>259</v>
      </c>
      <c r="D244" s="148" t="s">
        <v>513</v>
      </c>
      <c r="E244" s="148" t="s">
        <v>13</v>
      </c>
      <c r="F244" s="148" t="s">
        <v>514</v>
      </c>
      <c r="G244" s="148" t="s">
        <v>20</v>
      </c>
      <c r="H244" s="148" t="s">
        <v>108</v>
      </c>
      <c r="I244" s="161">
        <v>2006</v>
      </c>
      <c r="J244" s="161" t="s">
        <v>505</v>
      </c>
      <c r="K244" s="161" t="s">
        <v>506</v>
      </c>
      <c r="L244" s="161" t="s">
        <v>104</v>
      </c>
      <c r="M244" s="453" t="s">
        <v>4135</v>
      </c>
      <c r="N244" s="186" t="s">
        <v>20</v>
      </c>
      <c r="O244" s="186" t="s">
        <v>20</v>
      </c>
      <c r="P244" s="186" t="s">
        <v>15</v>
      </c>
      <c r="Q244" s="186" t="s">
        <v>15</v>
      </c>
      <c r="R244" s="186" t="s">
        <v>15</v>
      </c>
      <c r="S244" s="186" t="s">
        <v>15</v>
      </c>
      <c r="T244" s="186" t="s">
        <v>15</v>
      </c>
      <c r="U244" s="186" t="s">
        <v>15</v>
      </c>
      <c r="V244" s="186" t="s">
        <v>15</v>
      </c>
      <c r="W244" s="186" t="s">
        <v>15</v>
      </c>
      <c r="X244" s="186" t="s">
        <v>15</v>
      </c>
      <c r="Y244" s="186" t="s">
        <v>20</v>
      </c>
      <c r="Z244" s="186"/>
      <c r="AA244" s="186" t="s">
        <v>507</v>
      </c>
      <c r="AB244" s="186"/>
      <c r="AC244" s="186" t="s">
        <v>15</v>
      </c>
      <c r="AD244" s="268" t="s">
        <v>515</v>
      </c>
      <c r="AE244" s="268" t="s">
        <v>509</v>
      </c>
      <c r="AF244" s="144" t="str">
        <f t="shared" si="12"/>
        <v/>
      </c>
      <c r="AG244" s="144" t="str">
        <f t="shared" si="13"/>
        <v/>
      </c>
      <c r="AH244" s="146">
        <f t="shared" si="14"/>
        <v>1.71</v>
      </c>
      <c r="AI244" s="146" t="str">
        <f t="shared" si="15"/>
        <v/>
      </c>
      <c r="AJ244" s="303"/>
      <c r="AK244" s="303"/>
      <c r="AL244" s="303"/>
      <c r="AM244" s="303"/>
      <c r="AN244" s="303"/>
      <c r="AO244" s="303"/>
      <c r="AP244" s="303"/>
      <c r="AQ244" s="303"/>
      <c r="AR244" s="303"/>
      <c r="AS244" s="170"/>
      <c r="AT244" s="170"/>
      <c r="AU244" s="310"/>
      <c r="AW244" s="294"/>
      <c r="AX244" s="294"/>
      <c r="AY244" s="294"/>
      <c r="AZ244" s="294"/>
      <c r="BA244" s="294"/>
      <c r="BB244" s="294"/>
      <c r="BC244" s="294"/>
      <c r="BD244" s="294"/>
      <c r="BE244" s="294"/>
      <c r="BF244" s="382">
        <v>1.71</v>
      </c>
      <c r="BG244" s="383"/>
      <c r="BH244" s="278"/>
      <c r="BI244" s="365"/>
      <c r="BJ244" s="411"/>
    </row>
    <row r="245" spans="1:62" ht="15.75" customHeight="1" thickBot="1" x14ac:dyDescent="0.25">
      <c r="A245" s="156">
        <v>244</v>
      </c>
      <c r="B245" s="155">
        <v>1</v>
      </c>
      <c r="C245" s="148" t="s">
        <v>259</v>
      </c>
      <c r="D245" s="148" t="s">
        <v>513</v>
      </c>
      <c r="E245" s="148" t="s">
        <v>13</v>
      </c>
      <c r="F245" s="148" t="s">
        <v>379</v>
      </c>
      <c r="G245" s="148" t="s">
        <v>20</v>
      </c>
      <c r="H245" s="148" t="s">
        <v>108</v>
      </c>
      <c r="I245" s="161">
        <v>2006</v>
      </c>
      <c r="J245" s="161" t="s">
        <v>505</v>
      </c>
      <c r="K245" s="161" t="s">
        <v>506</v>
      </c>
      <c r="L245" s="161" t="s">
        <v>104</v>
      </c>
      <c r="M245" s="453" t="s">
        <v>4135</v>
      </c>
      <c r="N245" s="186" t="s">
        <v>20</v>
      </c>
      <c r="O245" s="186" t="s">
        <v>20</v>
      </c>
      <c r="P245" s="186" t="s">
        <v>15</v>
      </c>
      <c r="Q245" s="186" t="s">
        <v>15</v>
      </c>
      <c r="R245" s="186" t="s">
        <v>15</v>
      </c>
      <c r="S245" s="186" t="s">
        <v>15</v>
      </c>
      <c r="T245" s="186" t="s">
        <v>15</v>
      </c>
      <c r="U245" s="186" t="s">
        <v>15</v>
      </c>
      <c r="V245" s="186" t="s">
        <v>15</v>
      </c>
      <c r="W245" s="186" t="s">
        <v>15</v>
      </c>
      <c r="X245" s="186" t="s">
        <v>15</v>
      </c>
      <c r="Y245" s="186" t="s">
        <v>20</v>
      </c>
      <c r="Z245" s="186"/>
      <c r="AA245" s="186" t="s">
        <v>507</v>
      </c>
      <c r="AB245" s="186"/>
      <c r="AC245" s="186" t="s">
        <v>15</v>
      </c>
      <c r="AD245" s="268" t="s">
        <v>515</v>
      </c>
      <c r="AE245" s="268" t="s">
        <v>509</v>
      </c>
      <c r="AF245" s="144" t="str">
        <f t="shared" si="12"/>
        <v/>
      </c>
      <c r="AG245" s="144" t="str">
        <f t="shared" si="13"/>
        <v/>
      </c>
      <c r="AH245" s="146">
        <f t="shared" si="14"/>
        <v>1.62</v>
      </c>
      <c r="AI245" s="146" t="str">
        <f t="shared" si="15"/>
        <v/>
      </c>
      <c r="AJ245" s="303"/>
      <c r="AK245" s="303"/>
      <c r="AL245" s="303"/>
      <c r="AM245" s="303"/>
      <c r="AN245" s="303"/>
      <c r="AO245" s="303"/>
      <c r="AP245" s="303"/>
      <c r="AQ245" s="303"/>
      <c r="AR245" s="303"/>
      <c r="AS245" s="170"/>
      <c r="AT245" s="170"/>
      <c r="AU245" s="310"/>
      <c r="AW245" s="294"/>
      <c r="AX245" s="294"/>
      <c r="AY245" s="294"/>
      <c r="AZ245" s="294"/>
      <c r="BA245" s="294"/>
      <c r="BB245" s="294"/>
      <c r="BC245" s="294"/>
      <c r="BD245" s="294"/>
      <c r="BE245" s="294"/>
      <c r="BF245" s="382">
        <v>1.62</v>
      </c>
      <c r="BG245" s="383"/>
      <c r="BH245" s="278"/>
      <c r="BI245" s="365"/>
      <c r="BJ245" s="411"/>
    </row>
    <row r="246" spans="1:62" ht="15.75" customHeight="1" thickBot="1" x14ac:dyDescent="0.25">
      <c r="A246" s="154">
        <v>245</v>
      </c>
      <c r="B246" s="155">
        <v>1</v>
      </c>
      <c r="C246" s="148" t="s">
        <v>24</v>
      </c>
      <c r="D246" s="148" t="s">
        <v>53</v>
      </c>
      <c r="E246" s="148" t="s">
        <v>13</v>
      </c>
      <c r="F246" s="148" t="s">
        <v>504</v>
      </c>
      <c r="G246" s="148" t="s">
        <v>20</v>
      </c>
      <c r="H246" s="148" t="s">
        <v>108</v>
      </c>
      <c r="I246" s="161">
        <v>2006</v>
      </c>
      <c r="J246" s="161" t="s">
        <v>505</v>
      </c>
      <c r="K246" s="161" t="s">
        <v>506</v>
      </c>
      <c r="L246" s="161" t="s">
        <v>104</v>
      </c>
      <c r="M246" s="453" t="s">
        <v>4135</v>
      </c>
      <c r="N246" s="186" t="s">
        <v>20</v>
      </c>
      <c r="O246" s="186" t="s">
        <v>20</v>
      </c>
      <c r="P246" s="186" t="s">
        <v>15</v>
      </c>
      <c r="Q246" s="186" t="s">
        <v>15</v>
      </c>
      <c r="R246" s="186" t="s">
        <v>15</v>
      </c>
      <c r="S246" s="186" t="s">
        <v>15</v>
      </c>
      <c r="T246" s="186" t="s">
        <v>15</v>
      </c>
      <c r="U246" s="186" t="s">
        <v>15</v>
      </c>
      <c r="V246" s="186" t="s">
        <v>15</v>
      </c>
      <c r="W246" s="186" t="s">
        <v>15</v>
      </c>
      <c r="X246" s="186" t="s">
        <v>15</v>
      </c>
      <c r="Y246" s="186" t="s">
        <v>20</v>
      </c>
      <c r="Z246" s="186"/>
      <c r="AA246" s="186" t="s">
        <v>507</v>
      </c>
      <c r="AB246" s="186"/>
      <c r="AC246" s="186" t="s">
        <v>15</v>
      </c>
      <c r="AD246" s="268" t="s">
        <v>516</v>
      </c>
      <c r="AE246" s="268" t="s">
        <v>517</v>
      </c>
      <c r="AF246" s="144" t="str">
        <f t="shared" si="12"/>
        <v/>
      </c>
      <c r="AG246" s="144" t="str">
        <f t="shared" si="13"/>
        <v/>
      </c>
      <c r="AH246" s="146">
        <f t="shared" si="14"/>
        <v>23.68815592203898</v>
      </c>
      <c r="AI246" s="146" t="str">
        <f t="shared" si="15"/>
        <v/>
      </c>
      <c r="AJ246" s="303"/>
      <c r="AK246" s="303"/>
      <c r="AL246" s="303"/>
      <c r="AM246" s="303"/>
      <c r="AN246" s="303"/>
      <c r="AO246" s="303"/>
      <c r="AP246" s="303"/>
      <c r="AQ246" s="303"/>
      <c r="AR246" s="303"/>
      <c r="AS246" s="170"/>
      <c r="AT246" s="170"/>
      <c r="AU246" s="310"/>
      <c r="AW246" s="294"/>
      <c r="AX246" s="294"/>
      <c r="AY246" s="294"/>
      <c r="AZ246" s="294"/>
      <c r="BA246" s="294"/>
      <c r="BB246" s="294"/>
      <c r="BC246" s="294"/>
      <c r="BD246" s="294"/>
      <c r="BE246" s="294"/>
      <c r="BF246" s="382">
        <f>15.8/0.667</f>
        <v>23.68815592203898</v>
      </c>
      <c r="BG246" s="383"/>
      <c r="BH246" s="278"/>
      <c r="BI246" s="365"/>
      <c r="BJ246" s="411"/>
    </row>
    <row r="247" spans="1:62" ht="15.75" customHeight="1" thickBot="1" x14ac:dyDescent="0.25">
      <c r="A247" s="156">
        <v>246</v>
      </c>
      <c r="B247" s="155">
        <v>1</v>
      </c>
      <c r="C247" s="148" t="s">
        <v>24</v>
      </c>
      <c r="D247" s="148" t="s">
        <v>53</v>
      </c>
      <c r="E247" s="148" t="s">
        <v>13</v>
      </c>
      <c r="F247" s="148" t="s">
        <v>379</v>
      </c>
      <c r="G247" s="148" t="s">
        <v>20</v>
      </c>
      <c r="H247" s="148" t="s">
        <v>108</v>
      </c>
      <c r="I247" s="161">
        <v>2006</v>
      </c>
      <c r="J247" s="161" t="s">
        <v>505</v>
      </c>
      <c r="K247" s="161" t="s">
        <v>506</v>
      </c>
      <c r="L247" s="161" t="s">
        <v>104</v>
      </c>
      <c r="M247" s="453" t="s">
        <v>4135</v>
      </c>
      <c r="N247" s="186" t="s">
        <v>20</v>
      </c>
      <c r="O247" s="186" t="s">
        <v>20</v>
      </c>
      <c r="P247" s="186" t="s">
        <v>15</v>
      </c>
      <c r="Q247" s="186" t="s">
        <v>15</v>
      </c>
      <c r="R247" s="186" t="s">
        <v>15</v>
      </c>
      <c r="S247" s="186" t="s">
        <v>15</v>
      </c>
      <c r="T247" s="186" t="s">
        <v>15</v>
      </c>
      <c r="U247" s="186" t="s">
        <v>15</v>
      </c>
      <c r="V247" s="186" t="s">
        <v>15</v>
      </c>
      <c r="W247" s="186" t="s">
        <v>15</v>
      </c>
      <c r="X247" s="186" t="s">
        <v>15</v>
      </c>
      <c r="Y247" s="186" t="s">
        <v>20</v>
      </c>
      <c r="Z247" s="186"/>
      <c r="AA247" s="186" t="s">
        <v>507</v>
      </c>
      <c r="AB247" s="186"/>
      <c r="AC247" s="186" t="s">
        <v>15</v>
      </c>
      <c r="AD247" s="268" t="s">
        <v>516</v>
      </c>
      <c r="AE247" s="268" t="s">
        <v>517</v>
      </c>
      <c r="AF247" s="144" t="str">
        <f t="shared" si="12"/>
        <v/>
      </c>
      <c r="AG247" s="144" t="str">
        <f t="shared" si="13"/>
        <v/>
      </c>
      <c r="AH247" s="146">
        <f t="shared" si="14"/>
        <v>27.286356821589202</v>
      </c>
      <c r="AI247" s="146" t="str">
        <f t="shared" si="15"/>
        <v/>
      </c>
      <c r="AJ247" s="303"/>
      <c r="AK247" s="303"/>
      <c r="AL247" s="303"/>
      <c r="AM247" s="303"/>
      <c r="AN247" s="303"/>
      <c r="AO247" s="303"/>
      <c r="AP247" s="303"/>
      <c r="AQ247" s="303"/>
      <c r="AR247" s="303"/>
      <c r="AS247" s="170"/>
      <c r="AT247" s="170"/>
      <c r="AU247" s="310"/>
      <c r="AW247" s="294"/>
      <c r="AX247" s="294"/>
      <c r="AY247" s="294"/>
      <c r="AZ247" s="294"/>
      <c r="BA247" s="294"/>
      <c r="BB247" s="294"/>
      <c r="BC247" s="294"/>
      <c r="BD247" s="294"/>
      <c r="BE247" s="294"/>
      <c r="BF247" s="382">
        <f>18.2/0.667</f>
        <v>27.286356821589202</v>
      </c>
      <c r="BG247" s="383"/>
      <c r="BH247" s="278"/>
      <c r="BI247" s="365"/>
      <c r="BJ247" s="411"/>
    </row>
    <row r="248" spans="1:62" ht="15.75" customHeight="1" thickBot="1" x14ac:dyDescent="0.25">
      <c r="A248" s="154">
        <v>247</v>
      </c>
      <c r="B248" s="155">
        <v>1</v>
      </c>
      <c r="C248" s="148" t="s">
        <v>24</v>
      </c>
      <c r="D248" s="148" t="s">
        <v>53</v>
      </c>
      <c r="E248" s="148" t="s">
        <v>13</v>
      </c>
      <c r="F248" s="148" t="s">
        <v>519</v>
      </c>
      <c r="G248" s="148" t="s">
        <v>20</v>
      </c>
      <c r="H248" s="148" t="s">
        <v>108</v>
      </c>
      <c r="I248" s="161">
        <v>2006</v>
      </c>
      <c r="J248" s="161" t="s">
        <v>505</v>
      </c>
      <c r="K248" s="161" t="s">
        <v>506</v>
      </c>
      <c r="L248" s="161" t="s">
        <v>104</v>
      </c>
      <c r="M248" s="453" t="s">
        <v>4135</v>
      </c>
      <c r="N248" s="186" t="s">
        <v>20</v>
      </c>
      <c r="O248" s="186" t="s">
        <v>20</v>
      </c>
      <c r="P248" s="186" t="s">
        <v>15</v>
      </c>
      <c r="Q248" s="186" t="s">
        <v>15</v>
      </c>
      <c r="R248" s="186" t="s">
        <v>15</v>
      </c>
      <c r="S248" s="186" t="s">
        <v>15</v>
      </c>
      <c r="T248" s="186" t="s">
        <v>15</v>
      </c>
      <c r="U248" s="186" t="s">
        <v>15</v>
      </c>
      <c r="V248" s="186" t="s">
        <v>15</v>
      </c>
      <c r="W248" s="186" t="s">
        <v>15</v>
      </c>
      <c r="X248" s="186" t="s">
        <v>15</v>
      </c>
      <c r="Y248" s="186" t="s">
        <v>20</v>
      </c>
      <c r="Z248" s="186"/>
      <c r="AA248" s="186" t="s">
        <v>507</v>
      </c>
      <c r="AB248" s="186"/>
      <c r="AC248" s="186" t="s">
        <v>15</v>
      </c>
      <c r="AD248" s="268" t="s">
        <v>516</v>
      </c>
      <c r="AE248" s="268" t="s">
        <v>517</v>
      </c>
      <c r="AF248" s="144" t="str">
        <f t="shared" si="12"/>
        <v/>
      </c>
      <c r="AG248" s="144" t="str">
        <f t="shared" si="13"/>
        <v/>
      </c>
      <c r="AH248" s="146">
        <f t="shared" si="14"/>
        <v>37.931034482758619</v>
      </c>
      <c r="AI248" s="146" t="str">
        <f t="shared" si="15"/>
        <v/>
      </c>
      <c r="AJ248" s="303"/>
      <c r="AK248" s="303"/>
      <c r="AL248" s="303"/>
      <c r="AM248" s="303"/>
      <c r="AN248" s="303"/>
      <c r="AO248" s="303"/>
      <c r="AP248" s="303"/>
      <c r="AQ248" s="303"/>
      <c r="AR248" s="303"/>
      <c r="AS248" s="170"/>
      <c r="AT248" s="170"/>
      <c r="AU248" s="310"/>
      <c r="AW248" s="294"/>
      <c r="AX248" s="294"/>
      <c r="AY248" s="294"/>
      <c r="AZ248" s="294"/>
      <c r="BA248" s="294"/>
      <c r="BB248" s="294"/>
      <c r="BC248" s="294"/>
      <c r="BD248" s="294"/>
      <c r="BE248" s="294"/>
      <c r="BF248" s="382">
        <f>25.3/0.667</f>
        <v>37.931034482758619</v>
      </c>
      <c r="BG248" s="383"/>
      <c r="BH248" s="278"/>
      <c r="BI248" s="365"/>
      <c r="BJ248" s="411"/>
    </row>
    <row r="249" spans="1:62" ht="15.75" customHeight="1" thickBot="1" x14ac:dyDescent="0.25">
      <c r="A249" s="156">
        <v>248</v>
      </c>
      <c r="B249" s="155">
        <v>1</v>
      </c>
      <c r="C249" s="148" t="s">
        <v>24</v>
      </c>
      <c r="D249" s="148" t="s">
        <v>53</v>
      </c>
      <c r="E249" s="148" t="s">
        <v>13</v>
      </c>
      <c r="F249" s="148" t="s">
        <v>520</v>
      </c>
      <c r="G249" s="148" t="s">
        <v>20</v>
      </c>
      <c r="H249" s="148" t="s">
        <v>108</v>
      </c>
      <c r="I249" s="161">
        <v>2006</v>
      </c>
      <c r="J249" s="161" t="s">
        <v>505</v>
      </c>
      <c r="K249" s="161" t="s">
        <v>506</v>
      </c>
      <c r="L249" s="161" t="s">
        <v>104</v>
      </c>
      <c r="M249" s="453" t="s">
        <v>4135</v>
      </c>
      <c r="N249" s="186" t="s">
        <v>20</v>
      </c>
      <c r="O249" s="186" t="s">
        <v>20</v>
      </c>
      <c r="P249" s="186" t="s">
        <v>15</v>
      </c>
      <c r="Q249" s="186" t="s">
        <v>15</v>
      </c>
      <c r="R249" s="186" t="s">
        <v>15</v>
      </c>
      <c r="S249" s="186" t="s">
        <v>15</v>
      </c>
      <c r="T249" s="186" t="s">
        <v>15</v>
      </c>
      <c r="U249" s="186" t="s">
        <v>15</v>
      </c>
      <c r="V249" s="186" t="s">
        <v>15</v>
      </c>
      <c r="W249" s="186" t="s">
        <v>15</v>
      </c>
      <c r="X249" s="186" t="s">
        <v>15</v>
      </c>
      <c r="Y249" s="186" t="s">
        <v>20</v>
      </c>
      <c r="Z249" s="186"/>
      <c r="AA249" s="186" t="s">
        <v>507</v>
      </c>
      <c r="AB249" s="186"/>
      <c r="AC249" s="186" t="s">
        <v>15</v>
      </c>
      <c r="AD249" s="268" t="s">
        <v>516</v>
      </c>
      <c r="AE249" s="268" t="s">
        <v>517</v>
      </c>
      <c r="AF249" s="144" t="str">
        <f t="shared" si="12"/>
        <v/>
      </c>
      <c r="AG249" s="144" t="str">
        <f t="shared" si="13"/>
        <v/>
      </c>
      <c r="AH249" s="146">
        <f t="shared" si="14"/>
        <v>23.38830584707646</v>
      </c>
      <c r="AI249" s="146" t="str">
        <f t="shared" si="15"/>
        <v/>
      </c>
      <c r="AJ249" s="303"/>
      <c r="AK249" s="303"/>
      <c r="AL249" s="303"/>
      <c r="AM249" s="303"/>
      <c r="AN249" s="303"/>
      <c r="AO249" s="303"/>
      <c r="AP249" s="303"/>
      <c r="AQ249" s="303"/>
      <c r="AR249" s="303"/>
      <c r="AS249" s="170"/>
      <c r="AT249" s="170"/>
      <c r="AU249" s="310"/>
      <c r="AW249" s="294"/>
      <c r="AX249" s="294"/>
      <c r="AY249" s="294"/>
      <c r="AZ249" s="294"/>
      <c r="BA249" s="294"/>
      <c r="BB249" s="294"/>
      <c r="BC249" s="294"/>
      <c r="BD249" s="294"/>
      <c r="BE249" s="294"/>
      <c r="BF249" s="382">
        <f>15.6/0.667</f>
        <v>23.38830584707646</v>
      </c>
      <c r="BG249" s="383"/>
      <c r="BH249" s="278"/>
      <c r="BI249" s="365"/>
      <c r="BJ249" s="411"/>
    </row>
    <row r="250" spans="1:62" ht="15.75" customHeight="1" thickBot="1" x14ac:dyDescent="0.25">
      <c r="A250" s="154">
        <v>249</v>
      </c>
      <c r="B250" s="155">
        <v>1</v>
      </c>
      <c r="C250" s="148" t="s">
        <v>24</v>
      </c>
      <c r="D250" s="148" t="s">
        <v>53</v>
      </c>
      <c r="E250" s="148" t="s">
        <v>13</v>
      </c>
      <c r="F250" s="148" t="s">
        <v>521</v>
      </c>
      <c r="G250" s="148" t="s">
        <v>20</v>
      </c>
      <c r="H250" s="148" t="s">
        <v>108</v>
      </c>
      <c r="I250" s="161">
        <v>2006</v>
      </c>
      <c r="J250" s="161" t="s">
        <v>505</v>
      </c>
      <c r="K250" s="161" t="s">
        <v>506</v>
      </c>
      <c r="L250" s="161" t="s">
        <v>104</v>
      </c>
      <c r="M250" s="453" t="s">
        <v>4135</v>
      </c>
      <c r="N250" s="186" t="s">
        <v>20</v>
      </c>
      <c r="O250" s="186" t="s">
        <v>20</v>
      </c>
      <c r="P250" s="186" t="s">
        <v>15</v>
      </c>
      <c r="Q250" s="186" t="s">
        <v>15</v>
      </c>
      <c r="R250" s="186" t="s">
        <v>15</v>
      </c>
      <c r="S250" s="186" t="s">
        <v>15</v>
      </c>
      <c r="T250" s="186" t="s">
        <v>15</v>
      </c>
      <c r="U250" s="186" t="s">
        <v>15</v>
      </c>
      <c r="V250" s="186" t="s">
        <v>15</v>
      </c>
      <c r="W250" s="186" t="s">
        <v>15</v>
      </c>
      <c r="X250" s="186" t="s">
        <v>15</v>
      </c>
      <c r="Y250" s="186" t="s">
        <v>20</v>
      </c>
      <c r="Z250" s="186"/>
      <c r="AA250" s="186" t="s">
        <v>507</v>
      </c>
      <c r="AB250" s="186"/>
      <c r="AC250" s="186" t="s">
        <v>15</v>
      </c>
      <c r="AD250" s="268" t="s">
        <v>516</v>
      </c>
      <c r="AE250" s="268" t="s">
        <v>517</v>
      </c>
      <c r="AF250" s="144" t="str">
        <f t="shared" si="12"/>
        <v/>
      </c>
      <c r="AG250" s="144" t="str">
        <f t="shared" si="13"/>
        <v/>
      </c>
      <c r="AH250" s="146">
        <f t="shared" si="14"/>
        <v>24.587706146926532</v>
      </c>
      <c r="AI250" s="146" t="str">
        <f t="shared" si="15"/>
        <v/>
      </c>
      <c r="AJ250" s="303"/>
      <c r="AK250" s="303"/>
      <c r="AL250" s="303"/>
      <c r="AM250" s="303"/>
      <c r="AN250" s="303"/>
      <c r="AO250" s="303"/>
      <c r="AP250" s="303"/>
      <c r="AQ250" s="303"/>
      <c r="AR250" s="303"/>
      <c r="AS250" s="170"/>
      <c r="AT250" s="170"/>
      <c r="AU250" s="310"/>
      <c r="AW250" s="294"/>
      <c r="AX250" s="294"/>
      <c r="AY250" s="294"/>
      <c r="AZ250" s="294"/>
      <c r="BA250" s="294"/>
      <c r="BB250" s="294"/>
      <c r="BC250" s="294"/>
      <c r="BD250" s="294"/>
      <c r="BE250" s="294"/>
      <c r="BF250" s="382">
        <f>16.4/0.667</f>
        <v>24.587706146926532</v>
      </c>
      <c r="BG250" s="383"/>
      <c r="BH250" s="278"/>
      <c r="BI250" s="365"/>
      <c r="BJ250" s="411"/>
    </row>
    <row r="251" spans="1:62" ht="15.75" customHeight="1" thickBot="1" x14ac:dyDescent="0.25">
      <c r="A251" s="156">
        <v>250</v>
      </c>
      <c r="B251" s="155">
        <v>1</v>
      </c>
      <c r="C251" s="148" t="s">
        <v>24</v>
      </c>
      <c r="D251" s="148" t="s">
        <v>269</v>
      </c>
      <c r="E251" s="148" t="s">
        <v>13</v>
      </c>
      <c r="F251" s="148" t="s">
        <v>504</v>
      </c>
      <c r="G251" s="148" t="s">
        <v>20</v>
      </c>
      <c r="H251" s="148" t="s">
        <v>108</v>
      </c>
      <c r="I251" s="161">
        <v>2006</v>
      </c>
      <c r="J251" s="161" t="s">
        <v>505</v>
      </c>
      <c r="K251" s="161" t="s">
        <v>506</v>
      </c>
      <c r="L251" s="161" t="s">
        <v>104</v>
      </c>
      <c r="M251" s="453" t="s">
        <v>4135</v>
      </c>
      <c r="N251" s="186" t="s">
        <v>20</v>
      </c>
      <c r="O251" s="186" t="s">
        <v>20</v>
      </c>
      <c r="P251" s="186" t="s">
        <v>15</v>
      </c>
      <c r="Q251" s="186" t="s">
        <v>15</v>
      </c>
      <c r="R251" s="186" t="s">
        <v>15</v>
      </c>
      <c r="S251" s="186" t="s">
        <v>15</v>
      </c>
      <c r="T251" s="186" t="s">
        <v>15</v>
      </c>
      <c r="U251" s="186" t="s">
        <v>15</v>
      </c>
      <c r="V251" s="186" t="s">
        <v>15</v>
      </c>
      <c r="W251" s="186" t="s">
        <v>15</v>
      </c>
      <c r="X251" s="186" t="s">
        <v>15</v>
      </c>
      <c r="Y251" s="186" t="s">
        <v>20</v>
      </c>
      <c r="Z251" s="186"/>
      <c r="AA251" s="186" t="s">
        <v>507</v>
      </c>
      <c r="AB251" s="186"/>
      <c r="AC251" s="186" t="s">
        <v>15</v>
      </c>
      <c r="AD251" s="268" t="s">
        <v>516</v>
      </c>
      <c r="AE251" s="268" t="s">
        <v>522</v>
      </c>
      <c r="AF251" s="144" t="str">
        <f t="shared" si="12"/>
        <v/>
      </c>
      <c r="AG251" s="144" t="str">
        <f t="shared" si="13"/>
        <v/>
      </c>
      <c r="AH251" s="146">
        <f t="shared" si="14"/>
        <v>8.7242798353909468</v>
      </c>
      <c r="AI251" s="146" t="str">
        <f t="shared" si="15"/>
        <v/>
      </c>
      <c r="AJ251" s="303"/>
      <c r="AK251" s="303"/>
      <c r="AL251" s="303"/>
      <c r="AM251" s="303"/>
      <c r="AN251" s="303"/>
      <c r="AO251" s="303"/>
      <c r="AP251" s="303"/>
      <c r="AQ251" s="303"/>
      <c r="AR251" s="303"/>
      <c r="AS251" s="170"/>
      <c r="AT251" s="170"/>
      <c r="AU251" s="310"/>
      <c r="AW251" s="294"/>
      <c r="AX251" s="294"/>
      <c r="AY251" s="294"/>
      <c r="AZ251" s="294"/>
      <c r="BA251" s="294"/>
      <c r="BB251" s="294"/>
      <c r="BC251" s="294"/>
      <c r="BD251" s="294"/>
      <c r="BE251" s="294"/>
      <c r="BF251" s="382">
        <f>6.36/0.729</f>
        <v>8.7242798353909468</v>
      </c>
      <c r="BG251" s="383"/>
      <c r="BH251" s="278"/>
      <c r="BI251" s="365"/>
      <c r="BJ251" s="411"/>
    </row>
    <row r="252" spans="1:62" ht="15.75" customHeight="1" thickBot="1" x14ac:dyDescent="0.25">
      <c r="A252" s="154">
        <v>251</v>
      </c>
      <c r="B252" s="155">
        <v>1</v>
      </c>
      <c r="C252" s="148" t="s">
        <v>24</v>
      </c>
      <c r="D252" s="148" t="s">
        <v>269</v>
      </c>
      <c r="E252" s="148" t="s">
        <v>13</v>
      </c>
      <c r="F252" s="148" t="s">
        <v>379</v>
      </c>
      <c r="G252" s="148" t="s">
        <v>20</v>
      </c>
      <c r="H252" s="148" t="s">
        <v>108</v>
      </c>
      <c r="I252" s="161">
        <v>2006</v>
      </c>
      <c r="J252" s="161" t="s">
        <v>505</v>
      </c>
      <c r="K252" s="161" t="s">
        <v>506</v>
      </c>
      <c r="L252" s="161" t="s">
        <v>104</v>
      </c>
      <c r="M252" s="453" t="s">
        <v>4135</v>
      </c>
      <c r="N252" s="186" t="s">
        <v>20</v>
      </c>
      <c r="O252" s="186" t="s">
        <v>20</v>
      </c>
      <c r="P252" s="186" t="s">
        <v>15</v>
      </c>
      <c r="Q252" s="186" t="s">
        <v>15</v>
      </c>
      <c r="R252" s="186" t="s">
        <v>15</v>
      </c>
      <c r="S252" s="186" t="s">
        <v>15</v>
      </c>
      <c r="T252" s="186" t="s">
        <v>15</v>
      </c>
      <c r="U252" s="186" t="s">
        <v>15</v>
      </c>
      <c r="V252" s="186" t="s">
        <v>15</v>
      </c>
      <c r="W252" s="186" t="s">
        <v>15</v>
      </c>
      <c r="X252" s="186" t="s">
        <v>15</v>
      </c>
      <c r="Y252" s="186" t="s">
        <v>20</v>
      </c>
      <c r="Z252" s="186"/>
      <c r="AA252" s="186" t="s">
        <v>507</v>
      </c>
      <c r="AB252" s="186"/>
      <c r="AC252" s="186" t="s">
        <v>15</v>
      </c>
      <c r="AD252" s="268" t="s">
        <v>516</v>
      </c>
      <c r="AE252" s="268" t="s">
        <v>522</v>
      </c>
      <c r="AF252" s="144" t="str">
        <f t="shared" si="12"/>
        <v/>
      </c>
      <c r="AG252" s="144" t="str">
        <f t="shared" si="13"/>
        <v/>
      </c>
      <c r="AH252" s="146">
        <f t="shared" si="14"/>
        <v>7.7366255144032916</v>
      </c>
      <c r="AI252" s="146" t="str">
        <f t="shared" si="15"/>
        <v/>
      </c>
      <c r="AJ252" s="303"/>
      <c r="AK252" s="303"/>
      <c r="AL252" s="303"/>
      <c r="AM252" s="303"/>
      <c r="AN252" s="303"/>
      <c r="AO252" s="303"/>
      <c r="AP252" s="303"/>
      <c r="AQ252" s="303"/>
      <c r="AR252" s="303"/>
      <c r="AS252" s="170"/>
      <c r="AT252" s="170"/>
      <c r="AU252" s="310"/>
      <c r="AW252" s="294"/>
      <c r="AX252" s="294"/>
      <c r="AY252" s="294"/>
      <c r="AZ252" s="294"/>
      <c r="BA252" s="294"/>
      <c r="BB252" s="294"/>
      <c r="BC252" s="294"/>
      <c r="BD252" s="294"/>
      <c r="BE252" s="294"/>
      <c r="BF252" s="382">
        <f>5.64/0.729</f>
        <v>7.7366255144032916</v>
      </c>
      <c r="BG252" s="383"/>
      <c r="BH252" s="278"/>
      <c r="BI252" s="365"/>
      <c r="BJ252" s="411"/>
    </row>
    <row r="253" spans="1:62" ht="15.75" customHeight="1" thickBot="1" x14ac:dyDescent="0.25">
      <c r="A253" s="156">
        <v>252</v>
      </c>
      <c r="B253" s="155">
        <v>1</v>
      </c>
      <c r="C253" s="148" t="s">
        <v>24</v>
      </c>
      <c r="D253" s="148" t="s">
        <v>269</v>
      </c>
      <c r="E253" s="148" t="s">
        <v>13</v>
      </c>
      <c r="F253" s="148" t="s">
        <v>523</v>
      </c>
      <c r="G253" s="148" t="s">
        <v>20</v>
      </c>
      <c r="H253" s="148" t="s">
        <v>108</v>
      </c>
      <c r="I253" s="161">
        <v>2006</v>
      </c>
      <c r="J253" s="161" t="s">
        <v>505</v>
      </c>
      <c r="K253" s="161" t="s">
        <v>506</v>
      </c>
      <c r="L253" s="161" t="s">
        <v>104</v>
      </c>
      <c r="M253" s="453" t="s">
        <v>4135</v>
      </c>
      <c r="N253" s="186" t="s">
        <v>20</v>
      </c>
      <c r="O253" s="186" t="s">
        <v>20</v>
      </c>
      <c r="P253" s="186" t="s">
        <v>15</v>
      </c>
      <c r="Q253" s="186" t="s">
        <v>15</v>
      </c>
      <c r="R253" s="186" t="s">
        <v>15</v>
      </c>
      <c r="S253" s="186" t="s">
        <v>15</v>
      </c>
      <c r="T253" s="186" t="s">
        <v>15</v>
      </c>
      <c r="U253" s="186" t="s">
        <v>15</v>
      </c>
      <c r="V253" s="186" t="s">
        <v>15</v>
      </c>
      <c r="W253" s="186" t="s">
        <v>15</v>
      </c>
      <c r="X253" s="186" t="s">
        <v>15</v>
      </c>
      <c r="Y253" s="186" t="s">
        <v>20</v>
      </c>
      <c r="Z253" s="186"/>
      <c r="AA253" s="186" t="s">
        <v>507</v>
      </c>
      <c r="AB253" s="186"/>
      <c r="AC253" s="186" t="s">
        <v>15</v>
      </c>
      <c r="AD253" s="268" t="s">
        <v>516</v>
      </c>
      <c r="AE253" s="268" t="s">
        <v>522</v>
      </c>
      <c r="AF253" s="144" t="str">
        <f t="shared" si="12"/>
        <v/>
      </c>
      <c r="AG253" s="144" t="str">
        <f t="shared" si="13"/>
        <v/>
      </c>
      <c r="AH253" s="146">
        <f t="shared" si="14"/>
        <v>8.3401920438957475</v>
      </c>
      <c r="AI253" s="146" t="str">
        <f t="shared" si="15"/>
        <v/>
      </c>
      <c r="AJ253" s="303"/>
      <c r="AK253" s="303"/>
      <c r="AL253" s="303"/>
      <c r="AM253" s="303"/>
      <c r="AN253" s="303"/>
      <c r="AO253" s="303"/>
      <c r="AP253" s="303"/>
      <c r="AQ253" s="303"/>
      <c r="AR253" s="303"/>
      <c r="AS253" s="170"/>
      <c r="AT253" s="170"/>
      <c r="AU253" s="310"/>
      <c r="AW253" s="294"/>
      <c r="AX253" s="294"/>
      <c r="AY253" s="294"/>
      <c r="AZ253" s="294"/>
      <c r="BA253" s="294"/>
      <c r="BB253" s="294"/>
      <c r="BC253" s="294"/>
      <c r="BD253" s="294"/>
      <c r="BE253" s="294"/>
      <c r="BF253" s="382">
        <f>6.08/0.729</f>
        <v>8.3401920438957475</v>
      </c>
      <c r="BG253" s="383"/>
      <c r="BH253" s="278"/>
      <c r="BI253" s="365"/>
      <c r="BJ253" s="411"/>
    </row>
    <row r="254" spans="1:62" ht="15.75" customHeight="1" thickBot="1" x14ac:dyDescent="0.25">
      <c r="A254" s="154">
        <v>253</v>
      </c>
      <c r="B254" s="155">
        <v>1</v>
      </c>
      <c r="C254" s="148" t="s">
        <v>24</v>
      </c>
      <c r="D254" s="148" t="s">
        <v>269</v>
      </c>
      <c r="E254" s="148" t="s">
        <v>13</v>
      </c>
      <c r="F254" s="148" t="s">
        <v>524</v>
      </c>
      <c r="G254" s="148" t="s">
        <v>20</v>
      </c>
      <c r="H254" s="148" t="s">
        <v>108</v>
      </c>
      <c r="I254" s="161">
        <v>2006</v>
      </c>
      <c r="J254" s="161" t="s">
        <v>505</v>
      </c>
      <c r="K254" s="161" t="s">
        <v>506</v>
      </c>
      <c r="L254" s="161" t="s">
        <v>104</v>
      </c>
      <c r="M254" s="453" t="s">
        <v>4135</v>
      </c>
      <c r="N254" s="186" t="s">
        <v>20</v>
      </c>
      <c r="O254" s="186" t="s">
        <v>20</v>
      </c>
      <c r="P254" s="186" t="s">
        <v>15</v>
      </c>
      <c r="Q254" s="186" t="s">
        <v>15</v>
      </c>
      <c r="R254" s="186" t="s">
        <v>15</v>
      </c>
      <c r="S254" s="186" t="s">
        <v>15</v>
      </c>
      <c r="T254" s="186" t="s">
        <v>15</v>
      </c>
      <c r="U254" s="186" t="s">
        <v>15</v>
      </c>
      <c r="V254" s="186" t="s">
        <v>15</v>
      </c>
      <c r="W254" s="186" t="s">
        <v>15</v>
      </c>
      <c r="X254" s="186" t="s">
        <v>15</v>
      </c>
      <c r="Y254" s="186" t="s">
        <v>20</v>
      </c>
      <c r="Z254" s="186"/>
      <c r="AA254" s="186" t="s">
        <v>507</v>
      </c>
      <c r="AB254" s="186"/>
      <c r="AC254" s="186" t="s">
        <v>15</v>
      </c>
      <c r="AD254" s="268" t="s">
        <v>516</v>
      </c>
      <c r="AE254" s="268" t="s">
        <v>522</v>
      </c>
      <c r="AF254" s="144" t="str">
        <f t="shared" si="12"/>
        <v/>
      </c>
      <c r="AG254" s="144" t="str">
        <f t="shared" si="13"/>
        <v/>
      </c>
      <c r="AH254" s="146">
        <f t="shared" si="14"/>
        <v>8.8065843621399171</v>
      </c>
      <c r="AI254" s="146" t="str">
        <f t="shared" si="15"/>
        <v/>
      </c>
      <c r="AJ254" s="303"/>
      <c r="AK254" s="303"/>
      <c r="AL254" s="303"/>
      <c r="AM254" s="303"/>
      <c r="AN254" s="303"/>
      <c r="AO254" s="303"/>
      <c r="AP254" s="303"/>
      <c r="AQ254" s="303"/>
      <c r="AR254" s="303"/>
      <c r="AS254" s="170"/>
      <c r="AT254" s="170"/>
      <c r="AU254" s="310"/>
      <c r="AW254" s="294"/>
      <c r="AX254" s="294"/>
      <c r="AY254" s="294"/>
      <c r="AZ254" s="294"/>
      <c r="BA254" s="294"/>
      <c r="BB254" s="294"/>
      <c r="BC254" s="294"/>
      <c r="BD254" s="294"/>
      <c r="BE254" s="294"/>
      <c r="BF254" s="382">
        <f>6.42/0.729</f>
        <v>8.8065843621399171</v>
      </c>
      <c r="BG254" s="383"/>
      <c r="BH254" s="278"/>
      <c r="BI254" s="365"/>
      <c r="BJ254" s="411"/>
    </row>
    <row r="255" spans="1:62" ht="15.75" customHeight="1" thickBot="1" x14ac:dyDescent="0.25">
      <c r="A255" s="156">
        <v>254</v>
      </c>
      <c r="B255" s="155">
        <v>1</v>
      </c>
      <c r="C255" s="148" t="s">
        <v>24</v>
      </c>
      <c r="D255" s="148" t="s">
        <v>269</v>
      </c>
      <c r="E255" s="148" t="s">
        <v>13</v>
      </c>
      <c r="F255" s="148" t="s">
        <v>525</v>
      </c>
      <c r="G255" s="148" t="s">
        <v>20</v>
      </c>
      <c r="H255" s="148" t="s">
        <v>108</v>
      </c>
      <c r="I255" s="161">
        <v>2006</v>
      </c>
      <c r="J255" s="161" t="s">
        <v>505</v>
      </c>
      <c r="K255" s="161" t="s">
        <v>506</v>
      </c>
      <c r="L255" s="161" t="s">
        <v>104</v>
      </c>
      <c r="M255" s="453" t="s">
        <v>4135</v>
      </c>
      <c r="N255" s="186" t="s">
        <v>20</v>
      </c>
      <c r="O255" s="186" t="s">
        <v>20</v>
      </c>
      <c r="P255" s="186" t="s">
        <v>15</v>
      </c>
      <c r="Q255" s="186" t="s">
        <v>15</v>
      </c>
      <c r="R255" s="186" t="s">
        <v>15</v>
      </c>
      <c r="S255" s="186" t="s">
        <v>15</v>
      </c>
      <c r="T255" s="186" t="s">
        <v>15</v>
      </c>
      <c r="U255" s="186" t="s">
        <v>15</v>
      </c>
      <c r="V255" s="186" t="s">
        <v>15</v>
      </c>
      <c r="W255" s="186" t="s">
        <v>15</v>
      </c>
      <c r="X255" s="186" t="s">
        <v>15</v>
      </c>
      <c r="Y255" s="186" t="s">
        <v>20</v>
      </c>
      <c r="Z255" s="186"/>
      <c r="AA255" s="186" t="s">
        <v>507</v>
      </c>
      <c r="AB255" s="186"/>
      <c r="AC255" s="186" t="s">
        <v>15</v>
      </c>
      <c r="AD255" s="268" t="s">
        <v>516</v>
      </c>
      <c r="AE255" s="268" t="s">
        <v>522</v>
      </c>
      <c r="AF255" s="144" t="str">
        <f t="shared" si="12"/>
        <v/>
      </c>
      <c r="AG255" s="144" t="str">
        <f t="shared" si="13"/>
        <v/>
      </c>
      <c r="AH255" s="146">
        <f t="shared" si="14"/>
        <v>8.6831275720164616</v>
      </c>
      <c r="AI255" s="146" t="str">
        <f t="shared" si="15"/>
        <v/>
      </c>
      <c r="AJ255" s="303"/>
      <c r="AK255" s="303"/>
      <c r="AL255" s="303"/>
      <c r="AM255" s="303"/>
      <c r="AN255" s="303"/>
      <c r="AO255" s="303"/>
      <c r="AP255" s="303"/>
      <c r="AQ255" s="303"/>
      <c r="AR255" s="303"/>
      <c r="AS255" s="170"/>
      <c r="AT255" s="170"/>
      <c r="AU255" s="310"/>
      <c r="AW255" s="294"/>
      <c r="AX255" s="294"/>
      <c r="AY255" s="294"/>
      <c r="AZ255" s="294"/>
      <c r="BA255" s="294"/>
      <c r="BB255" s="294"/>
      <c r="BC255" s="294"/>
      <c r="BD255" s="294"/>
      <c r="BE255" s="294"/>
      <c r="BF255" s="382">
        <f>6.33/0.729</f>
        <v>8.6831275720164616</v>
      </c>
      <c r="BG255" s="383"/>
      <c r="BH255" s="278"/>
      <c r="BI255" s="365"/>
      <c r="BJ255" s="411"/>
    </row>
    <row r="256" spans="1:62" ht="15.75" customHeight="1" thickBot="1" x14ac:dyDescent="0.25">
      <c r="A256" s="154">
        <v>255</v>
      </c>
      <c r="B256" s="155">
        <v>1</v>
      </c>
      <c r="C256" s="148" t="s">
        <v>24</v>
      </c>
      <c r="D256" s="148" t="s">
        <v>283</v>
      </c>
      <c r="E256" s="148" t="s">
        <v>13</v>
      </c>
      <c r="F256" s="148" t="s">
        <v>504</v>
      </c>
      <c r="G256" s="148" t="s">
        <v>20</v>
      </c>
      <c r="H256" s="148" t="s">
        <v>108</v>
      </c>
      <c r="I256" s="161">
        <v>2006</v>
      </c>
      <c r="J256" s="161" t="s">
        <v>505</v>
      </c>
      <c r="K256" s="161" t="s">
        <v>506</v>
      </c>
      <c r="L256" s="161" t="s">
        <v>104</v>
      </c>
      <c r="M256" s="453" t="s">
        <v>4135</v>
      </c>
      <c r="N256" s="186" t="s">
        <v>20</v>
      </c>
      <c r="O256" s="186" t="s">
        <v>20</v>
      </c>
      <c r="P256" s="186" t="s">
        <v>15</v>
      </c>
      <c r="Q256" s="186" t="s">
        <v>15</v>
      </c>
      <c r="R256" s="186" t="s">
        <v>15</v>
      </c>
      <c r="S256" s="186" t="s">
        <v>15</v>
      </c>
      <c r="T256" s="186" t="s">
        <v>15</v>
      </c>
      <c r="U256" s="186" t="s">
        <v>15</v>
      </c>
      <c r="V256" s="186" t="s">
        <v>15</v>
      </c>
      <c r="W256" s="186" t="s">
        <v>15</v>
      </c>
      <c r="X256" s="186" t="s">
        <v>15</v>
      </c>
      <c r="Y256" s="186" t="s">
        <v>20</v>
      </c>
      <c r="Z256" s="186"/>
      <c r="AA256" s="186" t="s">
        <v>507</v>
      </c>
      <c r="AB256" s="186"/>
      <c r="AC256" s="186" t="s">
        <v>15</v>
      </c>
      <c r="AD256" s="268" t="s">
        <v>516</v>
      </c>
      <c r="AE256" s="271" t="s">
        <v>2855</v>
      </c>
      <c r="AF256" s="144" t="str">
        <f t="shared" si="12"/>
        <v/>
      </c>
      <c r="AG256" s="144" t="str">
        <f t="shared" si="13"/>
        <v/>
      </c>
      <c r="AH256" s="146">
        <f t="shared" si="14"/>
        <v>5.9350649350649354</v>
      </c>
      <c r="AI256" s="146" t="str">
        <f t="shared" si="15"/>
        <v/>
      </c>
      <c r="AJ256" s="303"/>
      <c r="AK256" s="303"/>
      <c r="AL256" s="303"/>
      <c r="AM256" s="303"/>
      <c r="AN256" s="303"/>
      <c r="AO256" s="303"/>
      <c r="AP256" s="303"/>
      <c r="AQ256" s="303"/>
      <c r="AR256" s="303"/>
      <c r="AS256" s="170"/>
      <c r="AT256" s="170"/>
      <c r="AU256" s="310"/>
      <c r="AW256" s="294"/>
      <c r="AX256" s="294"/>
      <c r="AY256" s="294"/>
      <c r="AZ256" s="294"/>
      <c r="BA256" s="294"/>
      <c r="BB256" s="294"/>
      <c r="BC256" s="294"/>
      <c r="BD256" s="294"/>
      <c r="BE256" s="294"/>
      <c r="BF256" s="382">
        <f>4.57/0.77</f>
        <v>5.9350649350649354</v>
      </c>
      <c r="BG256" s="383"/>
      <c r="BH256" s="278"/>
      <c r="BI256" s="365"/>
      <c r="BJ256" s="411"/>
    </row>
    <row r="257" spans="1:62" ht="15.75" customHeight="1" thickBot="1" x14ac:dyDescent="0.25">
      <c r="A257" s="156">
        <v>256</v>
      </c>
      <c r="B257" s="155">
        <v>1</v>
      </c>
      <c r="C257" s="148" t="s">
        <v>24</v>
      </c>
      <c r="D257" s="148" t="s">
        <v>283</v>
      </c>
      <c r="E257" s="148" t="s">
        <v>13</v>
      </c>
      <c r="F257" s="148" t="s">
        <v>379</v>
      </c>
      <c r="G257" s="148" t="s">
        <v>20</v>
      </c>
      <c r="H257" s="148" t="s">
        <v>108</v>
      </c>
      <c r="I257" s="161">
        <v>2006</v>
      </c>
      <c r="J257" s="161" t="s">
        <v>505</v>
      </c>
      <c r="K257" s="161" t="s">
        <v>506</v>
      </c>
      <c r="L257" s="161" t="s">
        <v>104</v>
      </c>
      <c r="M257" s="453" t="s">
        <v>4135</v>
      </c>
      <c r="N257" s="186" t="s">
        <v>20</v>
      </c>
      <c r="O257" s="186" t="s">
        <v>20</v>
      </c>
      <c r="P257" s="186" t="s">
        <v>15</v>
      </c>
      <c r="Q257" s="186" t="s">
        <v>15</v>
      </c>
      <c r="R257" s="186" t="s">
        <v>15</v>
      </c>
      <c r="S257" s="186" t="s">
        <v>15</v>
      </c>
      <c r="T257" s="186" t="s">
        <v>15</v>
      </c>
      <c r="U257" s="186" t="s">
        <v>15</v>
      </c>
      <c r="V257" s="186" t="s">
        <v>15</v>
      </c>
      <c r="W257" s="186" t="s">
        <v>15</v>
      </c>
      <c r="X257" s="186" t="s">
        <v>15</v>
      </c>
      <c r="Y257" s="186" t="s">
        <v>20</v>
      </c>
      <c r="Z257" s="186"/>
      <c r="AA257" s="186" t="s">
        <v>507</v>
      </c>
      <c r="AB257" s="186"/>
      <c r="AC257" s="186" t="s">
        <v>15</v>
      </c>
      <c r="AD257" s="268" t="s">
        <v>516</v>
      </c>
      <c r="AE257" s="271" t="s">
        <v>2855</v>
      </c>
      <c r="AF257" s="144" t="str">
        <f t="shared" si="12"/>
        <v/>
      </c>
      <c r="AG257" s="144" t="str">
        <f t="shared" si="13"/>
        <v/>
      </c>
      <c r="AH257" s="146">
        <f t="shared" si="14"/>
        <v>8.6753246753246742</v>
      </c>
      <c r="AI257" s="146" t="str">
        <f t="shared" si="15"/>
        <v/>
      </c>
      <c r="AJ257" s="303"/>
      <c r="AK257" s="303"/>
      <c r="AL257" s="303"/>
      <c r="AM257" s="303"/>
      <c r="AN257" s="303"/>
      <c r="AO257" s="303"/>
      <c r="AP257" s="303"/>
      <c r="AQ257" s="303"/>
      <c r="AR257" s="303"/>
      <c r="AS257" s="170"/>
      <c r="AT257" s="170"/>
      <c r="AU257" s="310"/>
      <c r="AW257" s="294"/>
      <c r="AX257" s="294"/>
      <c r="AY257" s="294"/>
      <c r="AZ257" s="294"/>
      <c r="BA257" s="294"/>
      <c r="BB257" s="294"/>
      <c r="BC257" s="294"/>
      <c r="BD257" s="294"/>
      <c r="BE257" s="294"/>
      <c r="BF257" s="382">
        <f>6.68/0.77</f>
        <v>8.6753246753246742</v>
      </c>
      <c r="BG257" s="383"/>
      <c r="BH257" s="278"/>
      <c r="BI257" s="365"/>
      <c r="BJ257" s="411"/>
    </row>
    <row r="258" spans="1:62" ht="15.75" customHeight="1" thickBot="1" x14ac:dyDescent="0.25">
      <c r="A258" s="154">
        <v>257</v>
      </c>
      <c r="B258" s="155">
        <v>1</v>
      </c>
      <c r="C258" s="148" t="s">
        <v>24</v>
      </c>
      <c r="D258" s="148" t="s">
        <v>283</v>
      </c>
      <c r="E258" s="148" t="s">
        <v>13</v>
      </c>
      <c r="F258" s="148" t="s">
        <v>526</v>
      </c>
      <c r="G258" s="148" t="s">
        <v>20</v>
      </c>
      <c r="H258" s="148" t="s">
        <v>108</v>
      </c>
      <c r="I258" s="161">
        <v>2006</v>
      </c>
      <c r="J258" s="161" t="s">
        <v>505</v>
      </c>
      <c r="K258" s="161" t="s">
        <v>506</v>
      </c>
      <c r="L258" s="161" t="s">
        <v>104</v>
      </c>
      <c r="M258" s="453" t="s">
        <v>4135</v>
      </c>
      <c r="N258" s="186" t="s">
        <v>20</v>
      </c>
      <c r="O258" s="186" t="s">
        <v>20</v>
      </c>
      <c r="P258" s="186" t="s">
        <v>15</v>
      </c>
      <c r="Q258" s="186" t="s">
        <v>15</v>
      </c>
      <c r="R258" s="186" t="s">
        <v>15</v>
      </c>
      <c r="S258" s="186" t="s">
        <v>15</v>
      </c>
      <c r="T258" s="186" t="s">
        <v>15</v>
      </c>
      <c r="U258" s="186" t="s">
        <v>15</v>
      </c>
      <c r="V258" s="186" t="s">
        <v>15</v>
      </c>
      <c r="W258" s="186" t="s">
        <v>15</v>
      </c>
      <c r="X258" s="186" t="s">
        <v>15</v>
      </c>
      <c r="Y258" s="186" t="s">
        <v>20</v>
      </c>
      <c r="Z258" s="186"/>
      <c r="AA258" s="186" t="s">
        <v>507</v>
      </c>
      <c r="AB258" s="186"/>
      <c r="AC258" s="186" t="s">
        <v>15</v>
      </c>
      <c r="AD258" s="268" t="s">
        <v>516</v>
      </c>
      <c r="AE258" s="271" t="s">
        <v>2855</v>
      </c>
      <c r="AF258" s="144" t="str">
        <f t="shared" ref="AF258:AF321" si="16">IF(AS258&lt;&gt;0,AS258,"")</f>
        <v/>
      </c>
      <c r="AG258" s="144" t="str">
        <f t="shared" ref="AG258:AG321" si="17">IF(AND(SUM(AJ258:AL258)&lt;&gt;0,SUM(AJ258:AL258)&lt;&gt;AJ258),SUM(AJ258:AL258),"")</f>
        <v/>
      </c>
      <c r="AH258" s="146">
        <f t="shared" ref="AH258:AH321" si="18">IF(BF258&lt;&gt;0,BF258,"")</f>
        <v>7.116883116883117</v>
      </c>
      <c r="AI258" s="146" t="str">
        <f t="shared" ref="AI258:AI321" si="19">IF(AND(SUM(AW258:AY258)&lt;&gt;0,SUM(AW258:AY258)&lt;&gt;AW258),SUM(AW258:AY258),"")</f>
        <v/>
      </c>
      <c r="AJ258" s="303"/>
      <c r="AK258" s="303"/>
      <c r="AL258" s="303"/>
      <c r="AM258" s="303"/>
      <c r="AN258" s="303"/>
      <c r="AO258" s="303"/>
      <c r="AP258" s="303"/>
      <c r="AQ258" s="303"/>
      <c r="AR258" s="303"/>
      <c r="AS258" s="170"/>
      <c r="AT258" s="170"/>
      <c r="AU258" s="310"/>
      <c r="AW258" s="294"/>
      <c r="AX258" s="294"/>
      <c r="AY258" s="294"/>
      <c r="AZ258" s="294"/>
      <c r="BA258" s="294"/>
      <c r="BB258" s="294"/>
      <c r="BC258" s="294"/>
      <c r="BD258" s="294"/>
      <c r="BE258" s="294"/>
      <c r="BF258" s="382">
        <f>5.48/0.77</f>
        <v>7.116883116883117</v>
      </c>
      <c r="BG258" s="383"/>
      <c r="BH258" s="278"/>
      <c r="BI258" s="365"/>
      <c r="BJ258" s="411"/>
    </row>
    <row r="259" spans="1:62" ht="15.75" customHeight="1" thickBot="1" x14ac:dyDescent="0.25">
      <c r="A259" s="156">
        <v>258</v>
      </c>
      <c r="B259" s="155">
        <v>1</v>
      </c>
      <c r="C259" s="148" t="s">
        <v>24</v>
      </c>
      <c r="D259" s="148" t="s">
        <v>346</v>
      </c>
      <c r="E259" s="148" t="s">
        <v>13</v>
      </c>
      <c r="F259" s="148" t="s">
        <v>504</v>
      </c>
      <c r="G259" s="148" t="s">
        <v>20</v>
      </c>
      <c r="H259" s="148" t="s">
        <v>108</v>
      </c>
      <c r="I259" s="161">
        <v>2006</v>
      </c>
      <c r="J259" s="161" t="s">
        <v>505</v>
      </c>
      <c r="K259" s="161" t="s">
        <v>506</v>
      </c>
      <c r="L259" s="161" t="s">
        <v>104</v>
      </c>
      <c r="M259" s="453" t="s">
        <v>4135</v>
      </c>
      <c r="N259" s="186" t="s">
        <v>20</v>
      </c>
      <c r="O259" s="186" t="s">
        <v>20</v>
      </c>
      <c r="P259" s="186" t="s">
        <v>15</v>
      </c>
      <c r="Q259" s="186" t="s">
        <v>15</v>
      </c>
      <c r="R259" s="186" t="s">
        <v>15</v>
      </c>
      <c r="S259" s="186" t="s">
        <v>15</v>
      </c>
      <c r="T259" s="186" t="s">
        <v>15</v>
      </c>
      <c r="U259" s="186" t="s">
        <v>15</v>
      </c>
      <c r="V259" s="186" t="s">
        <v>15</v>
      </c>
      <c r="W259" s="186" t="s">
        <v>15</v>
      </c>
      <c r="X259" s="186" t="s">
        <v>15</v>
      </c>
      <c r="Y259" s="186" t="s">
        <v>20</v>
      </c>
      <c r="Z259" s="186"/>
      <c r="AA259" s="186" t="s">
        <v>507</v>
      </c>
      <c r="AB259" s="186"/>
      <c r="AC259" s="186" t="s">
        <v>15</v>
      </c>
      <c r="AD259" s="268" t="s">
        <v>516</v>
      </c>
      <c r="AE259" s="268" t="s">
        <v>527</v>
      </c>
      <c r="AF259" s="144" t="str">
        <f t="shared" si="16"/>
        <v/>
      </c>
      <c r="AG259" s="144" t="str">
        <f t="shared" si="17"/>
        <v/>
      </c>
      <c r="AH259" s="146">
        <f t="shared" si="18"/>
        <v>26.595744680851062</v>
      </c>
      <c r="AI259" s="146" t="str">
        <f t="shared" si="19"/>
        <v/>
      </c>
      <c r="AJ259" s="303"/>
      <c r="AK259" s="303"/>
      <c r="AL259" s="303"/>
      <c r="AM259" s="303"/>
      <c r="AN259" s="303"/>
      <c r="AO259" s="303"/>
      <c r="AP259" s="303"/>
      <c r="AQ259" s="303"/>
      <c r="AR259" s="303"/>
      <c r="AS259" s="170"/>
      <c r="AT259" s="170"/>
      <c r="AU259" s="310"/>
      <c r="AW259" s="294"/>
      <c r="AX259" s="294"/>
      <c r="AY259" s="294"/>
      <c r="AZ259" s="294"/>
      <c r="BA259" s="294"/>
      <c r="BB259" s="294"/>
      <c r="BC259" s="294"/>
      <c r="BD259" s="294"/>
      <c r="BE259" s="294"/>
      <c r="BF259" s="382">
        <f>17.5/0.658</f>
        <v>26.595744680851062</v>
      </c>
      <c r="BG259" s="383"/>
      <c r="BH259" s="278"/>
      <c r="BI259" s="365"/>
      <c r="BJ259" s="411"/>
    </row>
    <row r="260" spans="1:62" ht="15.75" customHeight="1" thickBot="1" x14ac:dyDescent="0.25">
      <c r="A260" s="154">
        <v>259</v>
      </c>
      <c r="B260" s="155">
        <v>1</v>
      </c>
      <c r="C260" s="148" t="s">
        <v>24</v>
      </c>
      <c r="D260" s="148" t="s">
        <v>346</v>
      </c>
      <c r="E260" s="148" t="s">
        <v>13</v>
      </c>
      <c r="F260" s="148" t="s">
        <v>379</v>
      </c>
      <c r="G260" s="148" t="s">
        <v>20</v>
      </c>
      <c r="H260" s="148" t="s">
        <v>108</v>
      </c>
      <c r="I260" s="161">
        <v>2006</v>
      </c>
      <c r="J260" s="161" t="s">
        <v>505</v>
      </c>
      <c r="K260" s="161" t="s">
        <v>506</v>
      </c>
      <c r="L260" s="161" t="s">
        <v>104</v>
      </c>
      <c r="M260" s="453" t="s">
        <v>4135</v>
      </c>
      <c r="N260" s="186" t="s">
        <v>20</v>
      </c>
      <c r="O260" s="186" t="s">
        <v>20</v>
      </c>
      <c r="P260" s="186" t="s">
        <v>15</v>
      </c>
      <c r="Q260" s="186" t="s">
        <v>15</v>
      </c>
      <c r="R260" s="186" t="s">
        <v>15</v>
      </c>
      <c r="S260" s="186" t="s">
        <v>15</v>
      </c>
      <c r="T260" s="186" t="s">
        <v>15</v>
      </c>
      <c r="U260" s="186" t="s">
        <v>15</v>
      </c>
      <c r="V260" s="186" t="s">
        <v>15</v>
      </c>
      <c r="W260" s="186" t="s">
        <v>15</v>
      </c>
      <c r="X260" s="186" t="s">
        <v>15</v>
      </c>
      <c r="Y260" s="186" t="s">
        <v>20</v>
      </c>
      <c r="Z260" s="186"/>
      <c r="AA260" s="186" t="s">
        <v>507</v>
      </c>
      <c r="AB260" s="186"/>
      <c r="AC260" s="186" t="s">
        <v>15</v>
      </c>
      <c r="AD260" s="268" t="s">
        <v>516</v>
      </c>
      <c r="AE260" s="268" t="s">
        <v>527</v>
      </c>
      <c r="AF260" s="144" t="str">
        <f t="shared" si="16"/>
        <v/>
      </c>
      <c r="AG260" s="144" t="str">
        <f t="shared" si="17"/>
        <v/>
      </c>
      <c r="AH260" s="146">
        <f t="shared" si="18"/>
        <v>15.349544072948326</v>
      </c>
      <c r="AI260" s="146" t="str">
        <f t="shared" si="19"/>
        <v/>
      </c>
      <c r="AJ260" s="303"/>
      <c r="AK260" s="303"/>
      <c r="AL260" s="303"/>
      <c r="AM260" s="303"/>
      <c r="AN260" s="303"/>
      <c r="AO260" s="303"/>
      <c r="AP260" s="303"/>
      <c r="AQ260" s="303"/>
      <c r="AR260" s="303"/>
      <c r="AS260" s="170"/>
      <c r="AT260" s="170"/>
      <c r="AU260" s="310"/>
      <c r="AW260" s="294"/>
      <c r="AX260" s="294"/>
      <c r="AY260" s="294"/>
      <c r="AZ260" s="294"/>
      <c r="BA260" s="294"/>
      <c r="BB260" s="294"/>
      <c r="BC260" s="294"/>
      <c r="BD260" s="294"/>
      <c r="BE260" s="294"/>
      <c r="BF260" s="382">
        <f>10.1/0.658</f>
        <v>15.349544072948326</v>
      </c>
      <c r="BG260" s="383"/>
      <c r="BH260" s="278"/>
      <c r="BI260" s="365"/>
      <c r="BJ260" s="411"/>
    </row>
    <row r="261" spans="1:62" ht="15.75" customHeight="1" thickBot="1" x14ac:dyDescent="0.25">
      <c r="A261" s="156">
        <v>260</v>
      </c>
      <c r="B261" s="155">
        <v>1</v>
      </c>
      <c r="C261" s="148" t="s">
        <v>39</v>
      </c>
      <c r="D261" s="148" t="s">
        <v>40</v>
      </c>
      <c r="E261" s="148" t="s">
        <v>13</v>
      </c>
      <c r="F261" s="148" t="s">
        <v>504</v>
      </c>
      <c r="G261" s="148" t="s">
        <v>20</v>
      </c>
      <c r="H261" s="148" t="s">
        <v>108</v>
      </c>
      <c r="I261" s="161">
        <v>2006</v>
      </c>
      <c r="J261" s="161" t="s">
        <v>505</v>
      </c>
      <c r="K261" s="161" t="s">
        <v>506</v>
      </c>
      <c r="L261" s="161" t="s">
        <v>104</v>
      </c>
      <c r="M261" s="453" t="s">
        <v>4135</v>
      </c>
      <c r="N261" s="186" t="s">
        <v>20</v>
      </c>
      <c r="O261" s="186" t="s">
        <v>20</v>
      </c>
      <c r="P261" s="186" t="s">
        <v>15</v>
      </c>
      <c r="Q261" s="186" t="s">
        <v>15</v>
      </c>
      <c r="R261" s="186" t="s">
        <v>15</v>
      </c>
      <c r="S261" s="186" t="s">
        <v>15</v>
      </c>
      <c r="T261" s="186" t="s">
        <v>15</v>
      </c>
      <c r="U261" s="186" t="s">
        <v>15</v>
      </c>
      <c r="V261" s="186" t="s">
        <v>15</v>
      </c>
      <c r="W261" s="186" t="s">
        <v>15</v>
      </c>
      <c r="X261" s="186" t="s">
        <v>15</v>
      </c>
      <c r="Y261" s="186" t="s">
        <v>20</v>
      </c>
      <c r="Z261" s="186"/>
      <c r="AA261" s="186" t="s">
        <v>507</v>
      </c>
      <c r="AB261" s="186"/>
      <c r="AC261" s="186" t="s">
        <v>15</v>
      </c>
      <c r="AD261" s="268" t="s">
        <v>528</v>
      </c>
      <c r="AE261" s="268" t="s">
        <v>509</v>
      </c>
      <c r="AF261" s="144" t="str">
        <f t="shared" si="16"/>
        <v/>
      </c>
      <c r="AG261" s="144" t="str">
        <f t="shared" si="17"/>
        <v/>
      </c>
      <c r="AH261" s="146">
        <f t="shared" si="18"/>
        <v>5.53</v>
      </c>
      <c r="AI261" s="146" t="str">
        <f t="shared" si="19"/>
        <v/>
      </c>
      <c r="AJ261" s="303"/>
      <c r="AK261" s="303"/>
      <c r="AL261" s="303"/>
      <c r="AM261" s="303"/>
      <c r="AN261" s="303"/>
      <c r="AO261" s="303"/>
      <c r="AP261" s="303"/>
      <c r="AQ261" s="303"/>
      <c r="AR261" s="303"/>
      <c r="AS261" s="170"/>
      <c r="AT261" s="170"/>
      <c r="AU261" s="310"/>
      <c r="AW261" s="294"/>
      <c r="AX261" s="294"/>
      <c r="AY261" s="294"/>
      <c r="AZ261" s="294"/>
      <c r="BA261" s="294"/>
      <c r="BB261" s="294"/>
      <c r="BC261" s="294"/>
      <c r="BD261" s="294"/>
      <c r="BE261" s="294"/>
      <c r="BF261" s="382">
        <v>5.53</v>
      </c>
      <c r="BG261" s="383"/>
      <c r="BH261" s="278"/>
      <c r="BI261" s="365"/>
      <c r="BJ261" s="411"/>
    </row>
    <row r="262" spans="1:62" ht="15.75" customHeight="1" thickBot="1" x14ac:dyDescent="0.25">
      <c r="A262" s="154">
        <v>261</v>
      </c>
      <c r="B262" s="155">
        <v>1</v>
      </c>
      <c r="C262" s="148" t="s">
        <v>39</v>
      </c>
      <c r="D262" s="148" t="s">
        <v>40</v>
      </c>
      <c r="E262" s="148" t="s">
        <v>13</v>
      </c>
      <c r="F262" s="148" t="s">
        <v>379</v>
      </c>
      <c r="G262" s="148" t="s">
        <v>20</v>
      </c>
      <c r="H262" s="148" t="s">
        <v>108</v>
      </c>
      <c r="I262" s="161">
        <v>2006</v>
      </c>
      <c r="J262" s="161" t="s">
        <v>505</v>
      </c>
      <c r="K262" s="161" t="s">
        <v>506</v>
      </c>
      <c r="L262" s="161" t="s">
        <v>104</v>
      </c>
      <c r="M262" s="453" t="s">
        <v>4135</v>
      </c>
      <c r="N262" s="186" t="s">
        <v>20</v>
      </c>
      <c r="O262" s="186" t="s">
        <v>20</v>
      </c>
      <c r="P262" s="186" t="s">
        <v>15</v>
      </c>
      <c r="Q262" s="186" t="s">
        <v>15</v>
      </c>
      <c r="R262" s="186" t="s">
        <v>15</v>
      </c>
      <c r="S262" s="186" t="s">
        <v>15</v>
      </c>
      <c r="T262" s="186" t="s">
        <v>15</v>
      </c>
      <c r="U262" s="186" t="s">
        <v>15</v>
      </c>
      <c r="V262" s="186" t="s">
        <v>15</v>
      </c>
      <c r="W262" s="186" t="s">
        <v>15</v>
      </c>
      <c r="X262" s="186" t="s">
        <v>15</v>
      </c>
      <c r="Y262" s="186" t="s">
        <v>20</v>
      </c>
      <c r="Z262" s="186"/>
      <c r="AA262" s="186" t="s">
        <v>507</v>
      </c>
      <c r="AB262" s="186"/>
      <c r="AC262" s="186" t="s">
        <v>15</v>
      </c>
      <c r="AD262" s="268" t="s">
        <v>528</v>
      </c>
      <c r="AE262" s="268" t="s">
        <v>509</v>
      </c>
      <c r="AF262" s="144" t="str">
        <f t="shared" si="16"/>
        <v/>
      </c>
      <c r="AG262" s="144" t="str">
        <f t="shared" si="17"/>
        <v/>
      </c>
      <c r="AH262" s="146">
        <f t="shared" si="18"/>
        <v>7</v>
      </c>
      <c r="AI262" s="146" t="str">
        <f t="shared" si="19"/>
        <v/>
      </c>
      <c r="AJ262" s="303"/>
      <c r="AK262" s="303"/>
      <c r="AL262" s="303"/>
      <c r="AM262" s="303"/>
      <c r="AN262" s="303"/>
      <c r="AO262" s="303"/>
      <c r="AP262" s="303"/>
      <c r="AQ262" s="303"/>
      <c r="AR262" s="303"/>
      <c r="AS262" s="170"/>
      <c r="AT262" s="170"/>
      <c r="AU262" s="310"/>
      <c r="AW262" s="294"/>
      <c r="AX262" s="294"/>
      <c r="AY262" s="294"/>
      <c r="AZ262" s="294"/>
      <c r="BA262" s="294"/>
      <c r="BB262" s="294"/>
      <c r="BC262" s="294"/>
      <c r="BD262" s="294"/>
      <c r="BE262" s="294"/>
      <c r="BF262" s="382">
        <v>7</v>
      </c>
      <c r="BG262" s="383"/>
      <c r="BH262" s="278"/>
      <c r="BI262" s="365"/>
      <c r="BJ262" s="411"/>
    </row>
    <row r="263" spans="1:62" ht="15.75" customHeight="1" thickBot="1" x14ac:dyDescent="0.25">
      <c r="A263" s="156">
        <v>262</v>
      </c>
      <c r="B263" s="155">
        <v>1</v>
      </c>
      <c r="C263" s="148" t="s">
        <v>39</v>
      </c>
      <c r="D263" s="148" t="s">
        <v>40</v>
      </c>
      <c r="E263" s="148" t="s">
        <v>13</v>
      </c>
      <c r="F263" s="148" t="s">
        <v>529</v>
      </c>
      <c r="G263" s="148" t="s">
        <v>20</v>
      </c>
      <c r="H263" s="148" t="s">
        <v>108</v>
      </c>
      <c r="I263" s="161">
        <v>2006</v>
      </c>
      <c r="J263" s="161" t="s">
        <v>505</v>
      </c>
      <c r="K263" s="161" t="s">
        <v>506</v>
      </c>
      <c r="L263" s="161" t="s">
        <v>104</v>
      </c>
      <c r="M263" s="453" t="s">
        <v>4135</v>
      </c>
      <c r="N263" s="186" t="s">
        <v>20</v>
      </c>
      <c r="O263" s="186" t="s">
        <v>20</v>
      </c>
      <c r="P263" s="186" t="s">
        <v>15</v>
      </c>
      <c r="Q263" s="186" t="s">
        <v>15</v>
      </c>
      <c r="R263" s="186" t="s">
        <v>15</v>
      </c>
      <c r="S263" s="186" t="s">
        <v>15</v>
      </c>
      <c r="T263" s="186" t="s">
        <v>15</v>
      </c>
      <c r="U263" s="186" t="s">
        <v>15</v>
      </c>
      <c r="V263" s="186" t="s">
        <v>15</v>
      </c>
      <c r="W263" s="186" t="s">
        <v>15</v>
      </c>
      <c r="X263" s="186" t="s">
        <v>15</v>
      </c>
      <c r="Y263" s="186" t="s">
        <v>20</v>
      </c>
      <c r="Z263" s="186"/>
      <c r="AA263" s="186" t="s">
        <v>507</v>
      </c>
      <c r="AB263" s="186"/>
      <c r="AC263" s="186" t="s">
        <v>15</v>
      </c>
      <c r="AD263" s="268" t="s">
        <v>528</v>
      </c>
      <c r="AE263" s="268" t="s">
        <v>509</v>
      </c>
      <c r="AF263" s="144" t="str">
        <f t="shared" si="16"/>
        <v/>
      </c>
      <c r="AG263" s="144" t="str">
        <f t="shared" si="17"/>
        <v/>
      </c>
      <c r="AH263" s="146">
        <f t="shared" si="18"/>
        <v>5.25</v>
      </c>
      <c r="AI263" s="146" t="str">
        <f t="shared" si="19"/>
        <v/>
      </c>
      <c r="AJ263" s="303"/>
      <c r="AK263" s="303"/>
      <c r="AL263" s="303"/>
      <c r="AM263" s="303"/>
      <c r="AN263" s="303"/>
      <c r="AO263" s="303"/>
      <c r="AP263" s="303"/>
      <c r="AQ263" s="303"/>
      <c r="AR263" s="303"/>
      <c r="AS263" s="170"/>
      <c r="AT263" s="170"/>
      <c r="AU263" s="310"/>
      <c r="AW263" s="294"/>
      <c r="AX263" s="294"/>
      <c r="AY263" s="294"/>
      <c r="AZ263" s="294"/>
      <c r="BA263" s="294"/>
      <c r="BB263" s="294"/>
      <c r="BC263" s="294"/>
      <c r="BD263" s="294"/>
      <c r="BE263" s="294"/>
      <c r="BF263" s="382">
        <v>5.25</v>
      </c>
      <c r="BG263" s="383"/>
      <c r="BH263" s="278"/>
      <c r="BI263" s="365"/>
      <c r="BJ263" s="411"/>
    </row>
    <row r="264" spans="1:62" ht="15.75" customHeight="1" thickBot="1" x14ac:dyDescent="0.25">
      <c r="A264" s="154">
        <v>263</v>
      </c>
      <c r="B264" s="155">
        <v>1</v>
      </c>
      <c r="C264" s="148" t="s">
        <v>39</v>
      </c>
      <c r="D264" s="148" t="s">
        <v>40</v>
      </c>
      <c r="E264" s="148" t="s">
        <v>13</v>
      </c>
      <c r="F264" s="148" t="s">
        <v>530</v>
      </c>
      <c r="G264" s="148" t="s">
        <v>20</v>
      </c>
      <c r="H264" s="148" t="s">
        <v>108</v>
      </c>
      <c r="I264" s="161">
        <v>2006</v>
      </c>
      <c r="J264" s="161" t="s">
        <v>505</v>
      </c>
      <c r="K264" s="161" t="s">
        <v>506</v>
      </c>
      <c r="L264" s="161" t="s">
        <v>104</v>
      </c>
      <c r="M264" s="453" t="s">
        <v>4135</v>
      </c>
      <c r="N264" s="186" t="s">
        <v>20</v>
      </c>
      <c r="O264" s="186" t="s">
        <v>20</v>
      </c>
      <c r="P264" s="186" t="s">
        <v>15</v>
      </c>
      <c r="Q264" s="186" t="s">
        <v>15</v>
      </c>
      <c r="R264" s="186" t="s">
        <v>15</v>
      </c>
      <c r="S264" s="186" t="s">
        <v>15</v>
      </c>
      <c r="T264" s="186" t="s">
        <v>15</v>
      </c>
      <c r="U264" s="186" t="s">
        <v>15</v>
      </c>
      <c r="V264" s="186" t="s">
        <v>15</v>
      </c>
      <c r="W264" s="186" t="s">
        <v>15</v>
      </c>
      <c r="X264" s="186" t="s">
        <v>15</v>
      </c>
      <c r="Y264" s="186" t="s">
        <v>20</v>
      </c>
      <c r="Z264" s="186"/>
      <c r="AA264" s="186" t="s">
        <v>507</v>
      </c>
      <c r="AB264" s="186"/>
      <c r="AC264" s="186" t="s">
        <v>15</v>
      </c>
      <c r="AD264" s="268" t="s">
        <v>528</v>
      </c>
      <c r="AE264" s="268" t="s">
        <v>509</v>
      </c>
      <c r="AF264" s="144" t="str">
        <f t="shared" si="16"/>
        <v/>
      </c>
      <c r="AG264" s="144" t="str">
        <f t="shared" si="17"/>
        <v/>
      </c>
      <c r="AH264" s="146">
        <f t="shared" si="18"/>
        <v>6.18</v>
      </c>
      <c r="AI264" s="146" t="str">
        <f t="shared" si="19"/>
        <v/>
      </c>
      <c r="AJ264" s="303"/>
      <c r="AK264" s="303"/>
      <c r="AL264" s="303"/>
      <c r="AM264" s="303"/>
      <c r="AN264" s="303"/>
      <c r="AO264" s="303"/>
      <c r="AP264" s="303"/>
      <c r="AQ264" s="303"/>
      <c r="AR264" s="303"/>
      <c r="AS264" s="170"/>
      <c r="AT264" s="170"/>
      <c r="AU264" s="310"/>
      <c r="AW264" s="294"/>
      <c r="AX264" s="294"/>
      <c r="AY264" s="294"/>
      <c r="AZ264" s="294"/>
      <c r="BA264" s="294"/>
      <c r="BB264" s="294"/>
      <c r="BC264" s="294"/>
      <c r="BD264" s="294"/>
      <c r="BE264" s="294"/>
      <c r="BF264" s="382">
        <v>6.18</v>
      </c>
      <c r="BG264" s="383"/>
      <c r="BH264" s="278"/>
      <c r="BI264" s="365"/>
      <c r="BJ264" s="411"/>
    </row>
    <row r="265" spans="1:62" ht="15.75" customHeight="1" thickBot="1" x14ac:dyDescent="0.25">
      <c r="A265" s="156">
        <v>264</v>
      </c>
      <c r="B265" s="155">
        <v>1</v>
      </c>
      <c r="C265" s="148" t="s">
        <v>11</v>
      </c>
      <c r="D265" s="150" t="s">
        <v>12</v>
      </c>
      <c r="E265" s="148" t="s">
        <v>13</v>
      </c>
      <c r="F265" s="148" t="s">
        <v>504</v>
      </c>
      <c r="G265" s="148" t="s">
        <v>20</v>
      </c>
      <c r="H265" s="148" t="s">
        <v>108</v>
      </c>
      <c r="I265" s="161">
        <v>2006</v>
      </c>
      <c r="J265" s="161" t="s">
        <v>505</v>
      </c>
      <c r="K265" s="161" t="s">
        <v>506</v>
      </c>
      <c r="L265" s="161" t="s">
        <v>104</v>
      </c>
      <c r="M265" s="453" t="s">
        <v>4135</v>
      </c>
      <c r="N265" s="186" t="s">
        <v>20</v>
      </c>
      <c r="O265" s="186" t="s">
        <v>20</v>
      </c>
      <c r="P265" s="186" t="s">
        <v>15</v>
      </c>
      <c r="Q265" s="186" t="s">
        <v>15</v>
      </c>
      <c r="R265" s="186" t="s">
        <v>15</v>
      </c>
      <c r="S265" s="186" t="s">
        <v>15</v>
      </c>
      <c r="T265" s="186" t="s">
        <v>15</v>
      </c>
      <c r="U265" s="186" t="s">
        <v>15</v>
      </c>
      <c r="V265" s="186" t="s">
        <v>15</v>
      </c>
      <c r="W265" s="186" t="s">
        <v>15</v>
      </c>
      <c r="X265" s="186" t="s">
        <v>15</v>
      </c>
      <c r="Y265" s="186" t="s">
        <v>20</v>
      </c>
      <c r="Z265" s="186"/>
      <c r="AA265" s="186" t="s">
        <v>507</v>
      </c>
      <c r="AB265" s="186"/>
      <c r="AC265" s="186" t="s">
        <v>15</v>
      </c>
      <c r="AD265" s="268" t="s">
        <v>531</v>
      </c>
      <c r="AE265" s="268" t="s">
        <v>532</v>
      </c>
      <c r="AF265" s="144" t="str">
        <f t="shared" si="16"/>
        <v/>
      </c>
      <c r="AG265" s="144" t="str">
        <f t="shared" si="17"/>
        <v/>
      </c>
      <c r="AH265" s="146">
        <f t="shared" si="18"/>
        <v>10.6</v>
      </c>
      <c r="AI265" s="146" t="str">
        <f t="shared" si="19"/>
        <v/>
      </c>
      <c r="AJ265" s="303"/>
      <c r="AK265" s="303"/>
      <c r="AL265" s="303"/>
      <c r="AM265" s="303"/>
      <c r="AN265" s="303"/>
      <c r="AO265" s="303"/>
      <c r="AP265" s="303"/>
      <c r="AQ265" s="303"/>
      <c r="AR265" s="303"/>
      <c r="AS265" s="170"/>
      <c r="AT265" s="170"/>
      <c r="AU265" s="310"/>
      <c r="AW265" s="294"/>
      <c r="AX265" s="294"/>
      <c r="AY265" s="294"/>
      <c r="AZ265" s="294"/>
      <c r="BA265" s="294"/>
      <c r="BB265" s="294"/>
      <c r="BC265" s="294"/>
      <c r="BD265" s="294"/>
      <c r="BE265" s="294"/>
      <c r="BF265" s="382">
        <v>10.6</v>
      </c>
      <c r="BG265" s="383"/>
      <c r="BH265" s="278"/>
      <c r="BI265" s="365"/>
      <c r="BJ265" s="411"/>
    </row>
    <row r="266" spans="1:62" ht="15.75" customHeight="1" thickBot="1" x14ac:dyDescent="0.25">
      <c r="A266" s="154">
        <v>265</v>
      </c>
      <c r="B266" s="155">
        <v>1</v>
      </c>
      <c r="C266" s="148" t="s">
        <v>11</v>
      </c>
      <c r="D266" s="150" t="s">
        <v>12</v>
      </c>
      <c r="E266" s="148" t="s">
        <v>13</v>
      </c>
      <c r="F266" s="148" t="s">
        <v>379</v>
      </c>
      <c r="G266" s="148" t="s">
        <v>20</v>
      </c>
      <c r="H266" s="148" t="s">
        <v>108</v>
      </c>
      <c r="I266" s="161">
        <v>2006</v>
      </c>
      <c r="J266" s="161" t="s">
        <v>505</v>
      </c>
      <c r="K266" s="161" t="s">
        <v>506</v>
      </c>
      <c r="L266" s="161" t="s">
        <v>104</v>
      </c>
      <c r="M266" s="453" t="s">
        <v>4135</v>
      </c>
      <c r="N266" s="186" t="s">
        <v>20</v>
      </c>
      <c r="O266" s="186" t="s">
        <v>20</v>
      </c>
      <c r="P266" s="186" t="s">
        <v>15</v>
      </c>
      <c r="Q266" s="186" t="s">
        <v>15</v>
      </c>
      <c r="R266" s="186" t="s">
        <v>15</v>
      </c>
      <c r="S266" s="186" t="s">
        <v>15</v>
      </c>
      <c r="T266" s="186" t="s">
        <v>15</v>
      </c>
      <c r="U266" s="186" t="s">
        <v>15</v>
      </c>
      <c r="V266" s="186" t="s">
        <v>15</v>
      </c>
      <c r="W266" s="186" t="s">
        <v>15</v>
      </c>
      <c r="X266" s="186" t="s">
        <v>15</v>
      </c>
      <c r="Y266" s="186" t="s">
        <v>20</v>
      </c>
      <c r="Z266" s="186"/>
      <c r="AA266" s="186" t="s">
        <v>507</v>
      </c>
      <c r="AB266" s="186"/>
      <c r="AC266" s="186" t="s">
        <v>15</v>
      </c>
      <c r="AD266" s="268" t="s">
        <v>531</v>
      </c>
      <c r="AE266" s="268" t="s">
        <v>532</v>
      </c>
      <c r="AF266" s="144" t="str">
        <f t="shared" si="16"/>
        <v/>
      </c>
      <c r="AG266" s="144" t="str">
        <f t="shared" si="17"/>
        <v/>
      </c>
      <c r="AH266" s="146">
        <f t="shared" si="18"/>
        <v>12.3</v>
      </c>
      <c r="AI266" s="146" t="str">
        <f t="shared" si="19"/>
        <v/>
      </c>
      <c r="AJ266" s="303"/>
      <c r="AK266" s="303"/>
      <c r="AL266" s="303"/>
      <c r="AM266" s="303"/>
      <c r="AN266" s="303"/>
      <c r="AO266" s="303"/>
      <c r="AP266" s="303"/>
      <c r="AQ266" s="303"/>
      <c r="AR266" s="303"/>
      <c r="AS266" s="170"/>
      <c r="AT266" s="170"/>
      <c r="AU266" s="310"/>
      <c r="AW266" s="294"/>
      <c r="AX266" s="294"/>
      <c r="AY266" s="294"/>
      <c r="AZ266" s="294"/>
      <c r="BA266" s="294"/>
      <c r="BB266" s="294"/>
      <c r="BC266" s="294"/>
      <c r="BD266" s="294"/>
      <c r="BE266" s="294"/>
      <c r="BF266" s="382">
        <v>12.3</v>
      </c>
      <c r="BG266" s="383"/>
      <c r="BH266" s="278"/>
      <c r="BI266" s="365"/>
      <c r="BJ266" s="411"/>
    </row>
    <row r="267" spans="1:62" ht="15.75" customHeight="1" thickBot="1" x14ac:dyDescent="0.25">
      <c r="A267" s="156">
        <v>266</v>
      </c>
      <c r="B267" s="155">
        <v>1</v>
      </c>
      <c r="C267" s="148" t="s">
        <v>11</v>
      </c>
      <c r="D267" s="150" t="s">
        <v>12</v>
      </c>
      <c r="E267" s="148" t="s">
        <v>13</v>
      </c>
      <c r="F267" s="148" t="s">
        <v>533</v>
      </c>
      <c r="G267" s="148" t="s">
        <v>20</v>
      </c>
      <c r="H267" s="148" t="s">
        <v>108</v>
      </c>
      <c r="I267" s="161">
        <v>2006</v>
      </c>
      <c r="J267" s="161" t="s">
        <v>505</v>
      </c>
      <c r="K267" s="161" t="s">
        <v>506</v>
      </c>
      <c r="L267" s="161" t="s">
        <v>104</v>
      </c>
      <c r="M267" s="453" t="s">
        <v>4135</v>
      </c>
      <c r="N267" s="186" t="s">
        <v>20</v>
      </c>
      <c r="O267" s="186" t="s">
        <v>20</v>
      </c>
      <c r="P267" s="186" t="s">
        <v>15</v>
      </c>
      <c r="Q267" s="186" t="s">
        <v>15</v>
      </c>
      <c r="R267" s="186" t="s">
        <v>15</v>
      </c>
      <c r="S267" s="186" t="s">
        <v>15</v>
      </c>
      <c r="T267" s="186" t="s">
        <v>15</v>
      </c>
      <c r="U267" s="186" t="s">
        <v>15</v>
      </c>
      <c r="V267" s="186" t="s">
        <v>15</v>
      </c>
      <c r="W267" s="186" t="s">
        <v>15</v>
      </c>
      <c r="X267" s="186" t="s">
        <v>15</v>
      </c>
      <c r="Y267" s="186" t="s">
        <v>20</v>
      </c>
      <c r="Z267" s="186"/>
      <c r="AA267" s="186" t="s">
        <v>507</v>
      </c>
      <c r="AB267" s="186"/>
      <c r="AC267" s="186" t="s">
        <v>15</v>
      </c>
      <c r="AD267" s="268" t="s">
        <v>531</v>
      </c>
      <c r="AE267" s="268" t="s">
        <v>532</v>
      </c>
      <c r="AF267" s="144" t="str">
        <f t="shared" si="16"/>
        <v/>
      </c>
      <c r="AG267" s="144" t="str">
        <f t="shared" si="17"/>
        <v/>
      </c>
      <c r="AH267" s="146">
        <f t="shared" si="18"/>
        <v>10.3</v>
      </c>
      <c r="AI267" s="146" t="str">
        <f t="shared" si="19"/>
        <v/>
      </c>
      <c r="AJ267" s="303"/>
      <c r="AK267" s="303"/>
      <c r="AL267" s="303"/>
      <c r="AM267" s="303"/>
      <c r="AN267" s="303"/>
      <c r="AO267" s="303"/>
      <c r="AP267" s="303"/>
      <c r="AQ267" s="303"/>
      <c r="AR267" s="303"/>
      <c r="AS267" s="170"/>
      <c r="AT267" s="170"/>
      <c r="AU267" s="310"/>
      <c r="AW267" s="294"/>
      <c r="AX267" s="294"/>
      <c r="AY267" s="294"/>
      <c r="AZ267" s="294"/>
      <c r="BA267" s="294"/>
      <c r="BB267" s="294"/>
      <c r="BC267" s="294"/>
      <c r="BD267" s="294"/>
      <c r="BE267" s="294"/>
      <c r="BF267" s="382">
        <v>10.3</v>
      </c>
      <c r="BG267" s="383"/>
      <c r="BH267" s="278"/>
      <c r="BI267" s="365"/>
      <c r="BJ267" s="411"/>
    </row>
    <row r="268" spans="1:62" ht="15.75" customHeight="1" thickBot="1" x14ac:dyDescent="0.25">
      <c r="A268" s="154">
        <v>267</v>
      </c>
      <c r="B268" s="155">
        <v>1</v>
      </c>
      <c r="C268" s="148" t="s">
        <v>162</v>
      </c>
      <c r="D268" s="148" t="s">
        <v>4055</v>
      </c>
      <c r="E268" s="148" t="s">
        <v>13</v>
      </c>
      <c r="F268" s="148" t="s">
        <v>379</v>
      </c>
      <c r="G268" s="148" t="s">
        <v>20</v>
      </c>
      <c r="H268" s="148" t="s">
        <v>108</v>
      </c>
      <c r="I268" s="161">
        <v>2006</v>
      </c>
      <c r="J268" s="161" t="s">
        <v>505</v>
      </c>
      <c r="K268" s="161" t="s">
        <v>506</v>
      </c>
      <c r="L268" s="161" t="s">
        <v>104</v>
      </c>
      <c r="M268" s="453" t="s">
        <v>4135</v>
      </c>
      <c r="N268" s="186" t="s">
        <v>20</v>
      </c>
      <c r="O268" s="186" t="s">
        <v>20</v>
      </c>
      <c r="P268" s="186" t="s">
        <v>15</v>
      </c>
      <c r="Q268" s="186" t="s">
        <v>15</v>
      </c>
      <c r="R268" s="186" t="s">
        <v>15</v>
      </c>
      <c r="S268" s="186" t="s">
        <v>15</v>
      </c>
      <c r="T268" s="186" t="s">
        <v>15</v>
      </c>
      <c r="U268" s="186" t="s">
        <v>15</v>
      </c>
      <c r="V268" s="186" t="s">
        <v>15</v>
      </c>
      <c r="W268" s="186" t="s">
        <v>15</v>
      </c>
      <c r="X268" s="186" t="s">
        <v>15</v>
      </c>
      <c r="Y268" s="186" t="s">
        <v>20</v>
      </c>
      <c r="Z268" s="186"/>
      <c r="AA268" s="186" t="s">
        <v>507</v>
      </c>
      <c r="AB268" s="186"/>
      <c r="AC268" s="186" t="s">
        <v>15</v>
      </c>
      <c r="AD268" s="268" t="s">
        <v>534</v>
      </c>
      <c r="AE268" s="268" t="s">
        <v>509</v>
      </c>
      <c r="AF268" s="144" t="str">
        <f t="shared" si="16"/>
        <v/>
      </c>
      <c r="AG268" s="144" t="str">
        <f t="shared" si="17"/>
        <v/>
      </c>
      <c r="AH268" s="146">
        <f t="shared" si="18"/>
        <v>17.5</v>
      </c>
      <c r="AI268" s="146" t="str">
        <f t="shared" si="19"/>
        <v/>
      </c>
      <c r="AJ268" s="303"/>
      <c r="AK268" s="303"/>
      <c r="AL268" s="303"/>
      <c r="AM268" s="303"/>
      <c r="AN268" s="303"/>
      <c r="AO268" s="303"/>
      <c r="AP268" s="303"/>
      <c r="AQ268" s="303"/>
      <c r="AR268" s="303"/>
      <c r="AS268" s="170"/>
      <c r="AT268" s="170"/>
      <c r="AU268" s="310"/>
      <c r="AW268" s="294"/>
      <c r="AX268" s="294"/>
      <c r="AY268" s="294"/>
      <c r="AZ268" s="294"/>
      <c r="BA268" s="294"/>
      <c r="BB268" s="294"/>
      <c r="BC268" s="294"/>
      <c r="BD268" s="294"/>
      <c r="BE268" s="294"/>
      <c r="BF268" s="382">
        <v>17.5</v>
      </c>
      <c r="BG268" s="383"/>
      <c r="BH268" s="278"/>
      <c r="BI268" s="365"/>
      <c r="BJ268" s="411"/>
    </row>
    <row r="269" spans="1:62" ht="15.75" customHeight="1" thickBot="1" x14ac:dyDescent="0.25">
      <c r="A269" s="156">
        <v>268</v>
      </c>
      <c r="B269" s="155">
        <v>1</v>
      </c>
      <c r="C269" s="148" t="s">
        <v>162</v>
      </c>
      <c r="D269" s="148" t="s">
        <v>4055</v>
      </c>
      <c r="E269" s="148" t="s">
        <v>13</v>
      </c>
      <c r="F269" s="148" t="s">
        <v>504</v>
      </c>
      <c r="G269" s="148" t="s">
        <v>20</v>
      </c>
      <c r="H269" s="148" t="s">
        <v>108</v>
      </c>
      <c r="I269" s="161">
        <v>2006</v>
      </c>
      <c r="J269" s="161" t="s">
        <v>505</v>
      </c>
      <c r="K269" s="161" t="s">
        <v>506</v>
      </c>
      <c r="L269" s="161" t="s">
        <v>104</v>
      </c>
      <c r="M269" s="453" t="s">
        <v>4135</v>
      </c>
      <c r="N269" s="186" t="s">
        <v>20</v>
      </c>
      <c r="O269" s="186" t="s">
        <v>20</v>
      </c>
      <c r="P269" s="186" t="s">
        <v>15</v>
      </c>
      <c r="Q269" s="186" t="s">
        <v>15</v>
      </c>
      <c r="R269" s="186" t="s">
        <v>15</v>
      </c>
      <c r="S269" s="186" t="s">
        <v>15</v>
      </c>
      <c r="T269" s="186" t="s">
        <v>15</v>
      </c>
      <c r="U269" s="186" t="s">
        <v>15</v>
      </c>
      <c r="V269" s="186" t="s">
        <v>15</v>
      </c>
      <c r="W269" s="186" t="s">
        <v>15</v>
      </c>
      <c r="X269" s="186" t="s">
        <v>15</v>
      </c>
      <c r="Y269" s="186" t="s">
        <v>20</v>
      </c>
      <c r="Z269" s="186"/>
      <c r="AA269" s="186" t="s">
        <v>507</v>
      </c>
      <c r="AB269" s="186"/>
      <c r="AC269" s="186" t="s">
        <v>15</v>
      </c>
      <c r="AD269" s="268" t="s">
        <v>534</v>
      </c>
      <c r="AE269" s="268" t="s">
        <v>509</v>
      </c>
      <c r="AF269" s="144" t="str">
        <f t="shared" si="16"/>
        <v/>
      </c>
      <c r="AG269" s="144" t="str">
        <f t="shared" si="17"/>
        <v/>
      </c>
      <c r="AH269" s="146">
        <f t="shared" si="18"/>
        <v>9.1</v>
      </c>
      <c r="AI269" s="146" t="str">
        <f t="shared" si="19"/>
        <v/>
      </c>
      <c r="AJ269" s="303"/>
      <c r="AK269" s="303"/>
      <c r="AL269" s="303"/>
      <c r="AM269" s="303"/>
      <c r="AN269" s="303"/>
      <c r="AO269" s="303"/>
      <c r="AP269" s="303"/>
      <c r="AQ269" s="303"/>
      <c r="AR269" s="303"/>
      <c r="AS269" s="170"/>
      <c r="AT269" s="170"/>
      <c r="AU269" s="310"/>
      <c r="AW269" s="294"/>
      <c r="AX269" s="294"/>
      <c r="AY269" s="294"/>
      <c r="AZ269" s="294"/>
      <c r="BA269" s="294"/>
      <c r="BB269" s="294"/>
      <c r="BC269" s="294"/>
      <c r="BD269" s="294"/>
      <c r="BE269" s="294"/>
      <c r="BF269" s="382">
        <v>9.1</v>
      </c>
      <c r="BG269" s="383"/>
      <c r="BH269" s="278"/>
      <c r="BI269" s="365"/>
      <c r="BJ269" s="411"/>
    </row>
    <row r="270" spans="1:62" ht="15.75" customHeight="1" thickBot="1" x14ac:dyDescent="0.25">
      <c r="A270" s="154">
        <v>269</v>
      </c>
      <c r="B270" s="155">
        <v>1</v>
      </c>
      <c r="C270" s="148" t="s">
        <v>162</v>
      </c>
      <c r="D270" s="148" t="s">
        <v>4055</v>
      </c>
      <c r="E270" s="148" t="s">
        <v>13</v>
      </c>
      <c r="F270" s="148" t="s">
        <v>535</v>
      </c>
      <c r="G270" s="148" t="s">
        <v>20</v>
      </c>
      <c r="H270" s="148" t="s">
        <v>108</v>
      </c>
      <c r="I270" s="161">
        <v>2006</v>
      </c>
      <c r="J270" s="161" t="s">
        <v>505</v>
      </c>
      <c r="K270" s="161" t="s">
        <v>506</v>
      </c>
      <c r="L270" s="161" t="s">
        <v>104</v>
      </c>
      <c r="M270" s="453" t="s">
        <v>4135</v>
      </c>
      <c r="N270" s="186" t="s">
        <v>20</v>
      </c>
      <c r="O270" s="186" t="s">
        <v>20</v>
      </c>
      <c r="P270" s="186" t="s">
        <v>15</v>
      </c>
      <c r="Q270" s="186" t="s">
        <v>15</v>
      </c>
      <c r="R270" s="186" t="s">
        <v>15</v>
      </c>
      <c r="S270" s="186" t="s">
        <v>15</v>
      </c>
      <c r="T270" s="186" t="s">
        <v>15</v>
      </c>
      <c r="U270" s="186" t="s">
        <v>15</v>
      </c>
      <c r="V270" s="186" t="s">
        <v>15</v>
      </c>
      <c r="W270" s="186" t="s">
        <v>15</v>
      </c>
      <c r="X270" s="186" t="s">
        <v>15</v>
      </c>
      <c r="Y270" s="186" t="s">
        <v>20</v>
      </c>
      <c r="Z270" s="186"/>
      <c r="AA270" s="186" t="s">
        <v>507</v>
      </c>
      <c r="AB270" s="186"/>
      <c r="AC270" s="186" t="s">
        <v>15</v>
      </c>
      <c r="AD270" s="268" t="s">
        <v>534</v>
      </c>
      <c r="AE270" s="268" t="s">
        <v>509</v>
      </c>
      <c r="AF270" s="144" t="str">
        <f t="shared" si="16"/>
        <v/>
      </c>
      <c r="AG270" s="144" t="str">
        <f t="shared" si="17"/>
        <v/>
      </c>
      <c r="AH270" s="146">
        <f t="shared" si="18"/>
        <v>9.1</v>
      </c>
      <c r="AI270" s="146" t="str">
        <f t="shared" si="19"/>
        <v/>
      </c>
      <c r="AJ270" s="303"/>
      <c r="AK270" s="303"/>
      <c r="AL270" s="303"/>
      <c r="AM270" s="303"/>
      <c r="AN270" s="303"/>
      <c r="AO270" s="303"/>
      <c r="AP270" s="303"/>
      <c r="AQ270" s="303"/>
      <c r="AR270" s="303"/>
      <c r="AS270" s="170"/>
      <c r="AT270" s="170"/>
      <c r="AU270" s="310"/>
      <c r="AW270" s="294"/>
      <c r="AX270" s="294"/>
      <c r="AY270" s="294"/>
      <c r="AZ270" s="294"/>
      <c r="BA270" s="294"/>
      <c r="BB270" s="294"/>
      <c r="BC270" s="294"/>
      <c r="BD270" s="294"/>
      <c r="BE270" s="294"/>
      <c r="BF270" s="382">
        <v>9.1</v>
      </c>
      <c r="BG270" s="383"/>
      <c r="BH270" s="278"/>
      <c r="BI270" s="365"/>
      <c r="BJ270" s="411"/>
    </row>
    <row r="271" spans="1:62" ht="15.75" customHeight="1" thickBot="1" x14ac:dyDescent="0.25">
      <c r="A271" s="156">
        <v>270</v>
      </c>
      <c r="B271" s="155">
        <v>1</v>
      </c>
      <c r="C271" s="148" t="s">
        <v>162</v>
      </c>
      <c r="D271" s="148" t="s">
        <v>4055</v>
      </c>
      <c r="E271" s="148" t="s">
        <v>13</v>
      </c>
      <c r="F271" s="148" t="s">
        <v>536</v>
      </c>
      <c r="G271" s="148" t="s">
        <v>20</v>
      </c>
      <c r="H271" s="148" t="s">
        <v>108</v>
      </c>
      <c r="I271" s="161">
        <v>2006</v>
      </c>
      <c r="J271" s="161" t="s">
        <v>505</v>
      </c>
      <c r="K271" s="161" t="s">
        <v>506</v>
      </c>
      <c r="L271" s="161" t="s">
        <v>104</v>
      </c>
      <c r="M271" s="453" t="s">
        <v>4135</v>
      </c>
      <c r="N271" s="186" t="s">
        <v>20</v>
      </c>
      <c r="O271" s="186" t="s">
        <v>20</v>
      </c>
      <c r="P271" s="186" t="s">
        <v>15</v>
      </c>
      <c r="Q271" s="186" t="s">
        <v>15</v>
      </c>
      <c r="R271" s="186" t="s">
        <v>15</v>
      </c>
      <c r="S271" s="186" t="s">
        <v>15</v>
      </c>
      <c r="T271" s="186" t="s">
        <v>15</v>
      </c>
      <c r="U271" s="186" t="s">
        <v>15</v>
      </c>
      <c r="V271" s="186" t="s">
        <v>15</v>
      </c>
      <c r="W271" s="186" t="s">
        <v>15</v>
      </c>
      <c r="X271" s="186" t="s">
        <v>15</v>
      </c>
      <c r="Y271" s="186" t="s">
        <v>20</v>
      </c>
      <c r="Z271" s="186"/>
      <c r="AA271" s="186" t="s">
        <v>507</v>
      </c>
      <c r="AB271" s="186"/>
      <c r="AC271" s="186" t="s">
        <v>15</v>
      </c>
      <c r="AD271" s="268" t="s">
        <v>534</v>
      </c>
      <c r="AE271" s="268" t="s">
        <v>509</v>
      </c>
      <c r="AF271" s="144" t="str">
        <f t="shared" si="16"/>
        <v/>
      </c>
      <c r="AG271" s="144" t="str">
        <f t="shared" si="17"/>
        <v/>
      </c>
      <c r="AH271" s="146">
        <f t="shared" si="18"/>
        <v>12.2</v>
      </c>
      <c r="AI271" s="146" t="str">
        <f t="shared" si="19"/>
        <v/>
      </c>
      <c r="AJ271" s="303"/>
      <c r="AK271" s="303"/>
      <c r="AL271" s="303"/>
      <c r="AM271" s="303"/>
      <c r="AN271" s="303"/>
      <c r="AO271" s="303"/>
      <c r="AP271" s="303"/>
      <c r="AQ271" s="303"/>
      <c r="AR271" s="303"/>
      <c r="AS271" s="170"/>
      <c r="AT271" s="170"/>
      <c r="AU271" s="310"/>
      <c r="AW271" s="294"/>
      <c r="AX271" s="294"/>
      <c r="AY271" s="294"/>
      <c r="AZ271" s="294"/>
      <c r="BA271" s="294"/>
      <c r="BB271" s="294"/>
      <c r="BC271" s="294"/>
      <c r="BD271" s="294"/>
      <c r="BE271" s="294"/>
      <c r="BF271" s="382">
        <v>12.2</v>
      </c>
      <c r="BG271" s="383"/>
      <c r="BH271" s="278"/>
      <c r="BI271" s="365"/>
      <c r="BJ271" s="411"/>
    </row>
    <row r="272" spans="1:62" ht="15.75" customHeight="1" thickBot="1" x14ac:dyDescent="0.25">
      <c r="A272" s="154">
        <v>271</v>
      </c>
      <c r="B272" s="155">
        <v>1</v>
      </c>
      <c r="C272" s="148" t="s">
        <v>259</v>
      </c>
      <c r="D272" s="148" t="s">
        <v>260</v>
      </c>
      <c r="E272" s="148" t="s">
        <v>13</v>
      </c>
      <c r="F272" s="148" t="s">
        <v>537</v>
      </c>
      <c r="G272" s="148" t="s">
        <v>20</v>
      </c>
      <c r="H272" s="148" t="s">
        <v>80</v>
      </c>
      <c r="I272" s="161">
        <v>2014</v>
      </c>
      <c r="J272" s="161" t="s">
        <v>538</v>
      </c>
      <c r="K272" s="161" t="s">
        <v>539</v>
      </c>
      <c r="L272" s="161" t="s">
        <v>19</v>
      </c>
      <c r="M272" s="453" t="s">
        <v>4136</v>
      </c>
      <c r="N272" s="186" t="s">
        <v>20</v>
      </c>
      <c r="O272" s="186" t="s">
        <v>15</v>
      </c>
      <c r="P272" s="186" t="s">
        <v>20</v>
      </c>
      <c r="Q272" s="186" t="s">
        <v>20</v>
      </c>
      <c r="R272" s="186" t="s">
        <v>20</v>
      </c>
      <c r="S272" s="186" t="s">
        <v>20</v>
      </c>
      <c r="T272" s="186" t="s">
        <v>20</v>
      </c>
      <c r="U272" s="186" t="s">
        <v>15</v>
      </c>
      <c r="V272" s="186" t="s">
        <v>15</v>
      </c>
      <c r="W272" s="186" t="s">
        <v>15</v>
      </c>
      <c r="X272" s="186" t="s">
        <v>15</v>
      </c>
      <c r="Y272" s="186" t="s">
        <v>15</v>
      </c>
      <c r="Z272" s="186"/>
      <c r="AA272" s="186" t="s">
        <v>243</v>
      </c>
      <c r="AB272" s="186" t="s">
        <v>20</v>
      </c>
      <c r="AC272" s="186" t="s">
        <v>15</v>
      </c>
      <c r="AD272" s="268" t="s">
        <v>540</v>
      </c>
      <c r="AE272" s="268" t="s">
        <v>92</v>
      </c>
      <c r="AF272" s="144" t="str">
        <f t="shared" si="16"/>
        <v/>
      </c>
      <c r="AG272" s="144" t="str">
        <f t="shared" si="17"/>
        <v/>
      </c>
      <c r="AH272" s="146" t="str">
        <f t="shared" si="18"/>
        <v/>
      </c>
      <c r="AI272" s="146" t="str">
        <f t="shared" si="19"/>
        <v/>
      </c>
      <c r="AJ272" s="303"/>
      <c r="AK272" s="303"/>
      <c r="AL272" s="303"/>
      <c r="AM272" s="303"/>
      <c r="AN272" s="303"/>
      <c r="AO272" s="303"/>
      <c r="AP272" s="303"/>
      <c r="AQ272" s="303"/>
      <c r="AR272" s="303"/>
      <c r="AS272" s="170"/>
      <c r="AT272" s="170"/>
      <c r="AU272" s="310"/>
      <c r="AW272" s="294"/>
      <c r="AX272" s="294"/>
      <c r="AY272" s="294"/>
      <c r="AZ272" s="294"/>
      <c r="BA272" s="294"/>
      <c r="BB272" s="294"/>
      <c r="BC272" s="294"/>
      <c r="BD272" s="294"/>
      <c r="BE272" s="294"/>
      <c r="BF272" s="383"/>
      <c r="BG272" s="382">
        <v>0.47799999999999998</v>
      </c>
      <c r="BH272" s="278"/>
      <c r="BI272" s="365" t="s">
        <v>541</v>
      </c>
      <c r="BJ272" s="411"/>
    </row>
    <row r="273" spans="1:62" ht="15.75" customHeight="1" thickBot="1" x14ac:dyDescent="0.25">
      <c r="A273" s="156">
        <v>272</v>
      </c>
      <c r="B273" s="155">
        <v>1</v>
      </c>
      <c r="C273" s="148" t="s">
        <v>542</v>
      </c>
      <c r="D273" s="148" t="s">
        <v>2114</v>
      </c>
      <c r="E273" s="148" t="s">
        <v>13</v>
      </c>
      <c r="F273" s="148" t="s">
        <v>543</v>
      </c>
      <c r="G273" s="148" t="s">
        <v>15</v>
      </c>
      <c r="H273" s="148"/>
      <c r="I273" s="161">
        <v>2014</v>
      </c>
      <c r="J273" s="161" t="s">
        <v>544</v>
      </c>
      <c r="K273" s="161" t="s">
        <v>545</v>
      </c>
      <c r="L273" s="161" t="s">
        <v>168</v>
      </c>
      <c r="M273" s="453" t="s">
        <v>4137</v>
      </c>
      <c r="N273" s="186" t="s">
        <v>20</v>
      </c>
      <c r="O273" s="186" t="s">
        <v>20</v>
      </c>
      <c r="P273" s="186" t="s">
        <v>15</v>
      </c>
      <c r="Q273" s="186" t="s">
        <v>20</v>
      </c>
      <c r="R273" s="186" t="s">
        <v>15</v>
      </c>
      <c r="S273" s="186" t="s">
        <v>15</v>
      </c>
      <c r="T273" s="186" t="s">
        <v>15</v>
      </c>
      <c r="U273" s="186" t="s">
        <v>15</v>
      </c>
      <c r="V273" s="186" t="s">
        <v>15</v>
      </c>
      <c r="W273" s="186" t="s">
        <v>15</v>
      </c>
      <c r="X273" s="186" t="s">
        <v>15</v>
      </c>
      <c r="Y273" s="186" t="s">
        <v>15</v>
      </c>
      <c r="Z273" s="186"/>
      <c r="AA273" s="186" t="s">
        <v>546</v>
      </c>
      <c r="AB273" s="186" t="s">
        <v>15</v>
      </c>
      <c r="AC273" s="186" t="s">
        <v>15</v>
      </c>
      <c r="AD273" s="268" t="s">
        <v>547</v>
      </c>
      <c r="AE273" s="268" t="s">
        <v>548</v>
      </c>
      <c r="AF273" s="144" t="str">
        <f t="shared" si="16"/>
        <v/>
      </c>
      <c r="AG273" s="144" t="str">
        <f t="shared" si="17"/>
        <v/>
      </c>
      <c r="AH273" s="146" t="str">
        <f t="shared" si="18"/>
        <v/>
      </c>
      <c r="AI273" s="146" t="str">
        <f t="shared" si="19"/>
        <v/>
      </c>
      <c r="AJ273" s="303"/>
      <c r="AK273" s="303"/>
      <c r="AL273" s="303"/>
      <c r="AM273" s="303"/>
      <c r="AN273" s="303"/>
      <c r="AO273" s="303"/>
      <c r="AP273" s="303"/>
      <c r="AQ273" s="303"/>
      <c r="AR273" s="303"/>
      <c r="AS273" s="170"/>
      <c r="AT273" s="170"/>
      <c r="AU273" s="310"/>
      <c r="AW273" s="294"/>
      <c r="AX273" s="294"/>
      <c r="AY273" s="294"/>
      <c r="AZ273" s="294"/>
      <c r="BA273" s="294"/>
      <c r="BB273" s="294"/>
      <c r="BC273" s="294"/>
      <c r="BD273" s="294"/>
      <c r="BE273" s="294"/>
      <c r="BF273" s="383"/>
      <c r="BG273" s="382">
        <v>1.7</v>
      </c>
      <c r="BH273" s="278"/>
      <c r="BI273" s="365" t="s">
        <v>549</v>
      </c>
      <c r="BJ273" s="411"/>
    </row>
    <row r="274" spans="1:62" ht="15.75" customHeight="1" thickBot="1" x14ac:dyDescent="0.25">
      <c r="A274" s="154">
        <v>273</v>
      </c>
      <c r="B274" s="155">
        <v>1</v>
      </c>
      <c r="C274" s="148" t="s">
        <v>542</v>
      </c>
      <c r="D274" s="141" t="s">
        <v>2969</v>
      </c>
      <c r="E274" s="148" t="s">
        <v>13</v>
      </c>
      <c r="F274" s="148" t="s">
        <v>550</v>
      </c>
      <c r="G274" s="148" t="s">
        <v>15</v>
      </c>
      <c r="H274" s="148"/>
      <c r="I274" s="161">
        <v>2014</v>
      </c>
      <c r="J274" s="161" t="s">
        <v>544</v>
      </c>
      <c r="K274" s="161" t="s">
        <v>545</v>
      </c>
      <c r="L274" s="161" t="s">
        <v>168</v>
      </c>
      <c r="M274" s="453" t="s">
        <v>4137</v>
      </c>
      <c r="N274" s="186" t="s">
        <v>20</v>
      </c>
      <c r="O274" s="186" t="s">
        <v>20</v>
      </c>
      <c r="P274" s="186" t="s">
        <v>15</v>
      </c>
      <c r="Q274" s="186" t="s">
        <v>20</v>
      </c>
      <c r="R274" s="186" t="s">
        <v>15</v>
      </c>
      <c r="S274" s="186" t="s">
        <v>15</v>
      </c>
      <c r="T274" s="186" t="s">
        <v>15</v>
      </c>
      <c r="U274" s="186" t="s">
        <v>15</v>
      </c>
      <c r="V274" s="186" t="s">
        <v>15</v>
      </c>
      <c r="W274" s="186" t="s">
        <v>15</v>
      </c>
      <c r="X274" s="186" t="s">
        <v>15</v>
      </c>
      <c r="Y274" s="186" t="s">
        <v>15</v>
      </c>
      <c r="Z274" s="186"/>
      <c r="AA274" s="186" t="s">
        <v>546</v>
      </c>
      <c r="AB274" s="186" t="s">
        <v>15</v>
      </c>
      <c r="AC274" s="186" t="s">
        <v>15</v>
      </c>
      <c r="AD274" s="268" t="s">
        <v>547</v>
      </c>
      <c r="AE274" s="268" t="s">
        <v>548</v>
      </c>
      <c r="AF274" s="144" t="str">
        <f t="shared" si="16"/>
        <v/>
      </c>
      <c r="AG274" s="144" t="str">
        <f t="shared" si="17"/>
        <v/>
      </c>
      <c r="AH274" s="146" t="str">
        <f t="shared" si="18"/>
        <v/>
      </c>
      <c r="AI274" s="146" t="str">
        <f t="shared" si="19"/>
        <v/>
      </c>
      <c r="AJ274" s="303"/>
      <c r="AK274" s="303"/>
      <c r="AL274" s="303"/>
      <c r="AM274" s="303"/>
      <c r="AN274" s="303"/>
      <c r="AO274" s="303"/>
      <c r="AP274" s="303"/>
      <c r="AQ274" s="303"/>
      <c r="AR274" s="303"/>
      <c r="AS274" s="170"/>
      <c r="AT274" s="170"/>
      <c r="AU274" s="310"/>
      <c r="AW274" s="294"/>
      <c r="AX274" s="294"/>
      <c r="AY274" s="294"/>
      <c r="AZ274" s="294"/>
      <c r="BA274" s="294"/>
      <c r="BB274" s="294"/>
      <c r="BC274" s="294"/>
      <c r="BD274" s="294"/>
      <c r="BE274" s="294"/>
      <c r="BF274" s="383"/>
      <c r="BG274" s="382">
        <v>1.7</v>
      </c>
      <c r="BH274" s="278"/>
      <c r="BI274" s="365" t="s">
        <v>549</v>
      </c>
      <c r="BJ274" s="411"/>
    </row>
    <row r="275" spans="1:62" ht="15.75" customHeight="1" thickBot="1" x14ac:dyDescent="0.25">
      <c r="A275" s="156">
        <v>274</v>
      </c>
      <c r="B275" s="155">
        <v>1</v>
      </c>
      <c r="C275" s="148" t="s">
        <v>542</v>
      </c>
      <c r="D275" s="148" t="s">
        <v>3296</v>
      </c>
      <c r="E275" s="148" t="s">
        <v>13</v>
      </c>
      <c r="F275" s="148" t="s">
        <v>551</v>
      </c>
      <c r="G275" s="148" t="s">
        <v>15</v>
      </c>
      <c r="H275" s="148"/>
      <c r="I275" s="161">
        <v>2014</v>
      </c>
      <c r="J275" s="161" t="s">
        <v>544</v>
      </c>
      <c r="K275" s="161" t="s">
        <v>545</v>
      </c>
      <c r="L275" s="161" t="s">
        <v>168</v>
      </c>
      <c r="M275" s="453" t="s">
        <v>4137</v>
      </c>
      <c r="N275" s="186" t="s">
        <v>20</v>
      </c>
      <c r="O275" s="186" t="s">
        <v>20</v>
      </c>
      <c r="P275" s="186" t="s">
        <v>15</v>
      </c>
      <c r="Q275" s="186" t="s">
        <v>20</v>
      </c>
      <c r="R275" s="186" t="s">
        <v>15</v>
      </c>
      <c r="S275" s="186" t="s">
        <v>15</v>
      </c>
      <c r="T275" s="186" t="s">
        <v>15</v>
      </c>
      <c r="U275" s="186" t="s">
        <v>15</v>
      </c>
      <c r="V275" s="186" t="s">
        <v>15</v>
      </c>
      <c r="W275" s="186" t="s">
        <v>15</v>
      </c>
      <c r="X275" s="186" t="s">
        <v>15</v>
      </c>
      <c r="Y275" s="186" t="s">
        <v>15</v>
      </c>
      <c r="Z275" s="186"/>
      <c r="AA275" s="186" t="s">
        <v>546</v>
      </c>
      <c r="AB275" s="186" t="s">
        <v>15</v>
      </c>
      <c r="AC275" s="186" t="s">
        <v>15</v>
      </c>
      <c r="AD275" s="268" t="s">
        <v>547</v>
      </c>
      <c r="AE275" s="268" t="s">
        <v>548</v>
      </c>
      <c r="AF275" s="144" t="str">
        <f t="shared" si="16"/>
        <v/>
      </c>
      <c r="AG275" s="144" t="str">
        <f t="shared" si="17"/>
        <v/>
      </c>
      <c r="AH275" s="146" t="str">
        <f t="shared" si="18"/>
        <v/>
      </c>
      <c r="AI275" s="146" t="str">
        <f t="shared" si="19"/>
        <v/>
      </c>
      <c r="AJ275" s="303"/>
      <c r="AK275" s="303"/>
      <c r="AL275" s="303"/>
      <c r="AM275" s="303"/>
      <c r="AN275" s="303"/>
      <c r="AO275" s="303"/>
      <c r="AP275" s="303"/>
      <c r="AQ275" s="303"/>
      <c r="AR275" s="303"/>
      <c r="AS275" s="170"/>
      <c r="AT275" s="170"/>
      <c r="AU275" s="310"/>
      <c r="AW275" s="294"/>
      <c r="AX275" s="294"/>
      <c r="AY275" s="294"/>
      <c r="AZ275" s="294"/>
      <c r="BA275" s="294"/>
      <c r="BB275" s="294"/>
      <c r="BC275" s="294"/>
      <c r="BD275" s="294"/>
      <c r="BE275" s="294"/>
      <c r="BF275" s="383"/>
      <c r="BG275" s="382">
        <v>-0.05</v>
      </c>
      <c r="BH275" s="278"/>
      <c r="BI275" s="365" t="s">
        <v>549</v>
      </c>
      <c r="BJ275" s="411"/>
    </row>
    <row r="276" spans="1:62" ht="15.75" customHeight="1" thickBot="1" x14ac:dyDescent="0.25">
      <c r="A276" s="154">
        <v>275</v>
      </c>
      <c r="B276" s="155">
        <v>1</v>
      </c>
      <c r="C276" s="148" t="s">
        <v>542</v>
      </c>
      <c r="D276" s="141" t="s">
        <v>2289</v>
      </c>
      <c r="E276" s="148" t="s">
        <v>13</v>
      </c>
      <c r="F276" s="148" t="s">
        <v>552</v>
      </c>
      <c r="G276" s="148" t="s">
        <v>15</v>
      </c>
      <c r="H276" s="148"/>
      <c r="I276" s="161">
        <v>2014</v>
      </c>
      <c r="J276" s="161" t="s">
        <v>544</v>
      </c>
      <c r="K276" s="161" t="s">
        <v>545</v>
      </c>
      <c r="L276" s="161" t="s">
        <v>168</v>
      </c>
      <c r="M276" s="453" t="s">
        <v>4137</v>
      </c>
      <c r="N276" s="186" t="s">
        <v>20</v>
      </c>
      <c r="O276" s="186" t="s">
        <v>20</v>
      </c>
      <c r="P276" s="186" t="s">
        <v>15</v>
      </c>
      <c r="Q276" s="186" t="s">
        <v>20</v>
      </c>
      <c r="R276" s="186" t="s">
        <v>15</v>
      </c>
      <c r="S276" s="186" t="s">
        <v>15</v>
      </c>
      <c r="T276" s="186" t="s">
        <v>15</v>
      </c>
      <c r="U276" s="186" t="s">
        <v>15</v>
      </c>
      <c r="V276" s="186" t="s">
        <v>15</v>
      </c>
      <c r="W276" s="186" t="s">
        <v>15</v>
      </c>
      <c r="X276" s="186" t="s">
        <v>15</v>
      </c>
      <c r="Y276" s="186" t="s">
        <v>15</v>
      </c>
      <c r="Z276" s="186"/>
      <c r="AA276" s="186" t="s">
        <v>546</v>
      </c>
      <c r="AB276" s="186" t="s">
        <v>15</v>
      </c>
      <c r="AC276" s="186" t="s">
        <v>15</v>
      </c>
      <c r="AD276" s="268" t="s">
        <v>547</v>
      </c>
      <c r="AE276" s="268" t="s">
        <v>548</v>
      </c>
      <c r="AF276" s="144" t="str">
        <f t="shared" si="16"/>
        <v/>
      </c>
      <c r="AG276" s="144" t="str">
        <f t="shared" si="17"/>
        <v/>
      </c>
      <c r="AH276" s="146" t="str">
        <f t="shared" si="18"/>
        <v/>
      </c>
      <c r="AI276" s="146" t="str">
        <f t="shared" si="19"/>
        <v/>
      </c>
      <c r="AJ276" s="303"/>
      <c r="AK276" s="303"/>
      <c r="AL276" s="303"/>
      <c r="AM276" s="303"/>
      <c r="AN276" s="303"/>
      <c r="AO276" s="303"/>
      <c r="AP276" s="303"/>
      <c r="AQ276" s="303"/>
      <c r="AR276" s="303"/>
      <c r="AS276" s="170"/>
      <c r="AT276" s="170"/>
      <c r="AU276" s="310"/>
      <c r="AW276" s="294"/>
      <c r="AX276" s="294"/>
      <c r="AY276" s="294"/>
      <c r="AZ276" s="294"/>
      <c r="BA276" s="294"/>
      <c r="BB276" s="294"/>
      <c r="BC276" s="294"/>
      <c r="BD276" s="294"/>
      <c r="BE276" s="294"/>
      <c r="BF276" s="383"/>
      <c r="BG276" s="382">
        <v>3.9</v>
      </c>
      <c r="BH276" s="278"/>
      <c r="BI276" s="365" t="s">
        <v>549</v>
      </c>
      <c r="BJ276" s="411"/>
    </row>
    <row r="277" spans="1:62" ht="15.75" customHeight="1" thickBot="1" x14ac:dyDescent="0.25">
      <c r="A277" s="156">
        <v>276</v>
      </c>
      <c r="B277" s="155">
        <v>1</v>
      </c>
      <c r="C277" s="148" t="s">
        <v>542</v>
      </c>
      <c r="D277" s="148" t="s">
        <v>3067</v>
      </c>
      <c r="E277" s="148" t="s">
        <v>13</v>
      </c>
      <c r="F277" s="148" t="s">
        <v>553</v>
      </c>
      <c r="G277" s="148" t="s">
        <v>15</v>
      </c>
      <c r="H277" s="148"/>
      <c r="I277" s="161">
        <v>2014</v>
      </c>
      <c r="J277" s="161" t="s">
        <v>544</v>
      </c>
      <c r="K277" s="161" t="s">
        <v>545</v>
      </c>
      <c r="L277" s="161" t="s">
        <v>168</v>
      </c>
      <c r="M277" s="453" t="s">
        <v>4137</v>
      </c>
      <c r="N277" s="186" t="s">
        <v>20</v>
      </c>
      <c r="O277" s="186" t="s">
        <v>20</v>
      </c>
      <c r="P277" s="186" t="s">
        <v>15</v>
      </c>
      <c r="Q277" s="186" t="s">
        <v>20</v>
      </c>
      <c r="R277" s="186" t="s">
        <v>15</v>
      </c>
      <c r="S277" s="186" t="s">
        <v>15</v>
      </c>
      <c r="T277" s="186" t="s">
        <v>15</v>
      </c>
      <c r="U277" s="186" t="s">
        <v>15</v>
      </c>
      <c r="V277" s="186" t="s">
        <v>15</v>
      </c>
      <c r="W277" s="186" t="s">
        <v>15</v>
      </c>
      <c r="X277" s="186" t="s">
        <v>15</v>
      </c>
      <c r="Y277" s="186" t="s">
        <v>15</v>
      </c>
      <c r="Z277" s="186"/>
      <c r="AA277" s="186" t="s">
        <v>546</v>
      </c>
      <c r="AB277" s="186" t="s">
        <v>15</v>
      </c>
      <c r="AC277" s="186" t="s">
        <v>15</v>
      </c>
      <c r="AD277" s="268" t="s">
        <v>547</v>
      </c>
      <c r="AE277" s="268" t="s">
        <v>548</v>
      </c>
      <c r="AF277" s="144" t="str">
        <f t="shared" si="16"/>
        <v/>
      </c>
      <c r="AG277" s="144" t="str">
        <f t="shared" si="17"/>
        <v/>
      </c>
      <c r="AH277" s="146" t="str">
        <f t="shared" si="18"/>
        <v/>
      </c>
      <c r="AI277" s="146" t="str">
        <f t="shared" si="19"/>
        <v/>
      </c>
      <c r="AJ277" s="303"/>
      <c r="AK277" s="303"/>
      <c r="AL277" s="303"/>
      <c r="AM277" s="303"/>
      <c r="AN277" s="303"/>
      <c r="AO277" s="303"/>
      <c r="AP277" s="303"/>
      <c r="AQ277" s="303"/>
      <c r="AR277" s="303"/>
      <c r="AS277" s="170"/>
      <c r="AT277" s="170"/>
      <c r="AU277" s="310"/>
      <c r="AW277" s="294"/>
      <c r="AX277" s="294"/>
      <c r="AY277" s="294"/>
      <c r="AZ277" s="294"/>
      <c r="BA277" s="294"/>
      <c r="BB277" s="294"/>
      <c r="BC277" s="294"/>
      <c r="BD277" s="294"/>
      <c r="BE277" s="294"/>
      <c r="BF277" s="383"/>
      <c r="BG277" s="382">
        <v>1.6</v>
      </c>
      <c r="BH277" s="278"/>
      <c r="BI277" s="365" t="s">
        <v>549</v>
      </c>
      <c r="BJ277" s="411"/>
    </row>
    <row r="278" spans="1:62" ht="15.75" customHeight="1" thickBot="1" x14ac:dyDescent="0.25">
      <c r="A278" s="154">
        <v>277</v>
      </c>
      <c r="B278" s="155">
        <v>1</v>
      </c>
      <c r="C278" s="148" t="s">
        <v>542</v>
      </c>
      <c r="D278" s="141" t="s">
        <v>2100</v>
      </c>
      <c r="E278" s="148" t="s">
        <v>13</v>
      </c>
      <c r="F278" s="148" t="s">
        <v>554</v>
      </c>
      <c r="G278" s="148" t="s">
        <v>15</v>
      </c>
      <c r="H278" s="148" t="s">
        <v>555</v>
      </c>
      <c r="I278" s="161">
        <v>2007</v>
      </c>
      <c r="J278" s="161" t="s">
        <v>556</v>
      </c>
      <c r="K278" s="161" t="s">
        <v>557</v>
      </c>
      <c r="L278" s="161" t="s">
        <v>19</v>
      </c>
      <c r="M278" s="453" t="s">
        <v>4138</v>
      </c>
      <c r="N278" s="186" t="s">
        <v>20</v>
      </c>
      <c r="O278" s="186" t="s">
        <v>15</v>
      </c>
      <c r="P278" s="186" t="s">
        <v>20</v>
      </c>
      <c r="Q278" s="186" t="s">
        <v>20</v>
      </c>
      <c r="R278" s="186" t="s">
        <v>15</v>
      </c>
      <c r="S278" s="186" t="s">
        <v>15</v>
      </c>
      <c r="T278" s="186" t="s">
        <v>20</v>
      </c>
      <c r="U278" s="186" t="s">
        <v>15</v>
      </c>
      <c r="V278" s="186" t="s">
        <v>15</v>
      </c>
      <c r="W278" s="186" t="s">
        <v>15</v>
      </c>
      <c r="X278" s="186" t="s">
        <v>15</v>
      </c>
      <c r="Y278" s="186" t="s">
        <v>15</v>
      </c>
      <c r="Z278" s="186"/>
      <c r="AA278" s="186" t="s">
        <v>546</v>
      </c>
      <c r="AB278" s="186" t="s">
        <v>15</v>
      </c>
      <c r="AC278" s="186" t="s">
        <v>15</v>
      </c>
      <c r="AD278" s="268" t="s">
        <v>558</v>
      </c>
      <c r="AE278" s="268" t="s">
        <v>559</v>
      </c>
      <c r="AF278" s="144">
        <f t="shared" si="16"/>
        <v>19.81304347826087</v>
      </c>
      <c r="AG278" s="144">
        <f t="shared" si="17"/>
        <v>22.616086956521741</v>
      </c>
      <c r="AH278" s="146">
        <f t="shared" si="18"/>
        <v>3.9130434782608696</v>
      </c>
      <c r="AI278" s="146">
        <f t="shared" si="19"/>
        <v>4.1706521739130435</v>
      </c>
      <c r="AJ278" s="303">
        <f>0.434*42/0.001/920</f>
        <v>19.81304347826087</v>
      </c>
      <c r="AK278" s="303"/>
      <c r="AL278" s="303">
        <f>0.0614*42/0.001/920</f>
        <v>2.8030434782608697</v>
      </c>
      <c r="AM278" s="303"/>
      <c r="AN278" s="303"/>
      <c r="AO278" s="303"/>
      <c r="AP278" s="303"/>
      <c r="AQ278" s="303"/>
      <c r="AR278" s="303"/>
      <c r="AS278" s="170">
        <f>AJ278</f>
        <v>19.81304347826087</v>
      </c>
      <c r="AT278" s="169">
        <f>SUM(AJ278:AR278)</f>
        <v>22.616086956521741</v>
      </c>
      <c r="AU278" s="310"/>
      <c r="AW278" s="294">
        <f>3.6/0.001/920</f>
        <v>3.9130434782608696</v>
      </c>
      <c r="AX278" s="294"/>
      <c r="AY278" s="294">
        <f>0.237/0.001/920</f>
        <v>0.25760869565217387</v>
      </c>
      <c r="AZ278" s="294"/>
      <c r="BA278" s="294"/>
      <c r="BB278" s="294"/>
      <c r="BC278" s="294"/>
      <c r="BD278" s="294"/>
      <c r="BE278" s="294"/>
      <c r="BF278" s="383">
        <f>AW278</f>
        <v>3.9130434782608696</v>
      </c>
      <c r="BG278" s="382">
        <f>SUM(AW278:BE278)</f>
        <v>4.1706521739130435</v>
      </c>
      <c r="BH278" s="278"/>
      <c r="BI278" s="365"/>
      <c r="BJ278" s="411"/>
    </row>
    <row r="279" spans="1:62" ht="15.75" customHeight="1" thickBot="1" x14ac:dyDescent="0.25">
      <c r="A279" s="156">
        <v>278</v>
      </c>
      <c r="B279" s="155">
        <v>1</v>
      </c>
      <c r="C279" s="148" t="s">
        <v>542</v>
      </c>
      <c r="D279" s="141" t="s">
        <v>2289</v>
      </c>
      <c r="E279" s="148" t="s">
        <v>13</v>
      </c>
      <c r="F279" s="148" t="s">
        <v>552</v>
      </c>
      <c r="G279" s="148" t="s">
        <v>15</v>
      </c>
      <c r="H279" s="148" t="s">
        <v>87</v>
      </c>
      <c r="I279" s="161">
        <v>2014</v>
      </c>
      <c r="J279" s="161" t="s">
        <v>560</v>
      </c>
      <c r="K279" s="161" t="s">
        <v>561</v>
      </c>
      <c r="L279" s="161" t="s">
        <v>19</v>
      </c>
      <c r="M279" s="453" t="s">
        <v>4139</v>
      </c>
      <c r="N279" s="186" t="s">
        <v>20</v>
      </c>
      <c r="O279" s="186" t="s">
        <v>15</v>
      </c>
      <c r="P279" s="186" t="s">
        <v>20</v>
      </c>
      <c r="Q279" s="186" t="s">
        <v>20</v>
      </c>
      <c r="R279" s="186" t="s">
        <v>20</v>
      </c>
      <c r="S279" s="186" t="s">
        <v>20</v>
      </c>
      <c r="T279" s="186" t="s">
        <v>20</v>
      </c>
      <c r="U279" s="186" t="s">
        <v>15</v>
      </c>
      <c r="V279" s="186" t="s">
        <v>15</v>
      </c>
      <c r="W279" s="186" t="s">
        <v>15</v>
      </c>
      <c r="X279" s="186" t="s">
        <v>20</v>
      </c>
      <c r="Y279" s="186" t="s">
        <v>15</v>
      </c>
      <c r="Z279" s="186"/>
      <c r="AA279" s="186" t="s">
        <v>243</v>
      </c>
      <c r="AB279" s="186" t="s">
        <v>15</v>
      </c>
      <c r="AC279" s="186" t="s">
        <v>15</v>
      </c>
      <c r="AD279" s="268" t="s">
        <v>562</v>
      </c>
      <c r="AE279" s="268" t="s">
        <v>563</v>
      </c>
      <c r="AF279" s="144" t="str">
        <f t="shared" si="16"/>
        <v/>
      </c>
      <c r="AG279" s="144" t="str">
        <f t="shared" si="17"/>
        <v/>
      </c>
      <c r="AH279" s="146" t="str">
        <f t="shared" si="18"/>
        <v/>
      </c>
      <c r="AI279" s="146" t="str">
        <f t="shared" si="19"/>
        <v/>
      </c>
      <c r="AJ279" s="303"/>
      <c r="AK279" s="303"/>
      <c r="AL279" s="303"/>
      <c r="AM279" s="303"/>
      <c r="AN279" s="303"/>
      <c r="AO279" s="303"/>
      <c r="AP279" s="303"/>
      <c r="AQ279" s="303"/>
      <c r="AR279" s="303"/>
      <c r="AS279" s="170"/>
      <c r="AT279" s="169">
        <f>3/0.001/920</f>
        <v>3.2608695652173911</v>
      </c>
      <c r="AU279" s="310"/>
      <c r="AW279" s="294"/>
      <c r="AX279" s="294"/>
      <c r="AY279" s="294"/>
      <c r="AZ279" s="294"/>
      <c r="BA279" s="294"/>
      <c r="BB279" s="294"/>
      <c r="BC279" s="294"/>
      <c r="BD279" s="294"/>
      <c r="BE279" s="294"/>
      <c r="BF279" s="383"/>
      <c r="BG279" s="382"/>
      <c r="BH279" s="278"/>
      <c r="BI279" s="365"/>
      <c r="BJ279" s="411"/>
    </row>
    <row r="280" spans="1:62" ht="15.75" customHeight="1" thickBot="1" x14ac:dyDescent="0.25">
      <c r="A280" s="154">
        <v>279</v>
      </c>
      <c r="B280" s="155">
        <v>1</v>
      </c>
      <c r="C280" s="148" t="s">
        <v>542</v>
      </c>
      <c r="D280" s="141" t="s">
        <v>2100</v>
      </c>
      <c r="E280" s="148" t="s">
        <v>13</v>
      </c>
      <c r="F280" s="148" t="s">
        <v>565</v>
      </c>
      <c r="G280" s="148" t="s">
        <v>20</v>
      </c>
      <c r="H280" s="148" t="s">
        <v>566</v>
      </c>
      <c r="I280" s="161">
        <v>2012</v>
      </c>
      <c r="J280" s="161" t="s">
        <v>567</v>
      </c>
      <c r="K280" s="161" t="s">
        <v>568</v>
      </c>
      <c r="L280" s="161" t="s">
        <v>19</v>
      </c>
      <c r="M280" s="453" t="s">
        <v>4140</v>
      </c>
      <c r="N280" s="186" t="s">
        <v>20</v>
      </c>
      <c r="O280" s="186" t="s">
        <v>15</v>
      </c>
      <c r="P280" s="186" t="s">
        <v>15</v>
      </c>
      <c r="Q280" s="186" t="s">
        <v>20</v>
      </c>
      <c r="R280" s="186" t="s">
        <v>15</v>
      </c>
      <c r="S280" s="186" t="s">
        <v>15</v>
      </c>
      <c r="T280" s="186" t="s">
        <v>15</v>
      </c>
      <c r="U280" s="186" t="s">
        <v>15</v>
      </c>
      <c r="V280" s="186" t="s">
        <v>15</v>
      </c>
      <c r="W280" s="186" t="s">
        <v>15</v>
      </c>
      <c r="X280" s="186" t="s">
        <v>15</v>
      </c>
      <c r="Y280" s="186" t="s">
        <v>15</v>
      </c>
      <c r="Z280" s="186"/>
      <c r="AA280" s="186" t="s">
        <v>546</v>
      </c>
      <c r="AB280" s="186" t="s">
        <v>20</v>
      </c>
      <c r="AC280" s="186" t="s">
        <v>15</v>
      </c>
      <c r="AD280" s="268" t="s">
        <v>569</v>
      </c>
      <c r="AE280" s="268" t="s">
        <v>570</v>
      </c>
      <c r="AF280" s="144" t="str">
        <f t="shared" si="16"/>
        <v/>
      </c>
      <c r="AG280" s="144" t="str">
        <f t="shared" si="17"/>
        <v/>
      </c>
      <c r="AH280" s="146">
        <f t="shared" si="18"/>
        <v>2.5921167048054916</v>
      </c>
      <c r="AI280" s="146">
        <f t="shared" si="19"/>
        <v>2.751716247139588</v>
      </c>
      <c r="AJ280" s="303"/>
      <c r="AK280" s="303"/>
      <c r="AL280" s="303"/>
      <c r="AM280" s="303"/>
      <c r="AN280" s="303"/>
      <c r="AO280" s="303"/>
      <c r="AP280" s="303"/>
      <c r="AQ280" s="303"/>
      <c r="AR280" s="303"/>
      <c r="AS280" s="170"/>
      <c r="AT280" s="170"/>
      <c r="AU280" s="310"/>
      <c r="AW280" s="294">
        <f>0.942*BG280</f>
        <v>2.5921167048054916</v>
      </c>
      <c r="AX280" s="294"/>
      <c r="AY280" s="294">
        <f>(1-0.942)*BG280</f>
        <v>0.15959954233409623</v>
      </c>
      <c r="AZ280" s="294"/>
      <c r="BA280" s="294"/>
      <c r="BB280" s="294"/>
      <c r="BC280" s="294"/>
      <c r="BD280" s="294"/>
      <c r="BE280" s="294"/>
      <c r="BF280" s="383">
        <f>AW280</f>
        <v>2.5921167048054916</v>
      </c>
      <c r="BG280" s="382">
        <f>481*(4000/760)/0.001/920/1000</f>
        <v>2.751716247139588</v>
      </c>
      <c r="BH280" s="278"/>
      <c r="BI280" s="365" t="s">
        <v>571</v>
      </c>
      <c r="BJ280" s="411"/>
    </row>
    <row r="281" spans="1:62" ht="15.75" customHeight="1" thickBot="1" x14ac:dyDescent="0.25">
      <c r="A281" s="156">
        <v>280</v>
      </c>
      <c r="B281" s="155">
        <v>1</v>
      </c>
      <c r="C281" s="148" t="s">
        <v>542</v>
      </c>
      <c r="D281" s="141" t="s">
        <v>2100</v>
      </c>
      <c r="E281" s="148" t="s">
        <v>13</v>
      </c>
      <c r="F281" s="148" t="s">
        <v>572</v>
      </c>
      <c r="G281" s="148" t="s">
        <v>20</v>
      </c>
      <c r="H281" s="148" t="s">
        <v>566</v>
      </c>
      <c r="I281" s="161">
        <v>2012</v>
      </c>
      <c r="J281" s="161" t="s">
        <v>567</v>
      </c>
      <c r="K281" s="161" t="s">
        <v>568</v>
      </c>
      <c r="L281" s="161" t="s">
        <v>19</v>
      </c>
      <c r="M281" s="453" t="s">
        <v>4140</v>
      </c>
      <c r="N281" s="186" t="s">
        <v>20</v>
      </c>
      <c r="O281" s="186" t="s">
        <v>15</v>
      </c>
      <c r="P281" s="186" t="s">
        <v>15</v>
      </c>
      <c r="Q281" s="186" t="s">
        <v>20</v>
      </c>
      <c r="R281" s="186" t="s">
        <v>15</v>
      </c>
      <c r="S281" s="186" t="s">
        <v>15</v>
      </c>
      <c r="T281" s="186" t="s">
        <v>15</v>
      </c>
      <c r="U281" s="186" t="s">
        <v>15</v>
      </c>
      <c r="V281" s="186" t="s">
        <v>15</v>
      </c>
      <c r="W281" s="186" t="s">
        <v>15</v>
      </c>
      <c r="X281" s="186" t="s">
        <v>15</v>
      </c>
      <c r="Y281" s="186" t="s">
        <v>15</v>
      </c>
      <c r="Z281" s="186"/>
      <c r="AA281" s="186" t="s">
        <v>546</v>
      </c>
      <c r="AB281" s="186" t="s">
        <v>20</v>
      </c>
      <c r="AC281" s="186" t="s">
        <v>15</v>
      </c>
      <c r="AD281" s="268" t="s">
        <v>569</v>
      </c>
      <c r="AE281" s="268" t="s">
        <v>573</v>
      </c>
      <c r="AF281" s="144" t="str">
        <f t="shared" si="16"/>
        <v/>
      </c>
      <c r="AG281" s="144" t="str">
        <f t="shared" si="17"/>
        <v/>
      </c>
      <c r="AH281" s="146">
        <f t="shared" si="18"/>
        <v>2.3910434782608694</v>
      </c>
      <c r="AI281" s="146">
        <f t="shared" si="19"/>
        <v>2.695652173913043</v>
      </c>
      <c r="AJ281" s="303"/>
      <c r="AK281" s="303"/>
      <c r="AL281" s="303"/>
      <c r="AM281" s="303"/>
      <c r="AN281" s="303"/>
      <c r="AO281" s="303"/>
      <c r="AP281" s="303"/>
      <c r="AQ281" s="303"/>
      <c r="AR281" s="303"/>
      <c r="AS281" s="170"/>
      <c r="AT281" s="170"/>
      <c r="AU281" s="310"/>
      <c r="AW281" s="294">
        <f>0.887*BG281</f>
        <v>2.3910434782608694</v>
      </c>
      <c r="AX281" s="294"/>
      <c r="AY281" s="294">
        <f>(1-0.887)*BG281</f>
        <v>0.30460869565217386</v>
      </c>
      <c r="AZ281" s="294"/>
      <c r="BA281" s="294"/>
      <c r="BB281" s="294"/>
      <c r="BC281" s="294"/>
      <c r="BD281" s="294"/>
      <c r="BE281" s="294"/>
      <c r="BF281" s="383">
        <f>AW281</f>
        <v>2.3910434782608694</v>
      </c>
      <c r="BG281" s="382">
        <f>496*(4000/800)/0.001/920/1000</f>
        <v>2.6956521739130435</v>
      </c>
      <c r="BH281" s="278"/>
      <c r="BI281" s="365" t="s">
        <v>574</v>
      </c>
      <c r="BJ281" s="411"/>
    </row>
    <row r="282" spans="1:62" ht="15.75" customHeight="1" thickBot="1" x14ac:dyDescent="0.25">
      <c r="A282" s="154">
        <v>281</v>
      </c>
      <c r="B282" s="155">
        <v>1</v>
      </c>
      <c r="C282" s="148" t="s">
        <v>542</v>
      </c>
      <c r="D282" s="141" t="s">
        <v>2100</v>
      </c>
      <c r="E282" s="148" t="s">
        <v>13</v>
      </c>
      <c r="F282" s="148" t="s">
        <v>575</v>
      </c>
      <c r="G282" s="148" t="s">
        <v>20</v>
      </c>
      <c r="H282" s="148" t="s">
        <v>566</v>
      </c>
      <c r="I282" s="161">
        <v>2012</v>
      </c>
      <c r="J282" s="161" t="s">
        <v>567</v>
      </c>
      <c r="K282" s="161" t="s">
        <v>568</v>
      </c>
      <c r="L282" s="161" t="s">
        <v>19</v>
      </c>
      <c r="M282" s="453" t="s">
        <v>4140</v>
      </c>
      <c r="N282" s="186" t="s">
        <v>20</v>
      </c>
      <c r="O282" s="186" t="s">
        <v>15</v>
      </c>
      <c r="P282" s="186" t="s">
        <v>15</v>
      </c>
      <c r="Q282" s="186" t="s">
        <v>20</v>
      </c>
      <c r="R282" s="186" t="s">
        <v>15</v>
      </c>
      <c r="S282" s="186" t="s">
        <v>15</v>
      </c>
      <c r="T282" s="186" t="s">
        <v>15</v>
      </c>
      <c r="U282" s="186" t="s">
        <v>15</v>
      </c>
      <c r="V282" s="186" t="s">
        <v>15</v>
      </c>
      <c r="W282" s="186" t="s">
        <v>15</v>
      </c>
      <c r="X282" s="186" t="s">
        <v>15</v>
      </c>
      <c r="Y282" s="186" t="s">
        <v>15</v>
      </c>
      <c r="Z282" s="186"/>
      <c r="AA282" s="186" t="s">
        <v>546</v>
      </c>
      <c r="AB282" s="186" t="s">
        <v>20</v>
      </c>
      <c r="AC282" s="186" t="s">
        <v>15</v>
      </c>
      <c r="AD282" s="268" t="s">
        <v>569</v>
      </c>
      <c r="AE282" s="268" t="s">
        <v>573</v>
      </c>
      <c r="AF282" s="144" t="str">
        <f t="shared" si="16"/>
        <v/>
      </c>
      <c r="AG282" s="144" t="str">
        <f t="shared" si="17"/>
        <v/>
      </c>
      <c r="AH282" s="146" t="str">
        <f t="shared" si="18"/>
        <v/>
      </c>
      <c r="AI282" s="146" t="str">
        <f t="shared" si="19"/>
        <v/>
      </c>
      <c r="AJ282" s="303"/>
      <c r="AK282" s="303"/>
      <c r="AL282" s="303"/>
      <c r="AM282" s="303"/>
      <c r="AN282" s="303"/>
      <c r="AO282" s="303"/>
      <c r="AP282" s="303"/>
      <c r="AQ282" s="303"/>
      <c r="AR282" s="303"/>
      <c r="AS282" s="170"/>
      <c r="AT282" s="170"/>
      <c r="AU282" s="310"/>
      <c r="AW282" s="294"/>
      <c r="AX282" s="294"/>
      <c r="AY282" s="294"/>
      <c r="AZ282" s="294"/>
      <c r="BA282" s="294"/>
      <c r="BB282" s="294"/>
      <c r="BC282" s="294"/>
      <c r="BD282" s="294"/>
      <c r="BE282" s="294"/>
      <c r="BF282" s="383"/>
      <c r="BG282" s="382">
        <f>-492*(4000/800)/0.001/920/1000</f>
        <v>-2.6739130434782612</v>
      </c>
      <c r="BH282" s="278"/>
      <c r="BI282" s="365" t="s">
        <v>576</v>
      </c>
      <c r="BJ282" s="411"/>
    </row>
    <row r="283" spans="1:62" ht="15.75" customHeight="1" thickBot="1" x14ac:dyDescent="0.25">
      <c r="A283" s="156">
        <v>282</v>
      </c>
      <c r="B283" s="155">
        <v>1</v>
      </c>
      <c r="C283" s="148" t="s">
        <v>542</v>
      </c>
      <c r="D283" s="141" t="s">
        <v>2100</v>
      </c>
      <c r="E283" s="148" t="s">
        <v>13</v>
      </c>
      <c r="F283" s="148" t="s">
        <v>577</v>
      </c>
      <c r="G283" s="148" t="s">
        <v>20</v>
      </c>
      <c r="H283" s="148" t="s">
        <v>566</v>
      </c>
      <c r="I283" s="161">
        <v>2012</v>
      </c>
      <c r="J283" s="161" t="s">
        <v>567</v>
      </c>
      <c r="K283" s="161" t="s">
        <v>568</v>
      </c>
      <c r="L283" s="161" t="s">
        <v>19</v>
      </c>
      <c r="M283" s="453" t="s">
        <v>4140</v>
      </c>
      <c r="N283" s="186" t="s">
        <v>20</v>
      </c>
      <c r="O283" s="186" t="s">
        <v>15</v>
      </c>
      <c r="P283" s="186" t="s">
        <v>15</v>
      </c>
      <c r="Q283" s="186" t="s">
        <v>20</v>
      </c>
      <c r="R283" s="186" t="s">
        <v>15</v>
      </c>
      <c r="S283" s="186" t="s">
        <v>15</v>
      </c>
      <c r="T283" s="186" t="s">
        <v>15</v>
      </c>
      <c r="U283" s="186" t="s">
        <v>15</v>
      </c>
      <c r="V283" s="186" t="s">
        <v>15</v>
      </c>
      <c r="W283" s="186" t="s">
        <v>15</v>
      </c>
      <c r="X283" s="186" t="s">
        <v>15</v>
      </c>
      <c r="Y283" s="186" t="s">
        <v>15</v>
      </c>
      <c r="Z283" s="186"/>
      <c r="AA283" s="186" t="s">
        <v>546</v>
      </c>
      <c r="AB283" s="186" t="s">
        <v>20</v>
      </c>
      <c r="AC283" s="186" t="s">
        <v>15</v>
      </c>
      <c r="AD283" s="268" t="s">
        <v>569</v>
      </c>
      <c r="AE283" s="268" t="s">
        <v>578</v>
      </c>
      <c r="AF283" s="144" t="str">
        <f t="shared" si="16"/>
        <v/>
      </c>
      <c r="AG283" s="144" t="str">
        <f t="shared" si="17"/>
        <v/>
      </c>
      <c r="AH283" s="146" t="str">
        <f t="shared" si="18"/>
        <v/>
      </c>
      <c r="AI283" s="146" t="str">
        <f t="shared" si="19"/>
        <v/>
      </c>
      <c r="AJ283" s="303"/>
      <c r="AK283" s="303"/>
      <c r="AL283" s="303"/>
      <c r="AM283" s="303"/>
      <c r="AN283" s="303"/>
      <c r="AO283" s="303"/>
      <c r="AP283" s="303"/>
      <c r="AQ283" s="303"/>
      <c r="AR283" s="303"/>
      <c r="AS283" s="170"/>
      <c r="AT283" s="170"/>
      <c r="AU283" s="310"/>
      <c r="AW283" s="294"/>
      <c r="AX283" s="294"/>
      <c r="AY283" s="294"/>
      <c r="AZ283" s="294"/>
      <c r="BA283" s="294"/>
      <c r="BB283" s="294"/>
      <c r="BC283" s="294"/>
      <c r="BD283" s="294"/>
      <c r="BE283" s="294"/>
      <c r="BF283" s="383"/>
      <c r="BG283" s="382">
        <f>-632*(2000/400)/0.001/920/1000</f>
        <v>-3.4347826086956519</v>
      </c>
      <c r="BH283" s="278"/>
      <c r="BI283" s="365" t="s">
        <v>579</v>
      </c>
      <c r="BJ283" s="411"/>
    </row>
    <row r="284" spans="1:62" ht="15.75" customHeight="1" thickBot="1" x14ac:dyDescent="0.25">
      <c r="A284" s="154">
        <v>283</v>
      </c>
      <c r="B284" s="155">
        <v>1</v>
      </c>
      <c r="C284" s="148" t="s">
        <v>24</v>
      </c>
      <c r="D284" s="148" t="s">
        <v>269</v>
      </c>
      <c r="E284" s="148" t="s">
        <v>13</v>
      </c>
      <c r="F284" s="148" t="s">
        <v>580</v>
      </c>
      <c r="G284" s="148" t="s">
        <v>15</v>
      </c>
      <c r="H284" s="148" t="s">
        <v>101</v>
      </c>
      <c r="I284" s="161">
        <v>2009</v>
      </c>
      <c r="J284" s="161" t="s">
        <v>102</v>
      </c>
      <c r="K284" s="161" t="s">
        <v>103</v>
      </c>
      <c r="L284" s="161" t="s">
        <v>104</v>
      </c>
      <c r="M284" s="453" t="s">
        <v>4141</v>
      </c>
      <c r="N284" s="186" t="s">
        <v>20</v>
      </c>
      <c r="O284" s="186" t="s">
        <v>15</v>
      </c>
      <c r="P284" s="186" t="s">
        <v>15</v>
      </c>
      <c r="Q284" s="186" t="s">
        <v>15</v>
      </c>
      <c r="R284" s="186" t="s">
        <v>15</v>
      </c>
      <c r="S284" s="186" t="s">
        <v>15</v>
      </c>
      <c r="T284" s="186" t="s">
        <v>15</v>
      </c>
      <c r="U284" s="186" t="s">
        <v>15</v>
      </c>
      <c r="V284" s="186" t="s">
        <v>15</v>
      </c>
      <c r="W284" s="186" t="s">
        <v>15</v>
      </c>
      <c r="X284" s="186" t="s">
        <v>15</v>
      </c>
      <c r="Y284" s="186" t="s">
        <v>15</v>
      </c>
      <c r="Z284" s="186"/>
      <c r="AA284" s="186" t="s">
        <v>105</v>
      </c>
      <c r="AB284" s="186" t="s">
        <v>15</v>
      </c>
      <c r="AC284" s="186" t="s">
        <v>20</v>
      </c>
      <c r="AD284" s="268" t="s">
        <v>581</v>
      </c>
      <c r="AE284" s="268" t="s">
        <v>2852</v>
      </c>
      <c r="AF284" s="144" t="str">
        <f t="shared" si="16"/>
        <v/>
      </c>
      <c r="AG284" s="144" t="str">
        <f t="shared" si="17"/>
        <v/>
      </c>
      <c r="AH284" s="146">
        <f t="shared" si="18"/>
        <v>4.6639231824417013</v>
      </c>
      <c r="AI284" s="146" t="str">
        <f t="shared" si="19"/>
        <v/>
      </c>
      <c r="AJ284" s="303"/>
      <c r="AK284" s="303"/>
      <c r="AL284" s="303"/>
      <c r="AM284" s="303"/>
      <c r="AN284" s="303"/>
      <c r="AO284" s="303"/>
      <c r="AP284" s="303"/>
      <c r="AQ284" s="303"/>
      <c r="AR284" s="303"/>
      <c r="AS284" s="170"/>
      <c r="AT284" s="170"/>
      <c r="AU284" s="310"/>
      <c r="AW284" s="294"/>
      <c r="AX284" s="294"/>
      <c r="AY284" s="294"/>
      <c r="AZ284" s="294"/>
      <c r="BA284" s="294"/>
      <c r="BB284" s="294"/>
      <c r="BC284" s="294"/>
      <c r="BD284" s="294"/>
      <c r="BE284" s="294"/>
      <c r="BF284" s="382">
        <f>3.4/0.729</f>
        <v>4.6639231824417013</v>
      </c>
      <c r="BG284" s="382"/>
      <c r="BH284" s="278"/>
      <c r="BI284" s="365" t="s">
        <v>47</v>
      </c>
      <c r="BJ284" s="411"/>
    </row>
    <row r="285" spans="1:62" ht="15.75" customHeight="1" thickBot="1" x14ac:dyDescent="0.25">
      <c r="A285" s="156">
        <v>284</v>
      </c>
      <c r="B285" s="155">
        <v>1</v>
      </c>
      <c r="C285" s="148" t="s">
        <v>24</v>
      </c>
      <c r="D285" s="148" t="s">
        <v>53</v>
      </c>
      <c r="E285" s="148" t="s">
        <v>13</v>
      </c>
      <c r="F285" s="148" t="s">
        <v>583</v>
      </c>
      <c r="G285" s="148" t="s">
        <v>15</v>
      </c>
      <c r="H285" s="148" t="s">
        <v>101</v>
      </c>
      <c r="I285" s="161">
        <v>2009</v>
      </c>
      <c r="J285" s="161" t="s">
        <v>102</v>
      </c>
      <c r="K285" s="161" t="s">
        <v>103</v>
      </c>
      <c r="L285" s="161" t="s">
        <v>104</v>
      </c>
      <c r="M285" s="453" t="s">
        <v>4141</v>
      </c>
      <c r="N285" s="186" t="s">
        <v>20</v>
      </c>
      <c r="O285" s="186" t="s">
        <v>15</v>
      </c>
      <c r="P285" s="186" t="s">
        <v>15</v>
      </c>
      <c r="Q285" s="186" t="s">
        <v>15</v>
      </c>
      <c r="R285" s="186" t="s">
        <v>15</v>
      </c>
      <c r="S285" s="186" t="s">
        <v>15</v>
      </c>
      <c r="T285" s="186" t="s">
        <v>15</v>
      </c>
      <c r="U285" s="186" t="s">
        <v>15</v>
      </c>
      <c r="V285" s="186" t="s">
        <v>15</v>
      </c>
      <c r="W285" s="186" t="s">
        <v>15</v>
      </c>
      <c r="X285" s="186" t="s">
        <v>15</v>
      </c>
      <c r="Y285" s="186" t="s">
        <v>15</v>
      </c>
      <c r="Z285" s="186"/>
      <c r="AA285" s="186" t="s">
        <v>105</v>
      </c>
      <c r="AB285" s="186" t="s">
        <v>15</v>
      </c>
      <c r="AC285" s="186" t="s">
        <v>20</v>
      </c>
      <c r="AD285" s="268" t="s">
        <v>581</v>
      </c>
      <c r="AE285" s="268" t="s">
        <v>582</v>
      </c>
      <c r="AF285" s="144" t="str">
        <f t="shared" si="16"/>
        <v/>
      </c>
      <c r="AG285" s="144" t="str">
        <f t="shared" si="17"/>
        <v/>
      </c>
      <c r="AH285" s="146">
        <f t="shared" si="18"/>
        <v>29.685157421289354</v>
      </c>
      <c r="AI285" s="146" t="str">
        <f t="shared" si="19"/>
        <v/>
      </c>
      <c r="AJ285" s="303"/>
      <c r="AK285" s="303"/>
      <c r="AL285" s="303"/>
      <c r="AM285" s="303"/>
      <c r="AN285" s="303"/>
      <c r="AO285" s="303"/>
      <c r="AP285" s="303"/>
      <c r="AQ285" s="303"/>
      <c r="AR285" s="303"/>
      <c r="AS285" s="170"/>
      <c r="AT285" s="170"/>
      <c r="AU285" s="310"/>
      <c r="AW285" s="294"/>
      <c r="AX285" s="294"/>
      <c r="AY285" s="294"/>
      <c r="AZ285" s="294"/>
      <c r="BA285" s="294"/>
      <c r="BB285" s="294"/>
      <c r="BC285" s="294"/>
      <c r="BD285" s="294"/>
      <c r="BE285" s="294"/>
      <c r="BF285" s="382">
        <f>19.8/0.667</f>
        <v>29.685157421289354</v>
      </c>
      <c r="BG285" s="382"/>
      <c r="BH285" s="278"/>
      <c r="BI285" s="365" t="s">
        <v>47</v>
      </c>
      <c r="BJ285" s="411"/>
    </row>
    <row r="286" spans="1:62" ht="15.75" customHeight="1" thickBot="1" x14ac:dyDescent="0.25">
      <c r="A286" s="154">
        <v>285</v>
      </c>
      <c r="B286" s="155">
        <v>1</v>
      </c>
      <c r="C286" s="148" t="s">
        <v>11</v>
      </c>
      <c r="D286" s="148" t="s">
        <v>2844</v>
      </c>
      <c r="E286" s="148" t="s">
        <v>13</v>
      </c>
      <c r="F286" s="148" t="s">
        <v>584</v>
      </c>
      <c r="G286" s="148" t="s">
        <v>15</v>
      </c>
      <c r="H286" s="148" t="s">
        <v>101</v>
      </c>
      <c r="I286" s="161">
        <v>2009</v>
      </c>
      <c r="J286" s="161" t="s">
        <v>102</v>
      </c>
      <c r="K286" s="161" t="s">
        <v>103</v>
      </c>
      <c r="L286" s="161" t="s">
        <v>104</v>
      </c>
      <c r="M286" s="453" t="s">
        <v>4141</v>
      </c>
      <c r="N286" s="186" t="s">
        <v>20</v>
      </c>
      <c r="O286" s="186" t="s">
        <v>15</v>
      </c>
      <c r="P286" s="186" t="s">
        <v>15</v>
      </c>
      <c r="Q286" s="186" t="s">
        <v>15</v>
      </c>
      <c r="R286" s="186" t="s">
        <v>15</v>
      </c>
      <c r="S286" s="186" t="s">
        <v>15</v>
      </c>
      <c r="T286" s="186" t="s">
        <v>15</v>
      </c>
      <c r="U286" s="186" t="s">
        <v>15</v>
      </c>
      <c r="V286" s="186" t="s">
        <v>15</v>
      </c>
      <c r="W286" s="186" t="s">
        <v>15</v>
      </c>
      <c r="X286" s="186" t="s">
        <v>15</v>
      </c>
      <c r="Y286" s="186" t="s">
        <v>15</v>
      </c>
      <c r="Z286" s="186"/>
      <c r="AA286" s="186" t="s">
        <v>105</v>
      </c>
      <c r="AB286" s="186" t="s">
        <v>15</v>
      </c>
      <c r="AC286" s="186" t="s">
        <v>20</v>
      </c>
      <c r="AD286" s="268" t="s">
        <v>585</v>
      </c>
      <c r="AE286" s="268"/>
      <c r="AF286" s="144" t="str">
        <f t="shared" si="16"/>
        <v/>
      </c>
      <c r="AG286" s="144" t="str">
        <f t="shared" si="17"/>
        <v/>
      </c>
      <c r="AH286" s="146">
        <f t="shared" si="18"/>
        <v>1.02</v>
      </c>
      <c r="AI286" s="146" t="str">
        <f t="shared" si="19"/>
        <v/>
      </c>
      <c r="AJ286" s="303"/>
      <c r="AK286" s="303"/>
      <c r="AL286" s="303"/>
      <c r="AM286" s="303"/>
      <c r="AN286" s="303"/>
      <c r="AO286" s="303"/>
      <c r="AP286" s="303"/>
      <c r="AQ286" s="303"/>
      <c r="AR286" s="303"/>
      <c r="AS286" s="170"/>
      <c r="AT286" s="170"/>
      <c r="AU286" s="310"/>
      <c r="AW286" s="294"/>
      <c r="AX286" s="294"/>
      <c r="AY286" s="294"/>
      <c r="AZ286" s="294"/>
      <c r="BA286" s="294"/>
      <c r="BB286" s="294"/>
      <c r="BC286" s="294"/>
      <c r="BD286" s="294"/>
      <c r="BE286" s="294"/>
      <c r="BF286" s="382">
        <v>1.02</v>
      </c>
      <c r="BG286" s="382"/>
      <c r="BH286" s="278"/>
      <c r="BI286" s="365" t="s">
        <v>47</v>
      </c>
      <c r="BJ286" s="411"/>
    </row>
    <row r="287" spans="1:62" ht="15.75" customHeight="1" thickBot="1" x14ac:dyDescent="0.25">
      <c r="A287" s="156">
        <v>286</v>
      </c>
      <c r="B287" s="155">
        <v>1</v>
      </c>
      <c r="C287" s="148" t="s">
        <v>24</v>
      </c>
      <c r="D287" s="148" t="s">
        <v>283</v>
      </c>
      <c r="E287" s="148" t="s">
        <v>13</v>
      </c>
      <c r="F287" s="148" t="s">
        <v>586</v>
      </c>
      <c r="G287" s="148" t="s">
        <v>15</v>
      </c>
      <c r="H287" s="148" t="s">
        <v>101</v>
      </c>
      <c r="I287" s="161">
        <v>2009</v>
      </c>
      <c r="J287" s="161" t="s">
        <v>102</v>
      </c>
      <c r="K287" s="161" t="s">
        <v>103</v>
      </c>
      <c r="L287" s="161" t="s">
        <v>104</v>
      </c>
      <c r="M287" s="453" t="s">
        <v>4141</v>
      </c>
      <c r="N287" s="186" t="s">
        <v>20</v>
      </c>
      <c r="O287" s="186" t="s">
        <v>15</v>
      </c>
      <c r="P287" s="186" t="s">
        <v>15</v>
      </c>
      <c r="Q287" s="186" t="s">
        <v>15</v>
      </c>
      <c r="R287" s="186" t="s">
        <v>15</v>
      </c>
      <c r="S287" s="186" t="s">
        <v>15</v>
      </c>
      <c r="T287" s="186" t="s">
        <v>15</v>
      </c>
      <c r="U287" s="186" t="s">
        <v>15</v>
      </c>
      <c r="V287" s="186" t="s">
        <v>15</v>
      </c>
      <c r="W287" s="186" t="s">
        <v>15</v>
      </c>
      <c r="X287" s="186" t="s">
        <v>15</v>
      </c>
      <c r="Y287" s="186" t="s">
        <v>15</v>
      </c>
      <c r="Z287" s="186"/>
      <c r="AA287" s="186" t="s">
        <v>105</v>
      </c>
      <c r="AB287" s="186" t="s">
        <v>15</v>
      </c>
      <c r="AC287" s="186" t="s">
        <v>20</v>
      </c>
      <c r="AD287" s="268" t="s">
        <v>581</v>
      </c>
      <c r="AE287" s="268" t="s">
        <v>582</v>
      </c>
      <c r="AF287" s="144" t="str">
        <f t="shared" si="16"/>
        <v/>
      </c>
      <c r="AG287" s="144" t="str">
        <f t="shared" si="17"/>
        <v/>
      </c>
      <c r="AH287" s="146">
        <f t="shared" si="18"/>
        <v>2.8485757121439277</v>
      </c>
      <c r="AI287" s="146" t="str">
        <f t="shared" si="19"/>
        <v/>
      </c>
      <c r="AJ287" s="303"/>
      <c r="AK287" s="303"/>
      <c r="AL287" s="303"/>
      <c r="AM287" s="303"/>
      <c r="AN287" s="303"/>
      <c r="AO287" s="303"/>
      <c r="AP287" s="303"/>
      <c r="AQ287" s="303"/>
      <c r="AR287" s="303"/>
      <c r="AS287" s="170"/>
      <c r="AT287" s="170"/>
      <c r="AU287" s="310"/>
      <c r="AW287" s="294"/>
      <c r="AX287" s="294"/>
      <c r="AY287" s="294"/>
      <c r="AZ287" s="294"/>
      <c r="BA287" s="294"/>
      <c r="BB287" s="294"/>
      <c r="BC287" s="294"/>
      <c r="BD287" s="294"/>
      <c r="BE287" s="294"/>
      <c r="BF287" s="382">
        <f>1.9/0.667</f>
        <v>2.8485757121439277</v>
      </c>
      <c r="BG287" s="382"/>
      <c r="BH287" s="278"/>
      <c r="BI287" s="365" t="s">
        <v>47</v>
      </c>
      <c r="BJ287" s="411"/>
    </row>
    <row r="288" spans="1:62" ht="15.75" customHeight="1" thickBot="1" x14ac:dyDescent="0.25">
      <c r="A288" s="154">
        <v>287</v>
      </c>
      <c r="B288" s="155">
        <v>1</v>
      </c>
      <c r="C288" s="148" t="s">
        <v>587</v>
      </c>
      <c r="D288" s="148" t="s">
        <v>588</v>
      </c>
      <c r="E288" s="148" t="s">
        <v>13</v>
      </c>
      <c r="F288" s="148" t="s">
        <v>589</v>
      </c>
      <c r="G288" s="148" t="s">
        <v>15</v>
      </c>
      <c r="H288" s="148" t="s">
        <v>16</v>
      </c>
      <c r="I288" s="161">
        <v>2012</v>
      </c>
      <c r="J288" s="161" t="s">
        <v>590</v>
      </c>
      <c r="K288" s="161" t="s">
        <v>591</v>
      </c>
      <c r="L288" s="161"/>
      <c r="M288" s="453" t="s">
        <v>4142</v>
      </c>
      <c r="N288" s="186" t="s">
        <v>20</v>
      </c>
      <c r="O288" s="186" t="s">
        <v>15</v>
      </c>
      <c r="P288" s="186" t="s">
        <v>20</v>
      </c>
      <c r="Q288" s="186" t="s">
        <v>20</v>
      </c>
      <c r="R288" s="186" t="s">
        <v>15</v>
      </c>
      <c r="S288" s="186" t="s">
        <v>15</v>
      </c>
      <c r="T288" s="186" t="s">
        <v>15</v>
      </c>
      <c r="U288" s="186" t="s">
        <v>15</v>
      </c>
      <c r="V288" s="186" t="s">
        <v>15</v>
      </c>
      <c r="W288" s="186" t="s">
        <v>15</v>
      </c>
      <c r="X288" s="186" t="s">
        <v>15</v>
      </c>
      <c r="Y288" s="186" t="s">
        <v>15</v>
      </c>
      <c r="Z288" s="186"/>
      <c r="AA288" s="186" t="s">
        <v>592</v>
      </c>
      <c r="AB288" s="186" t="s">
        <v>15</v>
      </c>
      <c r="AC288" s="186" t="s">
        <v>15</v>
      </c>
      <c r="AD288" s="268" t="s">
        <v>593</v>
      </c>
      <c r="AE288" s="268" t="s">
        <v>594</v>
      </c>
      <c r="AF288" s="144" t="str">
        <f t="shared" si="16"/>
        <v/>
      </c>
      <c r="AG288" s="144" t="str">
        <f t="shared" si="17"/>
        <v/>
      </c>
      <c r="AH288" s="146" t="str">
        <f t="shared" si="18"/>
        <v/>
      </c>
      <c r="AI288" s="146" t="str">
        <f t="shared" si="19"/>
        <v/>
      </c>
      <c r="AJ288" s="303"/>
      <c r="AK288" s="303"/>
      <c r="AL288" s="303"/>
      <c r="AM288" s="303"/>
      <c r="AN288" s="303"/>
      <c r="AO288" s="303"/>
      <c r="AP288" s="303"/>
      <c r="AQ288" s="303"/>
      <c r="AR288" s="303"/>
      <c r="AS288" s="170"/>
      <c r="AT288" s="170"/>
      <c r="AU288" s="310"/>
      <c r="AW288" s="294"/>
      <c r="AX288" s="294"/>
      <c r="AY288" s="294"/>
      <c r="AZ288" s="294"/>
      <c r="BA288" s="294"/>
      <c r="BB288" s="294"/>
      <c r="BC288" s="294"/>
      <c r="BD288" s="294"/>
      <c r="BE288" s="294"/>
      <c r="BF288" s="383"/>
      <c r="BG288" s="382">
        <v>0.81</v>
      </c>
      <c r="BH288" s="278" t="s">
        <v>595</v>
      </c>
      <c r="BI288" s="365" t="s">
        <v>93</v>
      </c>
      <c r="BJ288" s="411"/>
    </row>
    <row r="289" spans="1:62" ht="15.75" customHeight="1" thickBot="1" x14ac:dyDescent="0.25">
      <c r="A289" s="156">
        <v>288</v>
      </c>
      <c r="B289" s="155">
        <v>1</v>
      </c>
      <c r="C289" s="148" t="s">
        <v>236</v>
      </c>
      <c r="D289" s="148" t="s">
        <v>597</v>
      </c>
      <c r="E289" s="148" t="s">
        <v>13</v>
      </c>
      <c r="F289" s="148" t="s">
        <v>598</v>
      </c>
      <c r="G289" s="148" t="s">
        <v>20</v>
      </c>
      <c r="H289" s="148" t="s">
        <v>599</v>
      </c>
      <c r="I289" s="161">
        <v>2015</v>
      </c>
      <c r="J289" s="161" t="s">
        <v>600</v>
      </c>
      <c r="K289" s="161" t="s">
        <v>601</v>
      </c>
      <c r="L289" s="161"/>
      <c r="M289" s="453" t="s">
        <v>4143</v>
      </c>
      <c r="N289" s="186" t="s">
        <v>20</v>
      </c>
      <c r="O289" s="186" t="s">
        <v>15</v>
      </c>
      <c r="P289" s="186" t="s">
        <v>20</v>
      </c>
      <c r="Q289" s="186" t="s">
        <v>15</v>
      </c>
      <c r="R289" s="186" t="s">
        <v>15</v>
      </c>
      <c r="S289" s="186" t="s">
        <v>15</v>
      </c>
      <c r="T289" s="186" t="s">
        <v>15</v>
      </c>
      <c r="U289" s="186" t="s">
        <v>15</v>
      </c>
      <c r="V289" s="186" t="s">
        <v>15</v>
      </c>
      <c r="W289" s="186" t="s">
        <v>15</v>
      </c>
      <c r="X289" s="186" t="s">
        <v>15</v>
      </c>
      <c r="Y289" s="186" t="s">
        <v>15</v>
      </c>
      <c r="Z289" s="186"/>
      <c r="AA289" s="186" t="s">
        <v>602</v>
      </c>
      <c r="AB289" s="186" t="s">
        <v>15</v>
      </c>
      <c r="AC289" s="186" t="s">
        <v>15</v>
      </c>
      <c r="AD289" s="268" t="s">
        <v>603</v>
      </c>
      <c r="AE289" s="268" t="s">
        <v>604</v>
      </c>
      <c r="AF289" s="144" t="str">
        <f t="shared" si="16"/>
        <v/>
      </c>
      <c r="AG289" s="144" t="str">
        <f t="shared" si="17"/>
        <v/>
      </c>
      <c r="AH289" s="146" t="str">
        <f t="shared" si="18"/>
        <v/>
      </c>
      <c r="AI289" s="146" t="str">
        <f t="shared" si="19"/>
        <v/>
      </c>
      <c r="AJ289" s="303"/>
      <c r="AK289" s="303"/>
      <c r="AL289" s="303"/>
      <c r="AM289" s="303"/>
      <c r="AN289" s="303"/>
      <c r="AO289" s="303"/>
      <c r="AP289" s="303"/>
      <c r="AQ289" s="303"/>
      <c r="AR289" s="303"/>
      <c r="AS289" s="170"/>
      <c r="AT289" s="169">
        <f>6529/1000</f>
        <v>6.5289999999999999</v>
      </c>
      <c r="AU289" s="310"/>
      <c r="AW289" s="294"/>
      <c r="AX289" s="294"/>
      <c r="AY289" s="294"/>
      <c r="AZ289" s="294"/>
      <c r="BA289" s="294"/>
      <c r="BB289" s="294"/>
      <c r="BC289" s="294"/>
      <c r="BD289" s="294"/>
      <c r="BE289" s="294"/>
      <c r="BF289" s="383"/>
      <c r="BG289" s="382">
        <f>456/1000</f>
        <v>0.45600000000000002</v>
      </c>
      <c r="BH289" s="278"/>
      <c r="BI289" s="365" t="s">
        <v>113</v>
      </c>
      <c r="BJ289" s="411"/>
    </row>
    <row r="290" spans="1:62" ht="15.75" customHeight="1" thickBot="1" x14ac:dyDescent="0.25">
      <c r="A290" s="154">
        <v>289</v>
      </c>
      <c r="B290" s="155">
        <v>1</v>
      </c>
      <c r="C290" s="148" t="s">
        <v>236</v>
      </c>
      <c r="D290" s="148" t="s">
        <v>597</v>
      </c>
      <c r="E290" s="148" t="s">
        <v>13</v>
      </c>
      <c r="F290" s="148" t="s">
        <v>605</v>
      </c>
      <c r="G290" s="148" t="s">
        <v>20</v>
      </c>
      <c r="H290" s="148" t="s">
        <v>606</v>
      </c>
      <c r="I290" s="161">
        <v>2015</v>
      </c>
      <c r="J290" s="161" t="s">
        <v>600</v>
      </c>
      <c r="K290" s="161" t="s">
        <v>601</v>
      </c>
      <c r="L290" s="161"/>
      <c r="M290" s="453" t="s">
        <v>4143</v>
      </c>
      <c r="N290" s="186" t="s">
        <v>20</v>
      </c>
      <c r="O290" s="186" t="s">
        <v>15</v>
      </c>
      <c r="P290" s="186" t="s">
        <v>20</v>
      </c>
      <c r="Q290" s="186" t="s">
        <v>15</v>
      </c>
      <c r="R290" s="186" t="s">
        <v>15</v>
      </c>
      <c r="S290" s="186" t="s">
        <v>15</v>
      </c>
      <c r="T290" s="186" t="s">
        <v>15</v>
      </c>
      <c r="U290" s="186" t="s">
        <v>15</v>
      </c>
      <c r="V290" s="186" t="s">
        <v>15</v>
      </c>
      <c r="W290" s="186" t="s">
        <v>15</v>
      </c>
      <c r="X290" s="186" t="s">
        <v>15</v>
      </c>
      <c r="Y290" s="186" t="s">
        <v>15</v>
      </c>
      <c r="Z290" s="186"/>
      <c r="AA290" s="186" t="s">
        <v>602</v>
      </c>
      <c r="AB290" s="186" t="s">
        <v>15</v>
      </c>
      <c r="AC290" s="186" t="s">
        <v>15</v>
      </c>
      <c r="AD290" s="268" t="s">
        <v>603</v>
      </c>
      <c r="AE290" s="268" t="s">
        <v>604</v>
      </c>
      <c r="AF290" s="144" t="str">
        <f t="shared" si="16"/>
        <v/>
      </c>
      <c r="AG290" s="144" t="str">
        <f t="shared" si="17"/>
        <v/>
      </c>
      <c r="AH290" s="146" t="str">
        <f t="shared" si="18"/>
        <v/>
      </c>
      <c r="AI290" s="146" t="str">
        <f t="shared" si="19"/>
        <v/>
      </c>
      <c r="AJ290" s="303"/>
      <c r="AK290" s="303"/>
      <c r="AL290" s="303"/>
      <c r="AM290" s="303"/>
      <c r="AN290" s="303"/>
      <c r="AO290" s="303"/>
      <c r="AP290" s="303"/>
      <c r="AQ290" s="303"/>
      <c r="AR290" s="303"/>
      <c r="AS290" s="170"/>
      <c r="AT290" s="169">
        <f>2759/1000</f>
        <v>2.7589999999999999</v>
      </c>
      <c r="AU290" s="310"/>
      <c r="AW290" s="294"/>
      <c r="AX290" s="294"/>
      <c r="AY290" s="294"/>
      <c r="AZ290" s="294"/>
      <c r="BA290" s="294"/>
      <c r="BB290" s="294"/>
      <c r="BC290" s="294"/>
      <c r="BD290" s="294"/>
      <c r="BE290" s="294"/>
      <c r="BF290" s="383"/>
      <c r="BG290" s="382">
        <f>203/1000</f>
        <v>0.20300000000000001</v>
      </c>
      <c r="BH290" s="278"/>
      <c r="BI290" s="365" t="s">
        <v>113</v>
      </c>
      <c r="BJ290" s="411"/>
    </row>
    <row r="291" spans="1:62" ht="15.75" customHeight="1" thickBot="1" x14ac:dyDescent="0.25">
      <c r="A291" s="156">
        <v>290</v>
      </c>
      <c r="B291" s="155">
        <v>1</v>
      </c>
      <c r="C291" s="148" t="s">
        <v>162</v>
      </c>
      <c r="D291" s="141" t="s">
        <v>2206</v>
      </c>
      <c r="E291" s="148" t="s">
        <v>13</v>
      </c>
      <c r="F291" s="148" t="s">
        <v>607</v>
      </c>
      <c r="G291" s="148" t="s">
        <v>20</v>
      </c>
      <c r="H291" s="148" t="s">
        <v>608</v>
      </c>
      <c r="I291" s="161">
        <v>2013</v>
      </c>
      <c r="J291" s="161" t="s">
        <v>609</v>
      </c>
      <c r="K291" s="161" t="s">
        <v>610</v>
      </c>
      <c r="L291" s="161" t="s">
        <v>19</v>
      </c>
      <c r="M291" s="453" t="s">
        <v>4144</v>
      </c>
      <c r="N291" s="186" t="s">
        <v>20</v>
      </c>
      <c r="O291" s="186" t="s">
        <v>15</v>
      </c>
      <c r="P291" s="186" t="s">
        <v>20</v>
      </c>
      <c r="Q291" s="186" t="s">
        <v>20</v>
      </c>
      <c r="R291" s="186" t="s">
        <v>15</v>
      </c>
      <c r="S291" s="186" t="s">
        <v>20</v>
      </c>
      <c r="T291" s="186" t="s">
        <v>15</v>
      </c>
      <c r="U291" s="186" t="s">
        <v>15</v>
      </c>
      <c r="V291" s="186" t="s">
        <v>15</v>
      </c>
      <c r="W291" s="186" t="s">
        <v>15</v>
      </c>
      <c r="X291" s="186" t="s">
        <v>15</v>
      </c>
      <c r="Y291" s="186" t="s">
        <v>15</v>
      </c>
      <c r="Z291" s="186"/>
      <c r="AA291" s="186" t="s">
        <v>611</v>
      </c>
      <c r="AB291" s="186" t="s">
        <v>15</v>
      </c>
      <c r="AC291" s="186" t="s">
        <v>20</v>
      </c>
      <c r="AD291" s="268" t="s">
        <v>612</v>
      </c>
      <c r="AE291" s="268"/>
      <c r="AF291" s="144" t="str">
        <f t="shared" si="16"/>
        <v/>
      </c>
      <c r="AG291" s="144" t="str">
        <f t="shared" si="17"/>
        <v/>
      </c>
      <c r="AH291" s="146">
        <f t="shared" si="18"/>
        <v>0.126</v>
      </c>
      <c r="AI291" s="146" t="str">
        <f t="shared" si="19"/>
        <v/>
      </c>
      <c r="AJ291" s="303"/>
      <c r="AK291" s="303"/>
      <c r="AL291" s="303"/>
      <c r="AM291" s="303"/>
      <c r="AN291" s="303"/>
      <c r="AO291" s="303"/>
      <c r="AP291" s="303"/>
      <c r="AQ291" s="303"/>
      <c r="AR291" s="303"/>
      <c r="AS291" s="170"/>
      <c r="AT291" s="170"/>
      <c r="AU291" s="310"/>
      <c r="AW291" s="294">
        <v>0.126</v>
      </c>
      <c r="AX291" s="294"/>
      <c r="AY291" s="294"/>
      <c r="AZ291" s="294"/>
      <c r="BA291" s="294">
        <v>6.8000000000000005E-2</v>
      </c>
      <c r="BB291" s="294"/>
      <c r="BC291" s="294"/>
      <c r="BD291" s="294"/>
      <c r="BE291" s="294"/>
      <c r="BF291" s="383">
        <v>0.126</v>
      </c>
      <c r="BG291" s="383">
        <f>0.126+0.068</f>
        <v>0.19400000000000001</v>
      </c>
      <c r="BH291" s="278"/>
      <c r="BI291" s="365"/>
      <c r="BJ291" s="409"/>
    </row>
    <row r="292" spans="1:62" ht="15.75" customHeight="1" thickBot="1" x14ac:dyDescent="0.25">
      <c r="A292" s="154">
        <v>291</v>
      </c>
      <c r="B292" s="155">
        <v>1</v>
      </c>
      <c r="C292" s="148" t="s">
        <v>162</v>
      </c>
      <c r="D292" s="141" t="s">
        <v>2206</v>
      </c>
      <c r="E292" s="148" t="s">
        <v>13</v>
      </c>
      <c r="F292" s="148" t="s">
        <v>613</v>
      </c>
      <c r="G292" s="148" t="s">
        <v>20</v>
      </c>
      <c r="H292" s="148" t="s">
        <v>608</v>
      </c>
      <c r="I292" s="161">
        <v>2013</v>
      </c>
      <c r="J292" s="161" t="s">
        <v>609</v>
      </c>
      <c r="K292" s="161" t="s">
        <v>610</v>
      </c>
      <c r="L292" s="161" t="s">
        <v>19</v>
      </c>
      <c r="M292" s="453" t="s">
        <v>4144</v>
      </c>
      <c r="N292" s="186" t="s">
        <v>20</v>
      </c>
      <c r="O292" s="186" t="s">
        <v>15</v>
      </c>
      <c r="P292" s="186" t="s">
        <v>20</v>
      </c>
      <c r="Q292" s="186" t="s">
        <v>20</v>
      </c>
      <c r="R292" s="186" t="s">
        <v>15</v>
      </c>
      <c r="S292" s="186" t="s">
        <v>20</v>
      </c>
      <c r="T292" s="186" t="s">
        <v>15</v>
      </c>
      <c r="U292" s="186" t="s">
        <v>15</v>
      </c>
      <c r="V292" s="186" t="s">
        <v>15</v>
      </c>
      <c r="W292" s="186" t="s">
        <v>15</v>
      </c>
      <c r="X292" s="186" t="s">
        <v>15</v>
      </c>
      <c r="Y292" s="186" t="s">
        <v>15</v>
      </c>
      <c r="Z292" s="186"/>
      <c r="AA292" s="186" t="s">
        <v>611</v>
      </c>
      <c r="AB292" s="186" t="s">
        <v>15</v>
      </c>
      <c r="AC292" s="186" t="s">
        <v>20</v>
      </c>
      <c r="AD292" s="268" t="s">
        <v>612</v>
      </c>
      <c r="AE292" s="268"/>
      <c r="AF292" s="144" t="str">
        <f t="shared" si="16"/>
        <v/>
      </c>
      <c r="AG292" s="144" t="str">
        <f t="shared" si="17"/>
        <v/>
      </c>
      <c r="AH292" s="146">
        <f t="shared" si="18"/>
        <v>0.14499999999999999</v>
      </c>
      <c r="AI292" s="146" t="str">
        <f t="shared" si="19"/>
        <v/>
      </c>
      <c r="AJ292" s="303"/>
      <c r="AK292" s="303"/>
      <c r="AL292" s="303"/>
      <c r="AM292" s="303"/>
      <c r="AN292" s="303"/>
      <c r="AO292" s="303"/>
      <c r="AP292" s="303"/>
      <c r="AQ292" s="303"/>
      <c r="AR292" s="303"/>
      <c r="AS292" s="170"/>
      <c r="AT292" s="170"/>
      <c r="AU292" s="310"/>
      <c r="AW292" s="294">
        <v>0.14499999999999999</v>
      </c>
      <c r="AX292" s="294"/>
      <c r="AY292" s="294"/>
      <c r="AZ292" s="294"/>
      <c r="BA292" s="294">
        <v>4.2000000000000003E-2</v>
      </c>
      <c r="BB292" s="294"/>
      <c r="BC292" s="294"/>
      <c r="BD292" s="294"/>
      <c r="BE292" s="294"/>
      <c r="BF292" s="383">
        <v>0.14499999999999999</v>
      </c>
      <c r="BG292" s="383">
        <f>0.145+0.042</f>
        <v>0.187</v>
      </c>
      <c r="BH292" s="278"/>
      <c r="BI292" s="365"/>
      <c r="BJ292" s="409"/>
    </row>
    <row r="293" spans="1:62" ht="15.75" customHeight="1" thickBot="1" x14ac:dyDescent="0.25">
      <c r="A293" s="156">
        <v>292</v>
      </c>
      <c r="B293" s="155">
        <v>1</v>
      </c>
      <c r="C293" s="148" t="s">
        <v>162</v>
      </c>
      <c r="D293" s="141" t="s">
        <v>2204</v>
      </c>
      <c r="E293" s="148" t="s">
        <v>13</v>
      </c>
      <c r="F293" s="148" t="s">
        <v>614</v>
      </c>
      <c r="G293" s="148" t="s">
        <v>20</v>
      </c>
      <c r="H293" s="148" t="s">
        <v>608</v>
      </c>
      <c r="I293" s="161">
        <v>2013</v>
      </c>
      <c r="J293" s="161" t="s">
        <v>609</v>
      </c>
      <c r="K293" s="161" t="s">
        <v>610</v>
      </c>
      <c r="L293" s="161" t="s">
        <v>19</v>
      </c>
      <c r="M293" s="453" t="s">
        <v>4144</v>
      </c>
      <c r="N293" s="186" t="s">
        <v>20</v>
      </c>
      <c r="O293" s="186" t="s">
        <v>15</v>
      </c>
      <c r="P293" s="186" t="s">
        <v>20</v>
      </c>
      <c r="Q293" s="186" t="s">
        <v>20</v>
      </c>
      <c r="R293" s="186" t="s">
        <v>15</v>
      </c>
      <c r="S293" s="186" t="s">
        <v>20</v>
      </c>
      <c r="T293" s="186" t="s">
        <v>15</v>
      </c>
      <c r="U293" s="186" t="s">
        <v>15</v>
      </c>
      <c r="V293" s="186" t="s">
        <v>15</v>
      </c>
      <c r="W293" s="186" t="s">
        <v>15</v>
      </c>
      <c r="X293" s="186" t="s">
        <v>15</v>
      </c>
      <c r="Y293" s="186" t="s">
        <v>15</v>
      </c>
      <c r="Z293" s="186"/>
      <c r="AA293" s="186" t="s">
        <v>611</v>
      </c>
      <c r="AB293" s="186" t="s">
        <v>15</v>
      </c>
      <c r="AC293" s="186" t="s">
        <v>20</v>
      </c>
      <c r="AD293" s="268" t="s">
        <v>615</v>
      </c>
      <c r="AE293" s="268"/>
      <c r="AF293" s="144" t="str">
        <f t="shared" si="16"/>
        <v/>
      </c>
      <c r="AG293" s="144" t="str">
        <f t="shared" si="17"/>
        <v/>
      </c>
      <c r="AH293" s="146">
        <f t="shared" si="18"/>
        <v>0.151</v>
      </c>
      <c r="AI293" s="146">
        <f t="shared" si="19"/>
        <v>0.17799999999999999</v>
      </c>
      <c r="AJ293" s="303"/>
      <c r="AK293" s="303"/>
      <c r="AL293" s="303"/>
      <c r="AM293" s="303"/>
      <c r="AN293" s="303"/>
      <c r="AO293" s="303"/>
      <c r="AP293" s="303"/>
      <c r="AQ293" s="303"/>
      <c r="AR293" s="303"/>
      <c r="AS293" s="170"/>
      <c r="AT293" s="170"/>
      <c r="AU293" s="310"/>
      <c r="AW293" s="294">
        <v>0.151</v>
      </c>
      <c r="AX293" s="294"/>
      <c r="AY293" s="294">
        <v>2.7E-2</v>
      </c>
      <c r="AZ293" s="294"/>
      <c r="BA293" s="294">
        <v>6.9000000000000006E-2</v>
      </c>
      <c r="BB293" s="294"/>
      <c r="BC293" s="294"/>
      <c r="BD293" s="294"/>
      <c r="BE293" s="294"/>
      <c r="BF293" s="383">
        <v>0.151</v>
      </c>
      <c r="BG293" s="383">
        <v>0.247</v>
      </c>
      <c r="BH293" s="278"/>
      <c r="BI293" s="365"/>
      <c r="BJ293" s="409"/>
    </row>
    <row r="294" spans="1:62" ht="15.75" customHeight="1" thickBot="1" x14ac:dyDescent="0.25">
      <c r="A294" s="154">
        <v>293</v>
      </c>
      <c r="B294" s="155">
        <v>1</v>
      </c>
      <c r="C294" s="148" t="s">
        <v>162</v>
      </c>
      <c r="D294" s="141" t="s">
        <v>2204</v>
      </c>
      <c r="E294" s="148" t="s">
        <v>13</v>
      </c>
      <c r="F294" s="148" t="s">
        <v>616</v>
      </c>
      <c r="G294" s="148" t="s">
        <v>20</v>
      </c>
      <c r="H294" s="148" t="s">
        <v>608</v>
      </c>
      <c r="I294" s="161">
        <v>2013</v>
      </c>
      <c r="J294" s="161" t="s">
        <v>609</v>
      </c>
      <c r="K294" s="161" t="s">
        <v>610</v>
      </c>
      <c r="L294" s="161" t="s">
        <v>19</v>
      </c>
      <c r="M294" s="453" t="s">
        <v>4144</v>
      </c>
      <c r="N294" s="186" t="s">
        <v>20</v>
      </c>
      <c r="O294" s="186" t="s">
        <v>15</v>
      </c>
      <c r="P294" s="186" t="s">
        <v>20</v>
      </c>
      <c r="Q294" s="186" t="s">
        <v>20</v>
      </c>
      <c r="R294" s="186" t="s">
        <v>15</v>
      </c>
      <c r="S294" s="186" t="s">
        <v>20</v>
      </c>
      <c r="T294" s="186" t="s">
        <v>15</v>
      </c>
      <c r="U294" s="186" t="s">
        <v>15</v>
      </c>
      <c r="V294" s="186" t="s">
        <v>15</v>
      </c>
      <c r="W294" s="186" t="s">
        <v>15</v>
      </c>
      <c r="X294" s="186" t="s">
        <v>15</v>
      </c>
      <c r="Y294" s="186" t="s">
        <v>15</v>
      </c>
      <c r="Z294" s="186"/>
      <c r="AA294" s="186" t="s">
        <v>611</v>
      </c>
      <c r="AB294" s="186" t="s">
        <v>15</v>
      </c>
      <c r="AC294" s="186" t="s">
        <v>20</v>
      </c>
      <c r="AD294" s="268" t="s">
        <v>615</v>
      </c>
      <c r="AE294" s="268"/>
      <c r="AF294" s="144" t="str">
        <f t="shared" si="16"/>
        <v/>
      </c>
      <c r="AG294" s="144" t="str">
        <f t="shared" si="17"/>
        <v/>
      </c>
      <c r="AH294" s="146">
        <f t="shared" si="18"/>
        <v>0.17399999999999999</v>
      </c>
      <c r="AI294" s="146">
        <f t="shared" si="19"/>
        <v>0.20099999999999998</v>
      </c>
      <c r="AJ294" s="303"/>
      <c r="AK294" s="303"/>
      <c r="AL294" s="303"/>
      <c r="AM294" s="303"/>
      <c r="AN294" s="303"/>
      <c r="AO294" s="303"/>
      <c r="AP294" s="303"/>
      <c r="AQ294" s="303"/>
      <c r="AR294" s="303"/>
      <c r="AS294" s="170"/>
      <c r="AT294" s="170"/>
      <c r="AU294" s="310"/>
      <c r="AW294" s="294">
        <v>0.17399999999999999</v>
      </c>
      <c r="AX294" s="294"/>
      <c r="AY294" s="294">
        <v>2.7E-2</v>
      </c>
      <c r="AZ294" s="294"/>
      <c r="BA294" s="294">
        <v>6.0999999999999999E-2</v>
      </c>
      <c r="BB294" s="294"/>
      <c r="BC294" s="294"/>
      <c r="BD294" s="294"/>
      <c r="BE294" s="294"/>
      <c r="BF294" s="383">
        <v>0.17399999999999999</v>
      </c>
      <c r="BG294" s="383">
        <v>0.26200000000000001</v>
      </c>
      <c r="BH294" s="278"/>
      <c r="BI294" s="365"/>
      <c r="BJ294" s="409"/>
    </row>
    <row r="295" spans="1:62" ht="15.75" customHeight="1" thickBot="1" x14ac:dyDescent="0.25">
      <c r="A295" s="156">
        <v>294</v>
      </c>
      <c r="B295" s="155">
        <v>1</v>
      </c>
      <c r="C295" s="148" t="s">
        <v>162</v>
      </c>
      <c r="D295" s="148" t="s">
        <v>2845</v>
      </c>
      <c r="E295" s="148" t="s">
        <v>13</v>
      </c>
      <c r="F295" s="148" t="s">
        <v>617</v>
      </c>
      <c r="G295" s="148" t="s">
        <v>20</v>
      </c>
      <c r="H295" s="148" t="s">
        <v>608</v>
      </c>
      <c r="I295" s="161">
        <v>2013</v>
      </c>
      <c r="J295" s="161" t="s">
        <v>609</v>
      </c>
      <c r="K295" s="161" t="s">
        <v>610</v>
      </c>
      <c r="L295" s="161" t="s">
        <v>19</v>
      </c>
      <c r="M295" s="453" t="s">
        <v>4144</v>
      </c>
      <c r="N295" s="186" t="s">
        <v>20</v>
      </c>
      <c r="O295" s="186" t="s">
        <v>15</v>
      </c>
      <c r="P295" s="186" t="s">
        <v>20</v>
      </c>
      <c r="Q295" s="186" t="s">
        <v>20</v>
      </c>
      <c r="R295" s="186" t="s">
        <v>15</v>
      </c>
      <c r="S295" s="186" t="s">
        <v>20</v>
      </c>
      <c r="T295" s="186" t="s">
        <v>15</v>
      </c>
      <c r="U295" s="186" t="s">
        <v>15</v>
      </c>
      <c r="V295" s="186" t="s">
        <v>15</v>
      </c>
      <c r="W295" s="186" t="s">
        <v>15</v>
      </c>
      <c r="X295" s="186" t="s">
        <v>15</v>
      </c>
      <c r="Y295" s="186" t="s">
        <v>15</v>
      </c>
      <c r="Z295" s="186"/>
      <c r="AA295" s="186" t="s">
        <v>611</v>
      </c>
      <c r="AB295" s="186" t="s">
        <v>15</v>
      </c>
      <c r="AC295" s="186" t="s">
        <v>20</v>
      </c>
      <c r="AD295" s="268" t="s">
        <v>618</v>
      </c>
      <c r="AE295" s="268"/>
      <c r="AF295" s="144" t="str">
        <f t="shared" si="16"/>
        <v/>
      </c>
      <c r="AG295" s="144" t="str">
        <f t="shared" si="17"/>
        <v/>
      </c>
      <c r="AH295" s="146">
        <f t="shared" si="18"/>
        <v>0.82899999999999996</v>
      </c>
      <c r="AI295" s="146">
        <f t="shared" si="19"/>
        <v>2.7759999999999998</v>
      </c>
      <c r="AJ295" s="304"/>
      <c r="AK295" s="304"/>
      <c r="AL295" s="304"/>
      <c r="AM295" s="304"/>
      <c r="AN295" s="304"/>
      <c r="AO295" s="304"/>
      <c r="AP295" s="304"/>
      <c r="AQ295" s="304"/>
      <c r="AR295" s="304"/>
      <c r="AS295" s="170"/>
      <c r="AT295" s="170"/>
      <c r="AU295" s="310"/>
      <c r="AW295" s="350">
        <v>0.82899999999999996</v>
      </c>
      <c r="AX295" s="350"/>
      <c r="AY295" s="350">
        <v>1.9470000000000001</v>
      </c>
      <c r="AZ295" s="350"/>
      <c r="BA295" s="350">
        <v>0.41499999999999998</v>
      </c>
      <c r="BB295" s="350"/>
      <c r="BC295" s="350"/>
      <c r="BD295" s="350"/>
      <c r="BE295" s="350"/>
      <c r="BF295" s="383">
        <v>0.82899999999999996</v>
      </c>
      <c r="BG295" s="383">
        <v>3.1920000000000002</v>
      </c>
      <c r="BH295" s="278"/>
      <c r="BI295" s="365"/>
      <c r="BJ295" s="409"/>
    </row>
    <row r="296" spans="1:62" ht="15.75" customHeight="1" thickBot="1" x14ac:dyDescent="0.25">
      <c r="A296" s="154">
        <v>295</v>
      </c>
      <c r="B296" s="155">
        <v>1</v>
      </c>
      <c r="C296" s="148" t="s">
        <v>162</v>
      </c>
      <c r="D296" s="148" t="s">
        <v>2845</v>
      </c>
      <c r="E296" s="148" t="s">
        <v>13</v>
      </c>
      <c r="F296" s="148" t="s">
        <v>619</v>
      </c>
      <c r="G296" s="148" t="s">
        <v>20</v>
      </c>
      <c r="H296" s="148" t="s">
        <v>608</v>
      </c>
      <c r="I296" s="161">
        <v>2013</v>
      </c>
      <c r="J296" s="161" t="s">
        <v>609</v>
      </c>
      <c r="K296" s="161" t="s">
        <v>610</v>
      </c>
      <c r="L296" s="161" t="s">
        <v>19</v>
      </c>
      <c r="M296" s="453" t="s">
        <v>4144</v>
      </c>
      <c r="N296" s="186" t="s">
        <v>20</v>
      </c>
      <c r="O296" s="186" t="s">
        <v>15</v>
      </c>
      <c r="P296" s="186" t="s">
        <v>20</v>
      </c>
      <c r="Q296" s="186" t="s">
        <v>20</v>
      </c>
      <c r="R296" s="186" t="s">
        <v>15</v>
      </c>
      <c r="S296" s="186" t="s">
        <v>20</v>
      </c>
      <c r="T296" s="186" t="s">
        <v>15</v>
      </c>
      <c r="U296" s="186" t="s">
        <v>15</v>
      </c>
      <c r="V296" s="186" t="s">
        <v>15</v>
      </c>
      <c r="W296" s="186" t="s">
        <v>15</v>
      </c>
      <c r="X296" s="186" t="s">
        <v>15</v>
      </c>
      <c r="Y296" s="186" t="s">
        <v>15</v>
      </c>
      <c r="Z296" s="186"/>
      <c r="AA296" s="186" t="s">
        <v>611</v>
      </c>
      <c r="AB296" s="186" t="s">
        <v>15</v>
      </c>
      <c r="AC296" s="186" t="s">
        <v>20</v>
      </c>
      <c r="AD296" s="268" t="s">
        <v>618</v>
      </c>
      <c r="AE296" s="268"/>
      <c r="AF296" s="144" t="str">
        <f t="shared" si="16"/>
        <v/>
      </c>
      <c r="AG296" s="144" t="str">
        <f t="shared" si="17"/>
        <v/>
      </c>
      <c r="AH296" s="146">
        <f t="shared" si="18"/>
        <v>0.95499999999999996</v>
      </c>
      <c r="AI296" s="146">
        <f t="shared" si="19"/>
        <v>2.9020000000000001</v>
      </c>
      <c r="AJ296" s="303"/>
      <c r="AK296" s="303"/>
      <c r="AL296" s="303"/>
      <c r="AM296" s="303"/>
      <c r="AN296" s="303"/>
      <c r="AO296" s="303"/>
      <c r="AP296" s="303"/>
      <c r="AQ296" s="303"/>
      <c r="AR296" s="303"/>
      <c r="AS296" s="170"/>
      <c r="AT296" s="170"/>
      <c r="AU296" s="310"/>
      <c r="AW296" s="294">
        <v>0.95499999999999996</v>
      </c>
      <c r="AX296" s="294"/>
      <c r="AY296" s="294">
        <v>1.9470000000000001</v>
      </c>
      <c r="AZ296" s="294"/>
      <c r="BA296" s="294">
        <v>0.29899999999999999</v>
      </c>
      <c r="BB296" s="294"/>
      <c r="BC296" s="294"/>
      <c r="BD296" s="294"/>
      <c r="BE296" s="294"/>
      <c r="BF296" s="383">
        <v>0.95499999999999996</v>
      </c>
      <c r="BG296" s="383">
        <v>3.2010000000000001</v>
      </c>
      <c r="BH296" s="278"/>
      <c r="BI296" s="365"/>
      <c r="BJ296" s="409"/>
    </row>
    <row r="297" spans="1:62" ht="15.75" customHeight="1" thickBot="1" x14ac:dyDescent="0.25">
      <c r="A297" s="156">
        <v>296</v>
      </c>
      <c r="B297" s="155">
        <v>1</v>
      </c>
      <c r="C297" s="148" t="s">
        <v>1110</v>
      </c>
      <c r="D297" s="148" t="s">
        <v>2198</v>
      </c>
      <c r="E297" s="148" t="s">
        <v>13</v>
      </c>
      <c r="F297" s="148" t="s">
        <v>620</v>
      </c>
      <c r="G297" s="148" t="s">
        <v>20</v>
      </c>
      <c r="H297" s="148" t="s">
        <v>608</v>
      </c>
      <c r="I297" s="161">
        <v>2013</v>
      </c>
      <c r="J297" s="161" t="s">
        <v>609</v>
      </c>
      <c r="K297" s="161" t="s">
        <v>610</v>
      </c>
      <c r="L297" s="161" t="s">
        <v>19</v>
      </c>
      <c r="M297" s="453" t="s">
        <v>4144</v>
      </c>
      <c r="N297" s="186" t="s">
        <v>20</v>
      </c>
      <c r="O297" s="186" t="s">
        <v>15</v>
      </c>
      <c r="P297" s="186" t="s">
        <v>20</v>
      </c>
      <c r="Q297" s="186" t="s">
        <v>20</v>
      </c>
      <c r="R297" s="186" t="s">
        <v>15</v>
      </c>
      <c r="S297" s="186" t="s">
        <v>20</v>
      </c>
      <c r="T297" s="186" t="s">
        <v>15</v>
      </c>
      <c r="U297" s="186" t="s">
        <v>15</v>
      </c>
      <c r="V297" s="186" t="s">
        <v>15</v>
      </c>
      <c r="W297" s="186" t="s">
        <v>15</v>
      </c>
      <c r="X297" s="186" t="s">
        <v>15</v>
      </c>
      <c r="Y297" s="186" t="s">
        <v>15</v>
      </c>
      <c r="Z297" s="186"/>
      <c r="AA297" s="186" t="s">
        <v>611</v>
      </c>
      <c r="AB297" s="186" t="s">
        <v>15</v>
      </c>
      <c r="AC297" s="186" t="s">
        <v>20</v>
      </c>
      <c r="AD297" s="268" t="s">
        <v>621</v>
      </c>
      <c r="AE297" s="268"/>
      <c r="AF297" s="144" t="str">
        <f t="shared" si="16"/>
        <v/>
      </c>
      <c r="AG297" s="144" t="str">
        <f t="shared" si="17"/>
        <v/>
      </c>
      <c r="AH297" s="146">
        <f t="shared" si="18"/>
        <v>0.44</v>
      </c>
      <c r="AI297" s="146">
        <f t="shared" si="19"/>
        <v>1.72</v>
      </c>
      <c r="AJ297" s="304"/>
      <c r="AK297" s="304"/>
      <c r="AL297" s="304"/>
      <c r="AM297" s="304"/>
      <c r="AN297" s="304"/>
      <c r="AO297" s="304"/>
      <c r="AP297" s="304"/>
      <c r="AQ297" s="304"/>
      <c r="AR297" s="304"/>
      <c r="AS297" s="170"/>
      <c r="AT297" s="170"/>
      <c r="AU297" s="310"/>
      <c r="AW297" s="350">
        <v>0.44</v>
      </c>
      <c r="AX297" s="350"/>
      <c r="AY297" s="350">
        <v>1.28</v>
      </c>
      <c r="AZ297" s="350"/>
      <c r="BA297" s="350">
        <v>0.55200000000000005</v>
      </c>
      <c r="BB297" s="350"/>
      <c r="BC297" s="350"/>
      <c r="BD297" s="350"/>
      <c r="BE297" s="350"/>
      <c r="BF297" s="383">
        <f>AW297</f>
        <v>0.44</v>
      </c>
      <c r="BG297" s="383">
        <v>2.2709999999999999</v>
      </c>
      <c r="BH297" s="278"/>
      <c r="BI297" s="365"/>
      <c r="BJ297" s="409"/>
    </row>
    <row r="298" spans="1:62" ht="15.75" customHeight="1" thickBot="1" x14ac:dyDescent="0.25">
      <c r="A298" s="154">
        <v>297</v>
      </c>
      <c r="B298" s="155">
        <v>1</v>
      </c>
      <c r="C298" s="148" t="s">
        <v>162</v>
      </c>
      <c r="D298" s="141" t="s">
        <v>2206</v>
      </c>
      <c r="E298" s="148" t="s">
        <v>13</v>
      </c>
      <c r="F298" s="148" t="s">
        <v>622</v>
      </c>
      <c r="G298" s="148" t="s">
        <v>20</v>
      </c>
      <c r="H298" s="148" t="s">
        <v>608</v>
      </c>
      <c r="I298" s="161">
        <v>2013</v>
      </c>
      <c r="J298" s="161" t="s">
        <v>609</v>
      </c>
      <c r="K298" s="161" t="s">
        <v>610</v>
      </c>
      <c r="L298" s="161" t="s">
        <v>19</v>
      </c>
      <c r="M298" s="453" t="s">
        <v>4144</v>
      </c>
      <c r="N298" s="186" t="s">
        <v>20</v>
      </c>
      <c r="O298" s="186" t="s">
        <v>15</v>
      </c>
      <c r="P298" s="186" t="s">
        <v>20</v>
      </c>
      <c r="Q298" s="186" t="s">
        <v>20</v>
      </c>
      <c r="R298" s="186" t="s">
        <v>15</v>
      </c>
      <c r="S298" s="186" t="s">
        <v>20</v>
      </c>
      <c r="T298" s="186" t="s">
        <v>15</v>
      </c>
      <c r="U298" s="186" t="s">
        <v>15</v>
      </c>
      <c r="V298" s="186" t="s">
        <v>15</v>
      </c>
      <c r="W298" s="186" t="s">
        <v>15</v>
      </c>
      <c r="X298" s="186" t="s">
        <v>15</v>
      </c>
      <c r="Y298" s="186" t="s">
        <v>15</v>
      </c>
      <c r="Z298" s="186"/>
      <c r="AA298" s="186" t="s">
        <v>611</v>
      </c>
      <c r="AB298" s="186" t="s">
        <v>15</v>
      </c>
      <c r="AC298" s="186" t="s">
        <v>20</v>
      </c>
      <c r="AD298" s="268" t="s">
        <v>621</v>
      </c>
      <c r="AE298" s="268"/>
      <c r="AF298" s="144" t="str">
        <f t="shared" si="16"/>
        <v/>
      </c>
      <c r="AG298" s="144" t="str">
        <f t="shared" si="17"/>
        <v/>
      </c>
      <c r="AH298" s="146">
        <f t="shared" si="18"/>
        <v>0.50600000000000001</v>
      </c>
      <c r="AI298" s="146">
        <f t="shared" si="19"/>
        <v>1.786</v>
      </c>
      <c r="AJ298" s="303"/>
      <c r="AK298" s="303"/>
      <c r="AL298" s="303"/>
      <c r="AM298" s="303"/>
      <c r="AN298" s="303"/>
      <c r="AO298" s="303"/>
      <c r="AP298" s="303"/>
      <c r="AQ298" s="303"/>
      <c r="AR298" s="303"/>
      <c r="AS298" s="170"/>
      <c r="AT298" s="170"/>
      <c r="AU298" s="310"/>
      <c r="AW298" s="294">
        <v>0.50600000000000001</v>
      </c>
      <c r="AX298" s="294"/>
      <c r="AY298" s="294">
        <v>1.28</v>
      </c>
      <c r="AZ298" s="294"/>
      <c r="BA298" s="294">
        <v>0.28599999999999998</v>
      </c>
      <c r="BB298" s="294"/>
      <c r="BC298" s="294"/>
      <c r="BD298" s="294"/>
      <c r="BE298" s="294"/>
      <c r="BF298" s="383">
        <f>AW298</f>
        <v>0.50600000000000001</v>
      </c>
      <c r="BG298" s="383">
        <v>2.0720000000000001</v>
      </c>
      <c r="BH298" s="278"/>
      <c r="BI298" s="365"/>
      <c r="BJ298" s="409"/>
    </row>
    <row r="299" spans="1:62" ht="15.75" customHeight="1" thickBot="1" x14ac:dyDescent="0.25">
      <c r="A299" s="156">
        <v>298</v>
      </c>
      <c r="B299" s="155">
        <v>1</v>
      </c>
      <c r="C299" s="148" t="s">
        <v>162</v>
      </c>
      <c r="D299" s="141" t="s">
        <v>2206</v>
      </c>
      <c r="E299" s="148" t="s">
        <v>13</v>
      </c>
      <c r="F299" s="148" t="s">
        <v>623</v>
      </c>
      <c r="G299" s="148" t="s">
        <v>15</v>
      </c>
      <c r="H299" s="148" t="s">
        <v>101</v>
      </c>
      <c r="I299" s="161">
        <v>2010</v>
      </c>
      <c r="J299" s="161" t="s">
        <v>624</v>
      </c>
      <c r="K299" s="161" t="s">
        <v>625</v>
      </c>
      <c r="L299" s="161" t="s">
        <v>19</v>
      </c>
      <c r="M299" s="453" t="s">
        <v>4145</v>
      </c>
      <c r="N299" s="186" t="s">
        <v>20</v>
      </c>
      <c r="O299" s="186" t="s">
        <v>15</v>
      </c>
      <c r="P299" s="186" t="s">
        <v>20</v>
      </c>
      <c r="Q299" s="186" t="s">
        <v>15</v>
      </c>
      <c r="R299" s="186" t="s">
        <v>20</v>
      </c>
      <c r="S299" s="186" t="s">
        <v>20</v>
      </c>
      <c r="T299" s="186" t="s">
        <v>15</v>
      </c>
      <c r="U299" s="186" t="s">
        <v>15</v>
      </c>
      <c r="V299" s="186" t="s">
        <v>15</v>
      </c>
      <c r="W299" s="186" t="s">
        <v>15</v>
      </c>
      <c r="X299" s="186" t="s">
        <v>15</v>
      </c>
      <c r="Y299" s="186" t="s">
        <v>20</v>
      </c>
      <c r="Z299" s="186"/>
      <c r="AA299" s="186" t="s">
        <v>626</v>
      </c>
      <c r="AB299" s="186" t="s">
        <v>20</v>
      </c>
      <c r="AC299" s="186" t="s">
        <v>15</v>
      </c>
      <c r="AD299" s="268" t="s">
        <v>627</v>
      </c>
      <c r="AE299" s="268" t="s">
        <v>628</v>
      </c>
      <c r="AF299" s="144" t="str">
        <f t="shared" si="16"/>
        <v/>
      </c>
      <c r="AG299" s="144" t="str">
        <f t="shared" si="17"/>
        <v/>
      </c>
      <c r="AH299" s="146" t="str">
        <f t="shared" si="18"/>
        <v/>
      </c>
      <c r="AI299" s="146" t="str">
        <f t="shared" si="19"/>
        <v/>
      </c>
      <c r="AJ299" s="303"/>
      <c r="AK299" s="303"/>
      <c r="AL299" s="303"/>
      <c r="AM299" s="303"/>
      <c r="AN299" s="303"/>
      <c r="AO299" s="303"/>
      <c r="AP299" s="303"/>
      <c r="AQ299" s="303"/>
      <c r="AR299" s="303"/>
      <c r="AS299" s="170"/>
      <c r="AT299" s="170"/>
      <c r="AU299" s="310"/>
      <c r="AW299" s="294"/>
      <c r="AX299" s="294"/>
      <c r="AY299" s="294"/>
      <c r="AZ299" s="294"/>
      <c r="BA299" s="294"/>
      <c r="BB299" s="294"/>
      <c r="BC299" s="294"/>
      <c r="BD299" s="294"/>
      <c r="BE299" s="294"/>
      <c r="BF299" s="383"/>
      <c r="BG299" s="382">
        <v>0.12</v>
      </c>
      <c r="BH299" s="278" t="s">
        <v>629</v>
      </c>
      <c r="BI299" s="365" t="s">
        <v>630</v>
      </c>
      <c r="BJ299" s="409"/>
    </row>
    <row r="300" spans="1:62" ht="15.75" customHeight="1" thickBot="1" x14ac:dyDescent="0.25">
      <c r="A300" s="154">
        <v>299</v>
      </c>
      <c r="B300" s="155">
        <v>1</v>
      </c>
      <c r="C300" s="148" t="s">
        <v>162</v>
      </c>
      <c r="D300" s="141" t="s">
        <v>2057</v>
      </c>
      <c r="E300" s="148" t="s">
        <v>13</v>
      </c>
      <c r="F300" s="148" t="s">
        <v>632</v>
      </c>
      <c r="G300" s="148" t="s">
        <v>20</v>
      </c>
      <c r="H300" s="148" t="s">
        <v>633</v>
      </c>
      <c r="I300" s="161">
        <v>2015</v>
      </c>
      <c r="J300" s="161" t="s">
        <v>634</v>
      </c>
      <c r="K300" s="161" t="s">
        <v>635</v>
      </c>
      <c r="L300" s="161" t="s">
        <v>19</v>
      </c>
      <c r="M300" s="453" t="s">
        <v>4146</v>
      </c>
      <c r="N300" s="186" t="s">
        <v>20</v>
      </c>
      <c r="O300" s="186" t="s">
        <v>15</v>
      </c>
      <c r="P300" s="186" t="s">
        <v>15</v>
      </c>
      <c r="Q300" s="186" t="s">
        <v>15</v>
      </c>
      <c r="R300" s="186" t="s">
        <v>15</v>
      </c>
      <c r="S300" s="186" t="s">
        <v>15</v>
      </c>
      <c r="T300" s="186" t="s">
        <v>15</v>
      </c>
      <c r="U300" s="186" t="s">
        <v>15</v>
      </c>
      <c r="V300" s="186" t="s">
        <v>15</v>
      </c>
      <c r="W300" s="186" t="s">
        <v>15</v>
      </c>
      <c r="X300" s="186" t="s">
        <v>15</v>
      </c>
      <c r="Y300" s="186" t="s">
        <v>20</v>
      </c>
      <c r="Z300" s="186"/>
      <c r="AA300" s="186" t="s">
        <v>636</v>
      </c>
      <c r="AB300" s="186" t="s">
        <v>15</v>
      </c>
      <c r="AC300" s="186" t="s">
        <v>20</v>
      </c>
      <c r="AD300" s="268" t="s">
        <v>637</v>
      </c>
      <c r="AE300" s="268" t="s">
        <v>485</v>
      </c>
      <c r="AF300" s="144" t="str">
        <f t="shared" si="16"/>
        <v/>
      </c>
      <c r="AG300" s="144" t="str">
        <f t="shared" si="17"/>
        <v/>
      </c>
      <c r="AH300" s="146">
        <f t="shared" si="18"/>
        <v>0.12819999999999998</v>
      </c>
      <c r="AI300" s="146" t="str">
        <f t="shared" si="19"/>
        <v/>
      </c>
      <c r="AJ300" s="303"/>
      <c r="AK300" s="303"/>
      <c r="AL300" s="303"/>
      <c r="AM300" s="303"/>
      <c r="AN300" s="303"/>
      <c r="AO300" s="303"/>
      <c r="AP300" s="303"/>
      <c r="AQ300" s="303"/>
      <c r="AR300" s="303"/>
      <c r="AS300" s="170"/>
      <c r="AT300" s="170"/>
      <c r="AU300" s="310"/>
      <c r="AW300" s="294"/>
      <c r="AX300" s="294"/>
      <c r="AY300" s="294"/>
      <c r="AZ300" s="294"/>
      <c r="BA300" s="294"/>
      <c r="BB300" s="294"/>
      <c r="BC300" s="294"/>
      <c r="BD300" s="294"/>
      <c r="BE300" s="294"/>
      <c r="BF300" s="382">
        <f>128.2/1000</f>
        <v>0.12819999999999998</v>
      </c>
      <c r="BG300" s="383"/>
      <c r="BH300" s="278"/>
      <c r="BI300" s="365" t="s">
        <v>638</v>
      </c>
      <c r="BJ300" s="409"/>
    </row>
    <row r="301" spans="1:62" ht="15.75" customHeight="1" thickBot="1" x14ac:dyDescent="0.25">
      <c r="A301" s="156">
        <v>300</v>
      </c>
      <c r="B301" s="155">
        <v>1</v>
      </c>
      <c r="C301" s="148" t="s">
        <v>162</v>
      </c>
      <c r="D301" s="141" t="s">
        <v>2057</v>
      </c>
      <c r="E301" s="148" t="s">
        <v>13</v>
      </c>
      <c r="F301" s="148" t="s">
        <v>639</v>
      </c>
      <c r="G301" s="148" t="s">
        <v>20</v>
      </c>
      <c r="H301" s="148" t="s">
        <v>633</v>
      </c>
      <c r="I301" s="161">
        <v>2015</v>
      </c>
      <c r="J301" s="161" t="s">
        <v>634</v>
      </c>
      <c r="K301" s="161" t="s">
        <v>635</v>
      </c>
      <c r="L301" s="161" t="s">
        <v>19</v>
      </c>
      <c r="M301" s="453" t="s">
        <v>4146</v>
      </c>
      <c r="N301" s="186" t="s">
        <v>20</v>
      </c>
      <c r="O301" s="186" t="s">
        <v>15</v>
      </c>
      <c r="P301" s="186" t="s">
        <v>15</v>
      </c>
      <c r="Q301" s="186" t="s">
        <v>15</v>
      </c>
      <c r="R301" s="186" t="s">
        <v>15</v>
      </c>
      <c r="S301" s="186" t="s">
        <v>15</v>
      </c>
      <c r="T301" s="186" t="s">
        <v>15</v>
      </c>
      <c r="U301" s="186" t="s">
        <v>15</v>
      </c>
      <c r="V301" s="186" t="s">
        <v>15</v>
      </c>
      <c r="W301" s="186" t="s">
        <v>15</v>
      </c>
      <c r="X301" s="186" t="s">
        <v>15</v>
      </c>
      <c r="Y301" s="186" t="s">
        <v>20</v>
      </c>
      <c r="Z301" s="186"/>
      <c r="AA301" s="186" t="s">
        <v>636</v>
      </c>
      <c r="AB301" s="186" t="s">
        <v>15</v>
      </c>
      <c r="AC301" s="186" t="s">
        <v>20</v>
      </c>
      <c r="AD301" s="268" t="s">
        <v>637</v>
      </c>
      <c r="AE301" s="268" t="s">
        <v>640</v>
      </c>
      <c r="AF301" s="144" t="str">
        <f t="shared" si="16"/>
        <v/>
      </c>
      <c r="AG301" s="144" t="str">
        <f t="shared" si="17"/>
        <v/>
      </c>
      <c r="AH301" s="146">
        <f t="shared" si="18"/>
        <v>6.3100000000000003E-2</v>
      </c>
      <c r="AI301" s="146" t="str">
        <f t="shared" si="19"/>
        <v/>
      </c>
      <c r="AJ301" s="303"/>
      <c r="AK301" s="303"/>
      <c r="AL301" s="303"/>
      <c r="AM301" s="303"/>
      <c r="AN301" s="303"/>
      <c r="AO301" s="303"/>
      <c r="AP301" s="303"/>
      <c r="AQ301" s="303"/>
      <c r="AR301" s="303"/>
      <c r="AS301" s="170"/>
      <c r="AT301" s="170"/>
      <c r="AU301" s="310"/>
      <c r="AW301" s="294"/>
      <c r="AX301" s="294"/>
      <c r="AY301" s="294"/>
      <c r="AZ301" s="294"/>
      <c r="BA301" s="294"/>
      <c r="BB301" s="294"/>
      <c r="BC301" s="294"/>
      <c r="BD301" s="294"/>
      <c r="BE301" s="294"/>
      <c r="BF301" s="382">
        <f>63.1/1000</f>
        <v>6.3100000000000003E-2</v>
      </c>
      <c r="BG301" s="383"/>
      <c r="BH301" s="278"/>
      <c r="BI301" s="365" t="s">
        <v>638</v>
      </c>
      <c r="BJ301" s="409"/>
    </row>
    <row r="302" spans="1:62" ht="15.75" customHeight="1" thickBot="1" x14ac:dyDescent="0.25">
      <c r="A302" s="154">
        <v>301</v>
      </c>
      <c r="B302" s="155">
        <v>1</v>
      </c>
      <c r="C302" s="148" t="s">
        <v>259</v>
      </c>
      <c r="D302" s="148" t="s">
        <v>641</v>
      </c>
      <c r="E302" s="148" t="s">
        <v>13</v>
      </c>
      <c r="F302" s="148" t="s">
        <v>642</v>
      </c>
      <c r="G302" s="148" t="s">
        <v>20</v>
      </c>
      <c r="H302" s="148" t="s">
        <v>73</v>
      </c>
      <c r="I302" s="161">
        <v>2015</v>
      </c>
      <c r="J302" s="161" t="s">
        <v>643</v>
      </c>
      <c r="K302" s="161" t="s">
        <v>644</v>
      </c>
      <c r="L302" s="161" t="s">
        <v>19</v>
      </c>
      <c r="M302" s="453" t="s">
        <v>4147</v>
      </c>
      <c r="N302" s="186" t="s">
        <v>20</v>
      </c>
      <c r="O302" s="186" t="s">
        <v>15</v>
      </c>
      <c r="P302" s="186" t="s">
        <v>15</v>
      </c>
      <c r="Q302" s="186" t="s">
        <v>15</v>
      </c>
      <c r="R302" s="186" t="s">
        <v>15</v>
      </c>
      <c r="S302" s="186" t="s">
        <v>15</v>
      </c>
      <c r="T302" s="186" t="s">
        <v>15</v>
      </c>
      <c r="U302" s="186" t="s">
        <v>15</v>
      </c>
      <c r="V302" s="186" t="s">
        <v>15</v>
      </c>
      <c r="W302" s="186" t="s">
        <v>15</v>
      </c>
      <c r="X302" s="186" t="s">
        <v>15</v>
      </c>
      <c r="Y302" s="186" t="s">
        <v>20</v>
      </c>
      <c r="Z302" s="186"/>
      <c r="AA302" s="186" t="s">
        <v>645</v>
      </c>
      <c r="AB302" s="186" t="s">
        <v>20</v>
      </c>
      <c r="AC302" s="186" t="s">
        <v>15</v>
      </c>
      <c r="AD302" s="268" t="s">
        <v>646</v>
      </c>
      <c r="AE302" s="268"/>
      <c r="AF302" s="144" t="str">
        <f t="shared" si="16"/>
        <v/>
      </c>
      <c r="AG302" s="144" t="str">
        <f t="shared" si="17"/>
        <v/>
      </c>
      <c r="AH302" s="146">
        <f t="shared" si="18"/>
        <v>0.17100000000000001</v>
      </c>
      <c r="AI302" s="146" t="str">
        <f t="shared" si="19"/>
        <v/>
      </c>
      <c r="AJ302" s="303"/>
      <c r="AK302" s="303"/>
      <c r="AL302" s="303"/>
      <c r="AM302" s="303"/>
      <c r="AN302" s="303"/>
      <c r="AO302" s="303"/>
      <c r="AP302" s="303"/>
      <c r="AQ302" s="303"/>
      <c r="AR302" s="303"/>
      <c r="AS302" s="170"/>
      <c r="AT302" s="170"/>
      <c r="AU302" s="310"/>
      <c r="AW302" s="294"/>
      <c r="AX302" s="294"/>
      <c r="AY302" s="294"/>
      <c r="AZ302" s="294"/>
      <c r="BA302" s="294"/>
      <c r="BB302" s="294"/>
      <c r="BC302" s="294"/>
      <c r="BD302" s="294"/>
      <c r="BE302" s="294"/>
      <c r="BF302" s="382">
        <v>0.17100000000000001</v>
      </c>
      <c r="BG302" s="383"/>
      <c r="BH302" s="278"/>
      <c r="BI302" s="365" t="s">
        <v>647</v>
      </c>
      <c r="BJ302" s="409"/>
    </row>
    <row r="303" spans="1:62" ht="15.75" customHeight="1" thickBot="1" x14ac:dyDescent="0.25">
      <c r="A303" s="156">
        <v>302</v>
      </c>
      <c r="B303" s="155">
        <v>1</v>
      </c>
      <c r="C303" s="148" t="s">
        <v>162</v>
      </c>
      <c r="D303" s="148" t="s">
        <v>3754</v>
      </c>
      <c r="E303" s="148" t="s">
        <v>13</v>
      </c>
      <c r="F303" s="148" t="s">
        <v>648</v>
      </c>
      <c r="G303" s="148" t="s">
        <v>20</v>
      </c>
      <c r="H303" s="148" t="s">
        <v>73</v>
      </c>
      <c r="I303" s="161">
        <v>2015</v>
      </c>
      <c r="J303" s="161" t="s">
        <v>643</v>
      </c>
      <c r="K303" s="161" t="s">
        <v>644</v>
      </c>
      <c r="L303" s="161" t="s">
        <v>19</v>
      </c>
      <c r="M303" s="453" t="s">
        <v>4147</v>
      </c>
      <c r="N303" s="186" t="s">
        <v>20</v>
      </c>
      <c r="O303" s="186" t="s">
        <v>15</v>
      </c>
      <c r="P303" s="186" t="s">
        <v>15</v>
      </c>
      <c r="Q303" s="186" t="s">
        <v>15</v>
      </c>
      <c r="R303" s="186" t="s">
        <v>15</v>
      </c>
      <c r="S303" s="186" t="s">
        <v>15</v>
      </c>
      <c r="T303" s="186" t="s">
        <v>15</v>
      </c>
      <c r="U303" s="186" t="s">
        <v>15</v>
      </c>
      <c r="V303" s="186" t="s">
        <v>15</v>
      </c>
      <c r="W303" s="186" t="s">
        <v>15</v>
      </c>
      <c r="X303" s="186" t="s">
        <v>15</v>
      </c>
      <c r="Y303" s="186" t="s">
        <v>20</v>
      </c>
      <c r="Z303" s="186"/>
      <c r="AA303" s="186" t="s">
        <v>645</v>
      </c>
      <c r="AB303" s="186" t="s">
        <v>20</v>
      </c>
      <c r="AC303" s="186" t="s">
        <v>15</v>
      </c>
      <c r="AD303" s="268" t="s">
        <v>649</v>
      </c>
      <c r="AE303" s="268"/>
      <c r="AF303" s="144" t="str">
        <f t="shared" si="16"/>
        <v/>
      </c>
      <c r="AG303" s="144" t="str">
        <f t="shared" si="17"/>
        <v/>
      </c>
      <c r="AH303" s="146">
        <f t="shared" si="18"/>
        <v>0.22500000000000001</v>
      </c>
      <c r="AI303" s="146" t="str">
        <f t="shared" si="19"/>
        <v/>
      </c>
      <c r="AJ303" s="303"/>
      <c r="AK303" s="303"/>
      <c r="AL303" s="303"/>
      <c r="AM303" s="303"/>
      <c r="AN303" s="303"/>
      <c r="AO303" s="303"/>
      <c r="AP303" s="303"/>
      <c r="AQ303" s="303"/>
      <c r="AR303" s="303"/>
      <c r="AS303" s="170"/>
      <c r="AT303" s="170"/>
      <c r="AU303" s="310"/>
      <c r="AW303" s="294"/>
      <c r="AX303" s="294"/>
      <c r="AY303" s="294"/>
      <c r="AZ303" s="294"/>
      <c r="BA303" s="294"/>
      <c r="BB303" s="294"/>
      <c r="BC303" s="294"/>
      <c r="BD303" s="294"/>
      <c r="BE303" s="294"/>
      <c r="BF303" s="382">
        <v>0.22500000000000001</v>
      </c>
      <c r="BG303" s="383"/>
      <c r="BH303" s="278"/>
      <c r="BI303" s="365" t="s">
        <v>647</v>
      </c>
      <c r="BJ303" s="409"/>
    </row>
    <row r="304" spans="1:62" ht="15.75" customHeight="1" thickBot="1" x14ac:dyDescent="0.25">
      <c r="A304" s="154">
        <v>303</v>
      </c>
      <c r="B304" s="155">
        <v>1</v>
      </c>
      <c r="C304" s="148" t="s">
        <v>162</v>
      </c>
      <c r="D304" s="141" t="s">
        <v>2057</v>
      </c>
      <c r="E304" s="148" t="s">
        <v>13</v>
      </c>
      <c r="F304" s="148" t="s">
        <v>650</v>
      </c>
      <c r="G304" s="148" t="s">
        <v>20</v>
      </c>
      <c r="H304" s="148" t="s">
        <v>87</v>
      </c>
      <c r="I304" s="161">
        <v>2015</v>
      </c>
      <c r="J304" s="161" t="s">
        <v>643</v>
      </c>
      <c r="K304" s="161" t="s">
        <v>644</v>
      </c>
      <c r="L304" s="161" t="s">
        <v>19</v>
      </c>
      <c r="M304" s="453" t="s">
        <v>4147</v>
      </c>
      <c r="N304" s="186" t="s">
        <v>20</v>
      </c>
      <c r="O304" s="186" t="s">
        <v>15</v>
      </c>
      <c r="P304" s="186" t="s">
        <v>15</v>
      </c>
      <c r="Q304" s="186" t="s">
        <v>15</v>
      </c>
      <c r="R304" s="186" t="s">
        <v>15</v>
      </c>
      <c r="S304" s="186" t="s">
        <v>15</v>
      </c>
      <c r="T304" s="186" t="s">
        <v>15</v>
      </c>
      <c r="U304" s="186" t="s">
        <v>15</v>
      </c>
      <c r="V304" s="186" t="s">
        <v>15</v>
      </c>
      <c r="W304" s="186" t="s">
        <v>15</v>
      </c>
      <c r="X304" s="186" t="s">
        <v>15</v>
      </c>
      <c r="Y304" s="186" t="s">
        <v>20</v>
      </c>
      <c r="Z304" s="186"/>
      <c r="AA304" s="186" t="s">
        <v>645</v>
      </c>
      <c r="AB304" s="186" t="s">
        <v>20</v>
      </c>
      <c r="AC304" s="186" t="s">
        <v>15</v>
      </c>
      <c r="AD304" s="268" t="s">
        <v>649</v>
      </c>
      <c r="AE304" s="268"/>
      <c r="AF304" s="144" t="str">
        <f t="shared" si="16"/>
        <v/>
      </c>
      <c r="AG304" s="144" t="str">
        <f t="shared" si="17"/>
        <v/>
      </c>
      <c r="AH304" s="146">
        <f t="shared" si="18"/>
        <v>0.24299999999999999</v>
      </c>
      <c r="AI304" s="146" t="str">
        <f t="shared" si="19"/>
        <v/>
      </c>
      <c r="AJ304" s="303"/>
      <c r="AK304" s="303"/>
      <c r="AL304" s="303"/>
      <c r="AM304" s="303"/>
      <c r="AN304" s="303"/>
      <c r="AO304" s="303"/>
      <c r="AP304" s="303"/>
      <c r="AQ304" s="303"/>
      <c r="AR304" s="303"/>
      <c r="AS304" s="170"/>
      <c r="AT304" s="170"/>
      <c r="AU304" s="310"/>
      <c r="AW304" s="294"/>
      <c r="AX304" s="294"/>
      <c r="AY304" s="294"/>
      <c r="AZ304" s="294"/>
      <c r="BA304" s="294"/>
      <c r="BB304" s="294"/>
      <c r="BC304" s="294"/>
      <c r="BD304" s="294"/>
      <c r="BE304" s="294"/>
      <c r="BF304" s="382">
        <v>0.24299999999999999</v>
      </c>
      <c r="BG304" s="383"/>
      <c r="BH304" s="278"/>
      <c r="BI304" s="365" t="s">
        <v>647</v>
      </c>
      <c r="BJ304" s="409"/>
    </row>
    <row r="305" spans="1:62" ht="15.75" customHeight="1" thickBot="1" x14ac:dyDescent="0.25">
      <c r="A305" s="156">
        <v>304</v>
      </c>
      <c r="B305" s="155">
        <v>1</v>
      </c>
      <c r="C305" s="148" t="s">
        <v>162</v>
      </c>
      <c r="D305" s="148" t="s">
        <v>3754</v>
      </c>
      <c r="E305" s="148" t="s">
        <v>13</v>
      </c>
      <c r="F305" s="148" t="s">
        <v>648</v>
      </c>
      <c r="G305" s="148" t="s">
        <v>20</v>
      </c>
      <c r="H305" s="148" t="s">
        <v>87</v>
      </c>
      <c r="I305" s="161">
        <v>2015</v>
      </c>
      <c r="J305" s="161" t="s">
        <v>643</v>
      </c>
      <c r="K305" s="161" t="s">
        <v>644</v>
      </c>
      <c r="L305" s="161" t="s">
        <v>19</v>
      </c>
      <c r="M305" s="453" t="s">
        <v>4147</v>
      </c>
      <c r="N305" s="186" t="s">
        <v>20</v>
      </c>
      <c r="O305" s="186" t="s">
        <v>15</v>
      </c>
      <c r="P305" s="186" t="s">
        <v>15</v>
      </c>
      <c r="Q305" s="186" t="s">
        <v>15</v>
      </c>
      <c r="R305" s="186" t="s">
        <v>15</v>
      </c>
      <c r="S305" s="186" t="s">
        <v>15</v>
      </c>
      <c r="T305" s="186" t="s">
        <v>15</v>
      </c>
      <c r="U305" s="186" t="s">
        <v>15</v>
      </c>
      <c r="V305" s="186" t="s">
        <v>15</v>
      </c>
      <c r="W305" s="186" t="s">
        <v>15</v>
      </c>
      <c r="X305" s="186" t="s">
        <v>15</v>
      </c>
      <c r="Y305" s="186" t="s">
        <v>20</v>
      </c>
      <c r="Z305" s="186"/>
      <c r="AA305" s="186" t="s">
        <v>645</v>
      </c>
      <c r="AB305" s="186" t="s">
        <v>20</v>
      </c>
      <c r="AC305" s="186" t="s">
        <v>15</v>
      </c>
      <c r="AD305" s="268" t="s">
        <v>649</v>
      </c>
      <c r="AE305" s="268"/>
      <c r="AF305" s="144" t="str">
        <f t="shared" si="16"/>
        <v/>
      </c>
      <c r="AG305" s="144" t="str">
        <f t="shared" si="17"/>
        <v/>
      </c>
      <c r="AH305" s="146">
        <f t="shared" si="18"/>
        <v>0.20499999999999999</v>
      </c>
      <c r="AI305" s="146" t="str">
        <f t="shared" si="19"/>
        <v/>
      </c>
      <c r="AJ305" s="303"/>
      <c r="AK305" s="303"/>
      <c r="AL305" s="303"/>
      <c r="AM305" s="303"/>
      <c r="AN305" s="303"/>
      <c r="AO305" s="303"/>
      <c r="AP305" s="303"/>
      <c r="AQ305" s="303"/>
      <c r="AR305" s="303"/>
      <c r="AS305" s="170"/>
      <c r="AT305" s="170"/>
      <c r="AU305" s="310"/>
      <c r="AW305" s="294"/>
      <c r="AX305" s="294"/>
      <c r="AY305" s="294"/>
      <c r="AZ305" s="294"/>
      <c r="BA305" s="294"/>
      <c r="BB305" s="294"/>
      <c r="BC305" s="294"/>
      <c r="BD305" s="294"/>
      <c r="BE305" s="294"/>
      <c r="BF305" s="382">
        <v>0.20499999999999999</v>
      </c>
      <c r="BG305" s="383"/>
      <c r="BH305" s="278"/>
      <c r="BI305" s="365" t="s">
        <v>647</v>
      </c>
      <c r="BJ305" s="409"/>
    </row>
    <row r="306" spans="1:62" ht="15.75" customHeight="1" thickBot="1" x14ac:dyDescent="0.25">
      <c r="A306" s="154">
        <v>305</v>
      </c>
      <c r="B306" s="155">
        <v>1</v>
      </c>
      <c r="C306" s="148" t="s">
        <v>162</v>
      </c>
      <c r="D306" s="141" t="s">
        <v>2057</v>
      </c>
      <c r="E306" s="148" t="s">
        <v>13</v>
      </c>
      <c r="F306" s="148" t="s">
        <v>651</v>
      </c>
      <c r="G306" s="148" t="s">
        <v>122</v>
      </c>
      <c r="H306" s="148" t="s">
        <v>73</v>
      </c>
      <c r="I306" s="161">
        <v>2013</v>
      </c>
      <c r="J306" s="161" t="s">
        <v>652</v>
      </c>
      <c r="K306" s="161" t="s">
        <v>653</v>
      </c>
      <c r="L306" s="161" t="s">
        <v>19</v>
      </c>
      <c r="M306" s="453" t="s">
        <v>4148</v>
      </c>
      <c r="N306" s="186" t="s">
        <v>20</v>
      </c>
      <c r="O306" s="186" t="s">
        <v>15</v>
      </c>
      <c r="P306" s="186" t="s">
        <v>15</v>
      </c>
      <c r="Q306" s="186" t="s">
        <v>15</v>
      </c>
      <c r="R306" s="186" t="s">
        <v>15</v>
      </c>
      <c r="S306" s="186" t="s">
        <v>15</v>
      </c>
      <c r="T306" s="186" t="s">
        <v>15</v>
      </c>
      <c r="U306" s="186" t="s">
        <v>15</v>
      </c>
      <c r="V306" s="186" t="s">
        <v>15</v>
      </c>
      <c r="W306" s="186" t="s">
        <v>15</v>
      </c>
      <c r="X306" s="186" t="s">
        <v>15</v>
      </c>
      <c r="Y306" s="186" t="s">
        <v>15</v>
      </c>
      <c r="Z306" s="186"/>
      <c r="AA306" s="186" t="s">
        <v>654</v>
      </c>
      <c r="AB306" s="186" t="s">
        <v>20</v>
      </c>
      <c r="AC306" s="186" t="s">
        <v>15</v>
      </c>
      <c r="AD306" s="268" t="s">
        <v>655</v>
      </c>
      <c r="AE306" s="268" t="s">
        <v>485</v>
      </c>
      <c r="AF306" s="144" t="str">
        <f t="shared" si="16"/>
        <v/>
      </c>
      <c r="AG306" s="144" t="str">
        <f t="shared" si="17"/>
        <v/>
      </c>
      <c r="AH306" s="146">
        <f t="shared" si="18"/>
        <v>2.5000000000000001E-2</v>
      </c>
      <c r="AI306" s="146" t="str">
        <f t="shared" si="19"/>
        <v/>
      </c>
      <c r="AJ306" s="303"/>
      <c r="AK306" s="303"/>
      <c r="AL306" s="303"/>
      <c r="AM306" s="303"/>
      <c r="AN306" s="303"/>
      <c r="AO306" s="303"/>
      <c r="AP306" s="303"/>
      <c r="AQ306" s="303"/>
      <c r="AR306" s="303"/>
      <c r="AS306" s="170"/>
      <c r="AT306" s="170"/>
      <c r="AU306" s="310"/>
      <c r="AW306" s="294"/>
      <c r="AX306" s="294"/>
      <c r="AY306" s="294"/>
      <c r="AZ306" s="294"/>
      <c r="BA306" s="294"/>
      <c r="BB306" s="294"/>
      <c r="BC306" s="294"/>
      <c r="BD306" s="294"/>
      <c r="BE306" s="294"/>
      <c r="BF306" s="382">
        <v>2.5000000000000001E-2</v>
      </c>
      <c r="BG306" s="383"/>
      <c r="BH306" s="278"/>
      <c r="BI306" s="365"/>
      <c r="BJ306" s="409"/>
    </row>
    <row r="307" spans="1:62" ht="15.75" customHeight="1" thickBot="1" x14ac:dyDescent="0.25">
      <c r="A307" s="156">
        <v>306</v>
      </c>
      <c r="B307" s="155">
        <v>1</v>
      </c>
      <c r="C307" s="148" t="s">
        <v>162</v>
      </c>
      <c r="D307" s="141" t="s">
        <v>2057</v>
      </c>
      <c r="E307" s="148" t="s">
        <v>13</v>
      </c>
      <c r="F307" s="148" t="s">
        <v>656</v>
      </c>
      <c r="G307" s="148" t="s">
        <v>122</v>
      </c>
      <c r="H307" s="148" t="s">
        <v>73</v>
      </c>
      <c r="I307" s="161">
        <v>2013</v>
      </c>
      <c r="J307" s="161" t="s">
        <v>652</v>
      </c>
      <c r="K307" s="161" t="s">
        <v>653</v>
      </c>
      <c r="L307" s="161" t="s">
        <v>19</v>
      </c>
      <c r="M307" s="453" t="s">
        <v>4148</v>
      </c>
      <c r="N307" s="186" t="s">
        <v>20</v>
      </c>
      <c r="O307" s="186" t="s">
        <v>15</v>
      </c>
      <c r="P307" s="186" t="s">
        <v>15</v>
      </c>
      <c r="Q307" s="186" t="s">
        <v>15</v>
      </c>
      <c r="R307" s="186" t="s">
        <v>15</v>
      </c>
      <c r="S307" s="186" t="s">
        <v>15</v>
      </c>
      <c r="T307" s="186" t="s">
        <v>15</v>
      </c>
      <c r="U307" s="186" t="s">
        <v>15</v>
      </c>
      <c r="V307" s="186" t="s">
        <v>15</v>
      </c>
      <c r="W307" s="186" t="s">
        <v>15</v>
      </c>
      <c r="X307" s="186" t="s">
        <v>15</v>
      </c>
      <c r="Y307" s="186" t="s">
        <v>15</v>
      </c>
      <c r="Z307" s="186"/>
      <c r="AA307" s="186" t="s">
        <v>654</v>
      </c>
      <c r="AB307" s="186" t="s">
        <v>20</v>
      </c>
      <c r="AC307" s="186" t="s">
        <v>15</v>
      </c>
      <c r="AD307" s="268" t="s">
        <v>655</v>
      </c>
      <c r="AE307" s="268"/>
      <c r="AF307" s="144" t="str">
        <f t="shared" si="16"/>
        <v/>
      </c>
      <c r="AG307" s="144" t="str">
        <f t="shared" si="17"/>
        <v/>
      </c>
      <c r="AH307" s="146">
        <f t="shared" si="18"/>
        <v>3.6700000000000003E-2</v>
      </c>
      <c r="AI307" s="146" t="str">
        <f t="shared" si="19"/>
        <v/>
      </c>
      <c r="AJ307" s="303"/>
      <c r="AK307" s="303"/>
      <c r="AL307" s="303"/>
      <c r="AM307" s="303"/>
      <c r="AN307" s="303"/>
      <c r="AO307" s="303"/>
      <c r="AP307" s="303"/>
      <c r="AQ307" s="303"/>
      <c r="AR307" s="303"/>
      <c r="AS307" s="170"/>
      <c r="AT307" s="170"/>
      <c r="AU307" s="310"/>
      <c r="AW307" s="294"/>
      <c r="AX307" s="294"/>
      <c r="AY307" s="294"/>
      <c r="AZ307" s="294"/>
      <c r="BA307" s="294"/>
      <c r="BB307" s="294"/>
      <c r="BC307" s="294"/>
      <c r="BD307" s="294"/>
      <c r="BE307" s="294"/>
      <c r="BF307" s="382">
        <v>3.6700000000000003E-2</v>
      </c>
      <c r="BG307" s="383"/>
      <c r="BH307" s="278"/>
      <c r="BI307" s="365"/>
      <c r="BJ307" s="409"/>
    </row>
    <row r="308" spans="1:62" ht="15.75" customHeight="1" thickBot="1" x14ac:dyDescent="0.25">
      <c r="A308" s="154">
        <v>307</v>
      </c>
      <c r="B308" s="155">
        <v>1</v>
      </c>
      <c r="C308" s="148" t="s">
        <v>162</v>
      </c>
      <c r="D308" s="141" t="s">
        <v>2057</v>
      </c>
      <c r="E308" s="148" t="s">
        <v>13</v>
      </c>
      <c r="F308" s="148" t="s">
        <v>657</v>
      </c>
      <c r="G308" s="148" t="s">
        <v>122</v>
      </c>
      <c r="H308" s="148" t="s">
        <v>73</v>
      </c>
      <c r="I308" s="161">
        <v>2013</v>
      </c>
      <c r="J308" s="161" t="s">
        <v>652</v>
      </c>
      <c r="K308" s="161" t="s">
        <v>653</v>
      </c>
      <c r="L308" s="161" t="s">
        <v>19</v>
      </c>
      <c r="M308" s="453" t="s">
        <v>4148</v>
      </c>
      <c r="N308" s="186" t="s">
        <v>20</v>
      </c>
      <c r="O308" s="186" t="s">
        <v>15</v>
      </c>
      <c r="P308" s="186" t="s">
        <v>15</v>
      </c>
      <c r="Q308" s="186" t="s">
        <v>15</v>
      </c>
      <c r="R308" s="186" t="s">
        <v>15</v>
      </c>
      <c r="S308" s="186" t="s">
        <v>15</v>
      </c>
      <c r="T308" s="186" t="s">
        <v>15</v>
      </c>
      <c r="U308" s="186" t="s">
        <v>15</v>
      </c>
      <c r="V308" s="186" t="s">
        <v>15</v>
      </c>
      <c r="W308" s="186" t="s">
        <v>15</v>
      </c>
      <c r="X308" s="186" t="s">
        <v>15</v>
      </c>
      <c r="Y308" s="186" t="s">
        <v>15</v>
      </c>
      <c r="Z308" s="186"/>
      <c r="AA308" s="186" t="s">
        <v>654</v>
      </c>
      <c r="AB308" s="186" t="s">
        <v>20</v>
      </c>
      <c r="AC308" s="186" t="s">
        <v>15</v>
      </c>
      <c r="AD308" s="268" t="s">
        <v>655</v>
      </c>
      <c r="AE308" s="268"/>
      <c r="AF308" s="144" t="str">
        <f t="shared" si="16"/>
        <v/>
      </c>
      <c r="AG308" s="144" t="str">
        <f t="shared" si="17"/>
        <v/>
      </c>
      <c r="AH308" s="146">
        <f t="shared" si="18"/>
        <v>3.5799999999999998E-2</v>
      </c>
      <c r="AI308" s="146" t="str">
        <f t="shared" si="19"/>
        <v/>
      </c>
      <c r="AJ308" s="303"/>
      <c r="AK308" s="303"/>
      <c r="AL308" s="303"/>
      <c r="AM308" s="303"/>
      <c r="AN308" s="303"/>
      <c r="AO308" s="303"/>
      <c r="AP308" s="303"/>
      <c r="AQ308" s="303"/>
      <c r="AR308" s="303"/>
      <c r="AS308" s="170"/>
      <c r="AT308" s="170"/>
      <c r="AU308" s="310"/>
      <c r="AW308" s="294"/>
      <c r="AX308" s="294"/>
      <c r="AY308" s="294"/>
      <c r="AZ308" s="294"/>
      <c r="BA308" s="294"/>
      <c r="BB308" s="294"/>
      <c r="BC308" s="294"/>
      <c r="BD308" s="294"/>
      <c r="BE308" s="294"/>
      <c r="BF308" s="382">
        <v>3.5799999999999998E-2</v>
      </c>
      <c r="BG308" s="383"/>
      <c r="BH308" s="278"/>
      <c r="BI308" s="365"/>
      <c r="BJ308" s="409"/>
    </row>
    <row r="309" spans="1:62" ht="15.75" customHeight="1" thickBot="1" x14ac:dyDescent="0.25">
      <c r="A309" s="156">
        <v>308</v>
      </c>
      <c r="B309" s="155">
        <v>1</v>
      </c>
      <c r="C309" s="148" t="s">
        <v>162</v>
      </c>
      <c r="D309" s="148" t="s">
        <v>3754</v>
      </c>
      <c r="E309" s="148" t="s">
        <v>13</v>
      </c>
      <c r="F309" s="148" t="s">
        <v>658</v>
      </c>
      <c r="G309" s="148" t="s">
        <v>122</v>
      </c>
      <c r="H309" s="148" t="s">
        <v>73</v>
      </c>
      <c r="I309" s="161">
        <v>2013</v>
      </c>
      <c r="J309" s="161" t="s">
        <v>652</v>
      </c>
      <c r="K309" s="161" t="s">
        <v>653</v>
      </c>
      <c r="L309" s="161" t="s">
        <v>19</v>
      </c>
      <c r="M309" s="453" t="s">
        <v>4148</v>
      </c>
      <c r="N309" s="186" t="s">
        <v>20</v>
      </c>
      <c r="O309" s="186" t="s">
        <v>15</v>
      </c>
      <c r="P309" s="186" t="s">
        <v>15</v>
      </c>
      <c r="Q309" s="186" t="s">
        <v>15</v>
      </c>
      <c r="R309" s="186" t="s">
        <v>15</v>
      </c>
      <c r="S309" s="186" t="s">
        <v>15</v>
      </c>
      <c r="T309" s="186" t="s">
        <v>15</v>
      </c>
      <c r="U309" s="186" t="s">
        <v>15</v>
      </c>
      <c r="V309" s="186" t="s">
        <v>15</v>
      </c>
      <c r="W309" s="186" t="s">
        <v>15</v>
      </c>
      <c r="X309" s="186" t="s">
        <v>15</v>
      </c>
      <c r="Y309" s="186" t="s">
        <v>15</v>
      </c>
      <c r="Z309" s="186"/>
      <c r="AA309" s="186" t="s">
        <v>654</v>
      </c>
      <c r="AB309" s="186" t="s">
        <v>20</v>
      </c>
      <c r="AC309" s="186" t="s">
        <v>15</v>
      </c>
      <c r="AD309" s="268" t="s">
        <v>655</v>
      </c>
      <c r="AE309" s="268"/>
      <c r="AF309" s="144" t="str">
        <f t="shared" si="16"/>
        <v/>
      </c>
      <c r="AG309" s="144" t="str">
        <f t="shared" si="17"/>
        <v/>
      </c>
      <c r="AH309" s="146">
        <f t="shared" si="18"/>
        <v>0.20899999999999999</v>
      </c>
      <c r="AI309" s="146" t="str">
        <f t="shared" si="19"/>
        <v/>
      </c>
      <c r="AJ309" s="303"/>
      <c r="AK309" s="303"/>
      <c r="AL309" s="303"/>
      <c r="AM309" s="303"/>
      <c r="AN309" s="303"/>
      <c r="AO309" s="303"/>
      <c r="AP309" s="303"/>
      <c r="AQ309" s="303"/>
      <c r="AR309" s="303"/>
      <c r="AS309" s="170"/>
      <c r="AT309" s="170"/>
      <c r="AU309" s="310"/>
      <c r="AW309" s="294"/>
      <c r="AX309" s="294"/>
      <c r="AY309" s="294"/>
      <c r="AZ309" s="294"/>
      <c r="BA309" s="294"/>
      <c r="BB309" s="294"/>
      <c r="BC309" s="294"/>
      <c r="BD309" s="294"/>
      <c r="BE309" s="294"/>
      <c r="BF309" s="382">
        <v>0.20899999999999999</v>
      </c>
      <c r="BG309" s="383"/>
      <c r="BH309" s="278"/>
      <c r="BI309" s="365"/>
      <c r="BJ309" s="409"/>
    </row>
    <row r="310" spans="1:62" ht="15.75" customHeight="1" thickBot="1" x14ac:dyDescent="0.25">
      <c r="A310" s="154">
        <v>309</v>
      </c>
      <c r="B310" s="155">
        <v>1</v>
      </c>
      <c r="C310" s="148" t="s">
        <v>162</v>
      </c>
      <c r="D310" s="148" t="s">
        <v>659</v>
      </c>
      <c r="E310" s="148" t="s">
        <v>13</v>
      </c>
      <c r="F310" s="148" t="s">
        <v>651</v>
      </c>
      <c r="G310" s="148" t="s">
        <v>122</v>
      </c>
      <c r="H310" s="148" t="s">
        <v>73</v>
      </c>
      <c r="I310" s="161">
        <v>2013</v>
      </c>
      <c r="J310" s="161" t="s">
        <v>652</v>
      </c>
      <c r="K310" s="161" t="s">
        <v>653</v>
      </c>
      <c r="L310" s="161" t="s">
        <v>19</v>
      </c>
      <c r="M310" s="453" t="s">
        <v>4148</v>
      </c>
      <c r="N310" s="186" t="s">
        <v>20</v>
      </c>
      <c r="O310" s="186" t="s">
        <v>15</v>
      </c>
      <c r="P310" s="186" t="s">
        <v>15</v>
      </c>
      <c r="Q310" s="186" t="s">
        <v>15</v>
      </c>
      <c r="R310" s="186" t="s">
        <v>15</v>
      </c>
      <c r="S310" s="186" t="s">
        <v>15</v>
      </c>
      <c r="T310" s="186" t="s">
        <v>15</v>
      </c>
      <c r="U310" s="186" t="s">
        <v>15</v>
      </c>
      <c r="V310" s="186" t="s">
        <v>15</v>
      </c>
      <c r="W310" s="186" t="s">
        <v>15</v>
      </c>
      <c r="X310" s="186" t="s">
        <v>15</v>
      </c>
      <c r="Y310" s="186" t="s">
        <v>15</v>
      </c>
      <c r="Z310" s="186"/>
      <c r="AA310" s="186" t="s">
        <v>654</v>
      </c>
      <c r="AB310" s="186" t="s">
        <v>20</v>
      </c>
      <c r="AC310" s="186" t="s">
        <v>15</v>
      </c>
      <c r="AD310" s="268" t="s">
        <v>660</v>
      </c>
      <c r="AE310" s="268"/>
      <c r="AF310" s="144">
        <f t="shared" si="16"/>
        <v>0.74</v>
      </c>
      <c r="AG310" s="144" t="str">
        <f t="shared" si="17"/>
        <v/>
      </c>
      <c r="AH310" s="146">
        <f t="shared" si="18"/>
        <v>5.7299999999999997E-2</v>
      </c>
      <c r="AI310" s="146" t="str">
        <f t="shared" si="19"/>
        <v/>
      </c>
      <c r="AJ310" s="303"/>
      <c r="AK310" s="303"/>
      <c r="AL310" s="303"/>
      <c r="AM310" s="303"/>
      <c r="AN310" s="303"/>
      <c r="AO310" s="303"/>
      <c r="AP310" s="303"/>
      <c r="AQ310" s="303"/>
      <c r="AR310" s="303"/>
      <c r="AS310" s="426">
        <v>0.74</v>
      </c>
      <c r="AT310" s="170"/>
      <c r="AU310" s="310"/>
      <c r="AW310" s="294"/>
      <c r="AX310" s="294"/>
      <c r="AY310" s="294"/>
      <c r="AZ310" s="294"/>
      <c r="BA310" s="294"/>
      <c r="BB310" s="294"/>
      <c r="BC310" s="294"/>
      <c r="BD310" s="294"/>
      <c r="BE310" s="294"/>
      <c r="BF310" s="382">
        <v>5.7299999999999997E-2</v>
      </c>
      <c r="BG310" s="383"/>
      <c r="BH310" s="278"/>
      <c r="BI310" s="365"/>
      <c r="BJ310" s="409"/>
    </row>
    <row r="311" spans="1:62" ht="15.75" customHeight="1" thickBot="1" x14ac:dyDescent="0.25">
      <c r="A311" s="156">
        <v>310</v>
      </c>
      <c r="B311" s="155">
        <v>1</v>
      </c>
      <c r="C311" s="148" t="s">
        <v>162</v>
      </c>
      <c r="D311" s="148" t="s">
        <v>659</v>
      </c>
      <c r="E311" s="148" t="s">
        <v>13</v>
      </c>
      <c r="F311" s="148" t="s">
        <v>656</v>
      </c>
      <c r="G311" s="148" t="s">
        <v>122</v>
      </c>
      <c r="H311" s="148" t="s">
        <v>73</v>
      </c>
      <c r="I311" s="161">
        <v>2013</v>
      </c>
      <c r="J311" s="161" t="s">
        <v>652</v>
      </c>
      <c r="K311" s="161" t="s">
        <v>653</v>
      </c>
      <c r="L311" s="161" t="s">
        <v>19</v>
      </c>
      <c r="M311" s="453" t="s">
        <v>4148</v>
      </c>
      <c r="N311" s="186" t="s">
        <v>20</v>
      </c>
      <c r="O311" s="186" t="s">
        <v>15</v>
      </c>
      <c r="P311" s="186" t="s">
        <v>15</v>
      </c>
      <c r="Q311" s="186" t="s">
        <v>15</v>
      </c>
      <c r="R311" s="186" t="s">
        <v>15</v>
      </c>
      <c r="S311" s="186" t="s">
        <v>15</v>
      </c>
      <c r="T311" s="186" t="s">
        <v>15</v>
      </c>
      <c r="U311" s="186" t="s">
        <v>15</v>
      </c>
      <c r="V311" s="186" t="s">
        <v>15</v>
      </c>
      <c r="W311" s="186" t="s">
        <v>15</v>
      </c>
      <c r="X311" s="186" t="s">
        <v>15</v>
      </c>
      <c r="Y311" s="186" t="s">
        <v>15</v>
      </c>
      <c r="Z311" s="186"/>
      <c r="AA311" s="186" t="s">
        <v>654</v>
      </c>
      <c r="AB311" s="186" t="s">
        <v>20</v>
      </c>
      <c r="AC311" s="186" t="s">
        <v>15</v>
      </c>
      <c r="AD311" s="268" t="s">
        <v>660</v>
      </c>
      <c r="AE311" s="268"/>
      <c r="AF311" s="144">
        <f t="shared" si="16"/>
        <v>1.29</v>
      </c>
      <c r="AG311" s="144" t="str">
        <f t="shared" si="17"/>
        <v/>
      </c>
      <c r="AH311" s="146">
        <f t="shared" si="18"/>
        <v>5.8299999999999998E-2</v>
      </c>
      <c r="AI311" s="146" t="str">
        <f t="shared" si="19"/>
        <v/>
      </c>
      <c r="AJ311" s="303"/>
      <c r="AK311" s="303"/>
      <c r="AL311" s="303"/>
      <c r="AM311" s="303"/>
      <c r="AN311" s="303"/>
      <c r="AO311" s="303"/>
      <c r="AP311" s="303"/>
      <c r="AQ311" s="303"/>
      <c r="AR311" s="303"/>
      <c r="AS311" s="426">
        <v>1.29</v>
      </c>
      <c r="AT311" s="170"/>
      <c r="AU311" s="310"/>
      <c r="AW311" s="294"/>
      <c r="AX311" s="294"/>
      <c r="AY311" s="294"/>
      <c r="AZ311" s="294"/>
      <c r="BA311" s="294"/>
      <c r="BB311" s="294"/>
      <c r="BC311" s="294"/>
      <c r="BD311" s="294"/>
      <c r="BE311" s="294"/>
      <c r="BF311" s="382">
        <v>5.8299999999999998E-2</v>
      </c>
      <c r="BG311" s="383"/>
      <c r="BH311" s="278"/>
      <c r="BI311" s="365"/>
      <c r="BJ311" s="409"/>
    </row>
    <row r="312" spans="1:62" ht="17" thickBot="1" x14ac:dyDescent="0.25">
      <c r="A312" s="154">
        <v>311</v>
      </c>
      <c r="B312" s="155">
        <v>1</v>
      </c>
      <c r="C312" s="148" t="s">
        <v>162</v>
      </c>
      <c r="D312" s="148" t="s">
        <v>659</v>
      </c>
      <c r="E312" s="148" t="s">
        <v>13</v>
      </c>
      <c r="F312" s="148" t="s">
        <v>657</v>
      </c>
      <c r="G312" s="148" t="s">
        <v>122</v>
      </c>
      <c r="H312" s="148" t="s">
        <v>73</v>
      </c>
      <c r="I312" s="161">
        <v>2013</v>
      </c>
      <c r="J312" s="161" t="s">
        <v>652</v>
      </c>
      <c r="K312" s="161" t="s">
        <v>653</v>
      </c>
      <c r="L312" s="161" t="s">
        <v>19</v>
      </c>
      <c r="M312" s="453" t="s">
        <v>4148</v>
      </c>
      <c r="N312" s="186" t="s">
        <v>20</v>
      </c>
      <c r="O312" s="186" t="s">
        <v>15</v>
      </c>
      <c r="P312" s="186" t="s">
        <v>15</v>
      </c>
      <c r="Q312" s="186" t="s">
        <v>15</v>
      </c>
      <c r="R312" s="186" t="s">
        <v>15</v>
      </c>
      <c r="S312" s="186" t="s">
        <v>15</v>
      </c>
      <c r="T312" s="186" t="s">
        <v>15</v>
      </c>
      <c r="U312" s="186" t="s">
        <v>15</v>
      </c>
      <c r="V312" s="186" t="s">
        <v>15</v>
      </c>
      <c r="W312" s="186" t="s">
        <v>15</v>
      </c>
      <c r="X312" s="186" t="s">
        <v>15</v>
      </c>
      <c r="Y312" s="186" t="s">
        <v>15</v>
      </c>
      <c r="Z312" s="186"/>
      <c r="AA312" s="186" t="s">
        <v>654</v>
      </c>
      <c r="AB312" s="186" t="s">
        <v>20</v>
      </c>
      <c r="AC312" s="186" t="s">
        <v>15</v>
      </c>
      <c r="AD312" s="268" t="s">
        <v>660</v>
      </c>
      <c r="AE312" s="268"/>
      <c r="AF312" s="144">
        <f t="shared" si="16"/>
        <v>1.1499999999999999</v>
      </c>
      <c r="AG312" s="144" t="str">
        <f t="shared" si="17"/>
        <v/>
      </c>
      <c r="AH312" s="146">
        <f t="shared" si="18"/>
        <v>5.1400000000000001E-2</v>
      </c>
      <c r="AI312" s="146" t="str">
        <f t="shared" si="19"/>
        <v/>
      </c>
      <c r="AJ312" s="303"/>
      <c r="AK312" s="303"/>
      <c r="AL312" s="303"/>
      <c r="AM312" s="303"/>
      <c r="AN312" s="303"/>
      <c r="AO312" s="303"/>
      <c r="AP312" s="303"/>
      <c r="AQ312" s="303"/>
      <c r="AR312" s="303"/>
      <c r="AS312" s="426">
        <v>1.1499999999999999</v>
      </c>
      <c r="AT312" s="170"/>
      <c r="AU312" s="310"/>
      <c r="AW312" s="294"/>
      <c r="AX312" s="294"/>
      <c r="AY312" s="294"/>
      <c r="AZ312" s="294"/>
      <c r="BA312" s="294"/>
      <c r="BB312" s="294"/>
      <c r="BC312" s="294"/>
      <c r="BD312" s="294"/>
      <c r="BE312" s="294"/>
      <c r="BF312" s="382">
        <v>5.1400000000000001E-2</v>
      </c>
      <c r="BG312" s="383"/>
      <c r="BH312" s="278"/>
      <c r="BI312" s="365"/>
      <c r="BJ312" s="409"/>
    </row>
    <row r="313" spans="1:62" ht="15.75" customHeight="1" thickBot="1" x14ac:dyDescent="0.25">
      <c r="A313" s="156">
        <v>312</v>
      </c>
      <c r="B313" s="155">
        <v>1</v>
      </c>
      <c r="C313" s="148" t="s">
        <v>162</v>
      </c>
      <c r="D313" s="148" t="s">
        <v>4057</v>
      </c>
      <c r="E313" s="148" t="s">
        <v>13</v>
      </c>
      <c r="F313" s="148" t="s">
        <v>661</v>
      </c>
      <c r="G313" s="148" t="s">
        <v>122</v>
      </c>
      <c r="H313" s="148" t="s">
        <v>73</v>
      </c>
      <c r="I313" s="161">
        <v>2013</v>
      </c>
      <c r="J313" s="161" t="s">
        <v>652</v>
      </c>
      <c r="K313" s="161" t="s">
        <v>653</v>
      </c>
      <c r="L313" s="161" t="s">
        <v>19</v>
      </c>
      <c r="M313" s="453" t="s">
        <v>4148</v>
      </c>
      <c r="N313" s="186" t="s">
        <v>20</v>
      </c>
      <c r="O313" s="186" t="s">
        <v>15</v>
      </c>
      <c r="P313" s="186" t="s">
        <v>15</v>
      </c>
      <c r="Q313" s="186" t="s">
        <v>15</v>
      </c>
      <c r="R313" s="186" t="s">
        <v>15</v>
      </c>
      <c r="S313" s="186" t="s">
        <v>15</v>
      </c>
      <c r="T313" s="186" t="s">
        <v>15</v>
      </c>
      <c r="U313" s="186" t="s">
        <v>15</v>
      </c>
      <c r="V313" s="186" t="s">
        <v>15</v>
      </c>
      <c r="W313" s="186" t="s">
        <v>15</v>
      </c>
      <c r="X313" s="186" t="s">
        <v>15</v>
      </c>
      <c r="Y313" s="186" t="s">
        <v>15</v>
      </c>
      <c r="Z313" s="186"/>
      <c r="AA313" s="186" t="s">
        <v>654</v>
      </c>
      <c r="AB313" s="186" t="s">
        <v>20</v>
      </c>
      <c r="AC313" s="186" t="s">
        <v>15</v>
      </c>
      <c r="AD313" s="268" t="s">
        <v>660</v>
      </c>
      <c r="AE313" s="268"/>
      <c r="AF313" s="144">
        <f t="shared" si="16"/>
        <v>5.22</v>
      </c>
      <c r="AG313" s="144" t="str">
        <f t="shared" si="17"/>
        <v/>
      </c>
      <c r="AH313" s="146">
        <f t="shared" si="18"/>
        <v>0.30299999999999999</v>
      </c>
      <c r="AI313" s="146" t="str">
        <f t="shared" si="19"/>
        <v/>
      </c>
      <c r="AJ313" s="303"/>
      <c r="AK313" s="303"/>
      <c r="AL313" s="303"/>
      <c r="AM313" s="303"/>
      <c r="AN313" s="303"/>
      <c r="AO313" s="303"/>
      <c r="AP313" s="303"/>
      <c r="AQ313" s="303"/>
      <c r="AR313" s="303"/>
      <c r="AS313" s="426">
        <v>5.22</v>
      </c>
      <c r="AT313" s="170"/>
      <c r="AU313" s="310"/>
      <c r="AW313" s="294"/>
      <c r="AX313" s="294"/>
      <c r="AY313" s="294"/>
      <c r="AZ313" s="294"/>
      <c r="BA313" s="294"/>
      <c r="BB313" s="294"/>
      <c r="BC313" s="294"/>
      <c r="BD313" s="294"/>
      <c r="BE313" s="294"/>
      <c r="BF313" s="382">
        <v>0.30299999999999999</v>
      </c>
      <c r="BG313" s="383"/>
      <c r="BH313" s="278"/>
      <c r="BI313" s="365"/>
      <c r="BJ313" s="409"/>
    </row>
    <row r="314" spans="1:62" ht="15.75" customHeight="1" thickBot="1" x14ac:dyDescent="0.25">
      <c r="A314" s="154">
        <v>313</v>
      </c>
      <c r="B314" s="155">
        <v>1</v>
      </c>
      <c r="C314" s="148" t="s">
        <v>162</v>
      </c>
      <c r="D314" s="148" t="s">
        <v>3297</v>
      </c>
      <c r="E314" s="148" t="s">
        <v>13</v>
      </c>
      <c r="F314" s="148" t="s">
        <v>662</v>
      </c>
      <c r="G314" s="148" t="s">
        <v>15</v>
      </c>
      <c r="H314" s="148" t="s">
        <v>55</v>
      </c>
      <c r="I314" s="161">
        <v>2012</v>
      </c>
      <c r="J314" s="161" t="s">
        <v>663</v>
      </c>
      <c r="K314" s="161" t="s">
        <v>664</v>
      </c>
      <c r="L314" s="161" t="s">
        <v>19</v>
      </c>
      <c r="M314" s="453" t="s">
        <v>4149</v>
      </c>
      <c r="N314" s="186" t="s">
        <v>20</v>
      </c>
      <c r="O314" s="186" t="s">
        <v>15</v>
      </c>
      <c r="P314" s="186" t="s">
        <v>20</v>
      </c>
      <c r="Q314" s="186" t="s">
        <v>15</v>
      </c>
      <c r="R314" s="186" t="s">
        <v>20</v>
      </c>
      <c r="S314" s="186" t="s">
        <v>20</v>
      </c>
      <c r="T314" s="186" t="s">
        <v>15</v>
      </c>
      <c r="U314" s="186" t="s">
        <v>15</v>
      </c>
      <c r="V314" s="186" t="s">
        <v>15</v>
      </c>
      <c r="W314" s="186" t="s">
        <v>15</v>
      </c>
      <c r="X314" s="186" t="s">
        <v>15</v>
      </c>
      <c r="Y314" s="186" t="s">
        <v>20</v>
      </c>
      <c r="Z314" s="186"/>
      <c r="AA314" s="186" t="s">
        <v>665</v>
      </c>
      <c r="AB314" s="186" t="s">
        <v>15</v>
      </c>
      <c r="AC314" s="186" t="s">
        <v>20</v>
      </c>
      <c r="AD314" s="268" t="s">
        <v>2851</v>
      </c>
      <c r="AE314" s="268" t="s">
        <v>667</v>
      </c>
      <c r="AF314" s="144" t="str">
        <f t="shared" si="16"/>
        <v/>
      </c>
      <c r="AG314" s="144" t="str">
        <f t="shared" si="17"/>
        <v/>
      </c>
      <c r="AH314" s="146">
        <f t="shared" si="18"/>
        <v>2.2971014492753623</v>
      </c>
      <c r="AI314" s="146">
        <f t="shared" si="19"/>
        <v>2.4130434782608692</v>
      </c>
      <c r="AJ314" s="304"/>
      <c r="AK314" s="304"/>
      <c r="AL314" s="304"/>
      <c r="AM314" s="304"/>
      <c r="AN314" s="304"/>
      <c r="AO314" s="304"/>
      <c r="AP314" s="304"/>
      <c r="AQ314" s="304"/>
      <c r="AR314" s="304"/>
      <c r="AS314" s="170"/>
      <c r="AT314" s="170"/>
      <c r="AU314" s="310"/>
      <c r="AW314" s="350">
        <f>(5.18-0.19-1.83)/1.38</f>
        <v>2.2898550724637676</v>
      </c>
      <c r="AX314" s="350">
        <f>0.17/1.38</f>
        <v>0.12318840579710147</v>
      </c>
      <c r="AY314" s="350"/>
      <c r="AZ314" s="294">
        <f>(1.83/2)/1.38</f>
        <v>0.66304347826086962</v>
      </c>
      <c r="BA314" s="294">
        <f>(1.83/2)/1.38</f>
        <v>0.66304347826086962</v>
      </c>
      <c r="BB314" s="350"/>
      <c r="BC314" s="350"/>
      <c r="BD314" s="350"/>
      <c r="BE314" s="350"/>
      <c r="BF314" s="383">
        <v>2.2971014492753623</v>
      </c>
      <c r="BG314" s="383">
        <v>3.760869565217392</v>
      </c>
      <c r="BH314" s="278"/>
      <c r="BI314" s="365"/>
      <c r="BJ314" s="409"/>
    </row>
    <row r="315" spans="1:62" ht="15.75" customHeight="1" thickBot="1" x14ac:dyDescent="0.25">
      <c r="A315" s="156">
        <v>314</v>
      </c>
      <c r="B315" s="155">
        <v>1</v>
      </c>
      <c r="C315" s="148" t="s">
        <v>162</v>
      </c>
      <c r="D315" s="148" t="s">
        <v>736</v>
      </c>
      <c r="E315" s="148" t="s">
        <v>13</v>
      </c>
      <c r="F315" s="148" t="s">
        <v>668</v>
      </c>
      <c r="G315" s="148" t="s">
        <v>15</v>
      </c>
      <c r="H315" s="148" t="s">
        <v>55</v>
      </c>
      <c r="I315" s="161">
        <v>2012</v>
      </c>
      <c r="J315" s="161" t="s">
        <v>663</v>
      </c>
      <c r="K315" s="161" t="s">
        <v>664</v>
      </c>
      <c r="L315" s="161" t="s">
        <v>19</v>
      </c>
      <c r="M315" s="453" t="s">
        <v>4149</v>
      </c>
      <c r="N315" s="186" t="s">
        <v>20</v>
      </c>
      <c r="O315" s="186" t="s">
        <v>15</v>
      </c>
      <c r="P315" s="186" t="s">
        <v>20</v>
      </c>
      <c r="Q315" s="186" t="s">
        <v>15</v>
      </c>
      <c r="R315" s="186" t="s">
        <v>20</v>
      </c>
      <c r="S315" s="186" t="s">
        <v>20</v>
      </c>
      <c r="T315" s="186" t="s">
        <v>15</v>
      </c>
      <c r="U315" s="186" t="s">
        <v>15</v>
      </c>
      <c r="V315" s="186" t="s">
        <v>15</v>
      </c>
      <c r="W315" s="186" t="s">
        <v>15</v>
      </c>
      <c r="X315" s="186" t="s">
        <v>15</v>
      </c>
      <c r="Y315" s="186" t="s">
        <v>20</v>
      </c>
      <c r="Z315" s="186"/>
      <c r="AA315" s="186" t="s">
        <v>665</v>
      </c>
      <c r="AB315" s="186" t="s">
        <v>15</v>
      </c>
      <c r="AC315" s="186" t="s">
        <v>20</v>
      </c>
      <c r="AD315" s="268" t="s">
        <v>666</v>
      </c>
      <c r="AE315" s="268" t="s">
        <v>669</v>
      </c>
      <c r="AF315" s="144" t="str">
        <f t="shared" si="16"/>
        <v/>
      </c>
      <c r="AG315" s="144" t="str">
        <f t="shared" si="17"/>
        <v/>
      </c>
      <c r="AH315" s="146">
        <f t="shared" si="18"/>
        <v>2.1467889908256876</v>
      </c>
      <c r="AI315" s="146">
        <f t="shared" si="19"/>
        <v>2.2935779816513762</v>
      </c>
      <c r="AJ315" s="303"/>
      <c r="AK315" s="303"/>
      <c r="AL315" s="303"/>
      <c r="AM315" s="303"/>
      <c r="AN315" s="303"/>
      <c r="AO315" s="303"/>
      <c r="AP315" s="303"/>
      <c r="AQ315" s="303"/>
      <c r="AR315" s="303"/>
      <c r="AS315" s="170"/>
      <c r="AT315" s="170"/>
      <c r="AU315" s="310"/>
      <c r="AW315" s="294">
        <f>(3-0.17-0.5)/1.09</f>
        <v>2.1376146788990824</v>
      </c>
      <c r="AX315" s="294">
        <f>0.17/1.09</f>
        <v>0.15596330275229359</v>
      </c>
      <c r="AY315" s="294"/>
      <c r="AZ315" s="294">
        <f>(0.5/2)/1.09</f>
        <v>0.2293577981651376</v>
      </c>
      <c r="BA315" s="294">
        <f>(0.5/2)/1.09</f>
        <v>0.2293577981651376</v>
      </c>
      <c r="BB315" s="294"/>
      <c r="BC315" s="294"/>
      <c r="BD315" s="294"/>
      <c r="BE315" s="294"/>
      <c r="BF315" s="383">
        <v>2.1467889908256876</v>
      </c>
      <c r="BG315" s="383">
        <v>2.7614678899082565</v>
      </c>
      <c r="BH315" s="278"/>
      <c r="BI315" s="365"/>
      <c r="BJ315" s="409"/>
    </row>
    <row r="316" spans="1:62" ht="15.75" customHeight="1" thickBot="1" x14ac:dyDescent="0.25">
      <c r="A316" s="154">
        <v>315</v>
      </c>
      <c r="B316" s="155">
        <v>1</v>
      </c>
      <c r="C316" s="148" t="s">
        <v>236</v>
      </c>
      <c r="D316" s="148" t="s">
        <v>3294</v>
      </c>
      <c r="E316" s="148" t="s">
        <v>13</v>
      </c>
      <c r="F316" s="148" t="s">
        <v>671</v>
      </c>
      <c r="G316" s="148" t="s">
        <v>15</v>
      </c>
      <c r="H316" s="148" t="s">
        <v>55</v>
      </c>
      <c r="I316" s="161">
        <v>2012</v>
      </c>
      <c r="J316" s="161" t="s">
        <v>663</v>
      </c>
      <c r="K316" s="161" t="s">
        <v>664</v>
      </c>
      <c r="L316" s="161" t="s">
        <v>19</v>
      </c>
      <c r="M316" s="453" t="s">
        <v>4149</v>
      </c>
      <c r="N316" s="186" t="s">
        <v>20</v>
      </c>
      <c r="O316" s="186" t="s">
        <v>15</v>
      </c>
      <c r="P316" s="186" t="s">
        <v>20</v>
      </c>
      <c r="Q316" s="186" t="s">
        <v>15</v>
      </c>
      <c r="R316" s="186" t="s">
        <v>20</v>
      </c>
      <c r="S316" s="186" t="s">
        <v>20</v>
      </c>
      <c r="T316" s="186" t="s">
        <v>15</v>
      </c>
      <c r="U316" s="186" t="s">
        <v>15</v>
      </c>
      <c r="V316" s="186" t="s">
        <v>15</v>
      </c>
      <c r="W316" s="186" t="s">
        <v>15</v>
      </c>
      <c r="X316" s="186" t="s">
        <v>15</v>
      </c>
      <c r="Y316" s="186" t="s">
        <v>20</v>
      </c>
      <c r="Z316" s="186"/>
      <c r="AA316" s="186" t="s">
        <v>665</v>
      </c>
      <c r="AB316" s="186" t="s">
        <v>15</v>
      </c>
      <c r="AC316" s="186" t="s">
        <v>20</v>
      </c>
      <c r="AD316" s="268" t="s">
        <v>666</v>
      </c>
      <c r="AE316" s="268" t="s">
        <v>672</v>
      </c>
      <c r="AF316" s="144" t="str">
        <f t="shared" si="16"/>
        <v/>
      </c>
      <c r="AG316" s="144" t="str">
        <f t="shared" si="17"/>
        <v/>
      </c>
      <c r="AH316" s="146">
        <f t="shared" si="18"/>
        <v>2.2252010723860591</v>
      </c>
      <c r="AI316" s="146">
        <f t="shared" si="19"/>
        <v>2.4530831099195711</v>
      </c>
      <c r="AJ316" s="303"/>
      <c r="AK316" s="303"/>
      <c r="AL316" s="303"/>
      <c r="AM316" s="303"/>
      <c r="AN316" s="303"/>
      <c r="AO316" s="303"/>
      <c r="AP316" s="303"/>
      <c r="AQ316" s="303"/>
      <c r="AR316" s="303"/>
      <c r="AS316" s="170"/>
      <c r="AT316" s="170"/>
      <c r="AU316" s="310"/>
      <c r="AW316" s="294">
        <f>(2.46-0.17-0.63)/0.746</f>
        <v>2.2252010723860591</v>
      </c>
      <c r="AX316" s="294">
        <f>0.17/0.746</f>
        <v>0.22788203753351208</v>
      </c>
      <c r="AY316" s="294"/>
      <c r="AZ316" s="294">
        <f>(0.63/2)/0.746</f>
        <v>0.42225201072386059</v>
      </c>
      <c r="BA316" s="294">
        <f>(0.63/2)/0.746</f>
        <v>0.42225201072386059</v>
      </c>
      <c r="BB316" s="294"/>
      <c r="BC316" s="294"/>
      <c r="BD316" s="294"/>
      <c r="BE316" s="294"/>
      <c r="BF316" s="383">
        <v>2.2252010723860591</v>
      </c>
      <c r="BG316" s="383">
        <v>3.2975871313672922</v>
      </c>
      <c r="BH316" s="278"/>
      <c r="BI316" s="365"/>
      <c r="BJ316" s="409"/>
    </row>
    <row r="317" spans="1:62" ht="15.75" customHeight="1" thickBot="1" x14ac:dyDescent="0.25">
      <c r="A317" s="156">
        <v>316</v>
      </c>
      <c r="B317" s="155">
        <v>1</v>
      </c>
      <c r="C317" s="148" t="s">
        <v>596</v>
      </c>
      <c r="D317" s="148" t="s">
        <v>3064</v>
      </c>
      <c r="E317" s="148" t="s">
        <v>144</v>
      </c>
      <c r="F317" s="148" t="s">
        <v>2843</v>
      </c>
      <c r="G317" s="148" t="s">
        <v>15</v>
      </c>
      <c r="H317" s="148" t="s">
        <v>73</v>
      </c>
      <c r="I317" s="161">
        <v>2012</v>
      </c>
      <c r="J317" s="161" t="s">
        <v>673</v>
      </c>
      <c r="K317" s="161" t="s">
        <v>674</v>
      </c>
      <c r="L317" s="161" t="s">
        <v>104</v>
      </c>
      <c r="M317" s="453" t="s">
        <v>4150</v>
      </c>
      <c r="N317" s="186" t="s">
        <v>20</v>
      </c>
      <c r="O317" s="186" t="s">
        <v>20</v>
      </c>
      <c r="P317" s="186" t="s">
        <v>20</v>
      </c>
      <c r="Q317" s="186" t="s">
        <v>20</v>
      </c>
      <c r="R317" s="186" t="s">
        <v>20</v>
      </c>
      <c r="S317" s="186" t="s">
        <v>15</v>
      </c>
      <c r="T317" s="186" t="s">
        <v>15</v>
      </c>
      <c r="U317" s="186" t="s">
        <v>15</v>
      </c>
      <c r="V317" s="186" t="s">
        <v>15</v>
      </c>
      <c r="W317" s="186" t="s">
        <v>15</v>
      </c>
      <c r="X317" s="186" t="s">
        <v>15</v>
      </c>
      <c r="Y317" s="186" t="s">
        <v>20</v>
      </c>
      <c r="Z317" s="186"/>
      <c r="AA317" s="186" t="s">
        <v>675</v>
      </c>
      <c r="AB317" s="186" t="s">
        <v>20</v>
      </c>
      <c r="AC317" s="186" t="s">
        <v>20</v>
      </c>
      <c r="AD317" s="268" t="s">
        <v>676</v>
      </c>
      <c r="AE317" s="268" t="s">
        <v>677</v>
      </c>
      <c r="AF317" s="144" t="str">
        <f t="shared" si="16"/>
        <v/>
      </c>
      <c r="AG317" s="144" t="str">
        <f t="shared" si="17"/>
        <v/>
      </c>
      <c r="AH317" s="146">
        <f t="shared" si="18"/>
        <v>0.15744274809160305</v>
      </c>
      <c r="AI317" s="146">
        <f t="shared" si="19"/>
        <v>0.29580152671755722</v>
      </c>
      <c r="AJ317" s="303"/>
      <c r="AK317" s="303"/>
      <c r="AL317" s="303"/>
      <c r="AM317" s="303"/>
      <c r="AN317" s="303"/>
      <c r="AO317" s="303"/>
      <c r="AP317" s="303"/>
      <c r="AQ317" s="303"/>
      <c r="AR317" s="303"/>
      <c r="AS317" s="170"/>
      <c r="AT317" s="170"/>
      <c r="AU317" s="310"/>
      <c r="AW317" s="294">
        <f>0.165/1.048</f>
        <v>0.15744274809160305</v>
      </c>
      <c r="AX317" s="294"/>
      <c r="AY317" s="294">
        <f>0.145/1.048</f>
        <v>0.13835877862595419</v>
      </c>
      <c r="AZ317" s="294">
        <f>0.339/1.048</f>
        <v>0.32347328244274809</v>
      </c>
      <c r="BA317" s="294"/>
      <c r="BB317" s="294"/>
      <c r="BC317" s="294"/>
      <c r="BD317" s="294"/>
      <c r="BE317" s="294"/>
      <c r="BF317" s="383">
        <v>0.15744274809160305</v>
      </c>
      <c r="BG317" s="383">
        <v>0.63740458015267176</v>
      </c>
      <c r="BH317" s="278"/>
      <c r="BI317" s="365" t="s">
        <v>678</v>
      </c>
      <c r="BJ317" s="409"/>
    </row>
    <row r="318" spans="1:62" ht="15.75" customHeight="1" thickBot="1" x14ac:dyDescent="0.25">
      <c r="A318" s="154">
        <v>317</v>
      </c>
      <c r="B318" s="155">
        <v>1</v>
      </c>
      <c r="C318" s="148" t="s">
        <v>596</v>
      </c>
      <c r="D318" s="148" t="s">
        <v>3064</v>
      </c>
      <c r="E318" s="148" t="s">
        <v>144</v>
      </c>
      <c r="F318" s="148" t="s">
        <v>679</v>
      </c>
      <c r="G318" s="148" t="s">
        <v>122</v>
      </c>
      <c r="H318" s="148" t="s">
        <v>680</v>
      </c>
      <c r="I318" s="161">
        <v>2012</v>
      </c>
      <c r="J318" s="161" t="s">
        <v>681</v>
      </c>
      <c r="K318" s="161" t="s">
        <v>682</v>
      </c>
      <c r="L318" s="161" t="s">
        <v>19</v>
      </c>
      <c r="M318" s="453" t="s">
        <v>4151</v>
      </c>
      <c r="N318" s="186" t="s">
        <v>20</v>
      </c>
      <c r="O318" s="186" t="s">
        <v>15</v>
      </c>
      <c r="P318" s="186" t="s">
        <v>20</v>
      </c>
      <c r="Q318" s="186" t="s">
        <v>20</v>
      </c>
      <c r="R318" s="186" t="s">
        <v>20</v>
      </c>
      <c r="S318" s="186" t="s">
        <v>20</v>
      </c>
      <c r="T318" s="186" t="s">
        <v>20</v>
      </c>
      <c r="U318" s="186" t="s">
        <v>15</v>
      </c>
      <c r="V318" s="186" t="s">
        <v>15</v>
      </c>
      <c r="W318" s="186" t="s">
        <v>15</v>
      </c>
      <c r="X318" s="186" t="s">
        <v>15</v>
      </c>
      <c r="Y318" s="186" t="s">
        <v>15</v>
      </c>
      <c r="Z318" s="186"/>
      <c r="AA318" s="186" t="s">
        <v>683</v>
      </c>
      <c r="AB318" s="186" t="s">
        <v>15</v>
      </c>
      <c r="AC318" s="186" t="s">
        <v>20</v>
      </c>
      <c r="AD318" s="268" t="s">
        <v>684</v>
      </c>
      <c r="AE318" s="268" t="s">
        <v>685</v>
      </c>
      <c r="AF318" s="144" t="str">
        <f t="shared" si="16"/>
        <v/>
      </c>
      <c r="AG318" s="144" t="str">
        <f t="shared" si="17"/>
        <v/>
      </c>
      <c r="AH318" s="146">
        <f t="shared" si="18"/>
        <v>0.54616135235076602</v>
      </c>
      <c r="AI318" s="146">
        <f t="shared" si="19"/>
        <v>0.8129553523507661</v>
      </c>
      <c r="AJ318" s="303"/>
      <c r="AK318" s="303"/>
      <c r="AL318" s="303"/>
      <c r="AM318" s="303"/>
      <c r="AN318" s="303"/>
      <c r="AO318" s="303"/>
      <c r="AP318" s="303"/>
      <c r="AQ318" s="303"/>
      <c r="AR318" s="303"/>
      <c r="AS318" s="170"/>
      <c r="AT318" s="170"/>
      <c r="AU318" s="310"/>
      <c r="AW318" s="294">
        <v>0.54616135235076602</v>
      </c>
      <c r="AX318" s="294">
        <v>2.6800000000000001E-2</v>
      </c>
      <c r="AY318" s="294">
        <v>0.23999400000000001</v>
      </c>
      <c r="AZ318" s="294">
        <v>4.6626000000000001E-2</v>
      </c>
      <c r="BA318" s="294">
        <v>2.2255E-2</v>
      </c>
      <c r="BB318" s="294">
        <v>8.8413000000000005E-2</v>
      </c>
      <c r="BC318" s="294"/>
      <c r="BD318" s="294"/>
      <c r="BE318" s="294"/>
      <c r="BF318" s="383">
        <v>0.54616135235076602</v>
      </c>
      <c r="BG318" s="383">
        <v>0.9732614896988907</v>
      </c>
      <c r="BH318" s="278"/>
      <c r="BI318" s="365" t="s">
        <v>686</v>
      </c>
      <c r="BJ318" s="409"/>
    </row>
    <row r="319" spans="1:62" ht="15.75" customHeight="1" thickBot="1" x14ac:dyDescent="0.25">
      <c r="A319" s="156">
        <v>318</v>
      </c>
      <c r="B319" s="155">
        <v>1</v>
      </c>
      <c r="C319" s="148" t="s">
        <v>596</v>
      </c>
      <c r="D319" s="148" t="s">
        <v>3064</v>
      </c>
      <c r="E319" s="148" t="s">
        <v>144</v>
      </c>
      <c r="F319" s="148" t="s">
        <v>687</v>
      </c>
      <c r="G319" s="148" t="s">
        <v>122</v>
      </c>
      <c r="H319" s="148" t="s">
        <v>680</v>
      </c>
      <c r="I319" s="161">
        <v>2012</v>
      </c>
      <c r="J319" s="161" t="s">
        <v>681</v>
      </c>
      <c r="K319" s="161" t="s">
        <v>682</v>
      </c>
      <c r="L319" s="161" t="s">
        <v>19</v>
      </c>
      <c r="M319" s="453" t="s">
        <v>4151</v>
      </c>
      <c r="N319" s="186" t="s">
        <v>20</v>
      </c>
      <c r="O319" s="186" t="s">
        <v>15</v>
      </c>
      <c r="P319" s="186" t="s">
        <v>20</v>
      </c>
      <c r="Q319" s="186" t="s">
        <v>20</v>
      </c>
      <c r="R319" s="186" t="s">
        <v>20</v>
      </c>
      <c r="S319" s="186" t="s">
        <v>20</v>
      </c>
      <c r="T319" s="186" t="s">
        <v>20</v>
      </c>
      <c r="U319" s="186" t="s">
        <v>15</v>
      </c>
      <c r="V319" s="186" t="s">
        <v>15</v>
      </c>
      <c r="W319" s="186" t="s">
        <v>15</v>
      </c>
      <c r="X319" s="186" t="s">
        <v>15</v>
      </c>
      <c r="Y319" s="186" t="s">
        <v>15</v>
      </c>
      <c r="Z319" s="186"/>
      <c r="AA319" s="186" t="s">
        <v>683</v>
      </c>
      <c r="AB319" s="186" t="s">
        <v>15</v>
      </c>
      <c r="AC319" s="186" t="s">
        <v>20</v>
      </c>
      <c r="AD319" s="268" t="s">
        <v>684</v>
      </c>
      <c r="AE319" s="268" t="s">
        <v>685</v>
      </c>
      <c r="AF319" s="144" t="str">
        <f t="shared" si="16"/>
        <v/>
      </c>
      <c r="AG319" s="144" t="str">
        <f t="shared" si="17"/>
        <v/>
      </c>
      <c r="AH319" s="146">
        <f t="shared" si="18"/>
        <v>0.45408904384574755</v>
      </c>
      <c r="AI319" s="146">
        <f t="shared" si="19"/>
        <v>0.71617304384574754</v>
      </c>
      <c r="AJ319" s="304"/>
      <c r="AK319" s="304"/>
      <c r="AL319" s="304"/>
      <c r="AM319" s="304"/>
      <c r="AN319" s="304"/>
      <c r="AO319" s="304"/>
      <c r="AP319" s="304"/>
      <c r="AQ319" s="304"/>
      <c r="AR319" s="304"/>
      <c r="AS319" s="170"/>
      <c r="AT319" s="170"/>
      <c r="AU319" s="310"/>
      <c r="AW319" s="294">
        <v>0.45408904384574755</v>
      </c>
      <c r="AX319" s="350">
        <v>2.2089999999999999E-2</v>
      </c>
      <c r="AY319" s="294">
        <v>0.23999400000000001</v>
      </c>
      <c r="AZ319" s="294">
        <v>4.6626000000000001E-2</v>
      </c>
      <c r="BA319" s="294">
        <v>2.2255E-2</v>
      </c>
      <c r="BB319" s="294">
        <v>8.8413000000000005E-2</v>
      </c>
      <c r="BC319" s="350"/>
      <c r="BD319" s="350"/>
      <c r="BE319" s="350"/>
      <c r="BF319" s="383">
        <v>0.45408904384574755</v>
      </c>
      <c r="BG319" s="383">
        <f>1.584*1.048/1.893</f>
        <v>0.87693185419968311</v>
      </c>
      <c r="BH319" s="278"/>
      <c r="BI319" s="365" t="s">
        <v>686</v>
      </c>
      <c r="BJ319" s="409"/>
    </row>
    <row r="320" spans="1:62" ht="15.75" customHeight="1" thickBot="1" x14ac:dyDescent="0.25">
      <c r="A320" s="154">
        <v>319</v>
      </c>
      <c r="B320" s="155">
        <v>1</v>
      </c>
      <c r="C320" s="148" t="s">
        <v>236</v>
      </c>
      <c r="D320" s="141" t="s">
        <v>1739</v>
      </c>
      <c r="E320" s="148" t="s">
        <v>13</v>
      </c>
      <c r="F320" s="148" t="s">
        <v>689</v>
      </c>
      <c r="G320" s="148" t="s">
        <v>20</v>
      </c>
      <c r="H320" s="148" t="s">
        <v>101</v>
      </c>
      <c r="I320" s="161">
        <v>2015</v>
      </c>
      <c r="J320" s="161" t="s">
        <v>690</v>
      </c>
      <c r="K320" s="161" t="s">
        <v>691</v>
      </c>
      <c r="L320" s="161" t="s">
        <v>692</v>
      </c>
      <c r="M320" s="453" t="s">
        <v>4152</v>
      </c>
      <c r="N320" s="186" t="s">
        <v>20</v>
      </c>
      <c r="O320" s="186" t="s">
        <v>20</v>
      </c>
      <c r="P320" s="186" t="s">
        <v>20</v>
      </c>
      <c r="Q320" s="186" t="s">
        <v>20</v>
      </c>
      <c r="R320" s="186" t="s">
        <v>20</v>
      </c>
      <c r="S320" s="186" t="s">
        <v>20</v>
      </c>
      <c r="T320" s="186" t="s">
        <v>15</v>
      </c>
      <c r="U320" s="186" t="s">
        <v>15</v>
      </c>
      <c r="V320" s="186" t="s">
        <v>15</v>
      </c>
      <c r="W320" s="186" t="s">
        <v>15</v>
      </c>
      <c r="X320" s="186" t="s">
        <v>15</v>
      </c>
      <c r="Y320" s="186" t="s">
        <v>15</v>
      </c>
      <c r="Z320" s="186"/>
      <c r="AA320" s="186" t="s">
        <v>693</v>
      </c>
      <c r="AB320" s="186" t="s">
        <v>15</v>
      </c>
      <c r="AC320" s="186" t="s">
        <v>20</v>
      </c>
      <c r="AD320" s="268" t="s">
        <v>694</v>
      </c>
      <c r="AE320" s="268"/>
      <c r="AF320" s="144" t="str">
        <f t="shared" si="16"/>
        <v/>
      </c>
      <c r="AG320" s="144" t="str">
        <f t="shared" si="17"/>
        <v/>
      </c>
      <c r="AH320" s="146">
        <f t="shared" si="18"/>
        <v>5.5E-2</v>
      </c>
      <c r="AI320" s="146" t="str">
        <f t="shared" si="19"/>
        <v/>
      </c>
      <c r="AJ320" s="303"/>
      <c r="AK320" s="303"/>
      <c r="AL320" s="303"/>
      <c r="AM320" s="303"/>
      <c r="AN320" s="303"/>
      <c r="AO320" s="303"/>
      <c r="AP320" s="303"/>
      <c r="AQ320" s="303"/>
      <c r="AR320" s="303"/>
      <c r="AS320" s="170"/>
      <c r="AT320" s="170"/>
      <c r="AU320" s="310"/>
      <c r="AW320" s="294">
        <v>5.5E-2</v>
      </c>
      <c r="AX320" s="294"/>
      <c r="AY320" s="294"/>
      <c r="AZ320" s="294">
        <v>0.23400000000000001</v>
      </c>
      <c r="BA320" s="294">
        <v>4.1000000000000002E-2</v>
      </c>
      <c r="BB320" s="294"/>
      <c r="BC320" s="294"/>
      <c r="BD320" s="294"/>
      <c r="BE320" s="294"/>
      <c r="BF320" s="383">
        <v>5.5E-2</v>
      </c>
      <c r="BG320" s="383">
        <v>0.32900000000000001</v>
      </c>
      <c r="BH320" s="278"/>
      <c r="BI320" s="365"/>
      <c r="BJ320" s="409"/>
    </row>
    <row r="321" spans="1:62" ht="15.75" customHeight="1" thickBot="1" x14ac:dyDescent="0.25">
      <c r="A321" s="156">
        <v>320</v>
      </c>
      <c r="B321" s="155">
        <v>1</v>
      </c>
      <c r="C321" s="148" t="s">
        <v>236</v>
      </c>
      <c r="D321" s="141" t="s">
        <v>1739</v>
      </c>
      <c r="E321" s="148" t="s">
        <v>13</v>
      </c>
      <c r="F321" s="148" t="s">
        <v>695</v>
      </c>
      <c r="G321" s="148" t="s">
        <v>20</v>
      </c>
      <c r="H321" s="148" t="s">
        <v>101</v>
      </c>
      <c r="I321" s="161">
        <v>2015</v>
      </c>
      <c r="J321" s="161" t="s">
        <v>690</v>
      </c>
      <c r="K321" s="161" t="s">
        <v>691</v>
      </c>
      <c r="L321" s="161" t="s">
        <v>692</v>
      </c>
      <c r="M321" s="453" t="s">
        <v>4152</v>
      </c>
      <c r="N321" s="186" t="s">
        <v>20</v>
      </c>
      <c r="O321" s="186" t="s">
        <v>20</v>
      </c>
      <c r="P321" s="186" t="s">
        <v>15</v>
      </c>
      <c r="Q321" s="186" t="s">
        <v>15</v>
      </c>
      <c r="R321" s="186" t="s">
        <v>15</v>
      </c>
      <c r="S321" s="186" t="s">
        <v>15</v>
      </c>
      <c r="T321" s="186" t="s">
        <v>15</v>
      </c>
      <c r="U321" s="186" t="s">
        <v>15</v>
      </c>
      <c r="V321" s="186" t="s">
        <v>15</v>
      </c>
      <c r="W321" s="186" t="s">
        <v>15</v>
      </c>
      <c r="X321" s="186" t="s">
        <v>15</v>
      </c>
      <c r="Y321" s="186" t="s">
        <v>15</v>
      </c>
      <c r="Z321" s="186"/>
      <c r="AA321" s="186" t="s">
        <v>696</v>
      </c>
      <c r="AB321" s="186" t="s">
        <v>15</v>
      </c>
      <c r="AC321" s="186" t="s">
        <v>20</v>
      </c>
      <c r="AD321" s="268" t="s">
        <v>694</v>
      </c>
      <c r="AE321" s="268"/>
      <c r="AF321" s="144" t="str">
        <f t="shared" si="16"/>
        <v/>
      </c>
      <c r="AG321" s="144" t="str">
        <f t="shared" si="17"/>
        <v/>
      </c>
      <c r="AH321" s="146">
        <f t="shared" si="18"/>
        <v>1.04</v>
      </c>
      <c r="AI321" s="146" t="str">
        <f t="shared" si="19"/>
        <v/>
      </c>
      <c r="AJ321" s="303"/>
      <c r="AK321" s="303"/>
      <c r="AL321" s="303"/>
      <c r="AM321" s="303"/>
      <c r="AN321" s="303"/>
      <c r="AO321" s="303"/>
      <c r="AP321" s="303"/>
      <c r="AQ321" s="303"/>
      <c r="AR321" s="303"/>
      <c r="AS321" s="170"/>
      <c r="AT321" s="170"/>
      <c r="AU321" s="310"/>
      <c r="AW321" s="294"/>
      <c r="AX321" s="294"/>
      <c r="AY321" s="294"/>
      <c r="AZ321" s="294"/>
      <c r="BA321" s="294"/>
      <c r="BB321" s="294"/>
      <c r="BC321" s="294"/>
      <c r="BD321" s="294"/>
      <c r="BE321" s="294"/>
      <c r="BF321" s="382">
        <f>(0.018+0.024+0.769+0.229)</f>
        <v>1.04</v>
      </c>
      <c r="BG321" s="382">
        <v>1.0409999999999999</v>
      </c>
      <c r="BH321" s="278"/>
      <c r="BI321" s="365"/>
      <c r="BJ321" s="409"/>
    </row>
    <row r="322" spans="1:62" ht="15.75" customHeight="1" thickBot="1" x14ac:dyDescent="0.25">
      <c r="A322" s="154">
        <v>321</v>
      </c>
      <c r="B322" s="155">
        <v>1</v>
      </c>
      <c r="C322" s="148" t="s">
        <v>236</v>
      </c>
      <c r="D322" s="141" t="s">
        <v>1739</v>
      </c>
      <c r="E322" s="148" t="s">
        <v>13</v>
      </c>
      <c r="F322" s="148" t="s">
        <v>697</v>
      </c>
      <c r="G322" s="148" t="s">
        <v>20</v>
      </c>
      <c r="H322" s="148" t="s">
        <v>87</v>
      </c>
      <c r="I322" s="161">
        <v>2015</v>
      </c>
      <c r="J322" s="161" t="s">
        <v>690</v>
      </c>
      <c r="K322" s="161" t="s">
        <v>691</v>
      </c>
      <c r="L322" s="161" t="s">
        <v>692</v>
      </c>
      <c r="M322" s="453" t="s">
        <v>4152</v>
      </c>
      <c r="N322" s="186" t="s">
        <v>20</v>
      </c>
      <c r="O322" s="186" t="s">
        <v>20</v>
      </c>
      <c r="P322" s="186" t="s">
        <v>20</v>
      </c>
      <c r="Q322" s="186" t="s">
        <v>20</v>
      </c>
      <c r="R322" s="186" t="s">
        <v>20</v>
      </c>
      <c r="S322" s="186" t="s">
        <v>20</v>
      </c>
      <c r="T322" s="186" t="s">
        <v>15</v>
      </c>
      <c r="U322" s="186" t="s">
        <v>15</v>
      </c>
      <c r="V322" s="186" t="s">
        <v>15</v>
      </c>
      <c r="W322" s="186" t="s">
        <v>15</v>
      </c>
      <c r="X322" s="186" t="s">
        <v>15</v>
      </c>
      <c r="Y322" s="186" t="s">
        <v>15</v>
      </c>
      <c r="Z322" s="186"/>
      <c r="AA322" s="186" t="s">
        <v>693</v>
      </c>
      <c r="AB322" s="186" t="s">
        <v>15</v>
      </c>
      <c r="AC322" s="186" t="s">
        <v>20</v>
      </c>
      <c r="AD322" s="268" t="s">
        <v>694</v>
      </c>
      <c r="AE322" s="268"/>
      <c r="AF322" s="144" t="str">
        <f t="shared" ref="AF322:AF385" si="20">IF(AS322&lt;&gt;0,AS322,"")</f>
        <v/>
      </c>
      <c r="AG322" s="144" t="str">
        <f t="shared" ref="AG322:AG385" si="21">IF(AND(SUM(AJ322:AL322)&lt;&gt;0,SUM(AJ322:AL322)&lt;&gt;AJ322),SUM(AJ322:AL322),"")</f>
        <v/>
      </c>
      <c r="AH322" s="146">
        <f t="shared" ref="AH322:AH385" si="22">IF(BF322&lt;&gt;0,BF322,"")</f>
        <v>0.24399999999999999</v>
      </c>
      <c r="AI322" s="146" t="str">
        <f t="shared" ref="AI322:AI385" si="23">IF(AND(SUM(AW322:AY322)&lt;&gt;0,SUM(AW322:AY322)&lt;&gt;AW322),SUM(AW322:AY322),"")</f>
        <v/>
      </c>
      <c r="AJ322" s="303"/>
      <c r="AK322" s="303"/>
      <c r="AL322" s="303"/>
      <c r="AM322" s="303"/>
      <c r="AN322" s="303"/>
      <c r="AO322" s="303"/>
      <c r="AP322" s="303"/>
      <c r="AQ322" s="303"/>
      <c r="AR322" s="303"/>
      <c r="AS322" s="170"/>
      <c r="AT322" s="170"/>
      <c r="AU322" s="310"/>
      <c r="AW322" s="294">
        <v>0.24399999999999999</v>
      </c>
      <c r="AX322" s="294"/>
      <c r="AY322" s="294"/>
      <c r="AZ322" s="294">
        <v>0</v>
      </c>
      <c r="BA322" s="294">
        <v>0.21099999999999999</v>
      </c>
      <c r="BB322" s="294"/>
      <c r="BC322" s="294"/>
      <c r="BD322" s="294"/>
      <c r="BE322" s="294"/>
      <c r="BF322" s="383">
        <v>0.24399999999999999</v>
      </c>
      <c r="BG322" s="383">
        <v>0.45700000000000002</v>
      </c>
      <c r="BH322" s="278"/>
      <c r="BI322" s="365" t="s">
        <v>698</v>
      </c>
      <c r="BJ322" s="409"/>
    </row>
    <row r="323" spans="1:62" ht="15.75" customHeight="1" thickBot="1" x14ac:dyDescent="0.25">
      <c r="A323" s="156">
        <v>322</v>
      </c>
      <c r="B323" s="155">
        <v>1</v>
      </c>
      <c r="C323" s="148" t="s">
        <v>236</v>
      </c>
      <c r="D323" s="141" t="s">
        <v>1739</v>
      </c>
      <c r="E323" s="148" t="s">
        <v>13</v>
      </c>
      <c r="F323" s="148" t="s">
        <v>699</v>
      </c>
      <c r="G323" s="148" t="s">
        <v>20</v>
      </c>
      <c r="H323" s="148" t="s">
        <v>700</v>
      </c>
      <c r="I323" s="161">
        <v>2005</v>
      </c>
      <c r="J323" s="161" t="s">
        <v>701</v>
      </c>
      <c r="K323" s="161" t="s">
        <v>702</v>
      </c>
      <c r="L323" s="161" t="s">
        <v>19</v>
      </c>
      <c r="M323" s="453" t="s">
        <v>4153</v>
      </c>
      <c r="N323" s="186" t="s">
        <v>20</v>
      </c>
      <c r="O323" s="186" t="s">
        <v>15</v>
      </c>
      <c r="P323" s="186" t="s">
        <v>15</v>
      </c>
      <c r="Q323" s="186" t="s">
        <v>15</v>
      </c>
      <c r="R323" s="186" t="s">
        <v>15</v>
      </c>
      <c r="S323" s="186" t="s">
        <v>15</v>
      </c>
      <c r="T323" s="186" t="s">
        <v>15</v>
      </c>
      <c r="U323" s="186" t="s">
        <v>15</v>
      </c>
      <c r="V323" s="186" t="s">
        <v>15</v>
      </c>
      <c r="W323" s="186" t="s">
        <v>15</v>
      </c>
      <c r="X323" s="186" t="s">
        <v>15</v>
      </c>
      <c r="Y323" s="186" t="s">
        <v>15</v>
      </c>
      <c r="Z323" s="186"/>
      <c r="AA323" s="186" t="s">
        <v>703</v>
      </c>
      <c r="AB323" s="186" t="s">
        <v>15</v>
      </c>
      <c r="AC323" s="186" t="s">
        <v>20</v>
      </c>
      <c r="AD323" s="268" t="s">
        <v>704</v>
      </c>
      <c r="AE323" s="268" t="s">
        <v>485</v>
      </c>
      <c r="AF323" s="144" t="str">
        <f t="shared" si="20"/>
        <v/>
      </c>
      <c r="AG323" s="144" t="str">
        <f t="shared" si="21"/>
        <v/>
      </c>
      <c r="AH323" s="146">
        <f t="shared" si="22"/>
        <v>4.0909000000000001E-2</v>
      </c>
      <c r="AI323" s="146" t="str">
        <f t="shared" si="23"/>
        <v/>
      </c>
      <c r="AJ323" s="303"/>
      <c r="AK323" s="303"/>
      <c r="AL323" s="303"/>
      <c r="AM323" s="303"/>
      <c r="AN323" s="303"/>
      <c r="AO323" s="303"/>
      <c r="AP323" s="303"/>
      <c r="AQ323" s="303"/>
      <c r="AR323" s="303"/>
      <c r="AS323" s="170"/>
      <c r="AT323" s="170"/>
      <c r="AU323" s="310"/>
      <c r="AW323" s="294"/>
      <c r="AX323" s="294"/>
      <c r="AY323" s="294"/>
      <c r="AZ323" s="294"/>
      <c r="BA323" s="294"/>
      <c r="BB323" s="294"/>
      <c r="BC323" s="294"/>
      <c r="BD323" s="294"/>
      <c r="BE323" s="294"/>
      <c r="BF323" s="382">
        <v>4.0909000000000001E-2</v>
      </c>
      <c r="BG323" s="383"/>
      <c r="BH323" s="278"/>
      <c r="BI323" s="365" t="s">
        <v>705</v>
      </c>
      <c r="BJ323" s="409"/>
    </row>
    <row r="324" spans="1:62" ht="15.75" customHeight="1" thickBot="1" x14ac:dyDescent="0.25">
      <c r="A324" s="154">
        <v>323</v>
      </c>
      <c r="B324" s="155">
        <v>1</v>
      </c>
      <c r="C324" s="148" t="s">
        <v>236</v>
      </c>
      <c r="D324" s="141" t="s">
        <v>1739</v>
      </c>
      <c r="E324" s="148" t="s">
        <v>13</v>
      </c>
      <c r="F324" s="148" t="s">
        <v>706</v>
      </c>
      <c r="G324" s="148" t="s">
        <v>20</v>
      </c>
      <c r="H324" s="148" t="s">
        <v>700</v>
      </c>
      <c r="I324" s="161">
        <v>2005</v>
      </c>
      <c r="J324" s="161" t="s">
        <v>701</v>
      </c>
      <c r="K324" s="161" t="s">
        <v>702</v>
      </c>
      <c r="L324" s="161" t="s">
        <v>19</v>
      </c>
      <c r="M324" s="453" t="s">
        <v>4153</v>
      </c>
      <c r="N324" s="186" t="s">
        <v>20</v>
      </c>
      <c r="O324" s="186" t="s">
        <v>15</v>
      </c>
      <c r="P324" s="186" t="s">
        <v>15</v>
      </c>
      <c r="Q324" s="186" t="s">
        <v>15</v>
      </c>
      <c r="R324" s="186" t="s">
        <v>15</v>
      </c>
      <c r="S324" s="186" t="s">
        <v>15</v>
      </c>
      <c r="T324" s="186" t="s">
        <v>15</v>
      </c>
      <c r="U324" s="186" t="s">
        <v>15</v>
      </c>
      <c r="V324" s="186" t="s">
        <v>15</v>
      </c>
      <c r="W324" s="186" t="s">
        <v>15</v>
      </c>
      <c r="X324" s="186" t="s">
        <v>15</v>
      </c>
      <c r="Y324" s="186" t="s">
        <v>15</v>
      </c>
      <c r="Z324" s="186"/>
      <c r="AA324" s="186" t="s">
        <v>703</v>
      </c>
      <c r="AB324" s="186" t="s">
        <v>15</v>
      </c>
      <c r="AC324" s="186" t="s">
        <v>20</v>
      </c>
      <c r="AD324" s="268" t="s">
        <v>704</v>
      </c>
      <c r="AE324" s="268" t="s">
        <v>485</v>
      </c>
      <c r="AF324" s="144" t="str">
        <f t="shared" si="20"/>
        <v/>
      </c>
      <c r="AG324" s="144" t="str">
        <f t="shared" si="21"/>
        <v/>
      </c>
      <c r="AH324" s="146">
        <f t="shared" si="22"/>
        <v>6.3182000000000002E-2</v>
      </c>
      <c r="AI324" s="146" t="str">
        <f t="shared" si="23"/>
        <v/>
      </c>
      <c r="AJ324" s="303"/>
      <c r="AK324" s="303"/>
      <c r="AL324" s="303"/>
      <c r="AM324" s="303"/>
      <c r="AN324" s="303"/>
      <c r="AO324" s="303"/>
      <c r="AP324" s="303"/>
      <c r="AQ324" s="303"/>
      <c r="AR324" s="303"/>
      <c r="AS324" s="170"/>
      <c r="AT324" s="170"/>
      <c r="AU324" s="310"/>
      <c r="AW324" s="294"/>
      <c r="AX324" s="294"/>
      <c r="AY324" s="294"/>
      <c r="AZ324" s="294"/>
      <c r="BA324" s="294"/>
      <c r="BB324" s="294"/>
      <c r="BC324" s="294"/>
      <c r="BD324" s="294"/>
      <c r="BE324" s="294"/>
      <c r="BF324" s="382">
        <v>6.3182000000000002E-2</v>
      </c>
      <c r="BG324" s="383"/>
      <c r="BH324" s="278"/>
      <c r="BI324" s="365" t="s">
        <v>705</v>
      </c>
      <c r="BJ324" s="409"/>
    </row>
    <row r="325" spans="1:62" ht="15.75" customHeight="1" thickBot="1" x14ac:dyDescent="0.25">
      <c r="A325" s="156">
        <v>324</v>
      </c>
      <c r="B325" s="155">
        <v>1</v>
      </c>
      <c r="C325" s="148" t="s">
        <v>236</v>
      </c>
      <c r="D325" s="141" t="s">
        <v>1739</v>
      </c>
      <c r="E325" s="148" t="s">
        <v>13</v>
      </c>
      <c r="F325" s="148" t="s">
        <v>707</v>
      </c>
      <c r="G325" s="148" t="s">
        <v>15</v>
      </c>
      <c r="H325" s="148" t="s">
        <v>708</v>
      </c>
      <c r="I325" s="161">
        <v>2006</v>
      </c>
      <c r="J325" s="161" t="s">
        <v>709</v>
      </c>
      <c r="K325" s="161" t="s">
        <v>710</v>
      </c>
      <c r="L325" s="161" t="s">
        <v>19</v>
      </c>
      <c r="M325" s="453" t="s">
        <v>4154</v>
      </c>
      <c r="N325" s="186" t="s">
        <v>20</v>
      </c>
      <c r="O325" s="186" t="s">
        <v>15</v>
      </c>
      <c r="P325" s="186" t="s">
        <v>15</v>
      </c>
      <c r="Q325" s="186" t="s">
        <v>15</v>
      </c>
      <c r="R325" s="186" t="s">
        <v>15</v>
      </c>
      <c r="S325" s="186" t="s">
        <v>15</v>
      </c>
      <c r="T325" s="186" t="s">
        <v>15</v>
      </c>
      <c r="U325" s="186" t="s">
        <v>15</v>
      </c>
      <c r="V325" s="186" t="s">
        <v>15</v>
      </c>
      <c r="W325" s="186" t="s">
        <v>15</v>
      </c>
      <c r="X325" s="186" t="s">
        <v>15</v>
      </c>
      <c r="Y325" s="186" t="s">
        <v>20</v>
      </c>
      <c r="Z325" s="186"/>
      <c r="AA325" s="186" t="s">
        <v>711</v>
      </c>
      <c r="AB325" s="186" t="s">
        <v>15</v>
      </c>
      <c r="AC325" s="186" t="s">
        <v>20</v>
      </c>
      <c r="AD325" s="268" t="s">
        <v>712</v>
      </c>
      <c r="AE325" s="268" t="s">
        <v>713</v>
      </c>
      <c r="AF325" s="144" t="str">
        <f t="shared" si="20"/>
        <v/>
      </c>
      <c r="AG325" s="144" t="str">
        <f t="shared" si="21"/>
        <v/>
      </c>
      <c r="AH325" s="146">
        <f t="shared" si="22"/>
        <v>8.2802547770700632E-2</v>
      </c>
      <c r="AI325" s="146" t="str">
        <f t="shared" si="23"/>
        <v/>
      </c>
      <c r="AJ325" s="303"/>
      <c r="AK325" s="303"/>
      <c r="AL325" s="303"/>
      <c r="AM325" s="303"/>
      <c r="AN325" s="303"/>
      <c r="AO325" s="303"/>
      <c r="AP325" s="303"/>
      <c r="AQ325" s="303"/>
      <c r="AR325" s="303"/>
      <c r="AS325" s="170"/>
      <c r="AT325" s="170"/>
      <c r="AU325" s="310" t="s">
        <v>714</v>
      </c>
      <c r="AW325" s="294"/>
      <c r="AX325" s="294"/>
      <c r="AY325" s="294"/>
      <c r="AZ325" s="294"/>
      <c r="BA325" s="294"/>
      <c r="BB325" s="294"/>
      <c r="BC325" s="294"/>
      <c r="BD325" s="294"/>
      <c r="BE325" s="294"/>
      <c r="BF325" s="382">
        <f>2600/31400</f>
        <v>8.2802547770700632E-2</v>
      </c>
      <c r="BG325" s="383"/>
      <c r="BH325" s="278" t="s">
        <v>715</v>
      </c>
      <c r="BI325" s="365" t="s">
        <v>714</v>
      </c>
      <c r="BJ325" s="409"/>
    </row>
    <row r="326" spans="1:62" ht="15.75" customHeight="1" thickBot="1" x14ac:dyDescent="0.25">
      <c r="A326" s="154">
        <v>325</v>
      </c>
      <c r="B326" s="155">
        <v>1</v>
      </c>
      <c r="C326" s="148" t="s">
        <v>236</v>
      </c>
      <c r="D326" s="141" t="s">
        <v>1739</v>
      </c>
      <c r="E326" s="148" t="s">
        <v>13</v>
      </c>
      <c r="F326" s="148" t="s">
        <v>716</v>
      </c>
      <c r="G326" s="148" t="s">
        <v>20</v>
      </c>
      <c r="H326" s="148" t="s">
        <v>183</v>
      </c>
      <c r="I326" s="161">
        <v>2013</v>
      </c>
      <c r="J326" s="161" t="s">
        <v>717</v>
      </c>
      <c r="K326" s="161" t="s">
        <v>718</v>
      </c>
      <c r="L326" s="161" t="s">
        <v>692</v>
      </c>
      <c r="M326" s="453" t="s">
        <v>4415</v>
      </c>
      <c r="N326" s="186" t="s">
        <v>20</v>
      </c>
      <c r="O326" s="186" t="s">
        <v>15</v>
      </c>
      <c r="P326" s="186" t="s">
        <v>20</v>
      </c>
      <c r="Q326" s="186" t="s">
        <v>20</v>
      </c>
      <c r="R326" s="186" t="s">
        <v>20</v>
      </c>
      <c r="S326" s="186" t="s">
        <v>20</v>
      </c>
      <c r="T326" s="186" t="s">
        <v>15</v>
      </c>
      <c r="U326" s="186" t="s">
        <v>15</v>
      </c>
      <c r="V326" s="186" t="s">
        <v>15</v>
      </c>
      <c r="W326" s="186" t="s">
        <v>15</v>
      </c>
      <c r="X326" s="186" t="s">
        <v>15</v>
      </c>
      <c r="Y326" s="186" t="s">
        <v>20</v>
      </c>
      <c r="Z326" s="186"/>
      <c r="AA326" s="186" t="s">
        <v>719</v>
      </c>
      <c r="AB326" s="186" t="s">
        <v>15</v>
      </c>
      <c r="AC326" s="186" t="s">
        <v>122</v>
      </c>
      <c r="AD326" s="268" t="s">
        <v>720</v>
      </c>
      <c r="AE326" s="268" t="s">
        <v>485</v>
      </c>
      <c r="AF326" s="144">
        <f t="shared" si="20"/>
        <v>1.1000000000000001</v>
      </c>
      <c r="AG326" s="144">
        <f t="shared" si="21"/>
        <v>1.1576000000000002</v>
      </c>
      <c r="AH326" s="146">
        <f t="shared" si="22"/>
        <v>6.4100000000000004E-2</v>
      </c>
      <c r="AI326" s="146">
        <f t="shared" si="23"/>
        <v>6.787E-2</v>
      </c>
      <c r="AJ326" s="303">
        <v>1.1000000000000001</v>
      </c>
      <c r="AK326" s="303">
        <v>5.7599999999999998E-2</v>
      </c>
      <c r="AL326" s="303">
        <v>0</v>
      </c>
      <c r="AM326" s="303">
        <f>0.465+2.2</f>
        <v>2.665</v>
      </c>
      <c r="AN326" s="303">
        <v>0.28299999999999997</v>
      </c>
      <c r="AO326" s="303"/>
      <c r="AP326" s="303"/>
      <c r="AQ326" s="303"/>
      <c r="AR326" s="303">
        <v>0</v>
      </c>
      <c r="AS326" s="170">
        <v>1.1000000000000001</v>
      </c>
      <c r="AT326" s="170">
        <v>4.0999999999999996</v>
      </c>
      <c r="AU326" s="310"/>
      <c r="AW326" s="294">
        <v>6.4100000000000004E-2</v>
      </c>
      <c r="AX326" s="294">
        <v>3.7699999999999999E-3</v>
      </c>
      <c r="AY326" s="294">
        <v>0</v>
      </c>
      <c r="AZ326" s="294">
        <f>0.02+0.173</f>
        <v>0.19299999999999998</v>
      </c>
      <c r="BA326" s="294">
        <v>1.4500000000000001E-2</v>
      </c>
      <c r="BB326" s="294"/>
      <c r="BC326" s="294"/>
      <c r="BD326" s="294"/>
      <c r="BE326" s="294">
        <f>0.00132+0.00363</f>
        <v>4.9499999999999995E-3</v>
      </c>
      <c r="BF326" s="383">
        <v>6.4100000000000004E-2</v>
      </c>
      <c r="BG326" s="383">
        <v>0.27600000000000002</v>
      </c>
      <c r="BH326" s="278"/>
      <c r="BI326" s="365" t="s">
        <v>721</v>
      </c>
      <c r="BJ326" s="409"/>
    </row>
    <row r="327" spans="1:62" ht="15.75" customHeight="1" x14ac:dyDescent="0.2">
      <c r="A327" s="156">
        <v>326</v>
      </c>
      <c r="B327" s="155">
        <v>1</v>
      </c>
      <c r="C327" s="148" t="s">
        <v>236</v>
      </c>
      <c r="D327" s="141" t="s">
        <v>1739</v>
      </c>
      <c r="E327" s="148" t="s">
        <v>13</v>
      </c>
      <c r="F327" s="148" t="s">
        <v>722</v>
      </c>
      <c r="G327" s="148" t="s">
        <v>20</v>
      </c>
      <c r="H327" s="148" t="s">
        <v>183</v>
      </c>
      <c r="I327" s="161">
        <v>2013</v>
      </c>
      <c r="J327" s="161" t="s">
        <v>717</v>
      </c>
      <c r="K327" s="161" t="s">
        <v>718</v>
      </c>
      <c r="L327" s="161" t="s">
        <v>692</v>
      </c>
      <c r="M327" s="454" t="s">
        <v>4415</v>
      </c>
      <c r="N327" s="186" t="s">
        <v>20</v>
      </c>
      <c r="O327" s="186" t="s">
        <v>15</v>
      </c>
      <c r="P327" s="186" t="s">
        <v>20</v>
      </c>
      <c r="Q327" s="186" t="s">
        <v>20</v>
      </c>
      <c r="R327" s="186" t="s">
        <v>20</v>
      </c>
      <c r="S327" s="186" t="s">
        <v>20</v>
      </c>
      <c r="T327" s="186" t="s">
        <v>15</v>
      </c>
      <c r="U327" s="186" t="s">
        <v>15</v>
      </c>
      <c r="V327" s="186" t="s">
        <v>15</v>
      </c>
      <c r="W327" s="186" t="s">
        <v>15</v>
      </c>
      <c r="X327" s="186" t="s">
        <v>15</v>
      </c>
      <c r="Y327" s="186" t="s">
        <v>20</v>
      </c>
      <c r="Z327" s="186"/>
      <c r="AA327" s="186" t="s">
        <v>719</v>
      </c>
      <c r="AB327" s="186" t="s">
        <v>15</v>
      </c>
      <c r="AC327" s="186" t="s">
        <v>20</v>
      </c>
      <c r="AD327" s="268" t="s">
        <v>720</v>
      </c>
      <c r="AE327" s="268" t="s">
        <v>485</v>
      </c>
      <c r="AF327" s="144">
        <f t="shared" si="20"/>
        <v>1.76</v>
      </c>
      <c r="AG327" s="144">
        <f t="shared" si="21"/>
        <v>1.591</v>
      </c>
      <c r="AH327" s="146">
        <f t="shared" si="22"/>
        <v>7.3200000000000001E-2</v>
      </c>
      <c r="AI327" s="146">
        <f t="shared" si="23"/>
        <v>7.5020000000000003E-2</v>
      </c>
      <c r="AJ327" s="303">
        <v>1.56</v>
      </c>
      <c r="AK327" s="303">
        <v>3.1E-2</v>
      </c>
      <c r="AL327" s="303">
        <v>0</v>
      </c>
      <c r="AM327" s="303">
        <f>0.435+2.2</f>
        <v>2.6350000000000002</v>
      </c>
      <c r="AN327" s="303">
        <v>0.23300000000000001</v>
      </c>
      <c r="AO327" s="303"/>
      <c r="AP327" s="303"/>
      <c r="AQ327" s="303"/>
      <c r="AR327" s="303">
        <f>0.0486+0.251</f>
        <v>0.29959999999999998</v>
      </c>
      <c r="AS327" s="170">
        <v>1.76</v>
      </c>
      <c r="AT327" s="170">
        <v>4.82</v>
      </c>
      <c r="AU327" s="310"/>
      <c r="AW327" s="294">
        <v>7.3200000000000001E-2</v>
      </c>
      <c r="AX327" s="294">
        <v>1.82E-3</v>
      </c>
      <c r="AY327" s="294">
        <v>0</v>
      </c>
      <c r="AZ327" s="294">
        <f>0.02+0.173</f>
        <v>0.19299999999999998</v>
      </c>
      <c r="BA327" s="294">
        <v>1.4500000000000001E-2</v>
      </c>
      <c r="BB327" s="294"/>
      <c r="BC327" s="294"/>
      <c r="BD327" s="294"/>
      <c r="BE327" s="294">
        <f>0.0000363+0.0117</f>
        <v>1.17363E-2</v>
      </c>
      <c r="BF327" s="383">
        <v>7.3200000000000001E-2</v>
      </c>
      <c r="BG327" s="383">
        <v>0.28299999999999997</v>
      </c>
      <c r="BH327" s="278"/>
      <c r="BI327" s="365" t="s">
        <v>721</v>
      </c>
      <c r="BJ327" s="409"/>
    </row>
    <row r="328" spans="1:62" ht="15.75" customHeight="1" thickBot="1" x14ac:dyDescent="0.25">
      <c r="A328" s="154">
        <v>327</v>
      </c>
      <c r="B328" s="155">
        <v>1</v>
      </c>
      <c r="C328" s="148" t="s">
        <v>162</v>
      </c>
      <c r="D328" s="141" t="s">
        <v>2206</v>
      </c>
      <c r="E328" s="148" t="s">
        <v>13</v>
      </c>
      <c r="F328" s="148" t="s">
        <v>723</v>
      </c>
      <c r="G328" s="148" t="s">
        <v>15</v>
      </c>
      <c r="H328" s="148" t="s">
        <v>42</v>
      </c>
      <c r="I328" s="161">
        <v>2011</v>
      </c>
      <c r="J328" s="161" t="s">
        <v>724</v>
      </c>
      <c r="K328" s="161"/>
      <c r="L328" s="161" t="s">
        <v>83</v>
      </c>
      <c r="M328" s="453" t="s">
        <v>4155</v>
      </c>
      <c r="N328" s="186" t="s">
        <v>20</v>
      </c>
      <c r="O328" s="186" t="s">
        <v>15</v>
      </c>
      <c r="P328" s="186" t="s">
        <v>20</v>
      </c>
      <c r="Q328" s="186" t="s">
        <v>20</v>
      </c>
      <c r="R328" s="186" t="s">
        <v>20</v>
      </c>
      <c r="S328" s="186" t="s">
        <v>20</v>
      </c>
      <c r="T328" s="186" t="s">
        <v>20</v>
      </c>
      <c r="U328" s="186" t="s">
        <v>20</v>
      </c>
      <c r="V328" s="186" t="s">
        <v>20</v>
      </c>
      <c r="W328" s="186" t="s">
        <v>20</v>
      </c>
      <c r="X328" s="186" t="s">
        <v>20</v>
      </c>
      <c r="Y328" s="186" t="s">
        <v>15</v>
      </c>
      <c r="Z328" s="186"/>
      <c r="AA328" s="186" t="s">
        <v>719</v>
      </c>
      <c r="AB328" s="186" t="s">
        <v>122</v>
      </c>
      <c r="AC328" s="186" t="s">
        <v>20</v>
      </c>
      <c r="AD328" s="268" t="s">
        <v>725</v>
      </c>
      <c r="AE328" s="268" t="s">
        <v>485</v>
      </c>
      <c r="AF328" s="144" t="str">
        <f t="shared" si="20"/>
        <v/>
      </c>
      <c r="AG328" s="144" t="str">
        <f t="shared" si="21"/>
        <v/>
      </c>
      <c r="AH328" s="146">
        <f t="shared" si="22"/>
        <v>0.17</v>
      </c>
      <c r="AI328" s="146">
        <f t="shared" si="23"/>
        <v>0.21000000000000002</v>
      </c>
      <c r="AJ328" s="303"/>
      <c r="AK328" s="303"/>
      <c r="AL328" s="303"/>
      <c r="AM328" s="303"/>
      <c r="AN328" s="303"/>
      <c r="AO328" s="303"/>
      <c r="AP328" s="303"/>
      <c r="AQ328" s="303"/>
      <c r="AR328" s="303"/>
      <c r="AS328" s="170"/>
      <c r="AT328" s="170"/>
      <c r="AU328" s="310"/>
      <c r="AW328" s="294">
        <v>0.17</v>
      </c>
      <c r="AX328" s="294">
        <v>0.04</v>
      </c>
      <c r="AY328" s="294"/>
      <c r="AZ328" s="294"/>
      <c r="BA328" s="294"/>
      <c r="BB328" s="294"/>
      <c r="BC328" s="294">
        <v>0.30499999999999999</v>
      </c>
      <c r="BD328" s="294"/>
      <c r="BE328" s="294"/>
      <c r="BF328" s="383">
        <v>0.17</v>
      </c>
      <c r="BG328" s="383">
        <v>0.52</v>
      </c>
      <c r="BH328" s="278"/>
      <c r="BI328" s="365" t="s">
        <v>47</v>
      </c>
      <c r="BJ328" s="409"/>
    </row>
    <row r="329" spans="1:62" ht="15.75" customHeight="1" thickBot="1" x14ac:dyDescent="0.25">
      <c r="A329" s="156">
        <v>328</v>
      </c>
      <c r="B329" s="155">
        <v>1</v>
      </c>
      <c r="C329" s="148" t="s">
        <v>1110</v>
      </c>
      <c r="D329" s="148" t="s">
        <v>2198</v>
      </c>
      <c r="E329" s="148" t="s">
        <v>13</v>
      </c>
      <c r="F329" s="148" t="s">
        <v>726</v>
      </c>
      <c r="G329" s="148" t="s">
        <v>15</v>
      </c>
      <c r="H329" s="148" t="s">
        <v>42</v>
      </c>
      <c r="I329" s="161">
        <v>2011</v>
      </c>
      <c r="J329" s="161" t="s">
        <v>724</v>
      </c>
      <c r="K329" s="161"/>
      <c r="L329" s="161" t="s">
        <v>83</v>
      </c>
      <c r="M329" s="453" t="s">
        <v>4155</v>
      </c>
      <c r="N329" s="186" t="s">
        <v>20</v>
      </c>
      <c r="O329" s="186" t="s">
        <v>15</v>
      </c>
      <c r="P329" s="186" t="s">
        <v>20</v>
      </c>
      <c r="Q329" s="186" t="s">
        <v>20</v>
      </c>
      <c r="R329" s="186" t="s">
        <v>20</v>
      </c>
      <c r="S329" s="186" t="s">
        <v>20</v>
      </c>
      <c r="T329" s="186" t="s">
        <v>20</v>
      </c>
      <c r="U329" s="186" t="s">
        <v>20</v>
      </c>
      <c r="V329" s="186" t="s">
        <v>20</v>
      </c>
      <c r="W329" s="186" t="s">
        <v>20</v>
      </c>
      <c r="X329" s="186" t="s">
        <v>20</v>
      </c>
      <c r="Y329" s="186" t="s">
        <v>15</v>
      </c>
      <c r="Z329" s="186"/>
      <c r="AA329" s="186" t="s">
        <v>719</v>
      </c>
      <c r="AB329" s="186" t="s">
        <v>20</v>
      </c>
      <c r="AC329" s="186" t="s">
        <v>20</v>
      </c>
      <c r="AD329" s="268" t="s">
        <v>727</v>
      </c>
      <c r="AE329" s="268" t="s">
        <v>485</v>
      </c>
      <c r="AF329" s="144" t="str">
        <f t="shared" si="20"/>
        <v/>
      </c>
      <c r="AG329" s="144" t="str">
        <f t="shared" si="21"/>
        <v/>
      </c>
      <c r="AH329" s="146">
        <f t="shared" si="22"/>
        <v>0.25</v>
      </c>
      <c r="AI329" s="146">
        <f t="shared" si="23"/>
        <v>0.92999999999999994</v>
      </c>
      <c r="AJ329" s="304"/>
      <c r="AK329" s="304"/>
      <c r="AL329" s="304"/>
      <c r="AM329" s="304"/>
      <c r="AN329" s="304"/>
      <c r="AO329" s="304"/>
      <c r="AP329" s="304"/>
      <c r="AQ329" s="304"/>
      <c r="AR329" s="304"/>
      <c r="AS329" s="170"/>
      <c r="AT329" s="170"/>
      <c r="AU329" s="310"/>
      <c r="AW329" s="294">
        <v>0.25</v>
      </c>
      <c r="AX329" s="350">
        <v>0.04</v>
      </c>
      <c r="AY329" s="350">
        <v>0.64</v>
      </c>
      <c r="AZ329" s="350"/>
      <c r="BA329" s="350"/>
      <c r="BB329" s="350"/>
      <c r="BC329" s="350">
        <f>2.05-AY329-AX329-AW329</f>
        <v>1.1199999999999997</v>
      </c>
      <c r="BD329" s="350"/>
      <c r="BE329" s="350"/>
      <c r="BF329" s="383">
        <v>0.25</v>
      </c>
      <c r="BG329" s="383">
        <v>2.06</v>
      </c>
      <c r="BH329" s="278"/>
      <c r="BI329" s="365" t="s">
        <v>47</v>
      </c>
      <c r="BJ329" s="409"/>
    </row>
    <row r="330" spans="1:62" ht="15.75" customHeight="1" thickBot="1" x14ac:dyDescent="0.25">
      <c r="A330" s="154">
        <v>329</v>
      </c>
      <c r="B330" s="155">
        <v>1</v>
      </c>
      <c r="C330" s="148" t="s">
        <v>259</v>
      </c>
      <c r="D330" s="148" t="s">
        <v>2351</v>
      </c>
      <c r="E330" s="148" t="s">
        <v>13</v>
      </c>
      <c r="F330" s="148" t="s">
        <v>728</v>
      </c>
      <c r="G330" s="148" t="s">
        <v>15</v>
      </c>
      <c r="H330" s="148" t="s">
        <v>377</v>
      </c>
      <c r="I330" s="161">
        <v>2015</v>
      </c>
      <c r="J330" s="161" t="s">
        <v>729</v>
      </c>
      <c r="K330" s="161" t="s">
        <v>730</v>
      </c>
      <c r="L330" s="161" t="s">
        <v>19</v>
      </c>
      <c r="M330" s="453" t="s">
        <v>4156</v>
      </c>
      <c r="N330" s="186" t="s">
        <v>20</v>
      </c>
      <c r="O330" s="186" t="s">
        <v>15</v>
      </c>
      <c r="P330" s="186" t="s">
        <v>15</v>
      </c>
      <c r="Q330" s="186" t="s">
        <v>15</v>
      </c>
      <c r="R330" s="186" t="s">
        <v>15</v>
      </c>
      <c r="S330" s="186" t="s">
        <v>15</v>
      </c>
      <c r="T330" s="186" t="s">
        <v>15</v>
      </c>
      <c r="U330" s="186" t="s">
        <v>15</v>
      </c>
      <c r="V330" s="186" t="s">
        <v>15</v>
      </c>
      <c r="W330" s="186" t="s">
        <v>15</v>
      </c>
      <c r="X330" s="186" t="s">
        <v>15</v>
      </c>
      <c r="Y330" s="186" t="s">
        <v>15</v>
      </c>
      <c r="Z330" s="186"/>
      <c r="AA330" s="186" t="s">
        <v>731</v>
      </c>
      <c r="AB330" s="186" t="s">
        <v>15</v>
      </c>
      <c r="AC330" s="186" t="s">
        <v>15</v>
      </c>
      <c r="AD330" s="268" t="s">
        <v>732</v>
      </c>
      <c r="AE330" s="268"/>
      <c r="AF330" s="144" t="str">
        <f t="shared" si="20"/>
        <v/>
      </c>
      <c r="AG330" s="144" t="str">
        <f t="shared" si="21"/>
        <v/>
      </c>
      <c r="AH330" s="146">
        <f t="shared" si="22"/>
        <v>0.44800000000000001</v>
      </c>
      <c r="AI330" s="146" t="str">
        <f t="shared" si="23"/>
        <v/>
      </c>
      <c r="AJ330" s="304"/>
      <c r="AK330" s="304"/>
      <c r="AL330" s="304"/>
      <c r="AM330" s="304"/>
      <c r="AN330" s="304"/>
      <c r="AO330" s="304"/>
      <c r="AP330" s="304"/>
      <c r="AQ330" s="304"/>
      <c r="AR330" s="304"/>
      <c r="AS330" s="170"/>
      <c r="AT330" s="170"/>
      <c r="AU330" s="310"/>
      <c r="AW330" s="294"/>
      <c r="AX330" s="350"/>
      <c r="AY330" s="350"/>
      <c r="AZ330" s="350"/>
      <c r="BA330" s="350"/>
      <c r="BB330" s="350"/>
      <c r="BC330" s="350"/>
      <c r="BD330" s="350"/>
      <c r="BE330" s="350"/>
      <c r="BF330" s="382">
        <v>0.44800000000000001</v>
      </c>
      <c r="BG330" s="383"/>
      <c r="BH330" s="278"/>
      <c r="BI330" s="365" t="s">
        <v>733</v>
      </c>
      <c r="BJ330" s="409"/>
    </row>
    <row r="331" spans="1:62" ht="15.75" customHeight="1" thickBot="1" x14ac:dyDescent="0.25">
      <c r="A331" s="156">
        <v>330</v>
      </c>
      <c r="B331" s="155">
        <v>1</v>
      </c>
      <c r="C331" s="148" t="s">
        <v>259</v>
      </c>
      <c r="D331" s="148" t="s">
        <v>2351</v>
      </c>
      <c r="E331" s="148" t="s">
        <v>13</v>
      </c>
      <c r="F331" s="148" t="s">
        <v>734</v>
      </c>
      <c r="G331" s="148" t="s">
        <v>15</v>
      </c>
      <c r="H331" s="148" t="s">
        <v>377</v>
      </c>
      <c r="I331" s="161">
        <v>2015</v>
      </c>
      <c r="J331" s="161" t="s">
        <v>729</v>
      </c>
      <c r="K331" s="161" t="s">
        <v>730</v>
      </c>
      <c r="L331" s="161" t="s">
        <v>19</v>
      </c>
      <c r="M331" s="453" t="s">
        <v>4156</v>
      </c>
      <c r="N331" s="186" t="s">
        <v>20</v>
      </c>
      <c r="O331" s="186" t="s">
        <v>15</v>
      </c>
      <c r="P331" s="186" t="s">
        <v>15</v>
      </c>
      <c r="Q331" s="186" t="s">
        <v>15</v>
      </c>
      <c r="R331" s="186" t="s">
        <v>15</v>
      </c>
      <c r="S331" s="186" t="s">
        <v>15</v>
      </c>
      <c r="T331" s="186" t="s">
        <v>15</v>
      </c>
      <c r="U331" s="186" t="s">
        <v>15</v>
      </c>
      <c r="V331" s="186" t="s">
        <v>15</v>
      </c>
      <c r="W331" s="186" t="s">
        <v>15</v>
      </c>
      <c r="X331" s="186" t="s">
        <v>15</v>
      </c>
      <c r="Y331" s="186" t="s">
        <v>15</v>
      </c>
      <c r="Z331" s="186"/>
      <c r="AA331" s="186" t="s">
        <v>731</v>
      </c>
      <c r="AB331" s="186" t="s">
        <v>15</v>
      </c>
      <c r="AC331" s="186" t="s">
        <v>15</v>
      </c>
      <c r="AD331" s="268" t="s">
        <v>732</v>
      </c>
      <c r="AE331" s="268"/>
      <c r="AF331" s="144" t="str">
        <f t="shared" si="20"/>
        <v/>
      </c>
      <c r="AG331" s="144" t="str">
        <f t="shared" si="21"/>
        <v/>
      </c>
      <c r="AH331" s="146">
        <f t="shared" si="22"/>
        <v>0.48099999999999998</v>
      </c>
      <c r="AI331" s="146" t="str">
        <f t="shared" si="23"/>
        <v/>
      </c>
      <c r="AJ331" s="304"/>
      <c r="AK331" s="304"/>
      <c r="AL331" s="304"/>
      <c r="AM331" s="304"/>
      <c r="AN331" s="304"/>
      <c r="AO331" s="304"/>
      <c r="AP331" s="304"/>
      <c r="AQ331" s="304"/>
      <c r="AR331" s="304"/>
      <c r="AS331" s="170"/>
      <c r="AT331" s="170"/>
      <c r="AU331" s="310"/>
      <c r="AW331" s="294"/>
      <c r="AX331" s="350"/>
      <c r="AY331" s="350"/>
      <c r="AZ331" s="350"/>
      <c r="BA331" s="350"/>
      <c r="BB331" s="350"/>
      <c r="BC331" s="350"/>
      <c r="BD331" s="350"/>
      <c r="BE331" s="350"/>
      <c r="BF331" s="382">
        <v>0.48099999999999998</v>
      </c>
      <c r="BG331" s="383"/>
      <c r="BH331" s="278"/>
      <c r="BI331" s="365" t="s">
        <v>733</v>
      </c>
      <c r="BJ331" s="409"/>
    </row>
    <row r="332" spans="1:62" ht="15.75" customHeight="1" thickBot="1" x14ac:dyDescent="0.25">
      <c r="A332" s="154">
        <v>331</v>
      </c>
      <c r="B332" s="155">
        <v>1</v>
      </c>
      <c r="C332" s="148" t="s">
        <v>259</v>
      </c>
      <c r="D332" s="148" t="s">
        <v>2351</v>
      </c>
      <c r="E332" s="148" t="s">
        <v>13</v>
      </c>
      <c r="F332" s="148" t="s">
        <v>735</v>
      </c>
      <c r="G332" s="148" t="s">
        <v>15</v>
      </c>
      <c r="H332" s="148" t="s">
        <v>377</v>
      </c>
      <c r="I332" s="161">
        <v>2015</v>
      </c>
      <c r="J332" s="161" t="s">
        <v>729</v>
      </c>
      <c r="K332" s="161" t="s">
        <v>730</v>
      </c>
      <c r="L332" s="161" t="s">
        <v>19</v>
      </c>
      <c r="M332" s="453" t="s">
        <v>4156</v>
      </c>
      <c r="N332" s="186" t="s">
        <v>20</v>
      </c>
      <c r="O332" s="186" t="s">
        <v>15</v>
      </c>
      <c r="P332" s="186" t="s">
        <v>15</v>
      </c>
      <c r="Q332" s="186" t="s">
        <v>15</v>
      </c>
      <c r="R332" s="186" t="s">
        <v>15</v>
      </c>
      <c r="S332" s="186" t="s">
        <v>15</v>
      </c>
      <c r="T332" s="186" t="s">
        <v>15</v>
      </c>
      <c r="U332" s="186" t="s">
        <v>15</v>
      </c>
      <c r="V332" s="186" t="s">
        <v>15</v>
      </c>
      <c r="W332" s="186" t="s">
        <v>15</v>
      </c>
      <c r="X332" s="186" t="s">
        <v>15</v>
      </c>
      <c r="Y332" s="186" t="s">
        <v>15</v>
      </c>
      <c r="Z332" s="186"/>
      <c r="AA332" s="186" t="s">
        <v>731</v>
      </c>
      <c r="AB332" s="186" t="s">
        <v>15</v>
      </c>
      <c r="AC332" s="186" t="s">
        <v>15</v>
      </c>
      <c r="AD332" s="268" t="s">
        <v>732</v>
      </c>
      <c r="AE332" s="268"/>
      <c r="AF332" s="144" t="str">
        <f t="shared" si="20"/>
        <v/>
      </c>
      <c r="AG332" s="144" t="str">
        <f t="shared" si="21"/>
        <v/>
      </c>
      <c r="AH332" s="146">
        <f t="shared" si="22"/>
        <v>0.41099999999999998</v>
      </c>
      <c r="AI332" s="146" t="str">
        <f t="shared" si="23"/>
        <v/>
      </c>
      <c r="AJ332" s="304"/>
      <c r="AK332" s="304"/>
      <c r="AL332" s="304"/>
      <c r="AM332" s="304"/>
      <c r="AN332" s="304"/>
      <c r="AO332" s="304"/>
      <c r="AP332" s="304"/>
      <c r="AQ332" s="304"/>
      <c r="AR332" s="304"/>
      <c r="AS332" s="170"/>
      <c r="AT332" s="170"/>
      <c r="AU332" s="310"/>
      <c r="AW332" s="294"/>
      <c r="AX332" s="350"/>
      <c r="AY332" s="350"/>
      <c r="AZ332" s="350"/>
      <c r="BA332" s="350"/>
      <c r="BB332" s="350"/>
      <c r="BC332" s="350"/>
      <c r="BD332" s="350"/>
      <c r="BE332" s="350"/>
      <c r="BF332" s="382">
        <v>0.41099999999999998</v>
      </c>
      <c r="BG332" s="383"/>
      <c r="BH332" s="278"/>
      <c r="BI332" s="365" t="s">
        <v>733</v>
      </c>
      <c r="BJ332" s="409"/>
    </row>
    <row r="333" spans="1:62" ht="15.75" customHeight="1" thickBot="1" x14ac:dyDescent="0.25">
      <c r="A333" s="156">
        <v>332</v>
      </c>
      <c r="B333" s="155">
        <v>1</v>
      </c>
      <c r="C333" s="148" t="s">
        <v>162</v>
      </c>
      <c r="D333" s="148" t="s">
        <v>736</v>
      </c>
      <c r="E333" s="148" t="s">
        <v>13</v>
      </c>
      <c r="F333" s="148" t="s">
        <v>736</v>
      </c>
      <c r="G333" s="148" t="s">
        <v>15</v>
      </c>
      <c r="H333" s="148" t="s">
        <v>73</v>
      </c>
      <c r="I333" s="161">
        <v>2015</v>
      </c>
      <c r="J333" s="161" t="s">
        <v>737</v>
      </c>
      <c r="K333" s="161" t="s">
        <v>738</v>
      </c>
      <c r="L333" s="161" t="s">
        <v>19</v>
      </c>
      <c r="M333" s="453" t="s">
        <v>4157</v>
      </c>
      <c r="N333" s="186" t="s">
        <v>20</v>
      </c>
      <c r="O333" s="186" t="s">
        <v>15</v>
      </c>
      <c r="P333" s="186" t="s">
        <v>15</v>
      </c>
      <c r="Q333" s="186" t="s">
        <v>15</v>
      </c>
      <c r="R333" s="186" t="s">
        <v>20</v>
      </c>
      <c r="S333" s="186" t="s">
        <v>15</v>
      </c>
      <c r="T333" s="186" t="s">
        <v>15</v>
      </c>
      <c r="U333" s="186" t="s">
        <v>20</v>
      </c>
      <c r="V333" s="186" t="s">
        <v>15</v>
      </c>
      <c r="W333" s="186" t="s">
        <v>15</v>
      </c>
      <c r="X333" s="186" t="s">
        <v>15</v>
      </c>
      <c r="Y333" s="186" t="s">
        <v>15</v>
      </c>
      <c r="Z333" s="186"/>
      <c r="AA333" s="186" t="s">
        <v>739</v>
      </c>
      <c r="AB333" s="186" t="s">
        <v>20</v>
      </c>
      <c r="AC333" s="186" t="s">
        <v>20</v>
      </c>
      <c r="AD333" s="268" t="s">
        <v>740</v>
      </c>
      <c r="AE333" s="268"/>
      <c r="AF333" s="144" t="str">
        <f t="shared" si="20"/>
        <v/>
      </c>
      <c r="AG333" s="144" t="str">
        <f t="shared" si="21"/>
        <v/>
      </c>
      <c r="AH333" s="146">
        <f t="shared" si="22"/>
        <v>4.42</v>
      </c>
      <c r="AI333" s="146" t="str">
        <f t="shared" si="23"/>
        <v/>
      </c>
      <c r="AJ333" s="304"/>
      <c r="AK333" s="304"/>
      <c r="AL333" s="304"/>
      <c r="AM333" s="304"/>
      <c r="AN333" s="304"/>
      <c r="AO333" s="304"/>
      <c r="AP333" s="304"/>
      <c r="AQ333" s="304"/>
      <c r="AR333" s="304"/>
      <c r="AS333" s="170"/>
      <c r="AT333" s="170"/>
      <c r="AU333" s="310"/>
      <c r="AW333" s="294"/>
      <c r="AX333" s="350"/>
      <c r="AY333" s="350"/>
      <c r="AZ333" s="350"/>
      <c r="BA333" s="350"/>
      <c r="BB333" s="350"/>
      <c r="BC333" s="350"/>
      <c r="BD333" s="350"/>
      <c r="BE333" s="350"/>
      <c r="BF333" s="382">
        <v>4.42</v>
      </c>
      <c r="BG333" s="383"/>
      <c r="BH333" s="278"/>
      <c r="BI333" s="365" t="s">
        <v>741</v>
      </c>
      <c r="BJ333" s="409"/>
    </row>
    <row r="334" spans="1:62" ht="15.75" customHeight="1" thickBot="1" x14ac:dyDescent="0.25">
      <c r="A334" s="154">
        <v>333</v>
      </c>
      <c r="B334" s="155">
        <v>1</v>
      </c>
      <c r="C334" s="148" t="s">
        <v>236</v>
      </c>
      <c r="D334" s="148" t="s">
        <v>2230</v>
      </c>
      <c r="E334" s="148" t="s">
        <v>13</v>
      </c>
      <c r="F334" s="148" t="s">
        <v>742</v>
      </c>
      <c r="G334" s="148" t="s">
        <v>20</v>
      </c>
      <c r="H334" s="148" t="s">
        <v>743</v>
      </c>
      <c r="I334" s="161">
        <v>2014</v>
      </c>
      <c r="J334" s="161" t="s">
        <v>744</v>
      </c>
      <c r="K334" s="161" t="s">
        <v>745</v>
      </c>
      <c r="L334" s="161" t="s">
        <v>19</v>
      </c>
      <c r="M334" s="453" t="s">
        <v>4158</v>
      </c>
      <c r="N334" s="186" t="s">
        <v>20</v>
      </c>
      <c r="O334" s="186" t="s">
        <v>20</v>
      </c>
      <c r="P334" s="186" t="s">
        <v>20</v>
      </c>
      <c r="Q334" s="186" t="s">
        <v>20</v>
      </c>
      <c r="R334" s="186" t="s">
        <v>20</v>
      </c>
      <c r="S334" s="186" t="s">
        <v>20</v>
      </c>
      <c r="T334" s="186" t="s">
        <v>20</v>
      </c>
      <c r="U334" s="186" t="s">
        <v>15</v>
      </c>
      <c r="V334" s="186" t="s">
        <v>15</v>
      </c>
      <c r="W334" s="186" t="s">
        <v>15</v>
      </c>
      <c r="X334" s="186" t="s">
        <v>15</v>
      </c>
      <c r="Y334" s="186" t="s">
        <v>15</v>
      </c>
      <c r="Z334" s="186"/>
      <c r="AA334" s="186" t="s">
        <v>746</v>
      </c>
      <c r="AB334" s="186" t="s">
        <v>15</v>
      </c>
      <c r="AC334" s="186" t="s">
        <v>15</v>
      </c>
      <c r="AD334" s="268" t="s">
        <v>747</v>
      </c>
      <c r="AE334" s="268"/>
      <c r="AF334" s="144" t="str">
        <f t="shared" si="20"/>
        <v/>
      </c>
      <c r="AG334" s="144" t="str">
        <f t="shared" si="21"/>
        <v/>
      </c>
      <c r="AH334" s="146" t="str">
        <f t="shared" si="22"/>
        <v/>
      </c>
      <c r="AI334" s="146" t="str">
        <f t="shared" si="23"/>
        <v/>
      </c>
      <c r="AJ334" s="304"/>
      <c r="AK334" s="304"/>
      <c r="AL334" s="304"/>
      <c r="AM334" s="304"/>
      <c r="AN334" s="304"/>
      <c r="AO334" s="304"/>
      <c r="AP334" s="304"/>
      <c r="AQ334" s="304"/>
      <c r="AR334" s="304"/>
      <c r="AS334" s="170"/>
      <c r="AT334" s="170"/>
      <c r="AU334" s="310"/>
      <c r="AW334" s="294"/>
      <c r="AX334" s="350"/>
      <c r="AY334" s="350"/>
      <c r="AZ334" s="350"/>
      <c r="BA334" s="350"/>
      <c r="BB334" s="350"/>
      <c r="BC334" s="350"/>
      <c r="BD334" s="350"/>
      <c r="BE334" s="350"/>
      <c r="BF334" s="383"/>
      <c r="BG334" s="382">
        <v>7.3</v>
      </c>
      <c r="BH334" s="278"/>
      <c r="BI334" s="365" t="s">
        <v>748</v>
      </c>
      <c r="BJ334" s="409"/>
    </row>
    <row r="335" spans="1:62" ht="15.75" customHeight="1" thickBot="1" x14ac:dyDescent="0.25">
      <c r="A335" s="156">
        <v>334</v>
      </c>
      <c r="B335" s="155">
        <v>1</v>
      </c>
      <c r="C335" s="148" t="s">
        <v>236</v>
      </c>
      <c r="D335" s="148" t="s">
        <v>2230</v>
      </c>
      <c r="E335" s="148" t="s">
        <v>13</v>
      </c>
      <c r="F335" s="148" t="s">
        <v>749</v>
      </c>
      <c r="G335" s="148" t="s">
        <v>20</v>
      </c>
      <c r="H335" s="148" t="s">
        <v>108</v>
      </c>
      <c r="I335" s="161">
        <v>2014</v>
      </c>
      <c r="J335" s="161" t="s">
        <v>744</v>
      </c>
      <c r="K335" s="161" t="s">
        <v>745</v>
      </c>
      <c r="L335" s="161" t="s">
        <v>19</v>
      </c>
      <c r="M335" s="453" t="s">
        <v>4158</v>
      </c>
      <c r="N335" s="186" t="s">
        <v>20</v>
      </c>
      <c r="O335" s="186" t="s">
        <v>20</v>
      </c>
      <c r="P335" s="186" t="s">
        <v>20</v>
      </c>
      <c r="Q335" s="186" t="s">
        <v>20</v>
      </c>
      <c r="R335" s="186" t="s">
        <v>20</v>
      </c>
      <c r="S335" s="186" t="s">
        <v>20</v>
      </c>
      <c r="T335" s="186" t="s">
        <v>20</v>
      </c>
      <c r="U335" s="186" t="s">
        <v>15</v>
      </c>
      <c r="V335" s="186" t="s">
        <v>15</v>
      </c>
      <c r="W335" s="186" t="s">
        <v>15</v>
      </c>
      <c r="X335" s="186" t="s">
        <v>15</v>
      </c>
      <c r="Y335" s="186" t="s">
        <v>15</v>
      </c>
      <c r="Z335" s="186"/>
      <c r="AA335" s="186" t="s">
        <v>746</v>
      </c>
      <c r="AB335" s="186" t="s">
        <v>15</v>
      </c>
      <c r="AC335" s="186" t="s">
        <v>15</v>
      </c>
      <c r="AD335" s="268" t="s">
        <v>747</v>
      </c>
      <c r="AE335" s="268"/>
      <c r="AF335" s="144" t="str">
        <f t="shared" si="20"/>
        <v/>
      </c>
      <c r="AG335" s="144" t="str">
        <f t="shared" si="21"/>
        <v/>
      </c>
      <c r="AH335" s="146" t="str">
        <f t="shared" si="22"/>
        <v/>
      </c>
      <c r="AI335" s="146" t="str">
        <f t="shared" si="23"/>
        <v/>
      </c>
      <c r="AJ335" s="304"/>
      <c r="AK335" s="304"/>
      <c r="AL335" s="304"/>
      <c r="AM335" s="304"/>
      <c r="AN335" s="304"/>
      <c r="AO335" s="304"/>
      <c r="AP335" s="304"/>
      <c r="AQ335" s="304"/>
      <c r="AR335" s="304"/>
      <c r="AS335" s="170"/>
      <c r="AT335" s="170"/>
      <c r="AU335" s="310"/>
      <c r="AW335" s="294"/>
      <c r="AX335" s="350"/>
      <c r="AY335" s="350"/>
      <c r="AZ335" s="350"/>
      <c r="BA335" s="350"/>
      <c r="BB335" s="350"/>
      <c r="BC335" s="350"/>
      <c r="BD335" s="350"/>
      <c r="BE335" s="350"/>
      <c r="BF335" s="383"/>
      <c r="BG335" s="382">
        <v>7.4</v>
      </c>
      <c r="BH335" s="278"/>
      <c r="BI335" s="365" t="s">
        <v>748</v>
      </c>
      <c r="BJ335" s="409"/>
    </row>
    <row r="336" spans="1:62" ht="15.75" customHeight="1" thickBot="1" x14ac:dyDescent="0.25">
      <c r="A336" s="154">
        <v>335</v>
      </c>
      <c r="B336" s="155">
        <v>1</v>
      </c>
      <c r="C336" s="148" t="s">
        <v>236</v>
      </c>
      <c r="D336" s="148" t="s">
        <v>2230</v>
      </c>
      <c r="E336" s="148" t="s">
        <v>13</v>
      </c>
      <c r="F336" s="148" t="s">
        <v>750</v>
      </c>
      <c r="G336" s="148" t="s">
        <v>20</v>
      </c>
      <c r="H336" s="148" t="s">
        <v>108</v>
      </c>
      <c r="I336" s="161">
        <v>2014</v>
      </c>
      <c r="J336" s="161" t="s">
        <v>744</v>
      </c>
      <c r="K336" s="161" t="s">
        <v>745</v>
      </c>
      <c r="L336" s="161" t="s">
        <v>19</v>
      </c>
      <c r="M336" s="453" t="s">
        <v>4158</v>
      </c>
      <c r="N336" s="186" t="s">
        <v>20</v>
      </c>
      <c r="O336" s="186" t="s">
        <v>20</v>
      </c>
      <c r="P336" s="186" t="s">
        <v>20</v>
      </c>
      <c r="Q336" s="186" t="s">
        <v>20</v>
      </c>
      <c r="R336" s="186" t="s">
        <v>20</v>
      </c>
      <c r="S336" s="186" t="s">
        <v>20</v>
      </c>
      <c r="T336" s="186" t="s">
        <v>20</v>
      </c>
      <c r="U336" s="186" t="s">
        <v>15</v>
      </c>
      <c r="V336" s="186" t="s">
        <v>15</v>
      </c>
      <c r="W336" s="186" t="s">
        <v>15</v>
      </c>
      <c r="X336" s="186" t="s">
        <v>15</v>
      </c>
      <c r="Y336" s="186" t="s">
        <v>15</v>
      </c>
      <c r="Z336" s="186"/>
      <c r="AA336" s="186" t="s">
        <v>746</v>
      </c>
      <c r="AB336" s="186" t="s">
        <v>15</v>
      </c>
      <c r="AC336" s="186" t="s">
        <v>15</v>
      </c>
      <c r="AD336" s="268" t="s">
        <v>747</v>
      </c>
      <c r="AE336" s="268"/>
      <c r="AF336" s="144" t="str">
        <f t="shared" si="20"/>
        <v/>
      </c>
      <c r="AG336" s="144" t="str">
        <f t="shared" si="21"/>
        <v/>
      </c>
      <c r="AH336" s="146" t="str">
        <f t="shared" si="22"/>
        <v/>
      </c>
      <c r="AI336" s="146" t="str">
        <f t="shared" si="23"/>
        <v/>
      </c>
      <c r="AJ336" s="304"/>
      <c r="AK336" s="304"/>
      <c r="AL336" s="304"/>
      <c r="AM336" s="304"/>
      <c r="AN336" s="304"/>
      <c r="AO336" s="304"/>
      <c r="AP336" s="304"/>
      <c r="AQ336" s="304"/>
      <c r="AR336" s="304"/>
      <c r="AS336" s="170"/>
      <c r="AT336" s="170"/>
      <c r="AU336" s="310"/>
      <c r="AW336" s="294"/>
      <c r="AX336" s="350"/>
      <c r="AY336" s="350"/>
      <c r="AZ336" s="350"/>
      <c r="BA336" s="350"/>
      <c r="BB336" s="350"/>
      <c r="BC336" s="350"/>
      <c r="BD336" s="350"/>
      <c r="BE336" s="350"/>
      <c r="BF336" s="383"/>
      <c r="BG336" s="382">
        <v>7.7</v>
      </c>
      <c r="BH336" s="278"/>
      <c r="BI336" s="365" t="s">
        <v>748</v>
      </c>
      <c r="BJ336" s="409"/>
    </row>
    <row r="337" spans="1:62" ht="15.75" customHeight="1" thickBot="1" x14ac:dyDescent="0.25">
      <c r="A337" s="156">
        <v>336</v>
      </c>
      <c r="B337" s="155">
        <v>1</v>
      </c>
      <c r="C337" s="148" t="s">
        <v>236</v>
      </c>
      <c r="D337" s="148" t="s">
        <v>843</v>
      </c>
      <c r="E337" s="148" t="s">
        <v>13</v>
      </c>
      <c r="F337" s="148" t="s">
        <v>752</v>
      </c>
      <c r="G337" s="148" t="s">
        <v>20</v>
      </c>
      <c r="H337" s="148" t="s">
        <v>73</v>
      </c>
      <c r="I337" s="161">
        <v>2014</v>
      </c>
      <c r="J337" s="161" t="s">
        <v>753</v>
      </c>
      <c r="K337" s="161" t="s">
        <v>754</v>
      </c>
      <c r="L337" s="161" t="s">
        <v>19</v>
      </c>
      <c r="M337" s="453" t="s">
        <v>4159</v>
      </c>
      <c r="N337" s="186" t="s">
        <v>20</v>
      </c>
      <c r="O337" s="186" t="s">
        <v>15</v>
      </c>
      <c r="P337" s="186" t="s">
        <v>15</v>
      </c>
      <c r="Q337" s="186" t="s">
        <v>15</v>
      </c>
      <c r="R337" s="186" t="s">
        <v>15</v>
      </c>
      <c r="S337" s="186" t="s">
        <v>15</v>
      </c>
      <c r="T337" s="186" t="s">
        <v>15</v>
      </c>
      <c r="U337" s="186" t="s">
        <v>15</v>
      </c>
      <c r="V337" s="186" t="s">
        <v>15</v>
      </c>
      <c r="W337" s="186" t="s">
        <v>15</v>
      </c>
      <c r="X337" s="186" t="s">
        <v>15</v>
      </c>
      <c r="Y337" s="186" t="s">
        <v>20</v>
      </c>
      <c r="Z337" s="186"/>
      <c r="AA337" s="186" t="s">
        <v>636</v>
      </c>
      <c r="AB337" s="186" t="s">
        <v>15</v>
      </c>
      <c r="AC337" s="186" t="s">
        <v>20</v>
      </c>
      <c r="AD337" s="268" t="s">
        <v>755</v>
      </c>
      <c r="AE337" s="268"/>
      <c r="AF337" s="144" t="str">
        <f t="shared" si="20"/>
        <v/>
      </c>
      <c r="AG337" s="144" t="str">
        <f t="shared" si="21"/>
        <v/>
      </c>
      <c r="AH337" s="146">
        <f t="shared" si="22"/>
        <v>0.14699999999999999</v>
      </c>
      <c r="AI337" s="146" t="str">
        <f t="shared" si="23"/>
        <v/>
      </c>
      <c r="AJ337" s="303"/>
      <c r="AK337" s="303"/>
      <c r="AL337" s="303"/>
      <c r="AM337" s="303"/>
      <c r="AN337" s="303"/>
      <c r="AO337" s="303"/>
      <c r="AP337" s="303"/>
      <c r="AQ337" s="303"/>
      <c r="AR337" s="303"/>
      <c r="AS337" s="170"/>
      <c r="AT337" s="170"/>
      <c r="AU337" s="310"/>
      <c r="AW337" s="294">
        <v>0.14699999999999999</v>
      </c>
      <c r="AX337" s="294"/>
      <c r="AY337" s="294"/>
      <c r="AZ337" s="294"/>
      <c r="BA337" s="294"/>
      <c r="BB337" s="294"/>
      <c r="BC337" s="294"/>
      <c r="BD337" s="294"/>
      <c r="BE337" s="294">
        <v>6.0000000000000001E-3</v>
      </c>
      <c r="BF337" s="383">
        <v>0.14699999999999999</v>
      </c>
      <c r="BG337" s="383"/>
      <c r="BH337" s="278"/>
      <c r="BI337" s="365" t="s">
        <v>47</v>
      </c>
      <c r="BJ337" s="410" t="s">
        <v>3097</v>
      </c>
    </row>
    <row r="338" spans="1:62" ht="15.75" customHeight="1" thickBot="1" x14ac:dyDescent="0.25">
      <c r="A338" s="154">
        <v>337</v>
      </c>
      <c r="B338" s="155">
        <v>1</v>
      </c>
      <c r="C338" s="148" t="s">
        <v>236</v>
      </c>
      <c r="D338" s="148" t="s">
        <v>756</v>
      </c>
      <c r="E338" s="148" t="s">
        <v>13</v>
      </c>
      <c r="F338" s="148" t="s">
        <v>757</v>
      </c>
      <c r="G338" s="148" t="s">
        <v>20</v>
      </c>
      <c r="H338" s="148" t="s">
        <v>73</v>
      </c>
      <c r="I338" s="161">
        <v>2014</v>
      </c>
      <c r="J338" s="161" t="s">
        <v>753</v>
      </c>
      <c r="K338" s="161" t="s">
        <v>754</v>
      </c>
      <c r="L338" s="161" t="s">
        <v>19</v>
      </c>
      <c r="M338" s="453" t="s">
        <v>4159</v>
      </c>
      <c r="N338" s="186" t="s">
        <v>20</v>
      </c>
      <c r="O338" s="186" t="s">
        <v>15</v>
      </c>
      <c r="P338" s="186" t="s">
        <v>15</v>
      </c>
      <c r="Q338" s="186" t="s">
        <v>15</v>
      </c>
      <c r="R338" s="186" t="s">
        <v>15</v>
      </c>
      <c r="S338" s="186" t="s">
        <v>15</v>
      </c>
      <c r="T338" s="186" t="s">
        <v>15</v>
      </c>
      <c r="U338" s="186" t="s">
        <v>15</v>
      </c>
      <c r="V338" s="186" t="s">
        <v>15</v>
      </c>
      <c r="W338" s="186" t="s">
        <v>15</v>
      </c>
      <c r="X338" s="186" t="s">
        <v>15</v>
      </c>
      <c r="Y338" s="186" t="s">
        <v>20</v>
      </c>
      <c r="Z338" s="186"/>
      <c r="AA338" s="186" t="s">
        <v>636</v>
      </c>
      <c r="AB338" s="186" t="s">
        <v>15</v>
      </c>
      <c r="AC338" s="186" t="s">
        <v>20</v>
      </c>
      <c r="AD338" s="268" t="s">
        <v>755</v>
      </c>
      <c r="AE338" s="268"/>
      <c r="AF338" s="144" t="str">
        <f t="shared" si="20"/>
        <v/>
      </c>
      <c r="AG338" s="144" t="str">
        <f t="shared" si="21"/>
        <v/>
      </c>
      <c r="AH338" s="146">
        <f t="shared" si="22"/>
        <v>0.11799999999999999</v>
      </c>
      <c r="AI338" s="146" t="str">
        <f t="shared" si="23"/>
        <v/>
      </c>
      <c r="AJ338" s="303"/>
      <c r="AK338" s="303"/>
      <c r="AL338" s="303"/>
      <c r="AM338" s="303"/>
      <c r="AN338" s="303"/>
      <c r="AO338" s="303"/>
      <c r="AP338" s="303"/>
      <c r="AQ338" s="303"/>
      <c r="AR338" s="303"/>
      <c r="AS338" s="170"/>
      <c r="AT338" s="170"/>
      <c r="AU338" s="310"/>
      <c r="AW338" s="294">
        <v>0.11799999999999999</v>
      </c>
      <c r="AX338" s="294"/>
      <c r="AY338" s="294"/>
      <c r="AZ338" s="294"/>
      <c r="BA338" s="294"/>
      <c r="BB338" s="294"/>
      <c r="BC338" s="294"/>
      <c r="BD338" s="294"/>
      <c r="BE338" s="294">
        <v>8.9999999999999993E-3</v>
      </c>
      <c r="BF338" s="383">
        <v>0.11799999999999999</v>
      </c>
      <c r="BG338" s="383"/>
      <c r="BH338" s="278"/>
      <c r="BI338" s="365" t="s">
        <v>47</v>
      </c>
      <c r="BJ338" s="410" t="s">
        <v>3097</v>
      </c>
    </row>
    <row r="339" spans="1:62" ht="15.75" customHeight="1" thickBot="1" x14ac:dyDescent="0.25">
      <c r="A339" s="156">
        <v>338</v>
      </c>
      <c r="B339" s="155">
        <v>1</v>
      </c>
      <c r="C339" s="148" t="s">
        <v>236</v>
      </c>
      <c r="D339" s="148" t="s">
        <v>758</v>
      </c>
      <c r="E339" s="148" t="s">
        <v>13</v>
      </c>
      <c r="F339" s="148" t="s">
        <v>759</v>
      </c>
      <c r="G339" s="148" t="s">
        <v>20</v>
      </c>
      <c r="H339" s="148" t="s">
        <v>73</v>
      </c>
      <c r="I339" s="161">
        <v>2014</v>
      </c>
      <c r="J339" s="161" t="s">
        <v>753</v>
      </c>
      <c r="K339" s="161" t="s">
        <v>754</v>
      </c>
      <c r="L339" s="161" t="s">
        <v>19</v>
      </c>
      <c r="M339" s="453" t="s">
        <v>4159</v>
      </c>
      <c r="N339" s="186" t="s">
        <v>20</v>
      </c>
      <c r="O339" s="186" t="s">
        <v>15</v>
      </c>
      <c r="P339" s="186" t="s">
        <v>15</v>
      </c>
      <c r="Q339" s="186" t="s">
        <v>15</v>
      </c>
      <c r="R339" s="186" t="s">
        <v>15</v>
      </c>
      <c r="S339" s="186" t="s">
        <v>15</v>
      </c>
      <c r="T339" s="186" t="s">
        <v>15</v>
      </c>
      <c r="U339" s="186" t="s">
        <v>15</v>
      </c>
      <c r="V339" s="186" t="s">
        <v>15</v>
      </c>
      <c r="W339" s="186" t="s">
        <v>15</v>
      </c>
      <c r="X339" s="186" t="s">
        <v>15</v>
      </c>
      <c r="Y339" s="186" t="s">
        <v>20</v>
      </c>
      <c r="Z339" s="186"/>
      <c r="AA339" s="186" t="s">
        <v>636</v>
      </c>
      <c r="AB339" s="186" t="s">
        <v>15</v>
      </c>
      <c r="AC339" s="186" t="s">
        <v>20</v>
      </c>
      <c r="AD339" s="268" t="s">
        <v>755</v>
      </c>
      <c r="AE339" s="268"/>
      <c r="AF339" s="144" t="str">
        <f t="shared" si="20"/>
        <v/>
      </c>
      <c r="AG339" s="144" t="str">
        <f t="shared" si="21"/>
        <v/>
      </c>
      <c r="AH339" s="146">
        <f t="shared" si="22"/>
        <v>0.30099999999999999</v>
      </c>
      <c r="AI339" s="146" t="str">
        <f t="shared" si="23"/>
        <v/>
      </c>
      <c r="AJ339" s="303"/>
      <c r="AK339" s="303"/>
      <c r="AL339" s="303"/>
      <c r="AM339" s="303"/>
      <c r="AN339" s="303"/>
      <c r="AO339" s="303"/>
      <c r="AP339" s="303"/>
      <c r="AQ339" s="303"/>
      <c r="AR339" s="303"/>
      <c r="AS339" s="170"/>
      <c r="AT339" s="170"/>
      <c r="AU339" s="310"/>
      <c r="AW339" s="294">
        <v>0.30099999999999999</v>
      </c>
      <c r="AX339" s="294"/>
      <c r="AY339" s="294"/>
      <c r="AZ339" s="294"/>
      <c r="BA339" s="294"/>
      <c r="BB339" s="294"/>
      <c r="BC339" s="294"/>
      <c r="BD339" s="294"/>
      <c r="BE339" s="294">
        <v>1.4999999999999999E-2</v>
      </c>
      <c r="BF339" s="383">
        <v>0.30099999999999999</v>
      </c>
      <c r="BG339" s="383"/>
      <c r="BH339" s="278"/>
      <c r="BI339" s="365" t="s">
        <v>47</v>
      </c>
      <c r="BJ339" s="410" t="s">
        <v>3097</v>
      </c>
    </row>
    <row r="340" spans="1:62" ht="15.75" customHeight="1" thickBot="1" x14ac:dyDescent="0.25">
      <c r="A340" s="154">
        <v>339</v>
      </c>
      <c r="B340" s="155">
        <v>1</v>
      </c>
      <c r="C340" s="148" t="s">
        <v>760</v>
      </c>
      <c r="D340" s="148" t="s">
        <v>761</v>
      </c>
      <c r="E340" s="148" t="s">
        <v>13</v>
      </c>
      <c r="F340" s="148" t="s">
        <v>762</v>
      </c>
      <c r="G340" s="148" t="s">
        <v>20</v>
      </c>
      <c r="H340" s="148" t="s">
        <v>73</v>
      </c>
      <c r="I340" s="161">
        <v>2014</v>
      </c>
      <c r="J340" s="161" t="s">
        <v>753</v>
      </c>
      <c r="K340" s="161" t="s">
        <v>754</v>
      </c>
      <c r="L340" s="161" t="s">
        <v>19</v>
      </c>
      <c r="M340" s="453" t="s">
        <v>4159</v>
      </c>
      <c r="N340" s="186" t="s">
        <v>20</v>
      </c>
      <c r="O340" s="186" t="s">
        <v>15</v>
      </c>
      <c r="P340" s="186" t="s">
        <v>15</v>
      </c>
      <c r="Q340" s="186" t="s">
        <v>15</v>
      </c>
      <c r="R340" s="186" t="s">
        <v>15</v>
      </c>
      <c r="S340" s="186" t="s">
        <v>15</v>
      </c>
      <c r="T340" s="186" t="s">
        <v>15</v>
      </c>
      <c r="U340" s="186" t="s">
        <v>15</v>
      </c>
      <c r="V340" s="186" t="s">
        <v>15</v>
      </c>
      <c r="W340" s="186" t="s">
        <v>15</v>
      </c>
      <c r="X340" s="186" t="s">
        <v>15</v>
      </c>
      <c r="Y340" s="186" t="s">
        <v>20</v>
      </c>
      <c r="Z340" s="186"/>
      <c r="AA340" s="186" t="s">
        <v>636</v>
      </c>
      <c r="AB340" s="186" t="s">
        <v>15</v>
      </c>
      <c r="AC340" s="186" t="s">
        <v>20</v>
      </c>
      <c r="AD340" s="268" t="s">
        <v>755</v>
      </c>
      <c r="AE340" s="268"/>
      <c r="AF340" s="144" t="str">
        <f t="shared" si="20"/>
        <v/>
      </c>
      <c r="AG340" s="144" t="str">
        <f t="shared" si="21"/>
        <v/>
      </c>
      <c r="AH340" s="146">
        <f t="shared" si="22"/>
        <v>0.97199999999999998</v>
      </c>
      <c r="AI340" s="146" t="str">
        <f t="shared" si="23"/>
        <v/>
      </c>
      <c r="AJ340" s="303"/>
      <c r="AK340" s="303"/>
      <c r="AL340" s="303"/>
      <c r="AM340" s="303"/>
      <c r="AN340" s="303"/>
      <c r="AO340" s="303"/>
      <c r="AP340" s="303"/>
      <c r="AQ340" s="303"/>
      <c r="AR340" s="303"/>
      <c r="AS340" s="170"/>
      <c r="AT340" s="170"/>
      <c r="AU340" s="310"/>
      <c r="AW340" s="294">
        <v>0.97199999999999998</v>
      </c>
      <c r="AX340" s="294"/>
      <c r="AY340" s="294"/>
      <c r="AZ340" s="294"/>
      <c r="BA340" s="294"/>
      <c r="BB340" s="294"/>
      <c r="BC340" s="294"/>
      <c r="BD340" s="294"/>
      <c r="BE340" s="294">
        <v>0.109</v>
      </c>
      <c r="BF340" s="383">
        <v>0.97199999999999998</v>
      </c>
      <c r="BG340" s="383"/>
      <c r="BH340" s="278"/>
      <c r="BI340" s="365" t="s">
        <v>47</v>
      </c>
      <c r="BJ340" s="410" t="s">
        <v>3097</v>
      </c>
    </row>
    <row r="341" spans="1:62" ht="15.75" customHeight="1" thickBot="1" x14ac:dyDescent="0.25">
      <c r="A341" s="156">
        <v>340</v>
      </c>
      <c r="B341" s="155">
        <v>1</v>
      </c>
      <c r="C341" s="148" t="s">
        <v>236</v>
      </c>
      <c r="D341" s="148" t="s">
        <v>597</v>
      </c>
      <c r="E341" s="148" t="s">
        <v>13</v>
      </c>
      <c r="F341" s="148" t="s">
        <v>763</v>
      </c>
      <c r="G341" s="148" t="s">
        <v>20</v>
      </c>
      <c r="H341" s="148" t="s">
        <v>73</v>
      </c>
      <c r="I341" s="161">
        <v>2014</v>
      </c>
      <c r="J341" s="161" t="s">
        <v>753</v>
      </c>
      <c r="K341" s="161" t="s">
        <v>754</v>
      </c>
      <c r="L341" s="161" t="s">
        <v>19</v>
      </c>
      <c r="M341" s="453" t="s">
        <v>4159</v>
      </c>
      <c r="N341" s="186" t="s">
        <v>20</v>
      </c>
      <c r="O341" s="186" t="s">
        <v>15</v>
      </c>
      <c r="P341" s="186" t="s">
        <v>15</v>
      </c>
      <c r="Q341" s="186" t="s">
        <v>15</v>
      </c>
      <c r="R341" s="186" t="s">
        <v>15</v>
      </c>
      <c r="S341" s="186" t="s">
        <v>15</v>
      </c>
      <c r="T341" s="186" t="s">
        <v>15</v>
      </c>
      <c r="U341" s="186" t="s">
        <v>15</v>
      </c>
      <c r="V341" s="186" t="s">
        <v>15</v>
      </c>
      <c r="W341" s="186" t="s">
        <v>15</v>
      </c>
      <c r="X341" s="186" t="s">
        <v>15</v>
      </c>
      <c r="Y341" s="186" t="s">
        <v>20</v>
      </c>
      <c r="Z341" s="186"/>
      <c r="AA341" s="186" t="s">
        <v>636</v>
      </c>
      <c r="AB341" s="186" t="s">
        <v>15</v>
      </c>
      <c r="AC341" s="186" t="s">
        <v>20</v>
      </c>
      <c r="AD341" s="268" t="s">
        <v>755</v>
      </c>
      <c r="AE341" s="268"/>
      <c r="AF341" s="144" t="str">
        <f t="shared" si="20"/>
        <v/>
      </c>
      <c r="AG341" s="144" t="str">
        <f t="shared" si="21"/>
        <v/>
      </c>
      <c r="AH341" s="146">
        <f t="shared" si="22"/>
        <v>0.158</v>
      </c>
      <c r="AI341" s="146" t="str">
        <f t="shared" si="23"/>
        <v/>
      </c>
      <c r="AJ341" s="303"/>
      <c r="AK341" s="303"/>
      <c r="AL341" s="303"/>
      <c r="AM341" s="303"/>
      <c r="AN341" s="303"/>
      <c r="AO341" s="303"/>
      <c r="AP341" s="303"/>
      <c r="AQ341" s="303"/>
      <c r="AR341" s="303"/>
      <c r="AS341" s="170"/>
      <c r="AT341" s="170"/>
      <c r="AU341" s="310"/>
      <c r="AW341" s="294">
        <v>0.158</v>
      </c>
      <c r="AX341" s="294"/>
      <c r="AY341" s="294"/>
      <c r="AZ341" s="294"/>
      <c r="BA341" s="294"/>
      <c r="BB341" s="294"/>
      <c r="BC341" s="294"/>
      <c r="BD341" s="294"/>
      <c r="BE341" s="294">
        <v>6.0000000000000001E-3</v>
      </c>
      <c r="BF341" s="383">
        <v>0.158</v>
      </c>
      <c r="BG341" s="383"/>
      <c r="BH341" s="278"/>
      <c r="BI341" s="365" t="s">
        <v>47</v>
      </c>
      <c r="BJ341" s="410" t="s">
        <v>3097</v>
      </c>
    </row>
    <row r="342" spans="1:62" ht="15.75" customHeight="1" thickBot="1" x14ac:dyDescent="0.25">
      <c r="A342" s="154">
        <v>341</v>
      </c>
      <c r="B342" s="155">
        <v>1</v>
      </c>
      <c r="C342" s="148" t="s">
        <v>236</v>
      </c>
      <c r="D342" s="148" t="s">
        <v>2098</v>
      </c>
      <c r="E342" s="148" t="s">
        <v>13</v>
      </c>
      <c r="F342" s="148" t="s">
        <v>764</v>
      </c>
      <c r="G342" s="148" t="s">
        <v>20</v>
      </c>
      <c r="H342" s="148" t="s">
        <v>73</v>
      </c>
      <c r="I342" s="161">
        <v>2014</v>
      </c>
      <c r="J342" s="161" t="s">
        <v>753</v>
      </c>
      <c r="K342" s="161" t="s">
        <v>754</v>
      </c>
      <c r="L342" s="161" t="s">
        <v>19</v>
      </c>
      <c r="M342" s="453" t="s">
        <v>4159</v>
      </c>
      <c r="N342" s="186" t="s">
        <v>20</v>
      </c>
      <c r="O342" s="186" t="s">
        <v>15</v>
      </c>
      <c r="P342" s="186" t="s">
        <v>15</v>
      </c>
      <c r="Q342" s="186" t="s">
        <v>15</v>
      </c>
      <c r="R342" s="186" t="s">
        <v>15</v>
      </c>
      <c r="S342" s="186" t="s">
        <v>15</v>
      </c>
      <c r="T342" s="186" t="s">
        <v>15</v>
      </c>
      <c r="U342" s="186" t="s">
        <v>15</v>
      </c>
      <c r="V342" s="186" t="s">
        <v>15</v>
      </c>
      <c r="W342" s="186" t="s">
        <v>15</v>
      </c>
      <c r="X342" s="186" t="s">
        <v>15</v>
      </c>
      <c r="Y342" s="186" t="s">
        <v>20</v>
      </c>
      <c r="Z342" s="186"/>
      <c r="AA342" s="186" t="s">
        <v>636</v>
      </c>
      <c r="AB342" s="186" t="s">
        <v>15</v>
      </c>
      <c r="AC342" s="186" t="s">
        <v>20</v>
      </c>
      <c r="AD342" s="268" t="s">
        <v>755</v>
      </c>
      <c r="AE342" s="268"/>
      <c r="AF342" s="144" t="str">
        <f t="shared" si="20"/>
        <v/>
      </c>
      <c r="AG342" s="144" t="str">
        <f t="shared" si="21"/>
        <v/>
      </c>
      <c r="AH342" s="146">
        <f t="shared" si="22"/>
        <v>0.32400000000000001</v>
      </c>
      <c r="AI342" s="146" t="str">
        <f t="shared" si="23"/>
        <v/>
      </c>
      <c r="AJ342" s="303"/>
      <c r="AK342" s="303"/>
      <c r="AL342" s="303"/>
      <c r="AM342" s="303"/>
      <c r="AN342" s="303"/>
      <c r="AO342" s="303"/>
      <c r="AP342" s="303"/>
      <c r="AQ342" s="303"/>
      <c r="AR342" s="303"/>
      <c r="AS342" s="170"/>
      <c r="AT342" s="170"/>
      <c r="AU342" s="310"/>
      <c r="AW342" s="294">
        <v>0.32400000000000001</v>
      </c>
      <c r="AX342" s="294"/>
      <c r="AY342" s="294"/>
      <c r="AZ342" s="294"/>
      <c r="BA342" s="294"/>
      <c r="BB342" s="294"/>
      <c r="BC342" s="294"/>
      <c r="BD342" s="294"/>
      <c r="BE342" s="294">
        <v>0.01</v>
      </c>
      <c r="BF342" s="383">
        <v>0.32400000000000001</v>
      </c>
      <c r="BG342" s="383"/>
      <c r="BH342" s="278"/>
      <c r="BI342" s="365" t="s">
        <v>47</v>
      </c>
      <c r="BJ342" s="410" t="s">
        <v>3097</v>
      </c>
    </row>
    <row r="343" spans="1:62" ht="15.75" customHeight="1" thickBot="1" x14ac:dyDescent="0.25">
      <c r="A343" s="156">
        <v>342</v>
      </c>
      <c r="B343" s="155">
        <v>1</v>
      </c>
      <c r="C343" s="148" t="s">
        <v>236</v>
      </c>
      <c r="D343" s="148" t="s">
        <v>843</v>
      </c>
      <c r="E343" s="148" t="s">
        <v>13</v>
      </c>
      <c r="F343" s="148" t="s">
        <v>765</v>
      </c>
      <c r="G343" s="148" t="s">
        <v>20</v>
      </c>
      <c r="H343" s="148" t="s">
        <v>73</v>
      </c>
      <c r="I343" s="161">
        <v>2014</v>
      </c>
      <c r="J343" s="161" t="s">
        <v>753</v>
      </c>
      <c r="K343" s="161" t="s">
        <v>754</v>
      </c>
      <c r="L343" s="161" t="s">
        <v>19</v>
      </c>
      <c r="M343" s="453" t="s">
        <v>4159</v>
      </c>
      <c r="N343" s="186" t="s">
        <v>20</v>
      </c>
      <c r="O343" s="186" t="s">
        <v>15</v>
      </c>
      <c r="P343" s="186" t="s">
        <v>15</v>
      </c>
      <c r="Q343" s="186" t="s">
        <v>15</v>
      </c>
      <c r="R343" s="186" t="s">
        <v>15</v>
      </c>
      <c r="S343" s="186" t="s">
        <v>15</v>
      </c>
      <c r="T343" s="186" t="s">
        <v>15</v>
      </c>
      <c r="U343" s="186" t="s">
        <v>15</v>
      </c>
      <c r="V343" s="186" t="s">
        <v>15</v>
      </c>
      <c r="W343" s="186" t="s">
        <v>15</v>
      </c>
      <c r="X343" s="186" t="s">
        <v>15</v>
      </c>
      <c r="Y343" s="186" t="s">
        <v>20</v>
      </c>
      <c r="Z343" s="186"/>
      <c r="AA343" s="186" t="s">
        <v>636</v>
      </c>
      <c r="AB343" s="186" t="s">
        <v>15</v>
      </c>
      <c r="AC343" s="186" t="s">
        <v>20</v>
      </c>
      <c r="AD343" s="268" t="s">
        <v>755</v>
      </c>
      <c r="AE343" s="268"/>
      <c r="AF343" s="144" t="str">
        <f t="shared" si="20"/>
        <v/>
      </c>
      <c r="AG343" s="144" t="str">
        <f t="shared" si="21"/>
        <v/>
      </c>
      <c r="AH343" s="146">
        <f t="shared" si="22"/>
        <v>0.83</v>
      </c>
      <c r="AI343" s="146" t="str">
        <f t="shared" si="23"/>
        <v/>
      </c>
      <c r="AJ343" s="303"/>
      <c r="AK343" s="303"/>
      <c r="AL343" s="303"/>
      <c r="AM343" s="303"/>
      <c r="AN343" s="303"/>
      <c r="AO343" s="303"/>
      <c r="AP343" s="303"/>
      <c r="AQ343" s="303"/>
      <c r="AR343" s="303"/>
      <c r="AS343" s="170"/>
      <c r="AT343" s="170"/>
      <c r="AU343" s="310"/>
      <c r="AW343" s="294">
        <v>0.83</v>
      </c>
      <c r="AX343" s="294"/>
      <c r="AY343" s="294"/>
      <c r="AZ343" s="294"/>
      <c r="BA343" s="294"/>
      <c r="BB343" s="294"/>
      <c r="BC343" s="294"/>
      <c r="BD343" s="294"/>
      <c r="BE343" s="294">
        <v>1.2999999999999999E-2</v>
      </c>
      <c r="BF343" s="383">
        <v>0.83</v>
      </c>
      <c r="BG343" s="383"/>
      <c r="BH343" s="278"/>
      <c r="BI343" s="365" t="s">
        <v>47</v>
      </c>
      <c r="BJ343" s="410" t="s">
        <v>3097</v>
      </c>
    </row>
    <row r="344" spans="1:62" ht="15.75" customHeight="1" thickBot="1" x14ac:dyDescent="0.25">
      <c r="A344" s="154">
        <v>343</v>
      </c>
      <c r="B344" s="155">
        <v>1</v>
      </c>
      <c r="C344" s="148" t="s">
        <v>236</v>
      </c>
      <c r="D344" s="148" t="s">
        <v>756</v>
      </c>
      <c r="E344" s="148" t="s">
        <v>13</v>
      </c>
      <c r="F344" s="148" t="s">
        <v>766</v>
      </c>
      <c r="G344" s="148" t="s">
        <v>20</v>
      </c>
      <c r="H344" s="148" t="s">
        <v>73</v>
      </c>
      <c r="I344" s="161">
        <v>2014</v>
      </c>
      <c r="J344" s="161" t="s">
        <v>753</v>
      </c>
      <c r="K344" s="161" t="s">
        <v>754</v>
      </c>
      <c r="L344" s="161" t="s">
        <v>19</v>
      </c>
      <c r="M344" s="453" t="s">
        <v>4159</v>
      </c>
      <c r="N344" s="186" t="s">
        <v>20</v>
      </c>
      <c r="O344" s="186" t="s">
        <v>15</v>
      </c>
      <c r="P344" s="186" t="s">
        <v>15</v>
      </c>
      <c r="Q344" s="186" t="s">
        <v>15</v>
      </c>
      <c r="R344" s="186" t="s">
        <v>15</v>
      </c>
      <c r="S344" s="186" t="s">
        <v>15</v>
      </c>
      <c r="T344" s="186" t="s">
        <v>15</v>
      </c>
      <c r="U344" s="186" t="s">
        <v>15</v>
      </c>
      <c r="V344" s="186" t="s">
        <v>15</v>
      </c>
      <c r="W344" s="186" t="s">
        <v>15</v>
      </c>
      <c r="X344" s="186" t="s">
        <v>15</v>
      </c>
      <c r="Y344" s="186" t="s">
        <v>20</v>
      </c>
      <c r="Z344" s="186"/>
      <c r="AA344" s="186" t="s">
        <v>636</v>
      </c>
      <c r="AB344" s="186" t="s">
        <v>15</v>
      </c>
      <c r="AC344" s="186" t="s">
        <v>20</v>
      </c>
      <c r="AD344" s="268" t="s">
        <v>755</v>
      </c>
      <c r="AE344" s="268"/>
      <c r="AF344" s="144" t="str">
        <f t="shared" si="20"/>
        <v/>
      </c>
      <c r="AG344" s="144" t="str">
        <f t="shared" si="21"/>
        <v/>
      </c>
      <c r="AH344" s="146">
        <f t="shared" si="22"/>
        <v>0.94</v>
      </c>
      <c r="AI344" s="146" t="str">
        <f t="shared" si="23"/>
        <v/>
      </c>
      <c r="AJ344" s="303"/>
      <c r="AK344" s="303"/>
      <c r="AL344" s="303"/>
      <c r="AM344" s="303"/>
      <c r="AN344" s="303"/>
      <c r="AO344" s="303"/>
      <c r="AP344" s="303"/>
      <c r="AQ344" s="303"/>
      <c r="AR344" s="303"/>
      <c r="AS344" s="170"/>
      <c r="AT344" s="170"/>
      <c r="AU344" s="310"/>
      <c r="AW344" s="294">
        <v>0.94</v>
      </c>
      <c r="AX344" s="294"/>
      <c r="AY344" s="294"/>
      <c r="AZ344" s="294"/>
      <c r="BA344" s="294"/>
      <c r="BB344" s="294"/>
      <c r="BC344" s="294"/>
      <c r="BD344" s="294"/>
      <c r="BE344" s="294">
        <v>1.7000000000000001E-2</v>
      </c>
      <c r="BF344" s="383">
        <v>0.94</v>
      </c>
      <c r="BG344" s="383"/>
      <c r="BH344" s="278"/>
      <c r="BI344" s="365" t="s">
        <v>47</v>
      </c>
      <c r="BJ344" s="410" t="s">
        <v>3097</v>
      </c>
    </row>
    <row r="345" spans="1:62" ht="15.75" customHeight="1" thickBot="1" x14ac:dyDescent="0.25">
      <c r="A345" s="156">
        <v>344</v>
      </c>
      <c r="B345" s="155">
        <v>1</v>
      </c>
      <c r="C345" s="148" t="s">
        <v>236</v>
      </c>
      <c r="D345" s="148" t="s">
        <v>758</v>
      </c>
      <c r="E345" s="148" t="s">
        <v>13</v>
      </c>
      <c r="F345" s="148" t="s">
        <v>767</v>
      </c>
      <c r="G345" s="148" t="s">
        <v>20</v>
      </c>
      <c r="H345" s="148" t="s">
        <v>73</v>
      </c>
      <c r="I345" s="161">
        <v>2014</v>
      </c>
      <c r="J345" s="161" t="s">
        <v>753</v>
      </c>
      <c r="K345" s="161" t="s">
        <v>754</v>
      </c>
      <c r="L345" s="161" t="s">
        <v>19</v>
      </c>
      <c r="M345" s="453" t="s">
        <v>4159</v>
      </c>
      <c r="N345" s="186" t="s">
        <v>20</v>
      </c>
      <c r="O345" s="186" t="s">
        <v>15</v>
      </c>
      <c r="P345" s="186" t="s">
        <v>15</v>
      </c>
      <c r="Q345" s="186" t="s">
        <v>15</v>
      </c>
      <c r="R345" s="186" t="s">
        <v>15</v>
      </c>
      <c r="S345" s="186" t="s">
        <v>15</v>
      </c>
      <c r="T345" s="186" t="s">
        <v>15</v>
      </c>
      <c r="U345" s="186" t="s">
        <v>15</v>
      </c>
      <c r="V345" s="186" t="s">
        <v>15</v>
      </c>
      <c r="W345" s="186" t="s">
        <v>15</v>
      </c>
      <c r="X345" s="186" t="s">
        <v>15</v>
      </c>
      <c r="Y345" s="186" t="s">
        <v>20</v>
      </c>
      <c r="Z345" s="186"/>
      <c r="AA345" s="186" t="s">
        <v>636</v>
      </c>
      <c r="AB345" s="186" t="s">
        <v>15</v>
      </c>
      <c r="AC345" s="186" t="s">
        <v>20</v>
      </c>
      <c r="AD345" s="268" t="s">
        <v>755</v>
      </c>
      <c r="AE345" s="268"/>
      <c r="AF345" s="144" t="str">
        <f t="shared" si="20"/>
        <v/>
      </c>
      <c r="AG345" s="144" t="str">
        <f t="shared" si="21"/>
        <v/>
      </c>
      <c r="AH345" s="146">
        <f t="shared" si="22"/>
        <v>0.113</v>
      </c>
      <c r="AI345" s="146" t="str">
        <f t="shared" si="23"/>
        <v/>
      </c>
      <c r="AJ345" s="303"/>
      <c r="AK345" s="303"/>
      <c r="AL345" s="303"/>
      <c r="AM345" s="303"/>
      <c r="AN345" s="303"/>
      <c r="AO345" s="303"/>
      <c r="AP345" s="303"/>
      <c r="AQ345" s="303"/>
      <c r="AR345" s="303"/>
      <c r="AS345" s="170"/>
      <c r="AT345" s="170"/>
      <c r="AU345" s="310"/>
      <c r="AW345" s="294">
        <v>0.113</v>
      </c>
      <c r="AX345" s="294"/>
      <c r="AY345" s="294"/>
      <c r="AZ345" s="294"/>
      <c r="BA345" s="294"/>
      <c r="BB345" s="294"/>
      <c r="BC345" s="294"/>
      <c r="BD345" s="294"/>
      <c r="BE345" s="294">
        <v>1.4999999999999999E-2</v>
      </c>
      <c r="BF345" s="383">
        <v>0.113</v>
      </c>
      <c r="BG345" s="383"/>
      <c r="BH345" s="278"/>
      <c r="BI345" s="365" t="s">
        <v>47</v>
      </c>
      <c r="BJ345" s="410" t="s">
        <v>3097</v>
      </c>
    </row>
    <row r="346" spans="1:62" ht="15.75" customHeight="1" thickBot="1" x14ac:dyDescent="0.25">
      <c r="A346" s="154">
        <v>345</v>
      </c>
      <c r="B346" s="155">
        <v>1</v>
      </c>
      <c r="C346" s="148" t="s">
        <v>760</v>
      </c>
      <c r="D346" s="148" t="s">
        <v>761</v>
      </c>
      <c r="E346" s="148" t="s">
        <v>13</v>
      </c>
      <c r="F346" s="148" t="s">
        <v>768</v>
      </c>
      <c r="G346" s="148" t="s">
        <v>20</v>
      </c>
      <c r="H346" s="148" t="s">
        <v>73</v>
      </c>
      <c r="I346" s="161">
        <v>2014</v>
      </c>
      <c r="J346" s="161" t="s">
        <v>753</v>
      </c>
      <c r="K346" s="161" t="s">
        <v>754</v>
      </c>
      <c r="L346" s="161" t="s">
        <v>19</v>
      </c>
      <c r="M346" s="453" t="s">
        <v>4159</v>
      </c>
      <c r="N346" s="186" t="s">
        <v>20</v>
      </c>
      <c r="O346" s="186" t="s">
        <v>15</v>
      </c>
      <c r="P346" s="186" t="s">
        <v>15</v>
      </c>
      <c r="Q346" s="186" t="s">
        <v>15</v>
      </c>
      <c r="R346" s="186" t="s">
        <v>15</v>
      </c>
      <c r="S346" s="186" t="s">
        <v>15</v>
      </c>
      <c r="T346" s="186" t="s">
        <v>15</v>
      </c>
      <c r="U346" s="186" t="s">
        <v>15</v>
      </c>
      <c r="V346" s="186" t="s">
        <v>15</v>
      </c>
      <c r="W346" s="186" t="s">
        <v>15</v>
      </c>
      <c r="X346" s="186" t="s">
        <v>15</v>
      </c>
      <c r="Y346" s="186" t="s">
        <v>20</v>
      </c>
      <c r="Z346" s="186"/>
      <c r="AA346" s="186" t="s">
        <v>636</v>
      </c>
      <c r="AB346" s="186" t="s">
        <v>15</v>
      </c>
      <c r="AC346" s="186" t="s">
        <v>20</v>
      </c>
      <c r="AD346" s="268" t="s">
        <v>755</v>
      </c>
      <c r="AE346" s="268"/>
      <c r="AF346" s="144" t="str">
        <f t="shared" si="20"/>
        <v/>
      </c>
      <c r="AG346" s="144" t="str">
        <f t="shared" si="21"/>
        <v/>
      </c>
      <c r="AH346" s="146">
        <f t="shared" si="22"/>
        <v>0.95499999999999996</v>
      </c>
      <c r="AI346" s="146" t="str">
        <f t="shared" si="23"/>
        <v/>
      </c>
      <c r="AJ346" s="303"/>
      <c r="AK346" s="303"/>
      <c r="AL346" s="303"/>
      <c r="AM346" s="303"/>
      <c r="AN346" s="303"/>
      <c r="AO346" s="303"/>
      <c r="AP346" s="303"/>
      <c r="AQ346" s="303"/>
      <c r="AR346" s="303"/>
      <c r="AS346" s="170"/>
      <c r="AT346" s="170"/>
      <c r="AU346" s="310"/>
      <c r="AW346" s="294">
        <v>0.95499999999999996</v>
      </c>
      <c r="AX346" s="294"/>
      <c r="AY346" s="294"/>
      <c r="AZ346" s="294"/>
      <c r="BA346" s="294"/>
      <c r="BB346" s="294"/>
      <c r="BC346" s="294"/>
      <c r="BD346" s="294"/>
      <c r="BE346" s="294">
        <v>0.121</v>
      </c>
      <c r="BF346" s="383">
        <v>0.95499999999999996</v>
      </c>
      <c r="BG346" s="383"/>
      <c r="BH346" s="278"/>
      <c r="BI346" s="365" t="s">
        <v>47</v>
      </c>
      <c r="BJ346" s="410" t="s">
        <v>3097</v>
      </c>
    </row>
    <row r="347" spans="1:62" ht="15.75" customHeight="1" thickBot="1" x14ac:dyDescent="0.25">
      <c r="A347" s="156">
        <v>346</v>
      </c>
      <c r="B347" s="155">
        <v>1</v>
      </c>
      <c r="C347" s="148" t="s">
        <v>236</v>
      </c>
      <c r="D347" s="148" t="s">
        <v>597</v>
      </c>
      <c r="E347" s="148" t="s">
        <v>13</v>
      </c>
      <c r="F347" s="148" t="s">
        <v>769</v>
      </c>
      <c r="G347" s="148" t="s">
        <v>20</v>
      </c>
      <c r="H347" s="148" t="s">
        <v>73</v>
      </c>
      <c r="I347" s="161">
        <v>2014</v>
      </c>
      <c r="J347" s="161" t="s">
        <v>753</v>
      </c>
      <c r="K347" s="161" t="s">
        <v>754</v>
      </c>
      <c r="L347" s="161" t="s">
        <v>19</v>
      </c>
      <c r="M347" s="453" t="s">
        <v>4159</v>
      </c>
      <c r="N347" s="186" t="s">
        <v>20</v>
      </c>
      <c r="O347" s="186" t="s">
        <v>15</v>
      </c>
      <c r="P347" s="186" t="s">
        <v>15</v>
      </c>
      <c r="Q347" s="186" t="s">
        <v>15</v>
      </c>
      <c r="R347" s="186" t="s">
        <v>15</v>
      </c>
      <c r="S347" s="186" t="s">
        <v>15</v>
      </c>
      <c r="T347" s="186" t="s">
        <v>15</v>
      </c>
      <c r="U347" s="186" t="s">
        <v>15</v>
      </c>
      <c r="V347" s="186" t="s">
        <v>15</v>
      </c>
      <c r="W347" s="186" t="s">
        <v>15</v>
      </c>
      <c r="X347" s="186" t="s">
        <v>15</v>
      </c>
      <c r="Y347" s="186" t="s">
        <v>20</v>
      </c>
      <c r="Z347" s="186"/>
      <c r="AA347" s="186" t="s">
        <v>636</v>
      </c>
      <c r="AB347" s="186" t="s">
        <v>15</v>
      </c>
      <c r="AC347" s="186" t="s">
        <v>20</v>
      </c>
      <c r="AD347" s="268" t="s">
        <v>755</v>
      </c>
      <c r="AE347" s="268"/>
      <c r="AF347" s="144" t="str">
        <f t="shared" si="20"/>
        <v/>
      </c>
      <c r="AG347" s="144" t="str">
        <f t="shared" si="21"/>
        <v/>
      </c>
      <c r="AH347" s="146">
        <f t="shared" si="22"/>
        <v>0.106</v>
      </c>
      <c r="AI347" s="146" t="str">
        <f t="shared" si="23"/>
        <v/>
      </c>
      <c r="AJ347" s="303"/>
      <c r="AK347" s="303"/>
      <c r="AL347" s="303"/>
      <c r="AM347" s="303"/>
      <c r="AN347" s="303"/>
      <c r="AO347" s="303"/>
      <c r="AP347" s="303"/>
      <c r="AQ347" s="303"/>
      <c r="AR347" s="303"/>
      <c r="AS347" s="170"/>
      <c r="AT347" s="170"/>
      <c r="AU347" s="310"/>
      <c r="AW347" s="294">
        <v>0.106</v>
      </c>
      <c r="AX347" s="294"/>
      <c r="AY347" s="294"/>
      <c r="AZ347" s="294"/>
      <c r="BA347" s="294"/>
      <c r="BB347" s="294"/>
      <c r="BC347" s="294"/>
      <c r="BD347" s="294"/>
      <c r="BE347" s="294">
        <v>8.0000000000000002E-3</v>
      </c>
      <c r="BF347" s="383">
        <v>0.106</v>
      </c>
      <c r="BG347" s="383"/>
      <c r="BH347" s="278"/>
      <c r="BI347" s="365" t="s">
        <v>47</v>
      </c>
      <c r="BJ347" s="410" t="s">
        <v>3097</v>
      </c>
    </row>
    <row r="348" spans="1:62" ht="15.75" customHeight="1" thickBot="1" x14ac:dyDescent="0.25">
      <c r="A348" s="154">
        <v>347</v>
      </c>
      <c r="B348" s="155">
        <v>1</v>
      </c>
      <c r="C348" s="148" t="s">
        <v>236</v>
      </c>
      <c r="D348" s="148" t="s">
        <v>3295</v>
      </c>
      <c r="E348" s="148" t="s">
        <v>13</v>
      </c>
      <c r="F348" s="148" t="s">
        <v>770</v>
      </c>
      <c r="G348" s="148" t="s">
        <v>20</v>
      </c>
      <c r="H348" s="148" t="s">
        <v>73</v>
      </c>
      <c r="I348" s="161">
        <v>2014</v>
      </c>
      <c r="J348" s="161" t="s">
        <v>753</v>
      </c>
      <c r="K348" s="161" t="s">
        <v>754</v>
      </c>
      <c r="L348" s="161" t="s">
        <v>19</v>
      </c>
      <c r="M348" s="453" t="s">
        <v>4159</v>
      </c>
      <c r="N348" s="186" t="s">
        <v>20</v>
      </c>
      <c r="O348" s="186" t="s">
        <v>15</v>
      </c>
      <c r="P348" s="186" t="s">
        <v>15</v>
      </c>
      <c r="Q348" s="186" t="s">
        <v>15</v>
      </c>
      <c r="R348" s="186" t="s">
        <v>15</v>
      </c>
      <c r="S348" s="186" t="s">
        <v>15</v>
      </c>
      <c r="T348" s="186" t="s">
        <v>15</v>
      </c>
      <c r="U348" s="186" t="s">
        <v>15</v>
      </c>
      <c r="V348" s="186" t="s">
        <v>15</v>
      </c>
      <c r="W348" s="186" t="s">
        <v>15</v>
      </c>
      <c r="X348" s="186" t="s">
        <v>15</v>
      </c>
      <c r="Y348" s="186" t="s">
        <v>20</v>
      </c>
      <c r="Z348" s="186"/>
      <c r="AA348" s="186" t="s">
        <v>636</v>
      </c>
      <c r="AB348" s="186" t="s">
        <v>15</v>
      </c>
      <c r="AC348" s="186" t="s">
        <v>20</v>
      </c>
      <c r="AD348" s="268" t="s">
        <v>755</v>
      </c>
      <c r="AE348" s="268"/>
      <c r="AF348" s="144" t="str">
        <f t="shared" si="20"/>
        <v/>
      </c>
      <c r="AG348" s="144" t="str">
        <f t="shared" si="21"/>
        <v/>
      </c>
      <c r="AH348" s="146">
        <f t="shared" si="22"/>
        <v>-0.01</v>
      </c>
      <c r="AI348" s="146" t="str">
        <f t="shared" si="23"/>
        <v/>
      </c>
      <c r="AJ348" s="303"/>
      <c r="AK348" s="303"/>
      <c r="AL348" s="303"/>
      <c r="AM348" s="303"/>
      <c r="AN348" s="303"/>
      <c r="AO348" s="303"/>
      <c r="AP348" s="303"/>
      <c r="AQ348" s="303"/>
      <c r="AR348" s="303"/>
      <c r="AS348" s="170"/>
      <c r="AT348" s="170"/>
      <c r="AU348" s="310"/>
      <c r="AW348" s="294">
        <v>-0.01</v>
      </c>
      <c r="AX348" s="294"/>
      <c r="AY348" s="294"/>
      <c r="AZ348" s="294"/>
      <c r="BA348" s="294"/>
      <c r="BB348" s="294"/>
      <c r="BC348" s="294"/>
      <c r="BD348" s="294"/>
      <c r="BE348" s="294">
        <v>8.9999999999999993E-3</v>
      </c>
      <c r="BF348" s="383">
        <v>-0.01</v>
      </c>
      <c r="BG348" s="383"/>
      <c r="BH348" s="278"/>
      <c r="BI348" s="365" t="s">
        <v>47</v>
      </c>
      <c r="BJ348" s="410" t="s">
        <v>3097</v>
      </c>
    </row>
    <row r="349" spans="1:62" ht="15.75" customHeight="1" thickBot="1" x14ac:dyDescent="0.25">
      <c r="A349" s="156">
        <v>348</v>
      </c>
      <c r="B349" s="155">
        <v>1</v>
      </c>
      <c r="C349" s="148" t="s">
        <v>162</v>
      </c>
      <c r="D349" s="148" t="s">
        <v>771</v>
      </c>
      <c r="E349" s="148" t="s">
        <v>13</v>
      </c>
      <c r="F349" s="148" t="s">
        <v>772</v>
      </c>
      <c r="G349" s="148" t="s">
        <v>122</v>
      </c>
      <c r="H349" s="148" t="s">
        <v>108</v>
      </c>
      <c r="I349" s="161">
        <v>2008</v>
      </c>
      <c r="J349" s="161" t="s">
        <v>773</v>
      </c>
      <c r="K349" s="161" t="s">
        <v>774</v>
      </c>
      <c r="L349" s="161" t="s">
        <v>83</v>
      </c>
      <c r="M349" s="453" t="s">
        <v>4160</v>
      </c>
      <c r="N349" s="186" t="s">
        <v>20</v>
      </c>
      <c r="O349" s="186" t="s">
        <v>20</v>
      </c>
      <c r="P349" s="186" t="s">
        <v>20</v>
      </c>
      <c r="Q349" s="186" t="s">
        <v>20</v>
      </c>
      <c r="R349" s="186" t="s">
        <v>20</v>
      </c>
      <c r="S349" s="186" t="s">
        <v>20</v>
      </c>
      <c r="T349" s="186" t="s">
        <v>20</v>
      </c>
      <c r="U349" s="186" t="s">
        <v>20</v>
      </c>
      <c r="V349" s="186" t="s">
        <v>20</v>
      </c>
      <c r="W349" s="186" t="s">
        <v>20</v>
      </c>
      <c r="X349" s="186" t="s">
        <v>15</v>
      </c>
      <c r="Y349" s="186" t="s">
        <v>20</v>
      </c>
      <c r="Z349" s="186"/>
      <c r="AA349" s="186" t="s">
        <v>775</v>
      </c>
      <c r="AB349" s="186" t="s">
        <v>20</v>
      </c>
      <c r="AC349" s="186" t="s">
        <v>20</v>
      </c>
      <c r="AD349" s="268" t="s">
        <v>776</v>
      </c>
      <c r="AE349" s="268"/>
      <c r="AF349" s="144">
        <f t="shared" si="20"/>
        <v>4.05</v>
      </c>
      <c r="AG349" s="144">
        <f t="shared" si="21"/>
        <v>4.8499999999999996</v>
      </c>
      <c r="AH349" s="146">
        <f t="shared" si="22"/>
        <v>0.4</v>
      </c>
      <c r="AI349" s="146">
        <f t="shared" si="23"/>
        <v>0.42000000000000004</v>
      </c>
      <c r="AJ349" s="304">
        <v>4.05</v>
      </c>
      <c r="AK349" s="304"/>
      <c r="AL349" s="304">
        <v>0.8</v>
      </c>
      <c r="AM349" s="304"/>
      <c r="AN349" s="304">
        <v>2</v>
      </c>
      <c r="AO349" s="304"/>
      <c r="AP349" s="304">
        <v>24.05</v>
      </c>
      <c r="AQ349" s="304">
        <v>0.8</v>
      </c>
      <c r="AR349" s="304"/>
      <c r="AS349" s="170">
        <f t="shared" ref="AS349:AS361" si="24">AJ349</f>
        <v>4.05</v>
      </c>
      <c r="AT349" s="170">
        <v>31.6</v>
      </c>
      <c r="AU349" s="310"/>
      <c r="AW349" s="350">
        <v>0.4</v>
      </c>
      <c r="AX349" s="350"/>
      <c r="AY349" s="350">
        <v>0.02</v>
      </c>
      <c r="AZ349" s="350"/>
      <c r="BA349" s="350">
        <v>0.15</v>
      </c>
      <c r="BB349" s="350"/>
      <c r="BC349" s="350">
        <v>1.3</v>
      </c>
      <c r="BD349" s="350">
        <v>0.2</v>
      </c>
      <c r="BE349" s="350"/>
      <c r="BF349" s="383">
        <f>AW349</f>
        <v>0.4</v>
      </c>
      <c r="BG349" s="383">
        <f t="shared" ref="BG349:BG361" si="25">SUM(AW349:BE349)</f>
        <v>2.0700000000000003</v>
      </c>
      <c r="BH349" s="278"/>
      <c r="BI349" s="365" t="s">
        <v>777</v>
      </c>
      <c r="BJ349" s="409"/>
    </row>
    <row r="350" spans="1:62" ht="15.75" customHeight="1" thickBot="1" x14ac:dyDescent="0.25">
      <c r="A350" s="154">
        <v>349</v>
      </c>
      <c r="B350" s="155">
        <v>1</v>
      </c>
      <c r="C350" s="148" t="s">
        <v>162</v>
      </c>
      <c r="D350" s="148" t="s">
        <v>771</v>
      </c>
      <c r="E350" s="148" t="s">
        <v>778</v>
      </c>
      <c r="F350" s="148" t="s">
        <v>772</v>
      </c>
      <c r="G350" s="148" t="s">
        <v>122</v>
      </c>
      <c r="H350" s="148" t="s">
        <v>108</v>
      </c>
      <c r="I350" s="161">
        <v>2008</v>
      </c>
      <c r="J350" s="161" t="s">
        <v>773</v>
      </c>
      <c r="K350" s="161" t="s">
        <v>774</v>
      </c>
      <c r="L350" s="161" t="s">
        <v>83</v>
      </c>
      <c r="M350" s="453" t="s">
        <v>4160</v>
      </c>
      <c r="N350" s="186" t="s">
        <v>20</v>
      </c>
      <c r="O350" s="186" t="s">
        <v>20</v>
      </c>
      <c r="P350" s="186" t="s">
        <v>20</v>
      </c>
      <c r="Q350" s="186" t="s">
        <v>20</v>
      </c>
      <c r="R350" s="186" t="s">
        <v>20</v>
      </c>
      <c r="S350" s="186" t="s">
        <v>20</v>
      </c>
      <c r="T350" s="186" t="s">
        <v>20</v>
      </c>
      <c r="U350" s="186" t="s">
        <v>20</v>
      </c>
      <c r="V350" s="186" t="s">
        <v>20</v>
      </c>
      <c r="W350" s="186" t="s">
        <v>20</v>
      </c>
      <c r="X350" s="186" t="s">
        <v>15</v>
      </c>
      <c r="Y350" s="186" t="s">
        <v>20</v>
      </c>
      <c r="Z350" s="186" t="s">
        <v>779</v>
      </c>
      <c r="AA350" s="186" t="s">
        <v>775</v>
      </c>
      <c r="AB350" s="186" t="s">
        <v>20</v>
      </c>
      <c r="AC350" s="186" t="s">
        <v>20</v>
      </c>
      <c r="AD350" s="268" t="s">
        <v>776</v>
      </c>
      <c r="AE350" s="268"/>
      <c r="AF350" s="144">
        <f t="shared" si="20"/>
        <v>3.45</v>
      </c>
      <c r="AG350" s="144">
        <f t="shared" si="21"/>
        <v>5.5500000000000007</v>
      </c>
      <c r="AH350" s="146">
        <f t="shared" si="22"/>
        <v>0.2</v>
      </c>
      <c r="AI350" s="146">
        <f t="shared" si="23"/>
        <v>0.35</v>
      </c>
      <c r="AJ350" s="304">
        <v>3.45</v>
      </c>
      <c r="AK350" s="304"/>
      <c r="AL350" s="304">
        <v>2.1</v>
      </c>
      <c r="AM350" s="304"/>
      <c r="AN350" s="304">
        <v>15.1</v>
      </c>
      <c r="AO350" s="304"/>
      <c r="AP350" s="304">
        <v>25.45</v>
      </c>
      <c r="AQ350" s="304">
        <v>0.9</v>
      </c>
      <c r="AR350" s="304"/>
      <c r="AS350" s="170">
        <f t="shared" si="24"/>
        <v>3.45</v>
      </c>
      <c r="AT350" s="170">
        <v>46.9</v>
      </c>
      <c r="AU350" s="310"/>
      <c r="AW350" s="350">
        <v>0.2</v>
      </c>
      <c r="AX350" s="350"/>
      <c r="AY350" s="350">
        <v>0.15</v>
      </c>
      <c r="AZ350" s="350"/>
      <c r="BA350" s="350">
        <v>0.75</v>
      </c>
      <c r="BB350" s="350"/>
      <c r="BC350" s="350">
        <v>1.3</v>
      </c>
      <c r="BD350" s="350">
        <v>0.2</v>
      </c>
      <c r="BE350" s="350"/>
      <c r="BF350" s="383">
        <v>0.2</v>
      </c>
      <c r="BG350" s="383">
        <f t="shared" si="25"/>
        <v>2.6000000000000005</v>
      </c>
      <c r="BH350" s="278"/>
      <c r="BI350" s="365" t="s">
        <v>777</v>
      </c>
      <c r="BJ350" s="409"/>
    </row>
    <row r="351" spans="1:62" ht="15.75" customHeight="1" thickBot="1" x14ac:dyDescent="0.25">
      <c r="A351" s="156">
        <v>350</v>
      </c>
      <c r="B351" s="155">
        <v>1</v>
      </c>
      <c r="C351" s="148" t="s">
        <v>162</v>
      </c>
      <c r="D351" s="148" t="s">
        <v>771</v>
      </c>
      <c r="E351" s="148" t="s">
        <v>13</v>
      </c>
      <c r="F351" s="148" t="s">
        <v>780</v>
      </c>
      <c r="G351" s="148" t="s">
        <v>122</v>
      </c>
      <c r="H351" s="148" t="s">
        <v>73</v>
      </c>
      <c r="I351" s="161">
        <v>2008</v>
      </c>
      <c r="J351" s="161" t="s">
        <v>773</v>
      </c>
      <c r="K351" s="161" t="s">
        <v>774</v>
      </c>
      <c r="L351" s="161" t="s">
        <v>83</v>
      </c>
      <c r="M351" s="453" t="s">
        <v>4160</v>
      </c>
      <c r="N351" s="186" t="s">
        <v>20</v>
      </c>
      <c r="O351" s="186" t="s">
        <v>20</v>
      </c>
      <c r="P351" s="186" t="s">
        <v>20</v>
      </c>
      <c r="Q351" s="186" t="s">
        <v>20</v>
      </c>
      <c r="R351" s="186" t="s">
        <v>20</v>
      </c>
      <c r="S351" s="186" t="s">
        <v>20</v>
      </c>
      <c r="T351" s="186" t="s">
        <v>20</v>
      </c>
      <c r="U351" s="186" t="s">
        <v>20</v>
      </c>
      <c r="V351" s="186" t="s">
        <v>20</v>
      </c>
      <c r="W351" s="186" t="s">
        <v>20</v>
      </c>
      <c r="X351" s="186" t="s">
        <v>15</v>
      </c>
      <c r="Y351" s="186" t="s">
        <v>20</v>
      </c>
      <c r="Z351" s="186" t="s">
        <v>779</v>
      </c>
      <c r="AA351" s="186" t="s">
        <v>775</v>
      </c>
      <c r="AB351" s="186" t="s">
        <v>20</v>
      </c>
      <c r="AC351" s="186" t="s">
        <v>20</v>
      </c>
      <c r="AD351" s="268" t="s">
        <v>776</v>
      </c>
      <c r="AE351" s="268"/>
      <c r="AF351" s="144">
        <f t="shared" si="20"/>
        <v>7.15</v>
      </c>
      <c r="AG351" s="144">
        <f t="shared" si="21"/>
        <v>9.3000000000000007</v>
      </c>
      <c r="AH351" s="146">
        <f t="shared" si="22"/>
        <v>0.2</v>
      </c>
      <c r="AI351" s="146">
        <f t="shared" si="23"/>
        <v>0.37</v>
      </c>
      <c r="AJ351" s="304">
        <v>7.15</v>
      </c>
      <c r="AK351" s="304"/>
      <c r="AL351" s="304">
        <v>2.15</v>
      </c>
      <c r="AM351" s="304"/>
      <c r="AN351" s="304">
        <v>4.7</v>
      </c>
      <c r="AO351" s="304"/>
      <c r="AP351" s="304">
        <v>24.1</v>
      </c>
      <c r="AQ351" s="304">
        <v>1.05</v>
      </c>
      <c r="AR351" s="304"/>
      <c r="AS351" s="170">
        <f t="shared" si="24"/>
        <v>7.15</v>
      </c>
      <c r="AT351" s="170">
        <v>39.107140000000001</v>
      </c>
      <c r="AU351" s="310"/>
      <c r="AW351" s="350">
        <v>0.2</v>
      </c>
      <c r="AX351" s="350"/>
      <c r="AY351" s="350">
        <v>0.17</v>
      </c>
      <c r="AZ351" s="350"/>
      <c r="BA351" s="350">
        <v>0.37</v>
      </c>
      <c r="BB351" s="350"/>
      <c r="BC351" s="350">
        <v>1.4</v>
      </c>
      <c r="BD351" s="350">
        <v>0.2</v>
      </c>
      <c r="BE351" s="350"/>
      <c r="BF351" s="383">
        <f t="shared" ref="BF351:BF361" si="26">AW351</f>
        <v>0.2</v>
      </c>
      <c r="BG351" s="383">
        <f t="shared" si="25"/>
        <v>2.34</v>
      </c>
      <c r="BH351" s="278"/>
      <c r="BI351" s="365" t="s">
        <v>777</v>
      </c>
      <c r="BJ351" s="409"/>
    </row>
    <row r="352" spans="1:62" ht="15.75" customHeight="1" thickBot="1" x14ac:dyDescent="0.25">
      <c r="A352" s="154">
        <v>351</v>
      </c>
      <c r="B352" s="155">
        <v>1</v>
      </c>
      <c r="C352" s="148" t="s">
        <v>162</v>
      </c>
      <c r="D352" s="141" t="s">
        <v>2057</v>
      </c>
      <c r="E352" s="148" t="s">
        <v>13</v>
      </c>
      <c r="F352" s="148" t="s">
        <v>781</v>
      </c>
      <c r="G352" s="148" t="s">
        <v>122</v>
      </c>
      <c r="H352" s="148" t="s">
        <v>108</v>
      </c>
      <c r="I352" s="161">
        <v>2008</v>
      </c>
      <c r="J352" s="161" t="s">
        <v>773</v>
      </c>
      <c r="K352" s="161" t="s">
        <v>774</v>
      </c>
      <c r="L352" s="161" t="s">
        <v>83</v>
      </c>
      <c r="M352" s="453" t="s">
        <v>4160</v>
      </c>
      <c r="N352" s="186" t="s">
        <v>20</v>
      </c>
      <c r="O352" s="186" t="s">
        <v>20</v>
      </c>
      <c r="P352" s="186" t="s">
        <v>20</v>
      </c>
      <c r="Q352" s="186" t="s">
        <v>20</v>
      </c>
      <c r="R352" s="186" t="s">
        <v>20</v>
      </c>
      <c r="S352" s="186" t="s">
        <v>20</v>
      </c>
      <c r="T352" s="186" t="s">
        <v>20</v>
      </c>
      <c r="U352" s="186" t="s">
        <v>20</v>
      </c>
      <c r="V352" s="186" t="s">
        <v>20</v>
      </c>
      <c r="W352" s="186" t="s">
        <v>15</v>
      </c>
      <c r="X352" s="186" t="s">
        <v>15</v>
      </c>
      <c r="Y352" s="186" t="s">
        <v>20</v>
      </c>
      <c r="Z352" s="186" t="s">
        <v>779</v>
      </c>
      <c r="AA352" s="186" t="s">
        <v>775</v>
      </c>
      <c r="AB352" s="186" t="s">
        <v>20</v>
      </c>
      <c r="AC352" s="186" t="s">
        <v>20</v>
      </c>
      <c r="AD352" s="268" t="s">
        <v>782</v>
      </c>
      <c r="AE352" s="268"/>
      <c r="AF352" s="144">
        <f t="shared" si="20"/>
        <v>3.7</v>
      </c>
      <c r="AG352" s="144">
        <f t="shared" si="21"/>
        <v>4.45</v>
      </c>
      <c r="AH352" s="146">
        <f t="shared" si="22"/>
        <v>0.28899999999999998</v>
      </c>
      <c r="AI352" s="146">
        <f t="shared" si="23"/>
        <v>0.34499999999999997</v>
      </c>
      <c r="AJ352" s="303">
        <v>3.7</v>
      </c>
      <c r="AK352" s="303"/>
      <c r="AL352" s="303">
        <v>0.75</v>
      </c>
      <c r="AM352" s="303"/>
      <c r="AN352" s="303">
        <v>1.85</v>
      </c>
      <c r="AO352" s="303"/>
      <c r="AP352" s="303">
        <v>0.1</v>
      </c>
      <c r="AQ352" s="303">
        <v>0.05</v>
      </c>
      <c r="AR352" s="303"/>
      <c r="AS352" s="170">
        <f t="shared" si="24"/>
        <v>3.7</v>
      </c>
      <c r="AT352" s="170">
        <v>6.52</v>
      </c>
      <c r="AU352" s="310"/>
      <c r="AW352" s="294">
        <v>0.28899999999999998</v>
      </c>
      <c r="AX352" s="294"/>
      <c r="AY352" s="294">
        <v>5.6000000000000001E-2</v>
      </c>
      <c r="AZ352" s="294"/>
      <c r="BA352" s="294">
        <v>0.108</v>
      </c>
      <c r="BB352" s="294"/>
      <c r="BC352" s="294">
        <v>9.6699999999999994E-2</v>
      </c>
      <c r="BD352" s="294">
        <v>8.5000000000000006E-2</v>
      </c>
      <c r="BE352" s="294"/>
      <c r="BF352" s="383">
        <f t="shared" si="26"/>
        <v>0.28899999999999998</v>
      </c>
      <c r="BG352" s="383">
        <f t="shared" si="25"/>
        <v>0.63469999999999993</v>
      </c>
      <c r="BH352" s="278"/>
      <c r="BI352" s="365" t="s">
        <v>777</v>
      </c>
      <c r="BJ352" s="409"/>
    </row>
    <row r="353" spans="1:62" ht="15.75" customHeight="1" thickBot="1" x14ac:dyDescent="0.25">
      <c r="A353" s="156">
        <v>352</v>
      </c>
      <c r="B353" s="155">
        <v>1</v>
      </c>
      <c r="C353" s="148" t="s">
        <v>162</v>
      </c>
      <c r="D353" s="148" t="s">
        <v>3754</v>
      </c>
      <c r="E353" s="148" t="s">
        <v>13</v>
      </c>
      <c r="F353" s="148" t="s">
        <v>783</v>
      </c>
      <c r="G353" s="148" t="s">
        <v>122</v>
      </c>
      <c r="H353" s="148" t="s">
        <v>108</v>
      </c>
      <c r="I353" s="161">
        <v>2008</v>
      </c>
      <c r="J353" s="161" t="s">
        <v>773</v>
      </c>
      <c r="K353" s="161" t="s">
        <v>774</v>
      </c>
      <c r="L353" s="161" t="s">
        <v>83</v>
      </c>
      <c r="M353" s="453" t="s">
        <v>4160</v>
      </c>
      <c r="N353" s="186" t="s">
        <v>20</v>
      </c>
      <c r="O353" s="186" t="s">
        <v>20</v>
      </c>
      <c r="P353" s="186" t="s">
        <v>20</v>
      </c>
      <c r="Q353" s="186" t="s">
        <v>20</v>
      </c>
      <c r="R353" s="186" t="s">
        <v>20</v>
      </c>
      <c r="S353" s="186" t="s">
        <v>20</v>
      </c>
      <c r="T353" s="186" t="s">
        <v>20</v>
      </c>
      <c r="U353" s="186" t="s">
        <v>20</v>
      </c>
      <c r="V353" s="186" t="s">
        <v>20</v>
      </c>
      <c r="W353" s="186" t="s">
        <v>15</v>
      </c>
      <c r="X353" s="186" t="s">
        <v>15</v>
      </c>
      <c r="Y353" s="186" t="s">
        <v>20</v>
      </c>
      <c r="Z353" s="186" t="s">
        <v>779</v>
      </c>
      <c r="AA353" s="186" t="s">
        <v>775</v>
      </c>
      <c r="AB353" s="186" t="s">
        <v>20</v>
      </c>
      <c r="AC353" s="186" t="s">
        <v>20</v>
      </c>
      <c r="AD353" s="268" t="s">
        <v>784</v>
      </c>
      <c r="AE353" s="268"/>
      <c r="AF353" s="144">
        <f t="shared" si="20"/>
        <v>64.099999999999994</v>
      </c>
      <c r="AG353" s="144">
        <f t="shared" si="21"/>
        <v>65.75</v>
      </c>
      <c r="AH353" s="146">
        <f t="shared" si="22"/>
        <v>2.9725000000000001</v>
      </c>
      <c r="AI353" s="146">
        <f t="shared" si="23"/>
        <v>2.9975000000000001</v>
      </c>
      <c r="AJ353" s="304">
        <v>64.099999999999994</v>
      </c>
      <c r="AK353" s="304"/>
      <c r="AL353" s="304">
        <v>1.65</v>
      </c>
      <c r="AM353" s="304"/>
      <c r="AN353" s="304">
        <v>2.25</v>
      </c>
      <c r="AO353" s="304"/>
      <c r="AP353" s="304">
        <v>0.05</v>
      </c>
      <c r="AQ353" s="304">
        <v>2.5000000000000001E-2</v>
      </c>
      <c r="AR353" s="304"/>
      <c r="AS353" s="170">
        <f t="shared" si="24"/>
        <v>64.099999999999994</v>
      </c>
      <c r="AT353" s="170">
        <v>68</v>
      </c>
      <c r="AU353" s="310"/>
      <c r="AW353" s="350">
        <v>2.9725000000000001</v>
      </c>
      <c r="AX353" s="350"/>
      <c r="AY353" s="350">
        <v>2.5000000000000001E-2</v>
      </c>
      <c r="AZ353" s="350"/>
      <c r="BA353" s="350">
        <v>0.29799999999999999</v>
      </c>
      <c r="BB353" s="350"/>
      <c r="BC353" s="350">
        <v>8.1000000000000003E-2</v>
      </c>
      <c r="BD353" s="350">
        <v>8.5000000000000006E-2</v>
      </c>
      <c r="BE353" s="350"/>
      <c r="BF353" s="383">
        <f t="shared" si="26"/>
        <v>2.9725000000000001</v>
      </c>
      <c r="BG353" s="383">
        <f t="shared" si="25"/>
        <v>3.4615</v>
      </c>
      <c r="BH353" s="278"/>
      <c r="BI353" s="365" t="s">
        <v>777</v>
      </c>
      <c r="BJ353" s="409"/>
    </row>
    <row r="354" spans="1:62" ht="15.75" customHeight="1" thickBot="1" x14ac:dyDescent="0.25">
      <c r="A354" s="154">
        <v>353</v>
      </c>
      <c r="B354" s="155">
        <v>1</v>
      </c>
      <c r="C354" s="148" t="s">
        <v>162</v>
      </c>
      <c r="D354" s="141" t="s">
        <v>2057</v>
      </c>
      <c r="E354" s="148" t="s">
        <v>13</v>
      </c>
      <c r="F354" s="148" t="s">
        <v>786</v>
      </c>
      <c r="G354" s="148" t="s">
        <v>122</v>
      </c>
      <c r="H354" s="148" t="s">
        <v>73</v>
      </c>
      <c r="I354" s="161">
        <v>2008</v>
      </c>
      <c r="J354" s="161" t="s">
        <v>773</v>
      </c>
      <c r="K354" s="161" t="s">
        <v>774</v>
      </c>
      <c r="L354" s="161" t="s">
        <v>83</v>
      </c>
      <c r="M354" s="453" t="s">
        <v>4160</v>
      </c>
      <c r="N354" s="186" t="s">
        <v>20</v>
      </c>
      <c r="O354" s="186" t="s">
        <v>20</v>
      </c>
      <c r="P354" s="186" t="s">
        <v>20</v>
      </c>
      <c r="Q354" s="186" t="s">
        <v>20</v>
      </c>
      <c r="R354" s="186" t="s">
        <v>20</v>
      </c>
      <c r="S354" s="186" t="s">
        <v>20</v>
      </c>
      <c r="T354" s="186" t="s">
        <v>20</v>
      </c>
      <c r="U354" s="186" t="s">
        <v>20</v>
      </c>
      <c r="V354" s="186" t="s">
        <v>20</v>
      </c>
      <c r="W354" s="186" t="s">
        <v>15</v>
      </c>
      <c r="X354" s="186" t="s">
        <v>15</v>
      </c>
      <c r="Y354" s="186" t="s">
        <v>20</v>
      </c>
      <c r="Z354" s="186" t="s">
        <v>779</v>
      </c>
      <c r="AA354" s="186" t="s">
        <v>775</v>
      </c>
      <c r="AB354" s="186" t="s">
        <v>20</v>
      </c>
      <c r="AC354" s="186" t="s">
        <v>20</v>
      </c>
      <c r="AD354" s="268" t="s">
        <v>784</v>
      </c>
      <c r="AE354" s="268"/>
      <c r="AF354" s="144">
        <f t="shared" si="20"/>
        <v>4.5999999999999996</v>
      </c>
      <c r="AG354" s="144">
        <f t="shared" si="21"/>
        <v>4.8999999999999995</v>
      </c>
      <c r="AH354" s="146">
        <f t="shared" si="22"/>
        <v>0.214</v>
      </c>
      <c r="AI354" s="146">
        <f t="shared" si="23"/>
        <v>0.2205</v>
      </c>
      <c r="AJ354" s="303">
        <v>4.5999999999999996</v>
      </c>
      <c r="AK354" s="303"/>
      <c r="AL354" s="303">
        <v>0.3</v>
      </c>
      <c r="AM354" s="303"/>
      <c r="AN354" s="303">
        <v>5.45</v>
      </c>
      <c r="AO354" s="303"/>
      <c r="AP354" s="303">
        <v>0.05</v>
      </c>
      <c r="AQ354" s="303">
        <v>2.5000000000000001E-2</v>
      </c>
      <c r="AR354" s="303"/>
      <c r="AS354" s="170">
        <f t="shared" si="24"/>
        <v>4.5999999999999996</v>
      </c>
      <c r="AT354" s="170">
        <v>10.36145</v>
      </c>
      <c r="AU354" s="310"/>
      <c r="AW354" s="294">
        <v>0.214</v>
      </c>
      <c r="AX354" s="294"/>
      <c r="AY354" s="294">
        <v>6.4999999999999997E-3</v>
      </c>
      <c r="AZ354" s="294"/>
      <c r="BA354" s="294">
        <v>0.52</v>
      </c>
      <c r="BB354" s="294"/>
      <c r="BC354" s="294">
        <v>0.104</v>
      </c>
      <c r="BD354" s="294">
        <v>8.5000000000000006E-2</v>
      </c>
      <c r="BE354" s="294"/>
      <c r="BF354" s="383">
        <f t="shared" si="26"/>
        <v>0.214</v>
      </c>
      <c r="BG354" s="383">
        <f t="shared" si="25"/>
        <v>0.92949999999999999</v>
      </c>
      <c r="BH354" s="278"/>
      <c r="BI354" s="365" t="s">
        <v>777</v>
      </c>
      <c r="BJ354" s="409"/>
    </row>
    <row r="355" spans="1:62" ht="15.75" customHeight="1" thickBot="1" x14ac:dyDescent="0.25">
      <c r="A355" s="156">
        <v>354</v>
      </c>
      <c r="B355" s="155">
        <v>1</v>
      </c>
      <c r="C355" s="148" t="s">
        <v>162</v>
      </c>
      <c r="D355" s="141" t="s">
        <v>4062</v>
      </c>
      <c r="E355" s="148" t="s">
        <v>13</v>
      </c>
      <c r="F355" s="148" t="s">
        <v>787</v>
      </c>
      <c r="G355" s="148" t="s">
        <v>122</v>
      </c>
      <c r="H355" s="148" t="s">
        <v>788</v>
      </c>
      <c r="I355" s="161">
        <v>2008</v>
      </c>
      <c r="J355" s="161" t="s">
        <v>773</v>
      </c>
      <c r="K355" s="161" t="s">
        <v>774</v>
      </c>
      <c r="L355" s="161" t="s">
        <v>83</v>
      </c>
      <c r="M355" s="453" t="s">
        <v>4160</v>
      </c>
      <c r="N355" s="186" t="s">
        <v>20</v>
      </c>
      <c r="O355" s="186" t="s">
        <v>20</v>
      </c>
      <c r="P355" s="186" t="s">
        <v>20</v>
      </c>
      <c r="Q355" s="186" t="s">
        <v>20</v>
      </c>
      <c r="R355" s="186" t="s">
        <v>20</v>
      </c>
      <c r="S355" s="186" t="s">
        <v>20</v>
      </c>
      <c r="T355" s="186" t="s">
        <v>20</v>
      </c>
      <c r="U355" s="186" t="s">
        <v>20</v>
      </c>
      <c r="V355" s="186" t="s">
        <v>20</v>
      </c>
      <c r="W355" s="186" t="s">
        <v>15</v>
      </c>
      <c r="X355" s="186" t="s">
        <v>15</v>
      </c>
      <c r="Y355" s="186" t="s">
        <v>20</v>
      </c>
      <c r="Z355" s="186" t="s">
        <v>779</v>
      </c>
      <c r="AA355" s="186" t="s">
        <v>775</v>
      </c>
      <c r="AB355" s="186" t="s">
        <v>20</v>
      </c>
      <c r="AC355" s="186" t="s">
        <v>20</v>
      </c>
      <c r="AD355" s="268" t="s">
        <v>784</v>
      </c>
      <c r="AE355" s="268"/>
      <c r="AF355" s="144">
        <f t="shared" si="20"/>
        <v>0.5</v>
      </c>
      <c r="AG355" s="144" t="str">
        <f t="shared" si="21"/>
        <v/>
      </c>
      <c r="AH355" s="146">
        <f t="shared" si="22"/>
        <v>0.05</v>
      </c>
      <c r="AI355" s="146" t="str">
        <f t="shared" si="23"/>
        <v/>
      </c>
      <c r="AJ355" s="304">
        <v>0.5</v>
      </c>
      <c r="AK355" s="304"/>
      <c r="AL355" s="304">
        <v>0</v>
      </c>
      <c r="AM355" s="304"/>
      <c r="AN355" s="304">
        <v>147.44</v>
      </c>
      <c r="AO355" s="304"/>
      <c r="AP355" s="304">
        <v>0.05</v>
      </c>
      <c r="AQ355" s="303">
        <v>2.5000000000000001E-2</v>
      </c>
      <c r="AR355" s="304"/>
      <c r="AS355" s="170">
        <f t="shared" si="24"/>
        <v>0.5</v>
      </c>
      <c r="AT355" s="170">
        <f>SUM(AJ355:AQ355)</f>
        <v>148.01500000000001</v>
      </c>
      <c r="AU355" s="310"/>
      <c r="AW355" s="350">
        <v>0.05</v>
      </c>
      <c r="AX355" s="350"/>
      <c r="AY355" s="350">
        <v>0</v>
      </c>
      <c r="AZ355" s="350"/>
      <c r="BA355" s="350">
        <v>9.9</v>
      </c>
      <c r="BB355" s="350"/>
      <c r="BC355" s="350">
        <v>7.3999999999999996E-2</v>
      </c>
      <c r="BD355" s="350">
        <v>8.5000000000000006E-2</v>
      </c>
      <c r="BE355" s="350"/>
      <c r="BF355" s="383">
        <f t="shared" si="26"/>
        <v>0.05</v>
      </c>
      <c r="BG355" s="383">
        <f t="shared" si="25"/>
        <v>10.109000000000002</v>
      </c>
      <c r="BH355" s="278"/>
      <c r="BI355" s="365" t="s">
        <v>777</v>
      </c>
      <c r="BJ355" s="409"/>
    </row>
    <row r="356" spans="1:62" ht="15.75" customHeight="1" thickBot="1" x14ac:dyDescent="0.25">
      <c r="A356" s="154">
        <v>355</v>
      </c>
      <c r="B356" s="155">
        <v>1</v>
      </c>
      <c r="C356" s="148" t="s">
        <v>162</v>
      </c>
      <c r="D356" s="141" t="s">
        <v>1805</v>
      </c>
      <c r="E356" s="148" t="s">
        <v>13</v>
      </c>
      <c r="F356" s="148" t="s">
        <v>789</v>
      </c>
      <c r="G356" s="148" t="s">
        <v>122</v>
      </c>
      <c r="H356" s="148" t="s">
        <v>108</v>
      </c>
      <c r="I356" s="161">
        <v>2008</v>
      </c>
      <c r="J356" s="161" t="s">
        <v>773</v>
      </c>
      <c r="K356" s="161" t="s">
        <v>774</v>
      </c>
      <c r="L356" s="161" t="s">
        <v>83</v>
      </c>
      <c r="M356" s="453" t="s">
        <v>4160</v>
      </c>
      <c r="N356" s="186" t="s">
        <v>20</v>
      </c>
      <c r="O356" s="186" t="s">
        <v>20</v>
      </c>
      <c r="P356" s="186" t="s">
        <v>20</v>
      </c>
      <c r="Q356" s="186" t="s">
        <v>20</v>
      </c>
      <c r="R356" s="186" t="s">
        <v>20</v>
      </c>
      <c r="S356" s="186" t="s">
        <v>20</v>
      </c>
      <c r="T356" s="186" t="s">
        <v>20</v>
      </c>
      <c r="U356" s="186" t="s">
        <v>20</v>
      </c>
      <c r="V356" s="186" t="s">
        <v>20</v>
      </c>
      <c r="W356" s="186" t="s">
        <v>20</v>
      </c>
      <c r="X356" s="186" t="s">
        <v>15</v>
      </c>
      <c r="Y356" s="186" t="s">
        <v>20</v>
      </c>
      <c r="Z356" s="186" t="s">
        <v>779</v>
      </c>
      <c r="AA356" s="186" t="s">
        <v>775</v>
      </c>
      <c r="AB356" s="186" t="s">
        <v>20</v>
      </c>
      <c r="AC356" s="186" t="s">
        <v>20</v>
      </c>
      <c r="AD356" s="268" t="s">
        <v>790</v>
      </c>
      <c r="AE356" s="268"/>
      <c r="AF356" s="144">
        <f t="shared" si="20"/>
        <v>6.1</v>
      </c>
      <c r="AG356" s="144">
        <f t="shared" si="21"/>
        <v>7.1</v>
      </c>
      <c r="AH356" s="146">
        <f t="shared" si="22"/>
        <v>0.52</v>
      </c>
      <c r="AI356" s="146">
        <f t="shared" si="23"/>
        <v>0.54</v>
      </c>
      <c r="AJ356" s="303">
        <v>6.1</v>
      </c>
      <c r="AK356" s="303"/>
      <c r="AL356" s="303">
        <v>1</v>
      </c>
      <c r="AM356" s="303"/>
      <c r="AN356" s="303">
        <v>0.95</v>
      </c>
      <c r="AO356" s="303"/>
      <c r="AP356" s="303">
        <v>11.8</v>
      </c>
      <c r="AQ356" s="303">
        <v>1.05</v>
      </c>
      <c r="AR356" s="303"/>
      <c r="AS356" s="170">
        <f t="shared" si="24"/>
        <v>6.1</v>
      </c>
      <c r="AT356" s="170">
        <v>20.828399999999998</v>
      </c>
      <c r="AU356" s="310"/>
      <c r="AW356" s="294">
        <v>0.52</v>
      </c>
      <c r="AX356" s="294"/>
      <c r="AY356" s="294">
        <v>0.02</v>
      </c>
      <c r="AZ356" s="294"/>
      <c r="BA356" s="294">
        <v>0.12</v>
      </c>
      <c r="BB356" s="294"/>
      <c r="BC356" s="294">
        <v>0.7</v>
      </c>
      <c r="BD356" s="294">
        <v>0.27</v>
      </c>
      <c r="BE356" s="294"/>
      <c r="BF356" s="383">
        <f t="shared" si="26"/>
        <v>0.52</v>
      </c>
      <c r="BG356" s="383">
        <f t="shared" si="25"/>
        <v>1.63</v>
      </c>
      <c r="BH356" s="278"/>
      <c r="BI356" s="365" t="s">
        <v>777</v>
      </c>
      <c r="BJ356" s="409"/>
    </row>
    <row r="357" spans="1:62" ht="15.75" customHeight="1" thickBot="1" x14ac:dyDescent="0.25">
      <c r="A357" s="156">
        <v>356</v>
      </c>
      <c r="B357" s="155">
        <v>1</v>
      </c>
      <c r="C357" s="148" t="s">
        <v>162</v>
      </c>
      <c r="D357" s="141" t="s">
        <v>1805</v>
      </c>
      <c r="E357" s="148" t="s">
        <v>778</v>
      </c>
      <c r="F357" s="148" t="s">
        <v>789</v>
      </c>
      <c r="G357" s="148" t="s">
        <v>122</v>
      </c>
      <c r="H357" s="148" t="s">
        <v>108</v>
      </c>
      <c r="I357" s="161">
        <v>2008</v>
      </c>
      <c r="J357" s="161" t="s">
        <v>773</v>
      </c>
      <c r="K357" s="161" t="s">
        <v>774</v>
      </c>
      <c r="L357" s="161" t="s">
        <v>83</v>
      </c>
      <c r="M357" s="453" t="s">
        <v>4160</v>
      </c>
      <c r="N357" s="186" t="s">
        <v>20</v>
      </c>
      <c r="O357" s="186" t="s">
        <v>20</v>
      </c>
      <c r="P357" s="186" t="s">
        <v>20</v>
      </c>
      <c r="Q357" s="186" t="s">
        <v>20</v>
      </c>
      <c r="R357" s="186" t="s">
        <v>20</v>
      </c>
      <c r="S357" s="186" t="s">
        <v>20</v>
      </c>
      <c r="T357" s="186" t="s">
        <v>20</v>
      </c>
      <c r="U357" s="186" t="s">
        <v>20</v>
      </c>
      <c r="V357" s="186" t="s">
        <v>20</v>
      </c>
      <c r="W357" s="186" t="s">
        <v>20</v>
      </c>
      <c r="X357" s="186" t="s">
        <v>15</v>
      </c>
      <c r="Y357" s="186" t="s">
        <v>20</v>
      </c>
      <c r="Z357" s="186" t="s">
        <v>779</v>
      </c>
      <c r="AA357" s="186" t="s">
        <v>775</v>
      </c>
      <c r="AB357" s="186" t="s">
        <v>20</v>
      </c>
      <c r="AC357" s="186" t="s">
        <v>20</v>
      </c>
      <c r="AD357" s="268" t="s">
        <v>790</v>
      </c>
      <c r="AE357" s="268"/>
      <c r="AF357" s="144">
        <f t="shared" si="20"/>
        <v>4.05</v>
      </c>
      <c r="AG357" s="144">
        <f t="shared" si="21"/>
        <v>6.85</v>
      </c>
      <c r="AH357" s="146">
        <f t="shared" si="22"/>
        <v>0.31</v>
      </c>
      <c r="AI357" s="146">
        <f t="shared" si="23"/>
        <v>0.45999999999999996</v>
      </c>
      <c r="AJ357" s="303">
        <v>4.05</v>
      </c>
      <c r="AK357" s="303"/>
      <c r="AL357" s="303">
        <v>2.8</v>
      </c>
      <c r="AM357" s="303"/>
      <c r="AN357" s="303">
        <v>7.5</v>
      </c>
      <c r="AO357" s="303"/>
      <c r="AP357" s="303">
        <v>13.1</v>
      </c>
      <c r="AQ357" s="303">
        <v>1.05</v>
      </c>
      <c r="AR357" s="303"/>
      <c r="AS357" s="170">
        <f t="shared" si="24"/>
        <v>4.05</v>
      </c>
      <c r="AT357" s="170">
        <v>28.402370000000001</v>
      </c>
      <c r="AU357" s="310"/>
      <c r="AW357" s="294">
        <v>0.31</v>
      </c>
      <c r="AX357" s="294"/>
      <c r="AY357" s="294">
        <v>0.15</v>
      </c>
      <c r="AZ357" s="294"/>
      <c r="BA357" s="294">
        <v>0.41</v>
      </c>
      <c r="BB357" s="294"/>
      <c r="BC357" s="294">
        <v>0.7</v>
      </c>
      <c r="BD357" s="294">
        <v>0.27</v>
      </c>
      <c r="BE357" s="294"/>
      <c r="BF357" s="383">
        <f t="shared" si="26"/>
        <v>0.31</v>
      </c>
      <c r="BG357" s="383">
        <f t="shared" si="25"/>
        <v>1.8399999999999999</v>
      </c>
      <c r="BH357" s="278"/>
      <c r="BI357" s="365" t="s">
        <v>777</v>
      </c>
      <c r="BJ357" s="409"/>
    </row>
    <row r="358" spans="1:62" ht="15.75" customHeight="1" thickBot="1" x14ac:dyDescent="0.25">
      <c r="A358" s="154">
        <v>357</v>
      </c>
      <c r="B358" s="155">
        <v>1</v>
      </c>
      <c r="C358" s="148" t="s">
        <v>162</v>
      </c>
      <c r="D358" s="148" t="s">
        <v>4058</v>
      </c>
      <c r="E358" s="148" t="s">
        <v>13</v>
      </c>
      <c r="F358" s="148" t="s">
        <v>791</v>
      </c>
      <c r="G358" s="148" t="s">
        <v>122</v>
      </c>
      <c r="H358" s="148" t="s">
        <v>788</v>
      </c>
      <c r="I358" s="161">
        <v>2008</v>
      </c>
      <c r="J358" s="161" t="s">
        <v>773</v>
      </c>
      <c r="K358" s="161" t="s">
        <v>774</v>
      </c>
      <c r="L358" s="161" t="s">
        <v>83</v>
      </c>
      <c r="M358" s="453" t="s">
        <v>4160</v>
      </c>
      <c r="N358" s="186" t="s">
        <v>20</v>
      </c>
      <c r="O358" s="186" t="s">
        <v>20</v>
      </c>
      <c r="P358" s="186" t="s">
        <v>20</v>
      </c>
      <c r="Q358" s="186" t="s">
        <v>20</v>
      </c>
      <c r="R358" s="186" t="s">
        <v>20</v>
      </c>
      <c r="S358" s="186" t="s">
        <v>20</v>
      </c>
      <c r="T358" s="186" t="s">
        <v>20</v>
      </c>
      <c r="U358" s="186" t="s">
        <v>20</v>
      </c>
      <c r="V358" s="186" t="s">
        <v>20</v>
      </c>
      <c r="W358" s="186" t="s">
        <v>20</v>
      </c>
      <c r="X358" s="186" t="s">
        <v>15</v>
      </c>
      <c r="Y358" s="186" t="s">
        <v>20</v>
      </c>
      <c r="Z358" s="186" t="s">
        <v>779</v>
      </c>
      <c r="AA358" s="186" t="s">
        <v>775</v>
      </c>
      <c r="AB358" s="186" t="s">
        <v>20</v>
      </c>
      <c r="AC358" s="186" t="s">
        <v>20</v>
      </c>
      <c r="AD358" s="268" t="s">
        <v>790</v>
      </c>
      <c r="AE358" s="268"/>
      <c r="AF358" s="144">
        <f t="shared" si="20"/>
        <v>0.5</v>
      </c>
      <c r="AG358" s="144" t="str">
        <f t="shared" si="21"/>
        <v/>
      </c>
      <c r="AH358" s="146">
        <f t="shared" si="22"/>
        <v>0.12</v>
      </c>
      <c r="AI358" s="146" t="str">
        <f t="shared" si="23"/>
        <v/>
      </c>
      <c r="AJ358" s="303">
        <v>0.5</v>
      </c>
      <c r="AK358" s="303"/>
      <c r="AL358" s="303">
        <v>0</v>
      </c>
      <c r="AM358" s="303"/>
      <c r="AN358" s="303">
        <v>145</v>
      </c>
      <c r="AO358" s="303"/>
      <c r="AP358" s="303">
        <v>11</v>
      </c>
      <c r="AQ358" s="303">
        <v>1.1000000000000001</v>
      </c>
      <c r="AR358" s="303"/>
      <c r="AS358" s="170">
        <f t="shared" si="24"/>
        <v>0.5</v>
      </c>
      <c r="AT358" s="170">
        <v>157.15979999999999</v>
      </c>
      <c r="AU358" s="310"/>
      <c r="AW358" s="294">
        <v>0.12</v>
      </c>
      <c r="AX358" s="294"/>
      <c r="AY358" s="294">
        <v>0</v>
      </c>
      <c r="AZ358" s="294"/>
      <c r="BA358" s="294">
        <v>9.81</v>
      </c>
      <c r="BB358" s="294"/>
      <c r="BC358" s="294">
        <v>0.7</v>
      </c>
      <c r="BD358" s="294">
        <v>0.27</v>
      </c>
      <c r="BE358" s="294"/>
      <c r="BF358" s="383">
        <f t="shared" si="26"/>
        <v>0.12</v>
      </c>
      <c r="BG358" s="383">
        <f t="shared" si="25"/>
        <v>10.899999999999999</v>
      </c>
      <c r="BH358" s="278"/>
      <c r="BI358" s="365" t="s">
        <v>777</v>
      </c>
      <c r="BJ358" s="409"/>
    </row>
    <row r="359" spans="1:62" ht="15.75" customHeight="1" thickBot="1" x14ac:dyDescent="0.25">
      <c r="A359" s="156">
        <v>358</v>
      </c>
      <c r="B359" s="155">
        <v>1</v>
      </c>
      <c r="C359" s="148" t="s">
        <v>162</v>
      </c>
      <c r="D359" s="148" t="s">
        <v>4058</v>
      </c>
      <c r="E359" s="148" t="s">
        <v>13</v>
      </c>
      <c r="F359" s="148" t="s">
        <v>792</v>
      </c>
      <c r="G359" s="148" t="s">
        <v>122</v>
      </c>
      <c r="H359" s="148" t="s">
        <v>793</v>
      </c>
      <c r="I359" s="161">
        <v>2008</v>
      </c>
      <c r="J359" s="161" t="s">
        <v>773</v>
      </c>
      <c r="K359" s="161" t="s">
        <v>774</v>
      </c>
      <c r="L359" s="161" t="s">
        <v>83</v>
      </c>
      <c r="M359" s="453" t="s">
        <v>4160</v>
      </c>
      <c r="N359" s="186" t="s">
        <v>20</v>
      </c>
      <c r="O359" s="186" t="s">
        <v>20</v>
      </c>
      <c r="P359" s="186" t="s">
        <v>20</v>
      </c>
      <c r="Q359" s="186" t="s">
        <v>20</v>
      </c>
      <c r="R359" s="186" t="s">
        <v>20</v>
      </c>
      <c r="S359" s="186" t="s">
        <v>20</v>
      </c>
      <c r="T359" s="186" t="s">
        <v>20</v>
      </c>
      <c r="U359" s="186" t="s">
        <v>20</v>
      </c>
      <c r="V359" s="186" t="s">
        <v>20</v>
      </c>
      <c r="W359" s="186" t="s">
        <v>20</v>
      </c>
      <c r="X359" s="186" t="s">
        <v>15</v>
      </c>
      <c r="Y359" s="186" t="s">
        <v>20</v>
      </c>
      <c r="Z359" s="186" t="s">
        <v>779</v>
      </c>
      <c r="AA359" s="186" t="s">
        <v>775</v>
      </c>
      <c r="AB359" s="186" t="s">
        <v>20</v>
      </c>
      <c r="AC359" s="186" t="s">
        <v>20</v>
      </c>
      <c r="AD359" s="268" t="s">
        <v>790</v>
      </c>
      <c r="AE359" s="268"/>
      <c r="AF359" s="144">
        <f t="shared" si="20"/>
        <v>1.1000000000000001</v>
      </c>
      <c r="AG359" s="144" t="str">
        <f t="shared" si="21"/>
        <v/>
      </c>
      <c r="AH359" s="146">
        <f t="shared" si="22"/>
        <v>0.06</v>
      </c>
      <c r="AI359" s="146" t="str">
        <f t="shared" si="23"/>
        <v/>
      </c>
      <c r="AJ359" s="303">
        <v>1.1000000000000001</v>
      </c>
      <c r="AK359" s="303"/>
      <c r="AL359" s="303">
        <v>0</v>
      </c>
      <c r="AM359" s="303"/>
      <c r="AN359" s="303">
        <v>144.9</v>
      </c>
      <c r="AO359" s="303"/>
      <c r="AP359" s="303">
        <v>11</v>
      </c>
      <c r="AQ359" s="303">
        <v>1.1000000000000001</v>
      </c>
      <c r="AR359" s="303"/>
      <c r="AS359" s="170">
        <f t="shared" si="24"/>
        <v>1.1000000000000001</v>
      </c>
      <c r="AT359" s="170">
        <v>158.10650000000001</v>
      </c>
      <c r="AU359" s="310"/>
      <c r="AW359" s="294">
        <v>0.06</v>
      </c>
      <c r="AX359" s="294"/>
      <c r="AY359" s="294">
        <v>0</v>
      </c>
      <c r="AZ359" s="294"/>
      <c r="BA359" s="294">
        <v>9.6999999999999993</v>
      </c>
      <c r="BB359" s="294"/>
      <c r="BC359" s="294">
        <v>0.7</v>
      </c>
      <c r="BD359" s="294">
        <v>0.27</v>
      </c>
      <c r="BE359" s="294"/>
      <c r="BF359" s="383">
        <f t="shared" si="26"/>
        <v>0.06</v>
      </c>
      <c r="BG359" s="383">
        <f t="shared" si="25"/>
        <v>10.729999999999999</v>
      </c>
      <c r="BH359" s="278"/>
      <c r="BI359" s="365" t="s">
        <v>777</v>
      </c>
      <c r="BJ359" s="410"/>
    </row>
    <row r="360" spans="1:62" ht="15.75" customHeight="1" thickBot="1" x14ac:dyDescent="0.25">
      <c r="A360" s="154">
        <v>359</v>
      </c>
      <c r="B360" s="155">
        <v>1</v>
      </c>
      <c r="C360" s="148" t="s">
        <v>236</v>
      </c>
      <c r="D360" s="148" t="s">
        <v>2230</v>
      </c>
      <c r="E360" s="148" t="s">
        <v>13</v>
      </c>
      <c r="F360" s="148" t="s">
        <v>2230</v>
      </c>
      <c r="G360" s="148" t="s">
        <v>15</v>
      </c>
      <c r="H360" s="148" t="s">
        <v>87</v>
      </c>
      <c r="I360" s="161">
        <v>2013</v>
      </c>
      <c r="J360" s="161" t="s">
        <v>794</v>
      </c>
      <c r="K360" s="161" t="s">
        <v>795</v>
      </c>
      <c r="L360" s="161" t="s">
        <v>19</v>
      </c>
      <c r="M360" s="453" t="s">
        <v>4161</v>
      </c>
      <c r="N360" s="186" t="s">
        <v>20</v>
      </c>
      <c r="O360" s="186" t="s">
        <v>15</v>
      </c>
      <c r="P360" s="186" t="s">
        <v>20</v>
      </c>
      <c r="Q360" s="186" t="s">
        <v>20</v>
      </c>
      <c r="R360" s="186" t="s">
        <v>20</v>
      </c>
      <c r="S360" s="186" t="s">
        <v>20</v>
      </c>
      <c r="T360" s="186" t="s">
        <v>20</v>
      </c>
      <c r="U360" s="186" t="s">
        <v>15</v>
      </c>
      <c r="V360" s="186" t="s">
        <v>15</v>
      </c>
      <c r="W360" s="186" t="s">
        <v>15</v>
      </c>
      <c r="X360" s="186" t="s">
        <v>15</v>
      </c>
      <c r="Y360" s="186" t="s">
        <v>15</v>
      </c>
      <c r="Z360" s="186" t="s">
        <v>796</v>
      </c>
      <c r="AA360" s="186" t="s">
        <v>797</v>
      </c>
      <c r="AB360" s="186" t="s">
        <v>15</v>
      </c>
      <c r="AC360" s="186" t="s">
        <v>122</v>
      </c>
      <c r="AD360" s="268" t="s">
        <v>798</v>
      </c>
      <c r="AE360" s="268" t="s">
        <v>799</v>
      </c>
      <c r="AF360" s="144">
        <f t="shared" si="20"/>
        <v>6.3972093023255825</v>
      </c>
      <c r="AG360" s="144" t="str">
        <f t="shared" si="21"/>
        <v/>
      </c>
      <c r="AH360" s="146">
        <f t="shared" si="22"/>
        <v>0.26295652173913026</v>
      </c>
      <c r="AI360" s="146" t="str">
        <f t="shared" si="23"/>
        <v/>
      </c>
      <c r="AJ360" s="303">
        <f>9.84186046511628*0.65</f>
        <v>6.3972093023255825</v>
      </c>
      <c r="AK360" s="303"/>
      <c r="AL360" s="303"/>
      <c r="AM360" s="303">
        <f>9.84186046511628*0.3</f>
        <v>2.9525581395348839</v>
      </c>
      <c r="AN360" s="303">
        <f>9.84186046511628*0.025</f>
        <v>0.24604651162790703</v>
      </c>
      <c r="AO360" s="303">
        <f>9.84186046511628*0.025</f>
        <v>0.24604651162790703</v>
      </c>
      <c r="AP360" s="303"/>
      <c r="AQ360" s="303"/>
      <c r="AR360" s="303"/>
      <c r="AS360" s="170">
        <f t="shared" si="24"/>
        <v>6.3972093023255825</v>
      </c>
      <c r="AT360" s="170">
        <v>9.8418604651162802</v>
      </c>
      <c r="AU360" s="310"/>
      <c r="AW360" s="294">
        <f>0.469565217391304*0.56</f>
        <v>0.26295652173913026</v>
      </c>
      <c r="AX360" s="294"/>
      <c r="AY360" s="294"/>
      <c r="AZ360" s="294">
        <f>0.469565217391304*0.32</f>
        <v>0.15026086956521728</v>
      </c>
      <c r="BA360" s="294">
        <f>0.469565217391304*0.02</f>
        <v>9.3913043478260801E-3</v>
      </c>
      <c r="BB360" s="294">
        <f>0.469565217391304*0.03</f>
        <v>1.408695652173912E-2</v>
      </c>
      <c r="BC360" s="294"/>
      <c r="BD360" s="294">
        <f>0.469565217391304*0.03</f>
        <v>1.408695652173912E-2</v>
      </c>
      <c r="BE360" s="294"/>
      <c r="BF360" s="383">
        <f t="shared" si="26"/>
        <v>0.26295652173913026</v>
      </c>
      <c r="BG360" s="383">
        <f t="shared" si="25"/>
        <v>0.4507826086956519</v>
      </c>
      <c r="BH360" s="278"/>
      <c r="BI360" s="365" t="s">
        <v>800</v>
      </c>
      <c r="BJ360" s="409"/>
    </row>
    <row r="361" spans="1:62" ht="15.75" customHeight="1" thickBot="1" x14ac:dyDescent="0.25">
      <c r="A361" s="156">
        <v>360</v>
      </c>
      <c r="B361" s="155">
        <v>1</v>
      </c>
      <c r="C361" s="148" t="s">
        <v>236</v>
      </c>
      <c r="D361" s="148" t="s">
        <v>1837</v>
      </c>
      <c r="E361" s="148" t="s">
        <v>13</v>
      </c>
      <c r="F361" s="148" t="s">
        <v>1837</v>
      </c>
      <c r="G361" s="148" t="s">
        <v>15</v>
      </c>
      <c r="H361" s="148" t="s">
        <v>87</v>
      </c>
      <c r="I361" s="161">
        <v>2013</v>
      </c>
      <c r="J361" s="161" t="s">
        <v>794</v>
      </c>
      <c r="K361" s="161" t="s">
        <v>795</v>
      </c>
      <c r="L361" s="161" t="s">
        <v>19</v>
      </c>
      <c r="M361" s="453" t="s">
        <v>4161</v>
      </c>
      <c r="N361" s="186" t="s">
        <v>20</v>
      </c>
      <c r="O361" s="186" t="s">
        <v>15</v>
      </c>
      <c r="P361" s="186" t="s">
        <v>20</v>
      </c>
      <c r="Q361" s="186" t="s">
        <v>20</v>
      </c>
      <c r="R361" s="186" t="s">
        <v>20</v>
      </c>
      <c r="S361" s="186" t="s">
        <v>20</v>
      </c>
      <c r="T361" s="186" t="s">
        <v>20</v>
      </c>
      <c r="U361" s="186" t="s">
        <v>15</v>
      </c>
      <c r="V361" s="186" t="s">
        <v>15</v>
      </c>
      <c r="W361" s="186" t="s">
        <v>15</v>
      </c>
      <c r="X361" s="186" t="s">
        <v>15</v>
      </c>
      <c r="Y361" s="186" t="s">
        <v>15</v>
      </c>
      <c r="Z361" s="186" t="s">
        <v>796</v>
      </c>
      <c r="AA361" s="186" t="s">
        <v>797</v>
      </c>
      <c r="AB361" s="186" t="s">
        <v>15</v>
      </c>
      <c r="AC361" s="186" t="s">
        <v>122</v>
      </c>
      <c r="AD361" s="268" t="s">
        <v>798</v>
      </c>
      <c r="AE361" s="268" t="s">
        <v>799</v>
      </c>
      <c r="AF361" s="144">
        <f t="shared" si="20"/>
        <v>3.4533333333333345</v>
      </c>
      <c r="AG361" s="144" t="str">
        <f t="shared" si="21"/>
        <v/>
      </c>
      <c r="AH361" s="146">
        <f t="shared" si="22"/>
        <v>0.16947368421052647</v>
      </c>
      <c r="AI361" s="146" t="str">
        <f t="shared" si="23"/>
        <v/>
      </c>
      <c r="AJ361" s="303">
        <f>9.86666666666667*0.35</f>
        <v>3.4533333333333345</v>
      </c>
      <c r="AK361" s="303"/>
      <c r="AL361" s="303"/>
      <c r="AM361" s="303">
        <f>9.86666666666667*0.5</f>
        <v>4.9333333333333353</v>
      </c>
      <c r="AN361" s="303">
        <f>9.86666666666667*0.03</f>
        <v>0.2960000000000001</v>
      </c>
      <c r="AO361" s="303">
        <f>9.86666666666667*0.12</f>
        <v>1.1840000000000004</v>
      </c>
      <c r="AP361" s="303"/>
      <c r="AQ361" s="303"/>
      <c r="AR361" s="303"/>
      <c r="AS361" s="170">
        <f t="shared" si="24"/>
        <v>3.4533333333333345</v>
      </c>
      <c r="AT361" s="170">
        <v>9.8666666666666671</v>
      </c>
      <c r="AU361" s="310"/>
      <c r="AW361" s="294">
        <f>0.48421052631579*0.35</f>
        <v>0.16947368421052647</v>
      </c>
      <c r="AX361" s="294"/>
      <c r="AY361" s="294"/>
      <c r="AZ361" s="294">
        <f>0.48421052631579*0.4</f>
        <v>0.19368421052631601</v>
      </c>
      <c r="BA361" s="294">
        <f>0.48421052631579*0.03</f>
        <v>1.45263157894737E-2</v>
      </c>
      <c r="BB361" s="294">
        <f>0.48421052631579*0.17</f>
        <v>8.23157894736843E-2</v>
      </c>
      <c r="BC361" s="294"/>
      <c r="BD361" s="294">
        <f>0.48421052631579*0.05</f>
        <v>2.4210526315789502E-2</v>
      </c>
      <c r="BE361" s="294"/>
      <c r="BF361" s="383">
        <f t="shared" si="26"/>
        <v>0.16947368421052647</v>
      </c>
      <c r="BG361" s="383">
        <f t="shared" si="25"/>
        <v>0.48421052631578998</v>
      </c>
      <c r="BH361" s="278"/>
      <c r="BI361" s="365" t="s">
        <v>800</v>
      </c>
      <c r="BJ361" s="409"/>
    </row>
    <row r="362" spans="1:62" ht="15.75" customHeight="1" thickBot="1" x14ac:dyDescent="0.25">
      <c r="A362" s="154">
        <v>361</v>
      </c>
      <c r="B362" s="155">
        <v>1</v>
      </c>
      <c r="C362" s="148" t="s">
        <v>236</v>
      </c>
      <c r="D362" s="148" t="s">
        <v>1837</v>
      </c>
      <c r="E362" s="148" t="s">
        <v>13</v>
      </c>
      <c r="F362" s="148" t="s">
        <v>801</v>
      </c>
      <c r="G362" s="148" t="s">
        <v>20</v>
      </c>
      <c r="H362" s="148" t="s">
        <v>16</v>
      </c>
      <c r="I362" s="161">
        <v>2012</v>
      </c>
      <c r="J362" s="161" t="s">
        <v>802</v>
      </c>
      <c r="K362" s="161" t="s">
        <v>803</v>
      </c>
      <c r="L362" s="161" t="s">
        <v>19</v>
      </c>
      <c r="M362" s="453" t="s">
        <v>4162</v>
      </c>
      <c r="N362" s="186" t="s">
        <v>20</v>
      </c>
      <c r="O362" s="186" t="s">
        <v>15</v>
      </c>
      <c r="P362" s="186" t="s">
        <v>15</v>
      </c>
      <c r="Q362" s="186" t="s">
        <v>15</v>
      </c>
      <c r="R362" s="186" t="s">
        <v>15</v>
      </c>
      <c r="S362" s="186" t="s">
        <v>15</v>
      </c>
      <c r="T362" s="186" t="s">
        <v>15</v>
      </c>
      <c r="U362" s="186" t="s">
        <v>15</v>
      </c>
      <c r="V362" s="186" t="s">
        <v>15</v>
      </c>
      <c r="W362" s="186" t="s">
        <v>15</v>
      </c>
      <c r="X362" s="186" t="s">
        <v>15</v>
      </c>
      <c r="Y362" s="186" t="s">
        <v>15</v>
      </c>
      <c r="Z362" s="186"/>
      <c r="AA362" s="186" t="s">
        <v>804</v>
      </c>
      <c r="AB362" s="186" t="s">
        <v>15</v>
      </c>
      <c r="AC362" s="186" t="s">
        <v>15</v>
      </c>
      <c r="AD362" s="268" t="s">
        <v>755</v>
      </c>
      <c r="AE362" s="268"/>
      <c r="AF362" s="144" t="str">
        <f t="shared" si="20"/>
        <v/>
      </c>
      <c r="AG362" s="144" t="str">
        <f t="shared" si="21"/>
        <v/>
      </c>
      <c r="AH362" s="146">
        <f t="shared" si="22"/>
        <v>0.82899999999999996</v>
      </c>
      <c r="AI362" s="146" t="str">
        <f t="shared" si="23"/>
        <v/>
      </c>
      <c r="AJ362" s="303"/>
      <c r="AK362" s="303"/>
      <c r="AL362" s="303"/>
      <c r="AM362" s="303"/>
      <c r="AN362" s="303"/>
      <c r="AO362" s="303"/>
      <c r="AP362" s="303"/>
      <c r="AQ362" s="303"/>
      <c r="AR362" s="303"/>
      <c r="AS362" s="170"/>
      <c r="AT362" s="170"/>
      <c r="AU362" s="310"/>
      <c r="AW362" s="294"/>
      <c r="AX362" s="294"/>
      <c r="AY362" s="294"/>
      <c r="AZ362" s="294"/>
      <c r="BA362" s="294"/>
      <c r="BB362" s="294"/>
      <c r="BC362" s="294"/>
      <c r="BD362" s="294"/>
      <c r="BE362" s="294"/>
      <c r="BF362" s="382">
        <v>0.82899999999999996</v>
      </c>
      <c r="BG362" s="383"/>
      <c r="BH362" s="278"/>
      <c r="BI362" s="365"/>
      <c r="BJ362" s="409"/>
    </row>
    <row r="363" spans="1:62" ht="15.75" customHeight="1" thickBot="1" x14ac:dyDescent="0.25">
      <c r="A363" s="156">
        <v>362</v>
      </c>
      <c r="B363" s="155">
        <v>1</v>
      </c>
      <c r="C363" s="148" t="s">
        <v>236</v>
      </c>
      <c r="D363" s="148" t="s">
        <v>1837</v>
      </c>
      <c r="E363" s="148" t="s">
        <v>13</v>
      </c>
      <c r="F363" s="148" t="s">
        <v>805</v>
      </c>
      <c r="G363" s="148" t="s">
        <v>20</v>
      </c>
      <c r="H363" s="148" t="s">
        <v>16</v>
      </c>
      <c r="I363" s="161">
        <v>2012</v>
      </c>
      <c r="J363" s="161" t="s">
        <v>802</v>
      </c>
      <c r="K363" s="161" t="s">
        <v>803</v>
      </c>
      <c r="L363" s="161" t="s">
        <v>19</v>
      </c>
      <c r="M363" s="453" t="s">
        <v>4162</v>
      </c>
      <c r="N363" s="186" t="s">
        <v>20</v>
      </c>
      <c r="O363" s="186" t="s">
        <v>20</v>
      </c>
      <c r="P363" s="186" t="s">
        <v>15</v>
      </c>
      <c r="Q363" s="186" t="s">
        <v>15</v>
      </c>
      <c r="R363" s="186" t="s">
        <v>15</v>
      </c>
      <c r="S363" s="186" t="s">
        <v>15</v>
      </c>
      <c r="T363" s="186" t="s">
        <v>15</v>
      </c>
      <c r="U363" s="186" t="s">
        <v>15</v>
      </c>
      <c r="V363" s="186" t="s">
        <v>15</v>
      </c>
      <c r="W363" s="186" t="s">
        <v>15</v>
      </c>
      <c r="X363" s="186" t="s">
        <v>15</v>
      </c>
      <c r="Y363" s="186" t="s">
        <v>15</v>
      </c>
      <c r="Z363" s="186"/>
      <c r="AA363" s="186" t="s">
        <v>806</v>
      </c>
      <c r="AB363" s="186" t="s">
        <v>15</v>
      </c>
      <c r="AC363" s="186" t="s">
        <v>15</v>
      </c>
      <c r="AD363" s="268" t="s">
        <v>755</v>
      </c>
      <c r="AE363" s="268"/>
      <c r="AF363" s="144" t="str">
        <f t="shared" si="20"/>
        <v/>
      </c>
      <c r="AG363" s="144" t="str">
        <f t="shared" si="21"/>
        <v/>
      </c>
      <c r="AH363" s="146">
        <f t="shared" si="22"/>
        <v>0.72299999999999998</v>
      </c>
      <c r="AI363" s="146" t="str">
        <f t="shared" si="23"/>
        <v/>
      </c>
      <c r="AJ363" s="303"/>
      <c r="AK363" s="303"/>
      <c r="AL363" s="303"/>
      <c r="AM363" s="303"/>
      <c r="AN363" s="303"/>
      <c r="AO363" s="303"/>
      <c r="AP363" s="303"/>
      <c r="AQ363" s="303"/>
      <c r="AR363" s="303"/>
      <c r="AS363" s="170"/>
      <c r="AT363" s="170"/>
      <c r="AU363" s="310"/>
      <c r="AW363" s="294"/>
      <c r="AX363" s="294"/>
      <c r="AY363" s="294"/>
      <c r="AZ363" s="294"/>
      <c r="BA363" s="294"/>
      <c r="BB363" s="294"/>
      <c r="BC363" s="294"/>
      <c r="BD363" s="294"/>
      <c r="BE363" s="294"/>
      <c r="BF363" s="382">
        <v>0.72299999999999998</v>
      </c>
      <c r="BG363" s="383"/>
      <c r="BH363" s="278"/>
      <c r="BI363" s="365"/>
      <c r="BJ363" s="409"/>
    </row>
    <row r="364" spans="1:62" ht="15.75" customHeight="1" thickBot="1" x14ac:dyDescent="0.25">
      <c r="A364" s="154">
        <v>363</v>
      </c>
      <c r="B364" s="155">
        <v>1</v>
      </c>
      <c r="C364" s="148" t="s">
        <v>236</v>
      </c>
      <c r="D364" s="141" t="s">
        <v>1739</v>
      </c>
      <c r="E364" s="148" t="s">
        <v>13</v>
      </c>
      <c r="F364" s="148" t="s">
        <v>807</v>
      </c>
      <c r="G364" s="148" t="s">
        <v>20</v>
      </c>
      <c r="H364" s="148" t="s">
        <v>16</v>
      </c>
      <c r="I364" s="161">
        <v>2012</v>
      </c>
      <c r="J364" s="161" t="s">
        <v>802</v>
      </c>
      <c r="K364" s="161" t="s">
        <v>803</v>
      </c>
      <c r="L364" s="161" t="s">
        <v>19</v>
      </c>
      <c r="M364" s="453" t="s">
        <v>4162</v>
      </c>
      <c r="N364" s="186" t="s">
        <v>20</v>
      </c>
      <c r="O364" s="186" t="s">
        <v>15</v>
      </c>
      <c r="P364" s="186" t="s">
        <v>15</v>
      </c>
      <c r="Q364" s="186" t="s">
        <v>15</v>
      </c>
      <c r="R364" s="186" t="s">
        <v>15</v>
      </c>
      <c r="S364" s="186" t="s">
        <v>15</v>
      </c>
      <c r="T364" s="186" t="s">
        <v>15</v>
      </c>
      <c r="U364" s="186" t="s">
        <v>15</v>
      </c>
      <c r="V364" s="186" t="s">
        <v>15</v>
      </c>
      <c r="W364" s="186" t="s">
        <v>15</v>
      </c>
      <c r="X364" s="186" t="s">
        <v>15</v>
      </c>
      <c r="Y364" s="186" t="s">
        <v>15</v>
      </c>
      <c r="Z364" s="186"/>
      <c r="AA364" s="186" t="s">
        <v>804</v>
      </c>
      <c r="AB364" s="186" t="s">
        <v>15</v>
      </c>
      <c r="AC364" s="186" t="s">
        <v>15</v>
      </c>
      <c r="AD364" s="268" t="s">
        <v>755</v>
      </c>
      <c r="AE364" s="268"/>
      <c r="AF364" s="144" t="str">
        <f t="shared" si="20"/>
        <v/>
      </c>
      <c r="AG364" s="144" t="str">
        <f t="shared" si="21"/>
        <v/>
      </c>
      <c r="AH364" s="146">
        <f t="shared" si="22"/>
        <v>0.188</v>
      </c>
      <c r="AI364" s="146" t="str">
        <f t="shared" si="23"/>
        <v/>
      </c>
      <c r="AJ364" s="303"/>
      <c r="AK364" s="303"/>
      <c r="AL364" s="303"/>
      <c r="AM364" s="303"/>
      <c r="AN364" s="303"/>
      <c r="AO364" s="303"/>
      <c r="AP364" s="303"/>
      <c r="AQ364" s="303"/>
      <c r="AR364" s="303"/>
      <c r="AS364" s="170"/>
      <c r="AT364" s="170"/>
      <c r="AU364" s="310"/>
      <c r="AW364" s="294"/>
      <c r="AX364" s="294"/>
      <c r="AY364" s="294"/>
      <c r="AZ364" s="294"/>
      <c r="BA364" s="294"/>
      <c r="BB364" s="294"/>
      <c r="BC364" s="294"/>
      <c r="BD364" s="294"/>
      <c r="BE364" s="294"/>
      <c r="BF364" s="382">
        <v>0.188</v>
      </c>
      <c r="BG364" s="383"/>
      <c r="BH364" s="278"/>
      <c r="BI364" s="365"/>
      <c r="BJ364" s="409"/>
    </row>
    <row r="365" spans="1:62" ht="15.75" customHeight="1" thickBot="1" x14ac:dyDescent="0.25">
      <c r="A365" s="156">
        <v>364</v>
      </c>
      <c r="B365" s="155">
        <v>1</v>
      </c>
      <c r="C365" s="148" t="s">
        <v>236</v>
      </c>
      <c r="D365" s="141" t="s">
        <v>1739</v>
      </c>
      <c r="E365" s="148" t="s">
        <v>13</v>
      </c>
      <c r="F365" s="148" t="s">
        <v>808</v>
      </c>
      <c r="G365" s="148" t="s">
        <v>20</v>
      </c>
      <c r="H365" s="148" t="s">
        <v>16</v>
      </c>
      <c r="I365" s="161">
        <v>2012</v>
      </c>
      <c r="J365" s="161" t="s">
        <v>802</v>
      </c>
      <c r="K365" s="161" t="s">
        <v>803</v>
      </c>
      <c r="L365" s="161" t="s">
        <v>19</v>
      </c>
      <c r="M365" s="453" t="s">
        <v>4162</v>
      </c>
      <c r="N365" s="186" t="s">
        <v>20</v>
      </c>
      <c r="O365" s="186" t="s">
        <v>20</v>
      </c>
      <c r="P365" s="186" t="s">
        <v>15</v>
      </c>
      <c r="Q365" s="186" t="s">
        <v>15</v>
      </c>
      <c r="R365" s="186" t="s">
        <v>15</v>
      </c>
      <c r="S365" s="186" t="s">
        <v>15</v>
      </c>
      <c r="T365" s="186" t="s">
        <v>15</v>
      </c>
      <c r="U365" s="186" t="s">
        <v>15</v>
      </c>
      <c r="V365" s="186" t="s">
        <v>15</v>
      </c>
      <c r="W365" s="186" t="s">
        <v>15</v>
      </c>
      <c r="X365" s="186" t="s">
        <v>15</v>
      </c>
      <c r="Y365" s="186" t="s">
        <v>15</v>
      </c>
      <c r="Z365" s="186"/>
      <c r="AA365" s="186" t="s">
        <v>806</v>
      </c>
      <c r="AB365" s="186" t="s">
        <v>15</v>
      </c>
      <c r="AC365" s="186" t="s">
        <v>15</v>
      </c>
      <c r="AD365" s="268" t="s">
        <v>755</v>
      </c>
      <c r="AE365" s="268"/>
      <c r="AF365" s="144" t="str">
        <f t="shared" si="20"/>
        <v/>
      </c>
      <c r="AG365" s="144" t="str">
        <f t="shared" si="21"/>
        <v/>
      </c>
      <c r="AH365" s="146">
        <f t="shared" si="22"/>
        <v>0.26700000000000002</v>
      </c>
      <c r="AI365" s="146" t="str">
        <f t="shared" si="23"/>
        <v/>
      </c>
      <c r="AJ365" s="303"/>
      <c r="AK365" s="303"/>
      <c r="AL365" s="303"/>
      <c r="AM365" s="303"/>
      <c r="AN365" s="303"/>
      <c r="AO365" s="303"/>
      <c r="AP365" s="303"/>
      <c r="AQ365" s="303"/>
      <c r="AR365" s="303"/>
      <c r="AS365" s="170"/>
      <c r="AT365" s="170"/>
      <c r="AU365" s="310"/>
      <c r="AW365" s="294"/>
      <c r="AX365" s="294"/>
      <c r="AY365" s="294"/>
      <c r="AZ365" s="294"/>
      <c r="BA365" s="294"/>
      <c r="BB365" s="294"/>
      <c r="BC365" s="294"/>
      <c r="BD365" s="294"/>
      <c r="BE365" s="294"/>
      <c r="BF365" s="382">
        <v>0.26700000000000002</v>
      </c>
      <c r="BG365" s="383"/>
      <c r="BH365" s="278"/>
      <c r="BI365" s="365"/>
      <c r="BJ365" s="409"/>
    </row>
    <row r="366" spans="1:62" ht="15.75" customHeight="1" thickBot="1" x14ac:dyDescent="0.25">
      <c r="A366" s="154">
        <v>365</v>
      </c>
      <c r="B366" s="155">
        <v>1</v>
      </c>
      <c r="C366" s="148" t="s">
        <v>236</v>
      </c>
      <c r="D366" s="141" t="s">
        <v>1739</v>
      </c>
      <c r="E366" s="148" t="s">
        <v>13</v>
      </c>
      <c r="F366" s="148" t="s">
        <v>809</v>
      </c>
      <c r="G366" s="148" t="s">
        <v>20</v>
      </c>
      <c r="H366" s="148" t="s">
        <v>16</v>
      </c>
      <c r="I366" s="161">
        <v>2012</v>
      </c>
      <c r="J366" s="161" t="s">
        <v>802</v>
      </c>
      <c r="K366" s="161" t="s">
        <v>803</v>
      </c>
      <c r="L366" s="161" t="s">
        <v>19</v>
      </c>
      <c r="M366" s="453" t="s">
        <v>4162</v>
      </c>
      <c r="N366" s="186" t="s">
        <v>20</v>
      </c>
      <c r="O366" s="186" t="s">
        <v>15</v>
      </c>
      <c r="P366" s="186" t="s">
        <v>15</v>
      </c>
      <c r="Q366" s="186" t="s">
        <v>15</v>
      </c>
      <c r="R366" s="186" t="s">
        <v>15</v>
      </c>
      <c r="S366" s="186" t="s">
        <v>15</v>
      </c>
      <c r="T366" s="186" t="s">
        <v>15</v>
      </c>
      <c r="U366" s="186" t="s">
        <v>15</v>
      </c>
      <c r="V366" s="186" t="s">
        <v>15</v>
      </c>
      <c r="W366" s="186" t="s">
        <v>15</v>
      </c>
      <c r="X366" s="186" t="s">
        <v>15</v>
      </c>
      <c r="Y366" s="186" t="s">
        <v>15</v>
      </c>
      <c r="Z366" s="186"/>
      <c r="AA366" s="186" t="s">
        <v>804</v>
      </c>
      <c r="AB366" s="186" t="s">
        <v>15</v>
      </c>
      <c r="AC366" s="186" t="s">
        <v>15</v>
      </c>
      <c r="AD366" s="268" t="s">
        <v>755</v>
      </c>
      <c r="AE366" s="268"/>
      <c r="AF366" s="144" t="str">
        <f t="shared" si="20"/>
        <v/>
      </c>
      <c r="AG366" s="144" t="str">
        <f t="shared" si="21"/>
        <v/>
      </c>
      <c r="AH366" s="146">
        <f t="shared" si="22"/>
        <v>0.108</v>
      </c>
      <c r="AI366" s="146" t="str">
        <f t="shared" si="23"/>
        <v/>
      </c>
      <c r="AJ366" s="303"/>
      <c r="AK366" s="303"/>
      <c r="AL366" s="303"/>
      <c r="AM366" s="303"/>
      <c r="AN366" s="303"/>
      <c r="AO366" s="303"/>
      <c r="AP366" s="303"/>
      <c r="AQ366" s="303"/>
      <c r="AR366" s="303"/>
      <c r="AS366" s="170"/>
      <c r="AT366" s="170"/>
      <c r="AU366" s="310"/>
      <c r="AW366" s="294"/>
      <c r="AX366" s="294"/>
      <c r="AY366" s="294"/>
      <c r="AZ366" s="294"/>
      <c r="BA366" s="294"/>
      <c r="BB366" s="294"/>
      <c r="BC366" s="294"/>
      <c r="BD366" s="294"/>
      <c r="BE366" s="294"/>
      <c r="BF366" s="382">
        <v>0.108</v>
      </c>
      <c r="BG366" s="383"/>
      <c r="BH366" s="278"/>
      <c r="BI366" s="365"/>
      <c r="BJ366" s="409"/>
    </row>
    <row r="367" spans="1:62" ht="15.75" customHeight="1" thickBot="1" x14ac:dyDescent="0.25">
      <c r="A367" s="156">
        <v>366</v>
      </c>
      <c r="B367" s="155">
        <v>1</v>
      </c>
      <c r="C367" s="148" t="s">
        <v>236</v>
      </c>
      <c r="D367" s="141" t="s">
        <v>1739</v>
      </c>
      <c r="E367" s="148" t="s">
        <v>13</v>
      </c>
      <c r="F367" s="148" t="s">
        <v>810</v>
      </c>
      <c r="G367" s="148" t="s">
        <v>20</v>
      </c>
      <c r="H367" s="148" t="s">
        <v>16</v>
      </c>
      <c r="I367" s="161">
        <v>2012</v>
      </c>
      <c r="J367" s="161" t="s">
        <v>802</v>
      </c>
      <c r="K367" s="161" t="s">
        <v>803</v>
      </c>
      <c r="L367" s="161" t="s">
        <v>19</v>
      </c>
      <c r="M367" s="453" t="s">
        <v>4162</v>
      </c>
      <c r="N367" s="186" t="s">
        <v>20</v>
      </c>
      <c r="O367" s="186" t="s">
        <v>15</v>
      </c>
      <c r="P367" s="186" t="s">
        <v>15</v>
      </c>
      <c r="Q367" s="186" t="s">
        <v>15</v>
      </c>
      <c r="R367" s="186" t="s">
        <v>15</v>
      </c>
      <c r="S367" s="186" t="s">
        <v>15</v>
      </c>
      <c r="T367" s="186" t="s">
        <v>15</v>
      </c>
      <c r="U367" s="186" t="s">
        <v>15</v>
      </c>
      <c r="V367" s="186" t="s">
        <v>15</v>
      </c>
      <c r="W367" s="186" t="s">
        <v>15</v>
      </c>
      <c r="X367" s="186" t="s">
        <v>15</v>
      </c>
      <c r="Y367" s="186" t="s">
        <v>15</v>
      </c>
      <c r="Z367" s="186"/>
      <c r="AA367" s="186" t="s">
        <v>806</v>
      </c>
      <c r="AB367" s="186" t="s">
        <v>15</v>
      </c>
      <c r="AC367" s="186" t="s">
        <v>15</v>
      </c>
      <c r="AD367" s="268" t="s">
        <v>755</v>
      </c>
      <c r="AE367" s="268"/>
      <c r="AF367" s="144" t="str">
        <f t="shared" si="20"/>
        <v/>
      </c>
      <c r="AG367" s="144" t="str">
        <f t="shared" si="21"/>
        <v/>
      </c>
      <c r="AH367" s="146">
        <f t="shared" si="22"/>
        <v>0.17599999999999999</v>
      </c>
      <c r="AI367" s="146" t="str">
        <f t="shared" si="23"/>
        <v/>
      </c>
      <c r="AJ367" s="303"/>
      <c r="AK367" s="303"/>
      <c r="AL367" s="303"/>
      <c r="AM367" s="303"/>
      <c r="AN367" s="303"/>
      <c r="AO367" s="303"/>
      <c r="AP367" s="303"/>
      <c r="AQ367" s="303"/>
      <c r="AR367" s="303"/>
      <c r="AS367" s="170"/>
      <c r="AT367" s="170"/>
      <c r="AU367" s="310"/>
      <c r="AW367" s="294"/>
      <c r="AX367" s="294"/>
      <c r="AY367" s="294"/>
      <c r="AZ367" s="294"/>
      <c r="BA367" s="294"/>
      <c r="BB367" s="294"/>
      <c r="BC367" s="294"/>
      <c r="BD367" s="294"/>
      <c r="BE367" s="294"/>
      <c r="BF367" s="382">
        <v>0.17599999999999999</v>
      </c>
      <c r="BG367" s="383"/>
      <c r="BH367" s="278"/>
      <c r="BI367" s="365"/>
      <c r="BJ367" s="409"/>
    </row>
    <row r="368" spans="1:62" ht="15.75" customHeight="1" thickBot="1" x14ac:dyDescent="0.25">
      <c r="A368" s="154">
        <v>367</v>
      </c>
      <c r="B368" s="155">
        <v>1</v>
      </c>
      <c r="C368" s="148" t="s">
        <v>236</v>
      </c>
      <c r="D368" s="148" t="s">
        <v>597</v>
      </c>
      <c r="E368" s="148" t="s">
        <v>13</v>
      </c>
      <c r="F368" s="148" t="s">
        <v>811</v>
      </c>
      <c r="G368" s="148" t="s">
        <v>20</v>
      </c>
      <c r="H368" s="148" t="s">
        <v>16</v>
      </c>
      <c r="I368" s="161">
        <v>2012</v>
      </c>
      <c r="J368" s="161" t="s">
        <v>802</v>
      </c>
      <c r="K368" s="161" t="s">
        <v>803</v>
      </c>
      <c r="L368" s="161" t="s">
        <v>19</v>
      </c>
      <c r="M368" s="453" t="s">
        <v>4162</v>
      </c>
      <c r="N368" s="186" t="s">
        <v>20</v>
      </c>
      <c r="O368" s="186" t="s">
        <v>20</v>
      </c>
      <c r="P368" s="186" t="s">
        <v>15</v>
      </c>
      <c r="Q368" s="186" t="s">
        <v>15</v>
      </c>
      <c r="R368" s="186" t="s">
        <v>15</v>
      </c>
      <c r="S368" s="186" t="s">
        <v>15</v>
      </c>
      <c r="T368" s="186" t="s">
        <v>15</v>
      </c>
      <c r="U368" s="186" t="s">
        <v>15</v>
      </c>
      <c r="V368" s="186" t="s">
        <v>15</v>
      </c>
      <c r="W368" s="186" t="s">
        <v>15</v>
      </c>
      <c r="X368" s="186" t="s">
        <v>15</v>
      </c>
      <c r="Y368" s="186" t="s">
        <v>15</v>
      </c>
      <c r="Z368" s="186"/>
      <c r="AA368" s="186" t="s">
        <v>804</v>
      </c>
      <c r="AB368" s="186" t="s">
        <v>15</v>
      </c>
      <c r="AC368" s="186" t="s">
        <v>15</v>
      </c>
      <c r="AD368" s="268" t="s">
        <v>755</v>
      </c>
      <c r="AE368" s="268"/>
      <c r="AF368" s="144" t="str">
        <f t="shared" si="20"/>
        <v/>
      </c>
      <c r="AG368" s="144" t="str">
        <f t="shared" si="21"/>
        <v/>
      </c>
      <c r="AH368" s="146">
        <f t="shared" si="22"/>
        <v>0.27200000000000002</v>
      </c>
      <c r="AI368" s="146" t="str">
        <f t="shared" si="23"/>
        <v/>
      </c>
      <c r="AJ368" s="303"/>
      <c r="AK368" s="303"/>
      <c r="AL368" s="303"/>
      <c r="AM368" s="303"/>
      <c r="AN368" s="303"/>
      <c r="AO368" s="303"/>
      <c r="AP368" s="303"/>
      <c r="AQ368" s="303"/>
      <c r="AR368" s="303"/>
      <c r="AS368" s="170"/>
      <c r="AT368" s="170"/>
      <c r="AU368" s="310"/>
      <c r="AW368" s="294"/>
      <c r="AX368" s="294"/>
      <c r="AY368" s="294"/>
      <c r="AZ368" s="294"/>
      <c r="BA368" s="294"/>
      <c r="BB368" s="294"/>
      <c r="BC368" s="294"/>
      <c r="BD368" s="294"/>
      <c r="BE368" s="294"/>
      <c r="BF368" s="382">
        <v>0.27200000000000002</v>
      </c>
      <c r="BG368" s="383"/>
      <c r="BH368" s="278"/>
      <c r="BI368" s="365"/>
      <c r="BJ368" s="409"/>
    </row>
    <row r="369" spans="1:62" ht="15.75" customHeight="1" thickBot="1" x14ac:dyDescent="0.25">
      <c r="A369" s="156">
        <v>368</v>
      </c>
      <c r="B369" s="155">
        <v>1</v>
      </c>
      <c r="C369" s="148" t="s">
        <v>236</v>
      </c>
      <c r="D369" s="148" t="s">
        <v>597</v>
      </c>
      <c r="E369" s="148" t="s">
        <v>13</v>
      </c>
      <c r="F369" s="148" t="s">
        <v>812</v>
      </c>
      <c r="G369" s="148" t="s">
        <v>20</v>
      </c>
      <c r="H369" s="148" t="s">
        <v>16</v>
      </c>
      <c r="I369" s="161">
        <v>2012</v>
      </c>
      <c r="J369" s="161" t="s">
        <v>802</v>
      </c>
      <c r="K369" s="161" t="s">
        <v>803</v>
      </c>
      <c r="L369" s="161" t="s">
        <v>19</v>
      </c>
      <c r="M369" s="453" t="s">
        <v>4162</v>
      </c>
      <c r="N369" s="186" t="s">
        <v>20</v>
      </c>
      <c r="O369" s="186" t="s">
        <v>15</v>
      </c>
      <c r="P369" s="186" t="s">
        <v>15</v>
      </c>
      <c r="Q369" s="186" t="s">
        <v>15</v>
      </c>
      <c r="R369" s="186" t="s">
        <v>15</v>
      </c>
      <c r="S369" s="186" t="s">
        <v>15</v>
      </c>
      <c r="T369" s="186" t="s">
        <v>15</v>
      </c>
      <c r="U369" s="186" t="s">
        <v>15</v>
      </c>
      <c r="V369" s="186" t="s">
        <v>15</v>
      </c>
      <c r="W369" s="186" t="s">
        <v>15</v>
      </c>
      <c r="X369" s="186" t="s">
        <v>15</v>
      </c>
      <c r="Y369" s="186" t="s">
        <v>15</v>
      </c>
      <c r="Z369" s="186"/>
      <c r="AA369" s="186" t="s">
        <v>806</v>
      </c>
      <c r="AB369" s="186" t="s">
        <v>15</v>
      </c>
      <c r="AC369" s="186" t="s">
        <v>15</v>
      </c>
      <c r="AD369" s="268" t="s">
        <v>755</v>
      </c>
      <c r="AE369" s="268"/>
      <c r="AF369" s="144" t="str">
        <f t="shared" si="20"/>
        <v/>
      </c>
      <c r="AG369" s="144" t="str">
        <f t="shared" si="21"/>
        <v/>
      </c>
      <c r="AH369" s="146">
        <f t="shared" si="22"/>
        <v>0.24399999999999999</v>
      </c>
      <c r="AI369" s="146" t="str">
        <f t="shared" si="23"/>
        <v/>
      </c>
      <c r="AJ369" s="303"/>
      <c r="AK369" s="303"/>
      <c r="AL369" s="303"/>
      <c r="AM369" s="303"/>
      <c r="AN369" s="303"/>
      <c r="AO369" s="303"/>
      <c r="AP369" s="303"/>
      <c r="AQ369" s="303"/>
      <c r="AR369" s="303"/>
      <c r="AS369" s="170"/>
      <c r="AT369" s="170"/>
      <c r="AU369" s="310"/>
      <c r="AW369" s="294"/>
      <c r="AX369" s="294"/>
      <c r="AY369" s="294"/>
      <c r="AZ369" s="294"/>
      <c r="BA369" s="294"/>
      <c r="BB369" s="294"/>
      <c r="BC369" s="294"/>
      <c r="BD369" s="294"/>
      <c r="BE369" s="294"/>
      <c r="BF369" s="382">
        <v>0.24399999999999999</v>
      </c>
      <c r="BG369" s="383"/>
      <c r="BH369" s="278"/>
      <c r="BI369" s="365"/>
      <c r="BJ369" s="409"/>
    </row>
    <row r="370" spans="1:62" ht="15.75" customHeight="1" thickBot="1" x14ac:dyDescent="0.25">
      <c r="A370" s="154">
        <v>369</v>
      </c>
      <c r="B370" s="155">
        <v>1</v>
      </c>
      <c r="C370" s="148" t="s">
        <v>236</v>
      </c>
      <c r="D370" s="148" t="s">
        <v>597</v>
      </c>
      <c r="E370" s="148" t="s">
        <v>13</v>
      </c>
      <c r="F370" s="149" t="s">
        <v>2358</v>
      </c>
      <c r="G370" s="148" t="s">
        <v>20</v>
      </c>
      <c r="H370" s="148" t="s">
        <v>16</v>
      </c>
      <c r="I370" s="161">
        <v>2012</v>
      </c>
      <c r="J370" s="161" t="s">
        <v>802</v>
      </c>
      <c r="K370" s="161" t="s">
        <v>803</v>
      </c>
      <c r="L370" s="161" t="s">
        <v>19</v>
      </c>
      <c r="M370" s="453" t="s">
        <v>4162</v>
      </c>
      <c r="N370" s="186" t="s">
        <v>20</v>
      </c>
      <c r="O370" s="186" t="s">
        <v>20</v>
      </c>
      <c r="P370" s="186" t="s">
        <v>15</v>
      </c>
      <c r="Q370" s="186" t="s">
        <v>15</v>
      </c>
      <c r="R370" s="186" t="s">
        <v>15</v>
      </c>
      <c r="S370" s="186" t="s">
        <v>15</v>
      </c>
      <c r="T370" s="186" t="s">
        <v>15</v>
      </c>
      <c r="U370" s="186" t="s">
        <v>15</v>
      </c>
      <c r="V370" s="186" t="s">
        <v>15</v>
      </c>
      <c r="W370" s="186" t="s">
        <v>15</v>
      </c>
      <c r="X370" s="186" t="s">
        <v>15</v>
      </c>
      <c r="Y370" s="186" t="s">
        <v>15</v>
      </c>
      <c r="Z370" s="186"/>
      <c r="AA370" s="186" t="s">
        <v>804</v>
      </c>
      <c r="AB370" s="186" t="s">
        <v>15</v>
      </c>
      <c r="AC370" s="186" t="s">
        <v>15</v>
      </c>
      <c r="AD370" s="268" t="s">
        <v>755</v>
      </c>
      <c r="AE370" s="268"/>
      <c r="AF370" s="144" t="str">
        <f t="shared" si="20"/>
        <v/>
      </c>
      <c r="AG370" s="144" t="str">
        <f t="shared" si="21"/>
        <v/>
      </c>
      <c r="AH370" s="146">
        <f t="shared" si="22"/>
        <v>0.20499999999999999</v>
      </c>
      <c r="AI370" s="146" t="str">
        <f t="shared" si="23"/>
        <v/>
      </c>
      <c r="AJ370" s="303"/>
      <c r="AK370" s="303"/>
      <c r="AL370" s="303"/>
      <c r="AM370" s="303"/>
      <c r="AN370" s="303"/>
      <c r="AO370" s="303"/>
      <c r="AP370" s="303"/>
      <c r="AQ370" s="303"/>
      <c r="AR370" s="303"/>
      <c r="AS370" s="170"/>
      <c r="AT370" s="170"/>
      <c r="AU370" s="310"/>
      <c r="AW370" s="294"/>
      <c r="AX370" s="294"/>
      <c r="AY370" s="294"/>
      <c r="AZ370" s="294"/>
      <c r="BA370" s="294"/>
      <c r="BB370" s="294"/>
      <c r="BC370" s="294"/>
      <c r="BD370" s="294"/>
      <c r="BE370" s="294"/>
      <c r="BF370" s="382">
        <v>0.20499999999999999</v>
      </c>
      <c r="BG370" s="383"/>
      <c r="BH370" s="278"/>
      <c r="BI370" s="365"/>
      <c r="BJ370" s="409"/>
    </row>
    <row r="371" spans="1:62" ht="15.75" customHeight="1" thickBot="1" x14ac:dyDescent="0.25">
      <c r="A371" s="156">
        <v>370</v>
      </c>
      <c r="B371" s="155">
        <v>1</v>
      </c>
      <c r="C371" s="148" t="s">
        <v>236</v>
      </c>
      <c r="D371" s="148" t="s">
        <v>597</v>
      </c>
      <c r="E371" s="148" t="s">
        <v>13</v>
      </c>
      <c r="F371" s="148" t="s">
        <v>813</v>
      </c>
      <c r="G371" s="148" t="s">
        <v>20</v>
      </c>
      <c r="H371" s="148" t="s">
        <v>16</v>
      </c>
      <c r="I371" s="161">
        <v>2012</v>
      </c>
      <c r="J371" s="161" t="s">
        <v>802</v>
      </c>
      <c r="K371" s="161" t="s">
        <v>803</v>
      </c>
      <c r="L371" s="161" t="s">
        <v>19</v>
      </c>
      <c r="M371" s="453" t="s">
        <v>4162</v>
      </c>
      <c r="N371" s="186" t="s">
        <v>20</v>
      </c>
      <c r="O371" s="186" t="s">
        <v>15</v>
      </c>
      <c r="P371" s="186" t="s">
        <v>15</v>
      </c>
      <c r="Q371" s="186" t="s">
        <v>15</v>
      </c>
      <c r="R371" s="186" t="s">
        <v>15</v>
      </c>
      <c r="S371" s="186" t="s">
        <v>15</v>
      </c>
      <c r="T371" s="186" t="s">
        <v>15</v>
      </c>
      <c r="U371" s="186" t="s">
        <v>15</v>
      </c>
      <c r="V371" s="186" t="s">
        <v>15</v>
      </c>
      <c r="W371" s="186" t="s">
        <v>15</v>
      </c>
      <c r="X371" s="186" t="s">
        <v>15</v>
      </c>
      <c r="Y371" s="186" t="s">
        <v>15</v>
      </c>
      <c r="Z371" s="186"/>
      <c r="AA371" s="186" t="s">
        <v>806</v>
      </c>
      <c r="AB371" s="186" t="s">
        <v>15</v>
      </c>
      <c r="AC371" s="186" t="s">
        <v>15</v>
      </c>
      <c r="AD371" s="268" t="s">
        <v>755</v>
      </c>
      <c r="AE371" s="268"/>
      <c r="AF371" s="144" t="str">
        <f t="shared" si="20"/>
        <v/>
      </c>
      <c r="AG371" s="144" t="str">
        <f t="shared" si="21"/>
        <v/>
      </c>
      <c r="AH371" s="146">
        <f t="shared" si="22"/>
        <v>0.17899999999999999</v>
      </c>
      <c r="AI371" s="146" t="str">
        <f t="shared" si="23"/>
        <v/>
      </c>
      <c r="AJ371" s="303"/>
      <c r="AK371" s="303"/>
      <c r="AL371" s="303"/>
      <c r="AM371" s="303"/>
      <c r="AN371" s="303"/>
      <c r="AO371" s="303"/>
      <c r="AP371" s="303"/>
      <c r="AQ371" s="303"/>
      <c r="AR371" s="303"/>
      <c r="AS371" s="170"/>
      <c r="AT371" s="170"/>
      <c r="AU371" s="310"/>
      <c r="AW371" s="294"/>
      <c r="AX371" s="294"/>
      <c r="AY371" s="294"/>
      <c r="AZ371" s="294"/>
      <c r="BA371" s="294"/>
      <c r="BB371" s="294"/>
      <c r="BC371" s="294"/>
      <c r="BD371" s="294"/>
      <c r="BE371" s="294"/>
      <c r="BF371" s="382">
        <v>0.17899999999999999</v>
      </c>
      <c r="BG371" s="383"/>
      <c r="BH371" s="278"/>
      <c r="BI371" s="365"/>
      <c r="BJ371" s="409"/>
    </row>
    <row r="372" spans="1:62" ht="15.75" customHeight="1" thickBot="1" x14ac:dyDescent="0.25">
      <c r="A372" s="154">
        <v>371</v>
      </c>
      <c r="B372" s="155">
        <v>1</v>
      </c>
      <c r="C372" s="148" t="s">
        <v>236</v>
      </c>
      <c r="D372" s="148" t="s">
        <v>3062</v>
      </c>
      <c r="E372" s="148" t="s">
        <v>13</v>
      </c>
      <c r="F372" s="148" t="s">
        <v>814</v>
      </c>
      <c r="G372" s="148" t="s">
        <v>20</v>
      </c>
      <c r="H372" s="148" t="s">
        <v>16</v>
      </c>
      <c r="I372" s="161">
        <v>2012</v>
      </c>
      <c r="J372" s="161" t="s">
        <v>802</v>
      </c>
      <c r="K372" s="161" t="s">
        <v>803</v>
      </c>
      <c r="L372" s="161" t="s">
        <v>19</v>
      </c>
      <c r="M372" s="453" t="s">
        <v>4162</v>
      </c>
      <c r="N372" s="186" t="s">
        <v>20</v>
      </c>
      <c r="O372" s="186" t="s">
        <v>15</v>
      </c>
      <c r="P372" s="186" t="s">
        <v>15</v>
      </c>
      <c r="Q372" s="186" t="s">
        <v>15</v>
      </c>
      <c r="R372" s="186" t="s">
        <v>15</v>
      </c>
      <c r="S372" s="186" t="s">
        <v>15</v>
      </c>
      <c r="T372" s="186" t="s">
        <v>15</v>
      </c>
      <c r="U372" s="186" t="s">
        <v>15</v>
      </c>
      <c r="V372" s="186" t="s">
        <v>15</v>
      </c>
      <c r="W372" s="186" t="s">
        <v>15</v>
      </c>
      <c r="X372" s="186" t="s">
        <v>15</v>
      </c>
      <c r="Y372" s="186" t="s">
        <v>15</v>
      </c>
      <c r="Z372" s="186"/>
      <c r="AA372" s="186" t="s">
        <v>804</v>
      </c>
      <c r="AB372" s="186" t="s">
        <v>15</v>
      </c>
      <c r="AC372" s="186" t="s">
        <v>15</v>
      </c>
      <c r="AD372" s="268" t="s">
        <v>755</v>
      </c>
      <c r="AE372" s="268"/>
      <c r="AF372" s="144" t="str">
        <f t="shared" si="20"/>
        <v/>
      </c>
      <c r="AG372" s="144" t="str">
        <f t="shared" si="21"/>
        <v/>
      </c>
      <c r="AH372" s="146">
        <f t="shared" si="22"/>
        <v>0.66700000000000004</v>
      </c>
      <c r="AI372" s="146" t="str">
        <f t="shared" si="23"/>
        <v/>
      </c>
      <c r="AJ372" s="303"/>
      <c r="AK372" s="303"/>
      <c r="AL372" s="303"/>
      <c r="AM372" s="303"/>
      <c r="AN372" s="303"/>
      <c r="AO372" s="303"/>
      <c r="AP372" s="303"/>
      <c r="AQ372" s="303"/>
      <c r="AR372" s="303"/>
      <c r="AS372" s="170"/>
      <c r="AT372" s="170"/>
      <c r="AU372" s="310"/>
      <c r="AW372" s="294"/>
      <c r="AX372" s="294"/>
      <c r="AY372" s="294"/>
      <c r="AZ372" s="294"/>
      <c r="BA372" s="294"/>
      <c r="BB372" s="294"/>
      <c r="BC372" s="294"/>
      <c r="BD372" s="294"/>
      <c r="BE372" s="294"/>
      <c r="BF372" s="382">
        <v>0.66700000000000004</v>
      </c>
      <c r="BG372" s="383"/>
      <c r="BH372" s="278"/>
      <c r="BI372" s="365"/>
      <c r="BJ372" s="409"/>
    </row>
    <row r="373" spans="1:62" ht="15.75" customHeight="1" thickBot="1" x14ac:dyDescent="0.25">
      <c r="A373" s="156">
        <v>372</v>
      </c>
      <c r="B373" s="155">
        <v>1</v>
      </c>
      <c r="C373" s="148" t="s">
        <v>236</v>
      </c>
      <c r="D373" s="148" t="s">
        <v>3062</v>
      </c>
      <c r="E373" s="148" t="s">
        <v>13</v>
      </c>
      <c r="F373" s="148" t="s">
        <v>815</v>
      </c>
      <c r="G373" s="148" t="s">
        <v>20</v>
      </c>
      <c r="H373" s="148" t="s">
        <v>16</v>
      </c>
      <c r="I373" s="161">
        <v>2012</v>
      </c>
      <c r="J373" s="161" t="s">
        <v>802</v>
      </c>
      <c r="K373" s="161" t="s">
        <v>803</v>
      </c>
      <c r="L373" s="161" t="s">
        <v>19</v>
      </c>
      <c r="M373" s="453" t="s">
        <v>4162</v>
      </c>
      <c r="N373" s="186" t="s">
        <v>20</v>
      </c>
      <c r="O373" s="186" t="s">
        <v>20</v>
      </c>
      <c r="P373" s="186" t="s">
        <v>15</v>
      </c>
      <c r="Q373" s="186" t="s">
        <v>15</v>
      </c>
      <c r="R373" s="186" t="s">
        <v>15</v>
      </c>
      <c r="S373" s="186" t="s">
        <v>15</v>
      </c>
      <c r="T373" s="186" t="s">
        <v>15</v>
      </c>
      <c r="U373" s="186" t="s">
        <v>15</v>
      </c>
      <c r="V373" s="186" t="s">
        <v>15</v>
      </c>
      <c r="W373" s="186" t="s">
        <v>15</v>
      </c>
      <c r="X373" s="186" t="s">
        <v>15</v>
      </c>
      <c r="Y373" s="186" t="s">
        <v>15</v>
      </c>
      <c r="Z373" s="186"/>
      <c r="AA373" s="186" t="s">
        <v>806</v>
      </c>
      <c r="AB373" s="186" t="s">
        <v>15</v>
      </c>
      <c r="AC373" s="186" t="s">
        <v>15</v>
      </c>
      <c r="AD373" s="268" t="s">
        <v>755</v>
      </c>
      <c r="AE373" s="268"/>
      <c r="AF373" s="144" t="str">
        <f t="shared" si="20"/>
        <v/>
      </c>
      <c r="AG373" s="144" t="str">
        <f t="shared" si="21"/>
        <v/>
      </c>
      <c r="AH373" s="146">
        <f t="shared" si="22"/>
        <v>0.7</v>
      </c>
      <c r="AI373" s="146" t="str">
        <f t="shared" si="23"/>
        <v/>
      </c>
      <c r="AJ373" s="303"/>
      <c r="AK373" s="303"/>
      <c r="AL373" s="303"/>
      <c r="AM373" s="303"/>
      <c r="AN373" s="303"/>
      <c r="AO373" s="303"/>
      <c r="AP373" s="303"/>
      <c r="AQ373" s="303"/>
      <c r="AR373" s="303"/>
      <c r="AS373" s="170"/>
      <c r="AT373" s="170"/>
      <c r="AU373" s="310"/>
      <c r="AW373" s="294"/>
      <c r="AX373" s="294"/>
      <c r="AY373" s="294"/>
      <c r="AZ373" s="294"/>
      <c r="BA373" s="294"/>
      <c r="BB373" s="294"/>
      <c r="BC373" s="294"/>
      <c r="BD373" s="294"/>
      <c r="BE373" s="294"/>
      <c r="BF373" s="382">
        <v>0.7</v>
      </c>
      <c r="BG373" s="383"/>
      <c r="BH373" s="278"/>
      <c r="BI373" s="365"/>
      <c r="BJ373" s="409"/>
    </row>
    <row r="374" spans="1:62" ht="15.75" customHeight="1" thickBot="1" x14ac:dyDescent="0.25">
      <c r="A374" s="154">
        <v>373</v>
      </c>
      <c r="B374" s="155">
        <v>1</v>
      </c>
      <c r="C374" s="148" t="s">
        <v>236</v>
      </c>
      <c r="D374" s="148" t="s">
        <v>2282</v>
      </c>
      <c r="E374" s="148" t="s">
        <v>13</v>
      </c>
      <c r="F374" s="148" t="s">
        <v>816</v>
      </c>
      <c r="G374" s="148" t="s">
        <v>20</v>
      </c>
      <c r="H374" s="148" t="s">
        <v>16</v>
      </c>
      <c r="I374" s="161">
        <v>2012</v>
      </c>
      <c r="J374" s="161" t="s">
        <v>802</v>
      </c>
      <c r="K374" s="161" t="s">
        <v>803</v>
      </c>
      <c r="L374" s="161" t="s">
        <v>19</v>
      </c>
      <c r="M374" s="453" t="s">
        <v>4162</v>
      </c>
      <c r="N374" s="186" t="s">
        <v>20</v>
      </c>
      <c r="O374" s="186" t="s">
        <v>15</v>
      </c>
      <c r="P374" s="186" t="s">
        <v>15</v>
      </c>
      <c r="Q374" s="186" t="s">
        <v>15</v>
      </c>
      <c r="R374" s="186" t="s">
        <v>15</v>
      </c>
      <c r="S374" s="186" t="s">
        <v>15</v>
      </c>
      <c r="T374" s="186" t="s">
        <v>15</v>
      </c>
      <c r="U374" s="186" t="s">
        <v>15</v>
      </c>
      <c r="V374" s="186" t="s">
        <v>15</v>
      </c>
      <c r="W374" s="186" t="s">
        <v>15</v>
      </c>
      <c r="X374" s="186" t="s">
        <v>15</v>
      </c>
      <c r="Y374" s="186" t="s">
        <v>15</v>
      </c>
      <c r="Z374" s="186"/>
      <c r="AA374" s="186" t="s">
        <v>804</v>
      </c>
      <c r="AB374" s="186" t="s">
        <v>15</v>
      </c>
      <c r="AC374" s="186" t="s">
        <v>15</v>
      </c>
      <c r="AD374" s="268" t="s">
        <v>755</v>
      </c>
      <c r="AE374" s="268"/>
      <c r="AF374" s="144" t="str">
        <f t="shared" si="20"/>
        <v/>
      </c>
      <c r="AG374" s="144" t="str">
        <f t="shared" si="21"/>
        <v/>
      </c>
      <c r="AH374" s="146">
        <f t="shared" si="22"/>
        <v>0.33700000000000002</v>
      </c>
      <c r="AI374" s="146" t="str">
        <f t="shared" si="23"/>
        <v/>
      </c>
      <c r="AJ374" s="303"/>
      <c r="AK374" s="303"/>
      <c r="AL374" s="303"/>
      <c r="AM374" s="303"/>
      <c r="AN374" s="303"/>
      <c r="AO374" s="303"/>
      <c r="AP374" s="303"/>
      <c r="AQ374" s="303"/>
      <c r="AR374" s="303"/>
      <c r="AS374" s="170"/>
      <c r="AT374" s="170"/>
      <c r="AU374" s="310"/>
      <c r="AW374" s="294"/>
      <c r="AX374" s="294"/>
      <c r="AY374" s="294"/>
      <c r="AZ374" s="294"/>
      <c r="BA374" s="294"/>
      <c r="BB374" s="294"/>
      <c r="BC374" s="294"/>
      <c r="BD374" s="294"/>
      <c r="BE374" s="294"/>
      <c r="BF374" s="382">
        <v>0.33700000000000002</v>
      </c>
      <c r="BG374" s="383"/>
      <c r="BH374" s="278"/>
      <c r="BI374" s="365"/>
      <c r="BJ374" s="409"/>
    </row>
    <row r="375" spans="1:62" ht="15.75" customHeight="1" thickBot="1" x14ac:dyDescent="0.25">
      <c r="A375" s="156">
        <v>374</v>
      </c>
      <c r="B375" s="155">
        <v>1</v>
      </c>
      <c r="C375" s="148" t="s">
        <v>236</v>
      </c>
      <c r="D375" s="148" t="s">
        <v>2282</v>
      </c>
      <c r="E375" s="148" t="s">
        <v>13</v>
      </c>
      <c r="F375" s="148" t="s">
        <v>50</v>
      </c>
      <c r="G375" s="148" t="s">
        <v>20</v>
      </c>
      <c r="H375" s="148" t="s">
        <v>16</v>
      </c>
      <c r="I375" s="161">
        <v>2012</v>
      </c>
      <c r="J375" s="161" t="s">
        <v>802</v>
      </c>
      <c r="K375" s="161" t="s">
        <v>803</v>
      </c>
      <c r="L375" s="161" t="s">
        <v>19</v>
      </c>
      <c r="M375" s="453" t="s">
        <v>4162</v>
      </c>
      <c r="N375" s="186" t="s">
        <v>20</v>
      </c>
      <c r="O375" s="186" t="s">
        <v>20</v>
      </c>
      <c r="P375" s="186" t="s">
        <v>15</v>
      </c>
      <c r="Q375" s="186" t="s">
        <v>15</v>
      </c>
      <c r="R375" s="186" t="s">
        <v>15</v>
      </c>
      <c r="S375" s="186" t="s">
        <v>15</v>
      </c>
      <c r="T375" s="186" t="s">
        <v>15</v>
      </c>
      <c r="U375" s="186" t="s">
        <v>15</v>
      </c>
      <c r="V375" s="186" t="s">
        <v>15</v>
      </c>
      <c r="W375" s="186" t="s">
        <v>15</v>
      </c>
      <c r="X375" s="186" t="s">
        <v>15</v>
      </c>
      <c r="Y375" s="186" t="s">
        <v>15</v>
      </c>
      <c r="Z375" s="186"/>
      <c r="AA375" s="186" t="s">
        <v>806</v>
      </c>
      <c r="AB375" s="186" t="s">
        <v>15</v>
      </c>
      <c r="AC375" s="186" t="s">
        <v>15</v>
      </c>
      <c r="AD375" s="268" t="s">
        <v>755</v>
      </c>
      <c r="AE375" s="268"/>
      <c r="AF375" s="144" t="str">
        <f t="shared" si="20"/>
        <v/>
      </c>
      <c r="AG375" s="144" t="str">
        <f t="shared" si="21"/>
        <v/>
      </c>
      <c r="AH375" s="146">
        <f t="shared" si="22"/>
        <v>0.23400000000000001</v>
      </c>
      <c r="AI375" s="146" t="str">
        <f t="shared" si="23"/>
        <v/>
      </c>
      <c r="AJ375" s="303"/>
      <c r="AK375" s="303"/>
      <c r="AL375" s="303"/>
      <c r="AM375" s="303"/>
      <c r="AN375" s="303"/>
      <c r="AO375" s="303"/>
      <c r="AP375" s="303"/>
      <c r="AQ375" s="303"/>
      <c r="AR375" s="303"/>
      <c r="AS375" s="170"/>
      <c r="AT375" s="170"/>
      <c r="AU375" s="310"/>
      <c r="AW375" s="294"/>
      <c r="AX375" s="294"/>
      <c r="AY375" s="294"/>
      <c r="AZ375" s="294"/>
      <c r="BA375" s="294"/>
      <c r="BB375" s="294"/>
      <c r="BC375" s="294"/>
      <c r="BD375" s="294"/>
      <c r="BE375" s="294"/>
      <c r="BF375" s="382">
        <v>0.23400000000000001</v>
      </c>
      <c r="BG375" s="383"/>
      <c r="BH375" s="278"/>
      <c r="BI375" s="365"/>
      <c r="BJ375" s="409"/>
    </row>
    <row r="376" spans="1:62" ht="15.75" customHeight="1" thickBot="1" x14ac:dyDescent="0.25">
      <c r="A376" s="154">
        <v>375</v>
      </c>
      <c r="B376" s="155">
        <v>1</v>
      </c>
      <c r="C376" s="148" t="s">
        <v>760</v>
      </c>
      <c r="D376" s="148" t="s">
        <v>1728</v>
      </c>
      <c r="E376" s="148" t="s">
        <v>13</v>
      </c>
      <c r="F376" s="148" t="s">
        <v>816</v>
      </c>
      <c r="G376" s="148" t="s">
        <v>20</v>
      </c>
      <c r="H376" s="148" t="s">
        <v>16</v>
      </c>
      <c r="I376" s="161">
        <v>2012</v>
      </c>
      <c r="J376" s="161" t="s">
        <v>802</v>
      </c>
      <c r="K376" s="161" t="s">
        <v>803</v>
      </c>
      <c r="L376" s="161" t="s">
        <v>19</v>
      </c>
      <c r="M376" s="453" t="s">
        <v>4162</v>
      </c>
      <c r="N376" s="186" t="s">
        <v>20</v>
      </c>
      <c r="O376" s="186" t="s">
        <v>15</v>
      </c>
      <c r="P376" s="186" t="s">
        <v>15</v>
      </c>
      <c r="Q376" s="186" t="s">
        <v>15</v>
      </c>
      <c r="R376" s="186" t="s">
        <v>15</v>
      </c>
      <c r="S376" s="186" t="s">
        <v>15</v>
      </c>
      <c r="T376" s="186" t="s">
        <v>15</v>
      </c>
      <c r="U376" s="186" t="s">
        <v>15</v>
      </c>
      <c r="V376" s="186" t="s">
        <v>15</v>
      </c>
      <c r="W376" s="186" t="s">
        <v>15</v>
      </c>
      <c r="X376" s="186" t="s">
        <v>15</v>
      </c>
      <c r="Y376" s="186" t="s">
        <v>15</v>
      </c>
      <c r="Z376" s="186"/>
      <c r="AA376" s="186" t="s">
        <v>804</v>
      </c>
      <c r="AB376" s="186" t="s">
        <v>15</v>
      </c>
      <c r="AC376" s="186" t="s">
        <v>15</v>
      </c>
      <c r="AD376" s="268" t="s">
        <v>755</v>
      </c>
      <c r="AE376" s="268"/>
      <c r="AF376" s="144" t="str">
        <f t="shared" si="20"/>
        <v/>
      </c>
      <c r="AG376" s="144" t="str">
        <f t="shared" si="21"/>
        <v/>
      </c>
      <c r="AH376" s="146">
        <f t="shared" si="22"/>
        <v>2.4790000000000001</v>
      </c>
      <c r="AI376" s="146" t="str">
        <f t="shared" si="23"/>
        <v/>
      </c>
      <c r="AJ376" s="303"/>
      <c r="AK376" s="303"/>
      <c r="AL376" s="303"/>
      <c r="AM376" s="303"/>
      <c r="AN376" s="303"/>
      <c r="AO376" s="303"/>
      <c r="AP376" s="303"/>
      <c r="AQ376" s="303"/>
      <c r="AR376" s="303"/>
      <c r="AS376" s="170"/>
      <c r="AT376" s="170"/>
      <c r="AU376" s="310"/>
      <c r="AW376" s="294"/>
      <c r="AX376" s="294"/>
      <c r="AY376" s="294"/>
      <c r="AZ376" s="294"/>
      <c r="BA376" s="294"/>
      <c r="BB376" s="294"/>
      <c r="BC376" s="294"/>
      <c r="BD376" s="294"/>
      <c r="BE376" s="294"/>
      <c r="BF376" s="382">
        <v>2.4790000000000001</v>
      </c>
      <c r="BG376" s="383"/>
      <c r="BH376" s="278"/>
      <c r="BI376" s="365"/>
      <c r="BJ376" s="409"/>
    </row>
    <row r="377" spans="1:62" ht="15.75" customHeight="1" thickBot="1" x14ac:dyDescent="0.25">
      <c r="A377" s="156">
        <v>376</v>
      </c>
      <c r="B377" s="155">
        <v>1</v>
      </c>
      <c r="C377" s="148" t="s">
        <v>760</v>
      </c>
      <c r="D377" s="148" t="s">
        <v>1728</v>
      </c>
      <c r="E377" s="148" t="s">
        <v>13</v>
      </c>
      <c r="F377" s="148" t="s">
        <v>50</v>
      </c>
      <c r="G377" s="148" t="s">
        <v>20</v>
      </c>
      <c r="H377" s="148" t="s">
        <v>16</v>
      </c>
      <c r="I377" s="161">
        <v>2012</v>
      </c>
      <c r="J377" s="161" t="s">
        <v>802</v>
      </c>
      <c r="K377" s="161" t="s">
        <v>803</v>
      </c>
      <c r="L377" s="161" t="s">
        <v>19</v>
      </c>
      <c r="M377" s="453" t="s">
        <v>4162</v>
      </c>
      <c r="N377" s="186" t="s">
        <v>20</v>
      </c>
      <c r="O377" s="186" t="s">
        <v>20</v>
      </c>
      <c r="P377" s="186" t="s">
        <v>15</v>
      </c>
      <c r="Q377" s="186" t="s">
        <v>15</v>
      </c>
      <c r="R377" s="186" t="s">
        <v>15</v>
      </c>
      <c r="S377" s="186" t="s">
        <v>15</v>
      </c>
      <c r="T377" s="186" t="s">
        <v>15</v>
      </c>
      <c r="U377" s="186" t="s">
        <v>15</v>
      </c>
      <c r="V377" s="186" t="s">
        <v>15</v>
      </c>
      <c r="W377" s="186" t="s">
        <v>15</v>
      </c>
      <c r="X377" s="186" t="s">
        <v>15</v>
      </c>
      <c r="Y377" s="186" t="s">
        <v>15</v>
      </c>
      <c r="Z377" s="186"/>
      <c r="AA377" s="186" t="s">
        <v>806</v>
      </c>
      <c r="AB377" s="186" t="s">
        <v>15</v>
      </c>
      <c r="AC377" s="186" t="s">
        <v>15</v>
      </c>
      <c r="AD377" s="268" t="s">
        <v>755</v>
      </c>
      <c r="AE377" s="268"/>
      <c r="AF377" s="144" t="str">
        <f t="shared" si="20"/>
        <v/>
      </c>
      <c r="AG377" s="144" t="str">
        <f t="shared" si="21"/>
        <v/>
      </c>
      <c r="AH377" s="146">
        <f t="shared" si="22"/>
        <v>3.7709999999999999</v>
      </c>
      <c r="AI377" s="146" t="str">
        <f t="shared" si="23"/>
        <v/>
      </c>
      <c r="AJ377" s="303"/>
      <c r="AK377" s="303"/>
      <c r="AL377" s="303"/>
      <c r="AM377" s="303"/>
      <c r="AN377" s="303"/>
      <c r="AO377" s="303"/>
      <c r="AP377" s="303"/>
      <c r="AQ377" s="303"/>
      <c r="AR377" s="303"/>
      <c r="AS377" s="170"/>
      <c r="AT377" s="170"/>
      <c r="AU377" s="310"/>
      <c r="AW377" s="294"/>
      <c r="AX377" s="294"/>
      <c r="AY377" s="294"/>
      <c r="AZ377" s="294"/>
      <c r="BA377" s="294"/>
      <c r="BB377" s="294"/>
      <c r="BC377" s="294"/>
      <c r="BD377" s="294"/>
      <c r="BE377" s="294"/>
      <c r="BF377" s="382">
        <v>3.7709999999999999</v>
      </c>
      <c r="BG377" s="383"/>
      <c r="BH377" s="278"/>
      <c r="BI377" s="365"/>
      <c r="BJ377" s="409"/>
    </row>
    <row r="378" spans="1:62" ht="15.75" customHeight="1" thickBot="1" x14ac:dyDescent="0.25">
      <c r="A378" s="154">
        <v>377</v>
      </c>
      <c r="B378" s="155">
        <v>1</v>
      </c>
      <c r="C378" s="148" t="s">
        <v>760</v>
      </c>
      <c r="D378" s="148" t="s">
        <v>2335</v>
      </c>
      <c r="E378" s="148" t="s">
        <v>13</v>
      </c>
      <c r="F378" s="148" t="s">
        <v>819</v>
      </c>
      <c r="G378" s="148" t="s">
        <v>20</v>
      </c>
      <c r="H378" s="148" t="s">
        <v>16</v>
      </c>
      <c r="I378" s="161">
        <v>2012</v>
      </c>
      <c r="J378" s="161" t="s">
        <v>802</v>
      </c>
      <c r="K378" s="161" t="s">
        <v>803</v>
      </c>
      <c r="L378" s="161" t="s">
        <v>19</v>
      </c>
      <c r="M378" s="453" t="s">
        <v>4162</v>
      </c>
      <c r="N378" s="186" t="s">
        <v>20</v>
      </c>
      <c r="O378" s="186" t="s">
        <v>15</v>
      </c>
      <c r="P378" s="186" t="s">
        <v>15</v>
      </c>
      <c r="Q378" s="186" t="s">
        <v>15</v>
      </c>
      <c r="R378" s="186" t="s">
        <v>15</v>
      </c>
      <c r="S378" s="186" t="s">
        <v>15</v>
      </c>
      <c r="T378" s="186" t="s">
        <v>15</v>
      </c>
      <c r="U378" s="186" t="s">
        <v>15</v>
      </c>
      <c r="V378" s="186" t="s">
        <v>15</v>
      </c>
      <c r="W378" s="186" t="s">
        <v>15</v>
      </c>
      <c r="X378" s="186" t="s">
        <v>15</v>
      </c>
      <c r="Y378" s="186" t="s">
        <v>15</v>
      </c>
      <c r="Z378" s="186"/>
      <c r="AA378" s="186" t="s">
        <v>804</v>
      </c>
      <c r="AB378" s="186" t="s">
        <v>15</v>
      </c>
      <c r="AC378" s="186" t="s">
        <v>15</v>
      </c>
      <c r="AD378" s="268" t="s">
        <v>755</v>
      </c>
      <c r="AE378" s="268"/>
      <c r="AF378" s="144" t="str">
        <f t="shared" si="20"/>
        <v/>
      </c>
      <c r="AG378" s="144" t="str">
        <f t="shared" si="21"/>
        <v/>
      </c>
      <c r="AH378" s="146">
        <f t="shared" si="22"/>
        <v>0.499</v>
      </c>
      <c r="AI378" s="146" t="str">
        <f t="shared" si="23"/>
        <v/>
      </c>
      <c r="AJ378" s="303"/>
      <c r="AK378" s="303"/>
      <c r="AL378" s="303"/>
      <c r="AM378" s="303"/>
      <c r="AN378" s="303"/>
      <c r="AO378" s="303"/>
      <c r="AP378" s="303"/>
      <c r="AQ378" s="303"/>
      <c r="AR378" s="303"/>
      <c r="AS378" s="170"/>
      <c r="AT378" s="170"/>
      <c r="AU378" s="310"/>
      <c r="AW378" s="294"/>
      <c r="AX378" s="294"/>
      <c r="AY378" s="294"/>
      <c r="AZ378" s="294"/>
      <c r="BA378" s="294"/>
      <c r="BB378" s="294"/>
      <c r="BC378" s="294"/>
      <c r="BD378" s="294"/>
      <c r="BE378" s="294"/>
      <c r="BF378" s="382">
        <v>0.499</v>
      </c>
      <c r="BG378" s="383"/>
      <c r="BH378" s="278"/>
      <c r="BI378" s="365"/>
      <c r="BJ378" s="409"/>
    </row>
    <row r="379" spans="1:62" ht="15.75" customHeight="1" thickBot="1" x14ac:dyDescent="0.25">
      <c r="A379" s="156">
        <v>378</v>
      </c>
      <c r="B379" s="155">
        <v>1</v>
      </c>
      <c r="C379" s="148" t="s">
        <v>760</v>
      </c>
      <c r="D379" s="148" t="s">
        <v>2335</v>
      </c>
      <c r="E379" s="148" t="s">
        <v>13</v>
      </c>
      <c r="F379" s="148" t="s">
        <v>820</v>
      </c>
      <c r="G379" s="148" t="s">
        <v>20</v>
      </c>
      <c r="H379" s="148" t="s">
        <v>16</v>
      </c>
      <c r="I379" s="161">
        <v>2012</v>
      </c>
      <c r="J379" s="161" t="s">
        <v>802</v>
      </c>
      <c r="K379" s="161" t="s">
        <v>803</v>
      </c>
      <c r="L379" s="161" t="s">
        <v>19</v>
      </c>
      <c r="M379" s="453" t="s">
        <v>4162</v>
      </c>
      <c r="N379" s="186" t="s">
        <v>20</v>
      </c>
      <c r="O379" s="186" t="s">
        <v>20</v>
      </c>
      <c r="P379" s="186" t="s">
        <v>15</v>
      </c>
      <c r="Q379" s="186" t="s">
        <v>15</v>
      </c>
      <c r="R379" s="186" t="s">
        <v>15</v>
      </c>
      <c r="S379" s="186" t="s">
        <v>15</v>
      </c>
      <c r="T379" s="186" t="s">
        <v>15</v>
      </c>
      <c r="U379" s="186" t="s">
        <v>15</v>
      </c>
      <c r="V379" s="186" t="s">
        <v>15</v>
      </c>
      <c r="W379" s="186" t="s">
        <v>15</v>
      </c>
      <c r="X379" s="186" t="s">
        <v>15</v>
      </c>
      <c r="Y379" s="186" t="s">
        <v>15</v>
      </c>
      <c r="Z379" s="186"/>
      <c r="AA379" s="186" t="s">
        <v>806</v>
      </c>
      <c r="AB379" s="186" t="s">
        <v>15</v>
      </c>
      <c r="AC379" s="186" t="s">
        <v>15</v>
      </c>
      <c r="AD379" s="268" t="s">
        <v>755</v>
      </c>
      <c r="AE379" s="268"/>
      <c r="AF379" s="144" t="str">
        <f t="shared" si="20"/>
        <v/>
      </c>
      <c r="AG379" s="144" t="str">
        <f t="shared" si="21"/>
        <v/>
      </c>
      <c r="AH379" s="146">
        <f t="shared" si="22"/>
        <v>2.9420000000000002</v>
      </c>
      <c r="AI379" s="146" t="str">
        <f t="shared" si="23"/>
        <v/>
      </c>
      <c r="AJ379" s="303"/>
      <c r="AK379" s="303"/>
      <c r="AL379" s="303"/>
      <c r="AM379" s="303"/>
      <c r="AN379" s="303"/>
      <c r="AO379" s="303"/>
      <c r="AP379" s="303"/>
      <c r="AQ379" s="303"/>
      <c r="AR379" s="303"/>
      <c r="AS379" s="170"/>
      <c r="AT379" s="170"/>
      <c r="AU379" s="310"/>
      <c r="AW379" s="294"/>
      <c r="AX379" s="294"/>
      <c r="AY379" s="294"/>
      <c r="AZ379" s="294"/>
      <c r="BA379" s="294"/>
      <c r="BB379" s="294"/>
      <c r="BC379" s="294"/>
      <c r="BD379" s="294"/>
      <c r="BE379" s="294"/>
      <c r="BF379" s="382">
        <v>2.9420000000000002</v>
      </c>
      <c r="BG379" s="383"/>
      <c r="BH379" s="278"/>
      <c r="BI379" s="365"/>
      <c r="BJ379" s="409"/>
    </row>
    <row r="380" spans="1:62" ht="15.75" customHeight="1" thickBot="1" x14ac:dyDescent="0.25">
      <c r="A380" s="154">
        <v>379</v>
      </c>
      <c r="B380" s="155">
        <v>1</v>
      </c>
      <c r="C380" s="148" t="s">
        <v>162</v>
      </c>
      <c r="D380" s="148" t="s">
        <v>771</v>
      </c>
      <c r="E380" s="148" t="s">
        <v>13</v>
      </c>
      <c r="F380" s="148" t="s">
        <v>816</v>
      </c>
      <c r="G380" s="148" t="s">
        <v>20</v>
      </c>
      <c r="H380" s="148" t="s">
        <v>16</v>
      </c>
      <c r="I380" s="161">
        <v>2012</v>
      </c>
      <c r="J380" s="161" t="s">
        <v>802</v>
      </c>
      <c r="K380" s="161" t="s">
        <v>803</v>
      </c>
      <c r="L380" s="161" t="s">
        <v>19</v>
      </c>
      <c r="M380" s="453" t="s">
        <v>4162</v>
      </c>
      <c r="N380" s="186" t="s">
        <v>20</v>
      </c>
      <c r="O380" s="186" t="s">
        <v>15</v>
      </c>
      <c r="P380" s="186" t="s">
        <v>15</v>
      </c>
      <c r="Q380" s="186" t="s">
        <v>15</v>
      </c>
      <c r="R380" s="186" t="s">
        <v>15</v>
      </c>
      <c r="S380" s="186" t="s">
        <v>15</v>
      </c>
      <c r="T380" s="186" t="s">
        <v>15</v>
      </c>
      <c r="U380" s="186" t="s">
        <v>15</v>
      </c>
      <c r="V380" s="186" t="s">
        <v>15</v>
      </c>
      <c r="W380" s="186" t="s">
        <v>15</v>
      </c>
      <c r="X380" s="186" t="s">
        <v>15</v>
      </c>
      <c r="Y380" s="186" t="s">
        <v>15</v>
      </c>
      <c r="Z380" s="186"/>
      <c r="AA380" s="186" t="s">
        <v>804</v>
      </c>
      <c r="AB380" s="186" t="s">
        <v>15</v>
      </c>
      <c r="AC380" s="186" t="s">
        <v>15</v>
      </c>
      <c r="AD380" s="268" t="s">
        <v>755</v>
      </c>
      <c r="AE380" s="268"/>
      <c r="AF380" s="144" t="str">
        <f t="shared" si="20"/>
        <v/>
      </c>
      <c r="AG380" s="144" t="str">
        <f t="shared" si="21"/>
        <v/>
      </c>
      <c r="AH380" s="146">
        <f t="shared" si="22"/>
        <v>0.35299999999999998</v>
      </c>
      <c r="AI380" s="146" t="str">
        <f t="shared" si="23"/>
        <v/>
      </c>
      <c r="AJ380" s="303"/>
      <c r="AK380" s="303"/>
      <c r="AL380" s="303"/>
      <c r="AM380" s="303"/>
      <c r="AN380" s="303"/>
      <c r="AO380" s="303"/>
      <c r="AP380" s="303"/>
      <c r="AQ380" s="303"/>
      <c r="AR380" s="303"/>
      <c r="AS380" s="170"/>
      <c r="AT380" s="170"/>
      <c r="AU380" s="310"/>
      <c r="AW380" s="294"/>
      <c r="AX380" s="294"/>
      <c r="AY380" s="294"/>
      <c r="AZ380" s="294"/>
      <c r="BA380" s="294"/>
      <c r="BB380" s="294"/>
      <c r="BC380" s="294"/>
      <c r="BD380" s="294"/>
      <c r="BE380" s="294"/>
      <c r="BF380" s="382">
        <v>0.35299999999999998</v>
      </c>
      <c r="BG380" s="383"/>
      <c r="BH380" s="278"/>
      <c r="BI380" s="365"/>
      <c r="BJ380" s="409"/>
    </row>
    <row r="381" spans="1:62" ht="15.75" customHeight="1" thickBot="1" x14ac:dyDescent="0.25">
      <c r="A381" s="156">
        <v>380</v>
      </c>
      <c r="B381" s="155">
        <v>1</v>
      </c>
      <c r="C381" s="148" t="s">
        <v>162</v>
      </c>
      <c r="D381" s="148" t="s">
        <v>771</v>
      </c>
      <c r="E381" s="148" t="s">
        <v>13</v>
      </c>
      <c r="F381" s="148" t="s">
        <v>50</v>
      </c>
      <c r="G381" s="148" t="s">
        <v>20</v>
      </c>
      <c r="H381" s="148" t="s">
        <v>16</v>
      </c>
      <c r="I381" s="161">
        <v>2012</v>
      </c>
      <c r="J381" s="161" t="s">
        <v>802</v>
      </c>
      <c r="K381" s="161" t="s">
        <v>803</v>
      </c>
      <c r="L381" s="161" t="s">
        <v>19</v>
      </c>
      <c r="M381" s="453" t="s">
        <v>4162</v>
      </c>
      <c r="N381" s="186" t="s">
        <v>20</v>
      </c>
      <c r="O381" s="186" t="s">
        <v>20</v>
      </c>
      <c r="P381" s="186" t="s">
        <v>15</v>
      </c>
      <c r="Q381" s="186" t="s">
        <v>15</v>
      </c>
      <c r="R381" s="186" t="s">
        <v>15</v>
      </c>
      <c r="S381" s="186" t="s">
        <v>15</v>
      </c>
      <c r="T381" s="186" t="s">
        <v>15</v>
      </c>
      <c r="U381" s="186" t="s">
        <v>15</v>
      </c>
      <c r="V381" s="186" t="s">
        <v>15</v>
      </c>
      <c r="W381" s="186" t="s">
        <v>15</v>
      </c>
      <c r="X381" s="186" t="s">
        <v>15</v>
      </c>
      <c r="Y381" s="186" t="s">
        <v>15</v>
      </c>
      <c r="Z381" s="186"/>
      <c r="AA381" s="186" t="s">
        <v>806</v>
      </c>
      <c r="AB381" s="186" t="s">
        <v>15</v>
      </c>
      <c r="AC381" s="186" t="s">
        <v>15</v>
      </c>
      <c r="AD381" s="268" t="s">
        <v>755</v>
      </c>
      <c r="AE381" s="268"/>
      <c r="AF381" s="144" t="str">
        <f t="shared" si="20"/>
        <v/>
      </c>
      <c r="AG381" s="144" t="str">
        <f t="shared" si="21"/>
        <v/>
      </c>
      <c r="AH381" s="146">
        <f t="shared" si="22"/>
        <v>0.40899999999999997</v>
      </c>
      <c r="AI381" s="146" t="str">
        <f t="shared" si="23"/>
        <v/>
      </c>
      <c r="AJ381" s="303"/>
      <c r="AK381" s="303"/>
      <c r="AL381" s="303"/>
      <c r="AM381" s="303"/>
      <c r="AN381" s="303"/>
      <c r="AO381" s="303"/>
      <c r="AP381" s="303"/>
      <c r="AQ381" s="303"/>
      <c r="AR381" s="303"/>
      <c r="AS381" s="170"/>
      <c r="AT381" s="170"/>
      <c r="AU381" s="310"/>
      <c r="AW381" s="294"/>
      <c r="AX381" s="294"/>
      <c r="AY381" s="294"/>
      <c r="AZ381" s="294"/>
      <c r="BA381" s="294"/>
      <c r="BB381" s="294"/>
      <c r="BC381" s="294"/>
      <c r="BD381" s="294"/>
      <c r="BE381" s="294"/>
      <c r="BF381" s="382">
        <v>0.40899999999999997</v>
      </c>
      <c r="BG381" s="383"/>
      <c r="BH381" s="278"/>
      <c r="BI381" s="365"/>
      <c r="BJ381" s="409"/>
    </row>
    <row r="382" spans="1:62" ht="15.75" customHeight="1" thickBot="1" x14ac:dyDescent="0.25">
      <c r="A382" s="154">
        <v>381</v>
      </c>
      <c r="B382" s="155">
        <v>1</v>
      </c>
      <c r="C382" s="148" t="s">
        <v>162</v>
      </c>
      <c r="D382" s="141" t="s">
        <v>2057</v>
      </c>
      <c r="E382" s="148" t="s">
        <v>13</v>
      </c>
      <c r="F382" s="148" t="s">
        <v>821</v>
      </c>
      <c r="G382" s="148" t="s">
        <v>20</v>
      </c>
      <c r="H382" s="148" t="s">
        <v>16</v>
      </c>
      <c r="I382" s="161">
        <v>2012</v>
      </c>
      <c r="J382" s="161" t="s">
        <v>802</v>
      </c>
      <c r="K382" s="161" t="s">
        <v>803</v>
      </c>
      <c r="L382" s="161" t="s">
        <v>19</v>
      </c>
      <c r="M382" s="453" t="s">
        <v>4162</v>
      </c>
      <c r="N382" s="186" t="s">
        <v>20</v>
      </c>
      <c r="O382" s="186" t="s">
        <v>15</v>
      </c>
      <c r="P382" s="186" t="s">
        <v>15</v>
      </c>
      <c r="Q382" s="186" t="s">
        <v>15</v>
      </c>
      <c r="R382" s="186" t="s">
        <v>15</v>
      </c>
      <c r="S382" s="186" t="s">
        <v>15</v>
      </c>
      <c r="T382" s="186" t="s">
        <v>15</v>
      </c>
      <c r="U382" s="186" t="s">
        <v>15</v>
      </c>
      <c r="V382" s="186" t="s">
        <v>15</v>
      </c>
      <c r="W382" s="186" t="s">
        <v>15</v>
      </c>
      <c r="X382" s="186" t="s">
        <v>15</v>
      </c>
      <c r="Y382" s="186" t="s">
        <v>15</v>
      </c>
      <c r="Z382" s="186"/>
      <c r="AA382" s="186" t="s">
        <v>804</v>
      </c>
      <c r="AB382" s="186" t="s">
        <v>15</v>
      </c>
      <c r="AC382" s="186" t="s">
        <v>15</v>
      </c>
      <c r="AD382" s="268" t="s">
        <v>755</v>
      </c>
      <c r="AE382" s="268"/>
      <c r="AF382" s="144" t="str">
        <f t="shared" si="20"/>
        <v/>
      </c>
      <c r="AG382" s="144" t="str">
        <f t="shared" si="21"/>
        <v/>
      </c>
      <c r="AH382" s="146">
        <f t="shared" si="22"/>
        <v>0.192</v>
      </c>
      <c r="AI382" s="146" t="str">
        <f t="shared" si="23"/>
        <v/>
      </c>
      <c r="AJ382" s="303"/>
      <c r="AK382" s="303"/>
      <c r="AL382" s="303"/>
      <c r="AM382" s="303"/>
      <c r="AN382" s="303"/>
      <c r="AO382" s="303"/>
      <c r="AP382" s="303"/>
      <c r="AQ382" s="303"/>
      <c r="AR382" s="303"/>
      <c r="AS382" s="170"/>
      <c r="AT382" s="170"/>
      <c r="AU382" s="310"/>
      <c r="AW382" s="294"/>
      <c r="AX382" s="294"/>
      <c r="AY382" s="294"/>
      <c r="AZ382" s="294"/>
      <c r="BA382" s="294"/>
      <c r="BB382" s="294"/>
      <c r="BC382" s="294"/>
      <c r="BD382" s="294"/>
      <c r="BE382" s="294"/>
      <c r="BF382" s="382">
        <v>0.192</v>
      </c>
      <c r="BG382" s="383"/>
      <c r="BH382" s="278"/>
      <c r="BI382" s="365"/>
      <c r="BJ382" s="409"/>
    </row>
    <row r="383" spans="1:62" ht="15.75" customHeight="1" thickBot="1" x14ac:dyDescent="0.25">
      <c r="A383" s="156">
        <v>382</v>
      </c>
      <c r="B383" s="155">
        <v>1</v>
      </c>
      <c r="C383" s="148" t="s">
        <v>162</v>
      </c>
      <c r="D383" s="141" t="s">
        <v>2057</v>
      </c>
      <c r="E383" s="148" t="s">
        <v>13</v>
      </c>
      <c r="F383" s="148" t="s">
        <v>822</v>
      </c>
      <c r="G383" s="148" t="s">
        <v>20</v>
      </c>
      <c r="H383" s="148" t="s">
        <v>16</v>
      </c>
      <c r="I383" s="161">
        <v>2012</v>
      </c>
      <c r="J383" s="161" t="s">
        <v>802</v>
      </c>
      <c r="K383" s="161" t="s">
        <v>803</v>
      </c>
      <c r="L383" s="161" t="s">
        <v>19</v>
      </c>
      <c r="M383" s="453" t="s">
        <v>4162</v>
      </c>
      <c r="N383" s="186" t="s">
        <v>20</v>
      </c>
      <c r="O383" s="186" t="s">
        <v>20</v>
      </c>
      <c r="P383" s="186" t="s">
        <v>15</v>
      </c>
      <c r="Q383" s="186" t="s">
        <v>15</v>
      </c>
      <c r="R383" s="186" t="s">
        <v>15</v>
      </c>
      <c r="S383" s="186" t="s">
        <v>15</v>
      </c>
      <c r="T383" s="186" t="s">
        <v>15</v>
      </c>
      <c r="U383" s="186" t="s">
        <v>15</v>
      </c>
      <c r="V383" s="186" t="s">
        <v>15</v>
      </c>
      <c r="W383" s="186" t="s">
        <v>15</v>
      </c>
      <c r="X383" s="186" t="s">
        <v>15</v>
      </c>
      <c r="Y383" s="186" t="s">
        <v>15</v>
      </c>
      <c r="Z383" s="186"/>
      <c r="AA383" s="186" t="s">
        <v>806</v>
      </c>
      <c r="AB383" s="186" t="s">
        <v>15</v>
      </c>
      <c r="AC383" s="186" t="s">
        <v>15</v>
      </c>
      <c r="AD383" s="268" t="s">
        <v>755</v>
      </c>
      <c r="AE383" s="268"/>
      <c r="AF383" s="144" t="str">
        <f t="shared" si="20"/>
        <v/>
      </c>
      <c r="AG383" s="144" t="str">
        <f t="shared" si="21"/>
        <v/>
      </c>
      <c r="AH383" s="146">
        <f t="shared" si="22"/>
        <v>0.26800000000000002</v>
      </c>
      <c r="AI383" s="146" t="str">
        <f t="shared" si="23"/>
        <v/>
      </c>
      <c r="AJ383" s="303"/>
      <c r="AK383" s="303"/>
      <c r="AL383" s="303"/>
      <c r="AM383" s="303"/>
      <c r="AN383" s="303"/>
      <c r="AO383" s="303"/>
      <c r="AP383" s="303"/>
      <c r="AQ383" s="303"/>
      <c r="AR383" s="303"/>
      <c r="AS383" s="170"/>
      <c r="AT383" s="170"/>
      <c r="AU383" s="310"/>
      <c r="AW383" s="294"/>
      <c r="AX383" s="294"/>
      <c r="AY383" s="294"/>
      <c r="AZ383" s="294"/>
      <c r="BA383" s="294"/>
      <c r="BB383" s="294"/>
      <c r="BC383" s="294"/>
      <c r="BD383" s="294"/>
      <c r="BE383" s="294"/>
      <c r="BF383" s="382">
        <v>0.26800000000000002</v>
      </c>
      <c r="BG383" s="383"/>
      <c r="BH383" s="278"/>
      <c r="BI383" s="365"/>
      <c r="BJ383" s="409"/>
    </row>
    <row r="384" spans="1:62" ht="15.75" customHeight="1" thickBot="1" x14ac:dyDescent="0.25">
      <c r="A384" s="154">
        <v>383</v>
      </c>
      <c r="B384" s="155">
        <v>1</v>
      </c>
      <c r="C384" s="148" t="s">
        <v>236</v>
      </c>
      <c r="D384" s="148" t="s">
        <v>480</v>
      </c>
      <c r="E384" s="148" t="s">
        <v>13</v>
      </c>
      <c r="F384" s="148" t="s">
        <v>480</v>
      </c>
      <c r="G384" s="148" t="s">
        <v>15</v>
      </c>
      <c r="H384" s="148" t="s">
        <v>471</v>
      </c>
      <c r="I384" s="161">
        <v>2012</v>
      </c>
      <c r="J384" s="161" t="s">
        <v>823</v>
      </c>
      <c r="K384" s="161" t="s">
        <v>824</v>
      </c>
      <c r="L384" s="161" t="s">
        <v>19</v>
      </c>
      <c r="M384" s="453" t="s">
        <v>4163</v>
      </c>
      <c r="N384" s="186" t="s">
        <v>20</v>
      </c>
      <c r="O384" s="186" t="s">
        <v>20</v>
      </c>
      <c r="P384" s="186" t="s">
        <v>20</v>
      </c>
      <c r="Q384" s="186" t="s">
        <v>20</v>
      </c>
      <c r="R384" s="186" t="s">
        <v>20</v>
      </c>
      <c r="S384" s="186" t="s">
        <v>20</v>
      </c>
      <c r="T384" s="186" t="s">
        <v>20</v>
      </c>
      <c r="U384" s="186" t="s">
        <v>15</v>
      </c>
      <c r="V384" s="186" t="s">
        <v>15</v>
      </c>
      <c r="W384" s="186" t="s">
        <v>15</v>
      </c>
      <c r="X384" s="186" t="s">
        <v>15</v>
      </c>
      <c r="Y384" s="186" t="s">
        <v>15</v>
      </c>
      <c r="Z384" s="186"/>
      <c r="AA384" s="186" t="s">
        <v>483</v>
      </c>
      <c r="AB384" s="186" t="s">
        <v>15</v>
      </c>
      <c r="AC384" s="186" t="s">
        <v>20</v>
      </c>
      <c r="AD384" s="268" t="s">
        <v>825</v>
      </c>
      <c r="AE384" s="268" t="s">
        <v>826</v>
      </c>
      <c r="AF384" s="144">
        <f t="shared" si="20"/>
        <v>2.8666666666666667</v>
      </c>
      <c r="AG384" s="144" t="str">
        <f t="shared" si="21"/>
        <v/>
      </c>
      <c r="AH384" s="146">
        <f t="shared" si="22"/>
        <v>0.32727272727272722</v>
      </c>
      <c r="AI384" s="146" t="str">
        <f t="shared" si="23"/>
        <v/>
      </c>
      <c r="AJ384" s="303">
        <v>2.8666666666666667</v>
      </c>
      <c r="AK384" s="303"/>
      <c r="AL384" s="303"/>
      <c r="AM384" s="303">
        <v>1.9393939392999999</v>
      </c>
      <c r="AN384" s="303">
        <v>1.2121212100000001</v>
      </c>
      <c r="AO384" s="303"/>
      <c r="AP384" s="303"/>
      <c r="AQ384" s="303"/>
      <c r="AR384" s="303"/>
      <c r="AS384" s="170">
        <v>2.8666666666666667</v>
      </c>
      <c r="AT384" s="170">
        <v>6.0606060606060606</v>
      </c>
      <c r="AU384" s="310"/>
      <c r="AW384" s="294">
        <v>0.32727272727272722</v>
      </c>
      <c r="AX384" s="294"/>
      <c r="AY384" s="294"/>
      <c r="AZ384" s="294">
        <v>0.13636363000000001</v>
      </c>
      <c r="BA384" s="294">
        <v>8.1818181000000004E-2</v>
      </c>
      <c r="BB384" s="294"/>
      <c r="BC384" s="294"/>
      <c r="BD384" s="294"/>
      <c r="BE384" s="294"/>
      <c r="BF384" s="383">
        <v>0.32727272727272722</v>
      </c>
      <c r="BG384" s="383">
        <v>0.54545454545454541</v>
      </c>
      <c r="BH384" s="369">
        <v>0.43</v>
      </c>
      <c r="BI384" s="365"/>
      <c r="BJ384" s="409"/>
    </row>
    <row r="385" spans="1:62" ht="15.75" customHeight="1" thickBot="1" x14ac:dyDescent="0.25">
      <c r="A385" s="156">
        <v>384</v>
      </c>
      <c r="B385" s="155">
        <v>1</v>
      </c>
      <c r="C385" s="148" t="s">
        <v>162</v>
      </c>
      <c r="D385" s="148" t="s">
        <v>4061</v>
      </c>
      <c r="E385" s="148" t="s">
        <v>13</v>
      </c>
      <c r="F385" s="148" t="s">
        <v>828</v>
      </c>
      <c r="G385" s="148" t="s">
        <v>15</v>
      </c>
      <c r="H385" s="148" t="s">
        <v>708</v>
      </c>
      <c r="I385" s="161">
        <v>2012</v>
      </c>
      <c r="J385" s="161" t="s">
        <v>829</v>
      </c>
      <c r="K385" s="161" t="s">
        <v>830</v>
      </c>
      <c r="L385" s="161" t="s">
        <v>19</v>
      </c>
      <c r="M385" s="453" t="s">
        <v>4164</v>
      </c>
      <c r="N385" s="186" t="s">
        <v>20</v>
      </c>
      <c r="O385" s="186" t="s">
        <v>15</v>
      </c>
      <c r="P385" s="186" t="s">
        <v>20</v>
      </c>
      <c r="Q385" s="186" t="s">
        <v>20</v>
      </c>
      <c r="R385" s="186" t="s">
        <v>20</v>
      </c>
      <c r="S385" s="186" t="s">
        <v>20</v>
      </c>
      <c r="T385" s="186" t="s">
        <v>15</v>
      </c>
      <c r="U385" s="186" t="s">
        <v>15</v>
      </c>
      <c r="V385" s="186" t="s">
        <v>15</v>
      </c>
      <c r="W385" s="186" t="s">
        <v>15</v>
      </c>
      <c r="X385" s="186" t="s">
        <v>15</v>
      </c>
      <c r="Y385" s="186" t="s">
        <v>15</v>
      </c>
      <c r="Z385" s="186"/>
      <c r="AA385" s="186" t="s">
        <v>831</v>
      </c>
      <c r="AB385" s="186" t="s">
        <v>15</v>
      </c>
      <c r="AC385" s="186" t="s">
        <v>15</v>
      </c>
      <c r="AD385" s="268" t="s">
        <v>832</v>
      </c>
      <c r="AE385" s="268"/>
      <c r="AF385" s="144" t="str">
        <f t="shared" si="20"/>
        <v/>
      </c>
      <c r="AG385" s="144" t="str">
        <f t="shared" si="21"/>
        <v/>
      </c>
      <c r="AH385" s="146" t="str">
        <f t="shared" si="22"/>
        <v/>
      </c>
      <c r="AI385" s="146" t="str">
        <f t="shared" si="23"/>
        <v/>
      </c>
      <c r="AJ385" s="303"/>
      <c r="AK385" s="303"/>
      <c r="AL385" s="303"/>
      <c r="AM385" s="303"/>
      <c r="AN385" s="303"/>
      <c r="AO385" s="303"/>
      <c r="AP385" s="303"/>
      <c r="AQ385" s="303"/>
      <c r="AR385" s="303"/>
      <c r="AS385" s="170"/>
      <c r="AT385" s="170"/>
      <c r="AU385" s="310"/>
      <c r="AW385" s="294"/>
      <c r="AX385" s="294"/>
      <c r="AY385" s="294"/>
      <c r="AZ385" s="294"/>
      <c r="BA385" s="294"/>
      <c r="BB385" s="294"/>
      <c r="BC385" s="294"/>
      <c r="BD385" s="294"/>
      <c r="BE385" s="294"/>
      <c r="BF385" s="383"/>
      <c r="BG385" s="382">
        <v>8.8699999999999992</v>
      </c>
      <c r="BH385" s="278" t="s">
        <v>833</v>
      </c>
      <c r="BI385" s="365" t="s">
        <v>834</v>
      </c>
      <c r="BJ385" s="409"/>
    </row>
    <row r="386" spans="1:62" ht="15.75" customHeight="1" thickBot="1" x14ac:dyDescent="0.25">
      <c r="A386" s="154">
        <v>385</v>
      </c>
      <c r="B386" s="155">
        <v>1</v>
      </c>
      <c r="C386" s="148" t="s">
        <v>162</v>
      </c>
      <c r="D386" s="141" t="s">
        <v>2057</v>
      </c>
      <c r="E386" s="148" t="s">
        <v>13</v>
      </c>
      <c r="F386" s="148" t="s">
        <v>785</v>
      </c>
      <c r="G386" s="148" t="s">
        <v>15</v>
      </c>
      <c r="H386" s="148" t="s">
        <v>708</v>
      </c>
      <c r="I386" s="161">
        <v>2012</v>
      </c>
      <c r="J386" s="161" t="s">
        <v>829</v>
      </c>
      <c r="K386" s="161" t="s">
        <v>830</v>
      </c>
      <c r="L386" s="161" t="s">
        <v>19</v>
      </c>
      <c r="M386" s="453" t="s">
        <v>4164</v>
      </c>
      <c r="N386" s="186" t="s">
        <v>20</v>
      </c>
      <c r="O386" s="186" t="s">
        <v>15</v>
      </c>
      <c r="P386" s="186" t="s">
        <v>20</v>
      </c>
      <c r="Q386" s="186" t="s">
        <v>20</v>
      </c>
      <c r="R386" s="186" t="s">
        <v>20</v>
      </c>
      <c r="S386" s="186" t="s">
        <v>20</v>
      </c>
      <c r="T386" s="186" t="s">
        <v>15</v>
      </c>
      <c r="U386" s="186" t="s">
        <v>15</v>
      </c>
      <c r="V386" s="186" t="s">
        <v>15</v>
      </c>
      <c r="W386" s="186" t="s">
        <v>15</v>
      </c>
      <c r="X386" s="186" t="s">
        <v>15</v>
      </c>
      <c r="Y386" s="186" t="s">
        <v>15</v>
      </c>
      <c r="Z386" s="186"/>
      <c r="AA386" s="186" t="s">
        <v>831</v>
      </c>
      <c r="AB386" s="186" t="s">
        <v>15</v>
      </c>
      <c r="AC386" s="186" t="s">
        <v>15</v>
      </c>
      <c r="AD386" s="268" t="s">
        <v>832</v>
      </c>
      <c r="AE386" s="268"/>
      <c r="AF386" s="144" t="str">
        <f t="shared" ref="AF386:AF449" si="27">IF(AS386&lt;&gt;0,AS386,"")</f>
        <v/>
      </c>
      <c r="AG386" s="144" t="str">
        <f t="shared" ref="AG386:AG449" si="28">IF(AND(SUM(AJ386:AL386)&lt;&gt;0,SUM(AJ386:AL386)&lt;&gt;AJ386),SUM(AJ386:AL386),"")</f>
        <v/>
      </c>
      <c r="AH386" s="146" t="str">
        <f t="shared" ref="AH386:AH449" si="29">IF(BF386&lt;&gt;0,BF386,"")</f>
        <v/>
      </c>
      <c r="AI386" s="146" t="str">
        <f t="shared" ref="AI386:AI449" si="30">IF(AND(SUM(AW386:AY386)&lt;&gt;0,SUM(AW386:AY386)&lt;&gt;AW386),SUM(AW386:AY386),"")</f>
        <v/>
      </c>
      <c r="AJ386" s="303"/>
      <c r="AK386" s="303"/>
      <c r="AL386" s="303"/>
      <c r="AM386" s="303"/>
      <c r="AN386" s="303"/>
      <c r="AO386" s="303"/>
      <c r="AP386" s="303"/>
      <c r="AQ386" s="303"/>
      <c r="AR386" s="303"/>
      <c r="AS386" s="170"/>
      <c r="AT386" s="170"/>
      <c r="AU386" s="310"/>
      <c r="AW386" s="294"/>
      <c r="AX386" s="294"/>
      <c r="AY386" s="294"/>
      <c r="AZ386" s="294"/>
      <c r="BA386" s="294"/>
      <c r="BB386" s="294"/>
      <c r="BC386" s="294"/>
      <c r="BD386" s="294"/>
      <c r="BE386" s="294"/>
      <c r="BF386" s="383"/>
      <c r="BG386" s="382">
        <v>3.24</v>
      </c>
      <c r="BH386" s="278" t="s">
        <v>835</v>
      </c>
      <c r="BI386" s="365" t="s">
        <v>834</v>
      </c>
      <c r="BJ386" s="409"/>
    </row>
    <row r="387" spans="1:62" ht="15.75" customHeight="1" thickBot="1" x14ac:dyDescent="0.25">
      <c r="A387" s="156">
        <v>386</v>
      </c>
      <c r="B387" s="155">
        <v>1</v>
      </c>
      <c r="C387" s="148" t="s">
        <v>236</v>
      </c>
      <c r="D387" s="148" t="s">
        <v>1769</v>
      </c>
      <c r="E387" s="148" t="s">
        <v>13</v>
      </c>
      <c r="F387" s="148" t="s">
        <v>836</v>
      </c>
      <c r="G387" s="148" t="s">
        <v>15</v>
      </c>
      <c r="H387" s="148" t="s">
        <v>708</v>
      </c>
      <c r="I387" s="161">
        <v>2012</v>
      </c>
      <c r="J387" s="161" t="s">
        <v>829</v>
      </c>
      <c r="K387" s="161" t="s">
        <v>830</v>
      </c>
      <c r="L387" s="161" t="s">
        <v>19</v>
      </c>
      <c r="M387" s="453" t="s">
        <v>4164</v>
      </c>
      <c r="N387" s="186" t="s">
        <v>20</v>
      </c>
      <c r="O387" s="186" t="s">
        <v>15</v>
      </c>
      <c r="P387" s="186" t="s">
        <v>20</v>
      </c>
      <c r="Q387" s="186" t="s">
        <v>20</v>
      </c>
      <c r="R387" s="186" t="s">
        <v>20</v>
      </c>
      <c r="S387" s="186" t="s">
        <v>20</v>
      </c>
      <c r="T387" s="186" t="s">
        <v>15</v>
      </c>
      <c r="U387" s="186" t="s">
        <v>15</v>
      </c>
      <c r="V387" s="186" t="s">
        <v>15</v>
      </c>
      <c r="W387" s="186" t="s">
        <v>15</v>
      </c>
      <c r="X387" s="186" t="s">
        <v>15</v>
      </c>
      <c r="Y387" s="186" t="s">
        <v>15</v>
      </c>
      <c r="Z387" s="186"/>
      <c r="AA387" s="186" t="s">
        <v>831</v>
      </c>
      <c r="AB387" s="186" t="s">
        <v>15</v>
      </c>
      <c r="AC387" s="186" t="s">
        <v>15</v>
      </c>
      <c r="AD387" s="268" t="s">
        <v>837</v>
      </c>
      <c r="AE387" s="268"/>
      <c r="AF387" s="144" t="str">
        <f t="shared" si="27"/>
        <v/>
      </c>
      <c r="AG387" s="144" t="str">
        <f t="shared" si="28"/>
        <v/>
      </c>
      <c r="AH387" s="146" t="str">
        <f t="shared" si="29"/>
        <v/>
      </c>
      <c r="AI387" s="146" t="str">
        <f t="shared" si="30"/>
        <v/>
      </c>
      <c r="AJ387" s="303"/>
      <c r="AK387" s="303"/>
      <c r="AL387" s="303"/>
      <c r="AM387" s="303"/>
      <c r="AN387" s="303"/>
      <c r="AO387" s="303"/>
      <c r="AP387" s="303"/>
      <c r="AQ387" s="303"/>
      <c r="AR387" s="303"/>
      <c r="AS387" s="170"/>
      <c r="AT387" s="170"/>
      <c r="AU387" s="310"/>
      <c r="AW387" s="294"/>
      <c r="AX387" s="294"/>
      <c r="AY387" s="294"/>
      <c r="AZ387" s="294"/>
      <c r="BA387" s="294"/>
      <c r="BB387" s="294"/>
      <c r="BC387" s="294"/>
      <c r="BD387" s="294"/>
      <c r="BE387" s="294"/>
      <c r="BF387" s="383"/>
      <c r="BG387" s="382">
        <v>0.45</v>
      </c>
      <c r="BH387" s="278" t="s">
        <v>838</v>
      </c>
      <c r="BI387" s="365" t="s">
        <v>834</v>
      </c>
      <c r="BJ387" s="409"/>
    </row>
    <row r="388" spans="1:62" ht="15.75" customHeight="1" thickBot="1" x14ac:dyDescent="0.25">
      <c r="A388" s="154">
        <v>387</v>
      </c>
      <c r="B388" s="155">
        <v>1</v>
      </c>
      <c r="C388" s="148" t="s">
        <v>162</v>
      </c>
      <c r="D388" s="148" t="s">
        <v>2311</v>
      </c>
      <c r="E388" s="148" t="s">
        <v>13</v>
      </c>
      <c r="F388" s="148" t="s">
        <v>839</v>
      </c>
      <c r="G388" s="148" t="s">
        <v>15</v>
      </c>
      <c r="H388" s="148" t="s">
        <v>708</v>
      </c>
      <c r="I388" s="161">
        <v>2012</v>
      </c>
      <c r="J388" s="161" t="s">
        <v>829</v>
      </c>
      <c r="K388" s="161" t="s">
        <v>830</v>
      </c>
      <c r="L388" s="161" t="s">
        <v>19</v>
      </c>
      <c r="M388" s="453" t="s">
        <v>4164</v>
      </c>
      <c r="N388" s="186" t="s">
        <v>20</v>
      </c>
      <c r="O388" s="186" t="s">
        <v>15</v>
      </c>
      <c r="P388" s="186" t="s">
        <v>20</v>
      </c>
      <c r="Q388" s="186" t="s">
        <v>20</v>
      </c>
      <c r="R388" s="186" t="s">
        <v>20</v>
      </c>
      <c r="S388" s="186" t="s">
        <v>20</v>
      </c>
      <c r="T388" s="186" t="s">
        <v>15</v>
      </c>
      <c r="U388" s="186" t="s">
        <v>15</v>
      </c>
      <c r="V388" s="186" t="s">
        <v>15</v>
      </c>
      <c r="W388" s="186" t="s">
        <v>15</v>
      </c>
      <c r="X388" s="186" t="s">
        <v>15</v>
      </c>
      <c r="Y388" s="186" t="s">
        <v>15</v>
      </c>
      <c r="Z388" s="186"/>
      <c r="AA388" s="186" t="s">
        <v>831</v>
      </c>
      <c r="AB388" s="186" t="s">
        <v>15</v>
      </c>
      <c r="AC388" s="186" t="s">
        <v>15</v>
      </c>
      <c r="AD388" s="268" t="s">
        <v>837</v>
      </c>
      <c r="AE388" s="268"/>
      <c r="AF388" s="144" t="str">
        <f t="shared" si="27"/>
        <v/>
      </c>
      <c r="AG388" s="144" t="str">
        <f t="shared" si="28"/>
        <v/>
      </c>
      <c r="AH388" s="146" t="str">
        <f t="shared" si="29"/>
        <v/>
      </c>
      <c r="AI388" s="146" t="str">
        <f t="shared" si="30"/>
        <v/>
      </c>
      <c r="AJ388" s="303"/>
      <c r="AK388" s="303"/>
      <c r="AL388" s="303"/>
      <c r="AM388" s="303"/>
      <c r="AN388" s="303"/>
      <c r="AO388" s="303"/>
      <c r="AP388" s="303"/>
      <c r="AQ388" s="303"/>
      <c r="AR388" s="303"/>
      <c r="AS388" s="170"/>
      <c r="AT388" s="170"/>
      <c r="AU388" s="310"/>
      <c r="AW388" s="294"/>
      <c r="AX388" s="294"/>
      <c r="AY388" s="294"/>
      <c r="AZ388" s="294"/>
      <c r="BA388" s="294"/>
      <c r="BB388" s="294"/>
      <c r="BC388" s="294"/>
      <c r="BD388" s="294"/>
      <c r="BE388" s="294"/>
      <c r="BF388" s="383"/>
      <c r="BG388" s="382">
        <v>0.69</v>
      </c>
      <c r="BH388" s="278" t="s">
        <v>840</v>
      </c>
      <c r="BI388" s="365" t="s">
        <v>834</v>
      </c>
      <c r="BJ388" s="409"/>
    </row>
    <row r="389" spans="1:62" ht="15.75" customHeight="1" thickBot="1" x14ac:dyDescent="0.25">
      <c r="A389" s="156">
        <v>388</v>
      </c>
      <c r="B389" s="155">
        <v>1</v>
      </c>
      <c r="C389" s="148" t="s">
        <v>236</v>
      </c>
      <c r="D389" s="148" t="s">
        <v>2145</v>
      </c>
      <c r="E389" s="148" t="s">
        <v>13</v>
      </c>
      <c r="F389" s="148" t="s">
        <v>841</v>
      </c>
      <c r="G389" s="148" t="s">
        <v>15</v>
      </c>
      <c r="H389" s="148" t="s">
        <v>708</v>
      </c>
      <c r="I389" s="161">
        <v>2012</v>
      </c>
      <c r="J389" s="161" t="s">
        <v>829</v>
      </c>
      <c r="K389" s="161" t="s">
        <v>830</v>
      </c>
      <c r="L389" s="161" t="s">
        <v>19</v>
      </c>
      <c r="M389" s="453" t="s">
        <v>4164</v>
      </c>
      <c r="N389" s="186" t="s">
        <v>20</v>
      </c>
      <c r="O389" s="186" t="s">
        <v>15</v>
      </c>
      <c r="P389" s="186" t="s">
        <v>20</v>
      </c>
      <c r="Q389" s="186" t="s">
        <v>20</v>
      </c>
      <c r="R389" s="186" t="s">
        <v>20</v>
      </c>
      <c r="S389" s="186" t="s">
        <v>20</v>
      </c>
      <c r="T389" s="186" t="s">
        <v>15</v>
      </c>
      <c r="U389" s="186" t="s">
        <v>15</v>
      </c>
      <c r="V389" s="186" t="s">
        <v>15</v>
      </c>
      <c r="W389" s="186" t="s">
        <v>15</v>
      </c>
      <c r="X389" s="186" t="s">
        <v>15</v>
      </c>
      <c r="Y389" s="186" t="s">
        <v>15</v>
      </c>
      <c r="Z389" s="186"/>
      <c r="AA389" s="186" t="s">
        <v>831</v>
      </c>
      <c r="AB389" s="186" t="s">
        <v>15</v>
      </c>
      <c r="AC389" s="186" t="s">
        <v>15</v>
      </c>
      <c r="AD389" s="268" t="s">
        <v>837</v>
      </c>
      <c r="AE389" s="268"/>
      <c r="AF389" s="144" t="str">
        <f t="shared" si="27"/>
        <v/>
      </c>
      <c r="AG389" s="144" t="str">
        <f t="shared" si="28"/>
        <v/>
      </c>
      <c r="AH389" s="146" t="str">
        <f t="shared" si="29"/>
        <v/>
      </c>
      <c r="AI389" s="146" t="str">
        <f t="shared" si="30"/>
        <v/>
      </c>
      <c r="AJ389" s="303"/>
      <c r="AK389" s="303"/>
      <c r="AL389" s="303"/>
      <c r="AM389" s="303"/>
      <c r="AN389" s="303"/>
      <c r="AO389" s="303"/>
      <c r="AP389" s="303"/>
      <c r="AQ389" s="303"/>
      <c r="AR389" s="303"/>
      <c r="AS389" s="170"/>
      <c r="AT389" s="170"/>
      <c r="AU389" s="310"/>
      <c r="AW389" s="294"/>
      <c r="AX389" s="294"/>
      <c r="AY389" s="294"/>
      <c r="AZ389" s="294"/>
      <c r="BA389" s="294"/>
      <c r="BB389" s="294"/>
      <c r="BC389" s="294"/>
      <c r="BD389" s="294"/>
      <c r="BE389" s="294"/>
      <c r="BF389" s="383"/>
      <c r="BG389" s="382">
        <v>0.28999999999999998</v>
      </c>
      <c r="BH389" s="278" t="s">
        <v>842</v>
      </c>
      <c r="BI389" s="365" t="s">
        <v>834</v>
      </c>
      <c r="BJ389" s="409"/>
    </row>
    <row r="390" spans="1:62" ht="15.75" customHeight="1" thickBot="1" x14ac:dyDescent="0.25">
      <c r="A390" s="154">
        <v>389</v>
      </c>
      <c r="B390" s="155">
        <v>1</v>
      </c>
      <c r="C390" s="148" t="s">
        <v>236</v>
      </c>
      <c r="D390" s="148" t="s">
        <v>843</v>
      </c>
      <c r="E390" s="148" t="s">
        <v>13</v>
      </c>
      <c r="F390" s="148" t="s">
        <v>751</v>
      </c>
      <c r="G390" s="148" t="s">
        <v>15</v>
      </c>
      <c r="H390" s="148" t="s">
        <v>708</v>
      </c>
      <c r="I390" s="161">
        <v>2012</v>
      </c>
      <c r="J390" s="161" t="s">
        <v>829</v>
      </c>
      <c r="K390" s="161" t="s">
        <v>830</v>
      </c>
      <c r="L390" s="161" t="s">
        <v>19</v>
      </c>
      <c r="M390" s="453" t="s">
        <v>4164</v>
      </c>
      <c r="N390" s="186" t="s">
        <v>20</v>
      </c>
      <c r="O390" s="186" t="s">
        <v>15</v>
      </c>
      <c r="P390" s="186" t="s">
        <v>20</v>
      </c>
      <c r="Q390" s="186" t="s">
        <v>20</v>
      </c>
      <c r="R390" s="186" t="s">
        <v>20</v>
      </c>
      <c r="S390" s="186" t="s">
        <v>20</v>
      </c>
      <c r="T390" s="186" t="s">
        <v>15</v>
      </c>
      <c r="U390" s="186" t="s">
        <v>15</v>
      </c>
      <c r="V390" s="186" t="s">
        <v>15</v>
      </c>
      <c r="W390" s="186" t="s">
        <v>15</v>
      </c>
      <c r="X390" s="186" t="s">
        <v>15</v>
      </c>
      <c r="Y390" s="186" t="s">
        <v>15</v>
      </c>
      <c r="Z390" s="186"/>
      <c r="AA390" s="186" t="s">
        <v>831</v>
      </c>
      <c r="AB390" s="186" t="s">
        <v>15</v>
      </c>
      <c r="AC390" s="186" t="s">
        <v>15</v>
      </c>
      <c r="AD390" s="268" t="s">
        <v>837</v>
      </c>
      <c r="AE390" s="268"/>
      <c r="AF390" s="144" t="str">
        <f t="shared" si="27"/>
        <v/>
      </c>
      <c r="AG390" s="144" t="str">
        <f t="shared" si="28"/>
        <v/>
      </c>
      <c r="AH390" s="146" t="str">
        <f t="shared" si="29"/>
        <v/>
      </c>
      <c r="AI390" s="146" t="str">
        <f t="shared" si="30"/>
        <v/>
      </c>
      <c r="AJ390" s="303"/>
      <c r="AK390" s="303"/>
      <c r="AL390" s="303"/>
      <c r="AM390" s="303"/>
      <c r="AN390" s="303"/>
      <c r="AO390" s="303"/>
      <c r="AP390" s="303"/>
      <c r="AQ390" s="303"/>
      <c r="AR390" s="303"/>
      <c r="AS390" s="170"/>
      <c r="AT390" s="170"/>
      <c r="AU390" s="310"/>
      <c r="AW390" s="294"/>
      <c r="AX390" s="294"/>
      <c r="AY390" s="294"/>
      <c r="AZ390" s="294"/>
      <c r="BA390" s="294"/>
      <c r="BB390" s="294"/>
      <c r="BC390" s="294"/>
      <c r="BD390" s="294"/>
      <c r="BE390" s="294"/>
      <c r="BF390" s="383"/>
      <c r="BG390" s="382">
        <v>0.31</v>
      </c>
      <c r="BH390" s="278" t="s">
        <v>844</v>
      </c>
      <c r="BI390" s="365" t="s">
        <v>834</v>
      </c>
      <c r="BJ390" s="409"/>
    </row>
    <row r="391" spans="1:62" ht="15.75" customHeight="1" thickBot="1" x14ac:dyDescent="0.25">
      <c r="A391" s="156">
        <v>390</v>
      </c>
      <c r="B391" s="155">
        <v>1</v>
      </c>
      <c r="C391" s="148" t="s">
        <v>162</v>
      </c>
      <c r="D391" s="148" t="s">
        <v>845</v>
      </c>
      <c r="E391" s="148" t="s">
        <v>13</v>
      </c>
      <c r="F391" s="148" t="s">
        <v>846</v>
      </c>
      <c r="G391" s="148" t="s">
        <v>15</v>
      </c>
      <c r="H391" s="148" t="s">
        <v>708</v>
      </c>
      <c r="I391" s="161">
        <v>2012</v>
      </c>
      <c r="J391" s="161" t="s">
        <v>829</v>
      </c>
      <c r="K391" s="161" t="s">
        <v>830</v>
      </c>
      <c r="L391" s="161" t="s">
        <v>19</v>
      </c>
      <c r="M391" s="453" t="s">
        <v>4164</v>
      </c>
      <c r="N391" s="186" t="s">
        <v>20</v>
      </c>
      <c r="O391" s="186" t="s">
        <v>15</v>
      </c>
      <c r="P391" s="186" t="s">
        <v>20</v>
      </c>
      <c r="Q391" s="186" t="s">
        <v>20</v>
      </c>
      <c r="R391" s="186" t="s">
        <v>20</v>
      </c>
      <c r="S391" s="186" t="s">
        <v>20</v>
      </c>
      <c r="T391" s="186" t="s">
        <v>15</v>
      </c>
      <c r="U391" s="186" t="s">
        <v>15</v>
      </c>
      <c r="V391" s="186" t="s">
        <v>15</v>
      </c>
      <c r="W391" s="186" t="s">
        <v>15</v>
      </c>
      <c r="X391" s="186" t="s">
        <v>15</v>
      </c>
      <c r="Y391" s="186" t="s">
        <v>15</v>
      </c>
      <c r="Z391" s="186"/>
      <c r="AA391" s="186" t="s">
        <v>831</v>
      </c>
      <c r="AB391" s="186" t="s">
        <v>15</v>
      </c>
      <c r="AC391" s="186" t="s">
        <v>15</v>
      </c>
      <c r="AD391" s="268" t="s">
        <v>837</v>
      </c>
      <c r="AE391" s="268"/>
      <c r="AF391" s="144" t="str">
        <f t="shared" si="27"/>
        <v/>
      </c>
      <c r="AG391" s="144" t="str">
        <f t="shared" si="28"/>
        <v/>
      </c>
      <c r="AH391" s="146">
        <f t="shared" si="29"/>
        <v>1.25</v>
      </c>
      <c r="AI391" s="146" t="str">
        <f t="shared" si="30"/>
        <v/>
      </c>
      <c r="AJ391" s="303"/>
      <c r="AK391" s="303"/>
      <c r="AL391" s="303"/>
      <c r="AM391" s="303"/>
      <c r="AN391" s="303"/>
      <c r="AO391" s="303"/>
      <c r="AP391" s="303"/>
      <c r="AQ391" s="303"/>
      <c r="AR391" s="303"/>
      <c r="AS391" s="170"/>
      <c r="AT391" s="170"/>
      <c r="AU391" s="310"/>
      <c r="AW391" s="294"/>
      <c r="AX391" s="294"/>
      <c r="AY391" s="294"/>
      <c r="AZ391" s="294"/>
      <c r="BA391" s="294"/>
      <c r="BB391" s="294"/>
      <c r="BC391" s="294"/>
      <c r="BD391" s="294"/>
      <c r="BE391" s="294"/>
      <c r="BF391" s="382">
        <v>1.25</v>
      </c>
      <c r="BG391" s="389"/>
      <c r="BH391" s="278" t="s">
        <v>847</v>
      </c>
      <c r="BI391" s="365" t="s">
        <v>834</v>
      </c>
      <c r="BJ391" s="409"/>
    </row>
    <row r="392" spans="1:62" ht="15.75" customHeight="1" thickBot="1" x14ac:dyDescent="0.25">
      <c r="A392" s="154">
        <v>391</v>
      </c>
      <c r="B392" s="155">
        <v>1</v>
      </c>
      <c r="C392" s="148" t="s">
        <v>236</v>
      </c>
      <c r="D392" s="141" t="s">
        <v>1739</v>
      </c>
      <c r="E392" s="148" t="s">
        <v>13</v>
      </c>
      <c r="F392" s="148" t="s">
        <v>848</v>
      </c>
      <c r="G392" s="148" t="s">
        <v>15</v>
      </c>
      <c r="H392" s="148" t="s">
        <v>708</v>
      </c>
      <c r="I392" s="161">
        <v>2012</v>
      </c>
      <c r="J392" s="161" t="s">
        <v>829</v>
      </c>
      <c r="K392" s="161" t="s">
        <v>830</v>
      </c>
      <c r="L392" s="161" t="s">
        <v>19</v>
      </c>
      <c r="M392" s="453" t="s">
        <v>4164</v>
      </c>
      <c r="N392" s="186" t="s">
        <v>20</v>
      </c>
      <c r="O392" s="186" t="s">
        <v>15</v>
      </c>
      <c r="P392" s="186" t="s">
        <v>20</v>
      </c>
      <c r="Q392" s="186" t="s">
        <v>20</v>
      </c>
      <c r="R392" s="186" t="s">
        <v>20</v>
      </c>
      <c r="S392" s="186" t="s">
        <v>20</v>
      </c>
      <c r="T392" s="186" t="s">
        <v>15</v>
      </c>
      <c r="U392" s="186" t="s">
        <v>15</v>
      </c>
      <c r="V392" s="186" t="s">
        <v>15</v>
      </c>
      <c r="W392" s="186" t="s">
        <v>15</v>
      </c>
      <c r="X392" s="186" t="s">
        <v>15</v>
      </c>
      <c r="Y392" s="186" t="s">
        <v>15</v>
      </c>
      <c r="Z392" s="186"/>
      <c r="AA392" s="186" t="s">
        <v>831</v>
      </c>
      <c r="AB392" s="186" t="s">
        <v>15</v>
      </c>
      <c r="AC392" s="186" t="s">
        <v>15</v>
      </c>
      <c r="AD392" s="268" t="s">
        <v>837</v>
      </c>
      <c r="AE392" s="268"/>
      <c r="AF392" s="144" t="str">
        <f t="shared" si="27"/>
        <v/>
      </c>
      <c r="AG392" s="144" t="str">
        <f t="shared" si="28"/>
        <v/>
      </c>
      <c r="AH392" s="146" t="str">
        <f t="shared" si="29"/>
        <v/>
      </c>
      <c r="AI392" s="146" t="str">
        <f t="shared" si="30"/>
        <v/>
      </c>
      <c r="AJ392" s="303"/>
      <c r="AK392" s="303"/>
      <c r="AL392" s="303"/>
      <c r="AM392" s="303"/>
      <c r="AN392" s="303"/>
      <c r="AO392" s="303"/>
      <c r="AP392" s="303"/>
      <c r="AQ392" s="303"/>
      <c r="AR392" s="303"/>
      <c r="AS392" s="170"/>
      <c r="AT392" s="170"/>
      <c r="AU392" s="310"/>
      <c r="AW392" s="294"/>
      <c r="AX392" s="294"/>
      <c r="AY392" s="294"/>
      <c r="AZ392" s="294"/>
      <c r="BA392" s="294"/>
      <c r="BB392" s="294"/>
      <c r="BC392" s="294"/>
      <c r="BD392" s="294"/>
      <c r="BE392" s="294"/>
      <c r="BF392" s="383"/>
      <c r="BG392" s="382">
        <v>0.27</v>
      </c>
      <c r="BH392" s="278" t="s">
        <v>849</v>
      </c>
      <c r="BI392" s="365" t="s">
        <v>834</v>
      </c>
      <c r="BJ392" s="409"/>
    </row>
    <row r="393" spans="1:62" ht="15.75" customHeight="1" thickBot="1" x14ac:dyDescent="0.25">
      <c r="A393" s="156">
        <v>392</v>
      </c>
      <c r="B393" s="155">
        <v>1</v>
      </c>
      <c r="C393" s="148" t="s">
        <v>162</v>
      </c>
      <c r="D393" s="148" t="s">
        <v>2311</v>
      </c>
      <c r="E393" s="148" t="s">
        <v>13</v>
      </c>
      <c r="F393" s="148" t="s">
        <v>850</v>
      </c>
      <c r="G393" s="148" t="s">
        <v>15</v>
      </c>
      <c r="H393" s="148" t="s">
        <v>708</v>
      </c>
      <c r="I393" s="161">
        <v>2012</v>
      </c>
      <c r="J393" s="161" t="s">
        <v>829</v>
      </c>
      <c r="K393" s="161" t="s">
        <v>830</v>
      </c>
      <c r="L393" s="161" t="s">
        <v>19</v>
      </c>
      <c r="M393" s="453" t="s">
        <v>4164</v>
      </c>
      <c r="N393" s="186" t="s">
        <v>20</v>
      </c>
      <c r="O393" s="186" t="s">
        <v>15</v>
      </c>
      <c r="P393" s="186" t="s">
        <v>20</v>
      </c>
      <c r="Q393" s="186" t="s">
        <v>20</v>
      </c>
      <c r="R393" s="186" t="s">
        <v>20</v>
      </c>
      <c r="S393" s="186" t="s">
        <v>20</v>
      </c>
      <c r="T393" s="186" t="s">
        <v>15</v>
      </c>
      <c r="U393" s="186" t="s">
        <v>15</v>
      </c>
      <c r="V393" s="186" t="s">
        <v>15</v>
      </c>
      <c r="W393" s="186" t="s">
        <v>15</v>
      </c>
      <c r="X393" s="186" t="s">
        <v>15</v>
      </c>
      <c r="Y393" s="186" t="s">
        <v>15</v>
      </c>
      <c r="Z393" s="186"/>
      <c r="AA393" s="186" t="s">
        <v>831</v>
      </c>
      <c r="AB393" s="186" t="s">
        <v>15</v>
      </c>
      <c r="AC393" s="186" t="s">
        <v>15</v>
      </c>
      <c r="AD393" s="268" t="s">
        <v>837</v>
      </c>
      <c r="AE393" s="268"/>
      <c r="AF393" s="144" t="str">
        <f t="shared" si="27"/>
        <v/>
      </c>
      <c r="AG393" s="144" t="str">
        <f t="shared" si="28"/>
        <v/>
      </c>
      <c r="AH393" s="146" t="str">
        <f t="shared" si="29"/>
        <v/>
      </c>
      <c r="AI393" s="146" t="str">
        <f t="shared" si="30"/>
        <v/>
      </c>
      <c r="AJ393" s="303"/>
      <c r="AK393" s="303"/>
      <c r="AL393" s="303"/>
      <c r="AM393" s="303"/>
      <c r="AN393" s="303"/>
      <c r="AO393" s="303"/>
      <c r="AP393" s="303"/>
      <c r="AQ393" s="303"/>
      <c r="AR393" s="303"/>
      <c r="AS393" s="170"/>
      <c r="AT393" s="170"/>
      <c r="AU393" s="310"/>
      <c r="AW393" s="294"/>
      <c r="AX393" s="294"/>
      <c r="AY393" s="294"/>
      <c r="AZ393" s="294"/>
      <c r="BA393" s="294"/>
      <c r="BB393" s="294"/>
      <c r="BC393" s="294"/>
      <c r="BD393" s="294"/>
      <c r="BE393" s="294"/>
      <c r="BF393" s="383"/>
      <c r="BG393" s="382">
        <v>0.67</v>
      </c>
      <c r="BH393" s="278" t="s">
        <v>851</v>
      </c>
      <c r="BI393" s="365" t="s">
        <v>834</v>
      </c>
      <c r="BJ393" s="409"/>
    </row>
    <row r="394" spans="1:62" ht="15.75" customHeight="1" thickBot="1" x14ac:dyDescent="0.25">
      <c r="A394" s="154">
        <v>393</v>
      </c>
      <c r="B394" s="155">
        <v>1</v>
      </c>
      <c r="C394" s="148" t="s">
        <v>236</v>
      </c>
      <c r="D394" s="148" t="s">
        <v>2011</v>
      </c>
      <c r="E394" s="148" t="s">
        <v>13</v>
      </c>
      <c r="F394" s="148" t="s">
        <v>853</v>
      </c>
      <c r="G394" s="148" t="s">
        <v>15</v>
      </c>
      <c r="H394" s="148" t="s">
        <v>708</v>
      </c>
      <c r="I394" s="161">
        <v>2012</v>
      </c>
      <c r="J394" s="161" t="s">
        <v>829</v>
      </c>
      <c r="K394" s="161" t="s">
        <v>830</v>
      </c>
      <c r="L394" s="161" t="s">
        <v>19</v>
      </c>
      <c r="M394" s="453" t="s">
        <v>4164</v>
      </c>
      <c r="N394" s="186" t="s">
        <v>20</v>
      </c>
      <c r="O394" s="186" t="s">
        <v>15</v>
      </c>
      <c r="P394" s="186" t="s">
        <v>20</v>
      </c>
      <c r="Q394" s="186" t="s">
        <v>20</v>
      </c>
      <c r="R394" s="186" t="s">
        <v>20</v>
      </c>
      <c r="S394" s="186" t="s">
        <v>20</v>
      </c>
      <c r="T394" s="186" t="s">
        <v>15</v>
      </c>
      <c r="U394" s="186" t="s">
        <v>15</v>
      </c>
      <c r="V394" s="186" t="s">
        <v>15</v>
      </c>
      <c r="W394" s="186" t="s">
        <v>15</v>
      </c>
      <c r="X394" s="186" t="s">
        <v>15</v>
      </c>
      <c r="Y394" s="186" t="s">
        <v>15</v>
      </c>
      <c r="Z394" s="186"/>
      <c r="AA394" s="186" t="s">
        <v>831</v>
      </c>
      <c r="AB394" s="186" t="s">
        <v>15</v>
      </c>
      <c r="AC394" s="186" t="s">
        <v>15</v>
      </c>
      <c r="AD394" s="268" t="s">
        <v>837</v>
      </c>
      <c r="AE394" s="268"/>
      <c r="AF394" s="144" t="str">
        <f t="shared" si="27"/>
        <v/>
      </c>
      <c r="AG394" s="144" t="str">
        <f t="shared" si="28"/>
        <v/>
      </c>
      <c r="AH394" s="146" t="str">
        <f t="shared" si="29"/>
        <v/>
      </c>
      <c r="AI394" s="146" t="str">
        <f t="shared" si="30"/>
        <v/>
      </c>
      <c r="AJ394" s="303"/>
      <c r="AK394" s="303"/>
      <c r="AL394" s="303"/>
      <c r="AM394" s="303"/>
      <c r="AN394" s="303"/>
      <c r="AO394" s="303"/>
      <c r="AP394" s="303"/>
      <c r="AQ394" s="303"/>
      <c r="AR394" s="303"/>
      <c r="AS394" s="170"/>
      <c r="AT394" s="170"/>
      <c r="AU394" s="310"/>
      <c r="AW394" s="294"/>
      <c r="AX394" s="294"/>
      <c r="AY394" s="294"/>
      <c r="AZ394" s="294"/>
      <c r="BA394" s="294"/>
      <c r="BB394" s="294"/>
      <c r="BC394" s="294"/>
      <c r="BD394" s="294"/>
      <c r="BE394" s="294"/>
      <c r="BF394" s="383"/>
      <c r="BG394" s="382">
        <v>0.28999999999999998</v>
      </c>
      <c r="BH394" s="278" t="s">
        <v>854</v>
      </c>
      <c r="BI394" s="365" t="s">
        <v>834</v>
      </c>
      <c r="BJ394" s="409"/>
    </row>
    <row r="395" spans="1:62" ht="15.75" customHeight="1" thickBot="1" x14ac:dyDescent="0.25">
      <c r="A395" s="156">
        <v>394</v>
      </c>
      <c r="B395" s="155">
        <v>1</v>
      </c>
      <c r="C395" s="148" t="s">
        <v>162</v>
      </c>
      <c r="D395" s="148" t="s">
        <v>2152</v>
      </c>
      <c r="E395" s="148" t="s">
        <v>13</v>
      </c>
      <c r="F395" s="148" t="s">
        <v>855</v>
      </c>
      <c r="G395" s="148" t="s">
        <v>15</v>
      </c>
      <c r="H395" s="148" t="s">
        <v>708</v>
      </c>
      <c r="I395" s="161">
        <v>2012</v>
      </c>
      <c r="J395" s="161" t="s">
        <v>829</v>
      </c>
      <c r="K395" s="161" t="s">
        <v>830</v>
      </c>
      <c r="L395" s="161" t="s">
        <v>19</v>
      </c>
      <c r="M395" s="453" t="s">
        <v>4164</v>
      </c>
      <c r="N395" s="186" t="s">
        <v>20</v>
      </c>
      <c r="O395" s="186" t="s">
        <v>15</v>
      </c>
      <c r="P395" s="186" t="s">
        <v>20</v>
      </c>
      <c r="Q395" s="186" t="s">
        <v>20</v>
      </c>
      <c r="R395" s="186" t="s">
        <v>20</v>
      </c>
      <c r="S395" s="186" t="s">
        <v>20</v>
      </c>
      <c r="T395" s="186" t="s">
        <v>15</v>
      </c>
      <c r="U395" s="186" t="s">
        <v>15</v>
      </c>
      <c r="V395" s="186" t="s">
        <v>15</v>
      </c>
      <c r="W395" s="186" t="s">
        <v>15</v>
      </c>
      <c r="X395" s="186" t="s">
        <v>15</v>
      </c>
      <c r="Y395" s="186" t="s">
        <v>15</v>
      </c>
      <c r="Z395" s="186"/>
      <c r="AA395" s="186" t="s">
        <v>831</v>
      </c>
      <c r="AB395" s="186" t="s">
        <v>15</v>
      </c>
      <c r="AC395" s="186" t="s">
        <v>15</v>
      </c>
      <c r="AD395" s="268" t="s">
        <v>837</v>
      </c>
      <c r="AE395" s="268"/>
      <c r="AF395" s="144" t="str">
        <f t="shared" si="27"/>
        <v/>
      </c>
      <c r="AG395" s="144" t="str">
        <f t="shared" si="28"/>
        <v/>
      </c>
      <c r="AH395" s="146" t="str">
        <f t="shared" si="29"/>
        <v/>
      </c>
      <c r="AI395" s="146" t="str">
        <f t="shared" si="30"/>
        <v/>
      </c>
      <c r="AJ395" s="303"/>
      <c r="AK395" s="303"/>
      <c r="AL395" s="303"/>
      <c r="AM395" s="303"/>
      <c r="AN395" s="303"/>
      <c r="AO395" s="303"/>
      <c r="AP395" s="303"/>
      <c r="AQ395" s="303"/>
      <c r="AR395" s="303"/>
      <c r="AS395" s="170"/>
      <c r="AT395" s="170"/>
      <c r="AU395" s="310"/>
      <c r="AW395" s="294"/>
      <c r="AX395" s="294"/>
      <c r="AY395" s="294"/>
      <c r="AZ395" s="294"/>
      <c r="BA395" s="294"/>
      <c r="BB395" s="294"/>
      <c r="BC395" s="294"/>
      <c r="BD395" s="294"/>
      <c r="BE395" s="294"/>
      <c r="BF395" s="383"/>
      <c r="BG395" s="382">
        <v>0.88</v>
      </c>
      <c r="BH395" s="278" t="s">
        <v>856</v>
      </c>
      <c r="BI395" s="365" t="s">
        <v>834</v>
      </c>
      <c r="BJ395" s="409"/>
    </row>
    <row r="396" spans="1:62" ht="15.75" customHeight="1" thickBot="1" x14ac:dyDescent="0.25">
      <c r="A396" s="154">
        <v>395</v>
      </c>
      <c r="B396" s="155">
        <v>1</v>
      </c>
      <c r="C396" s="148" t="s">
        <v>162</v>
      </c>
      <c r="D396" s="141" t="s">
        <v>2206</v>
      </c>
      <c r="E396" s="148" t="s">
        <v>13</v>
      </c>
      <c r="F396" s="148" t="s">
        <v>857</v>
      </c>
      <c r="G396" s="148" t="s">
        <v>15</v>
      </c>
      <c r="H396" s="148" t="s">
        <v>708</v>
      </c>
      <c r="I396" s="161">
        <v>2012</v>
      </c>
      <c r="J396" s="161" t="s">
        <v>829</v>
      </c>
      <c r="K396" s="161" t="s">
        <v>830</v>
      </c>
      <c r="L396" s="161" t="s">
        <v>19</v>
      </c>
      <c r="M396" s="453" t="s">
        <v>4164</v>
      </c>
      <c r="N396" s="186" t="s">
        <v>20</v>
      </c>
      <c r="O396" s="186" t="s">
        <v>15</v>
      </c>
      <c r="P396" s="186" t="s">
        <v>20</v>
      </c>
      <c r="Q396" s="186" t="s">
        <v>20</v>
      </c>
      <c r="R396" s="186" t="s">
        <v>20</v>
      </c>
      <c r="S396" s="186" t="s">
        <v>20</v>
      </c>
      <c r="T396" s="186" t="s">
        <v>15</v>
      </c>
      <c r="U396" s="186" t="s">
        <v>15</v>
      </c>
      <c r="V396" s="186" t="s">
        <v>15</v>
      </c>
      <c r="W396" s="186" t="s">
        <v>15</v>
      </c>
      <c r="X396" s="186" t="s">
        <v>15</v>
      </c>
      <c r="Y396" s="186" t="s">
        <v>15</v>
      </c>
      <c r="Z396" s="186"/>
      <c r="AA396" s="186" t="s">
        <v>831</v>
      </c>
      <c r="AB396" s="186" t="s">
        <v>15</v>
      </c>
      <c r="AC396" s="186" t="s">
        <v>15</v>
      </c>
      <c r="AD396" s="268" t="s">
        <v>837</v>
      </c>
      <c r="AE396" s="268"/>
      <c r="AF396" s="144" t="str">
        <f t="shared" si="27"/>
        <v/>
      </c>
      <c r="AG396" s="144" t="str">
        <f t="shared" si="28"/>
        <v/>
      </c>
      <c r="AH396" s="146" t="str">
        <f t="shared" si="29"/>
        <v/>
      </c>
      <c r="AI396" s="146" t="str">
        <f t="shared" si="30"/>
        <v/>
      </c>
      <c r="AJ396" s="303"/>
      <c r="AK396" s="303"/>
      <c r="AL396" s="303"/>
      <c r="AM396" s="303"/>
      <c r="AN396" s="303"/>
      <c r="AO396" s="303"/>
      <c r="AP396" s="303"/>
      <c r="AQ396" s="303"/>
      <c r="AR396" s="303"/>
      <c r="AS396" s="170"/>
      <c r="AT396" s="170"/>
      <c r="AU396" s="310"/>
      <c r="AW396" s="294"/>
      <c r="AX396" s="294"/>
      <c r="AY396" s="294"/>
      <c r="AZ396" s="294"/>
      <c r="BA396" s="294"/>
      <c r="BB396" s="294"/>
      <c r="BC396" s="294"/>
      <c r="BD396" s="294"/>
      <c r="BE396" s="294"/>
      <c r="BF396" s="383"/>
      <c r="BG396" s="382">
        <v>0.16</v>
      </c>
      <c r="BH396" s="278" t="s">
        <v>858</v>
      </c>
      <c r="BI396" s="365" t="s">
        <v>834</v>
      </c>
      <c r="BJ396" s="409"/>
    </row>
    <row r="397" spans="1:62" ht="15.75" customHeight="1" thickBot="1" x14ac:dyDescent="0.25">
      <c r="A397" s="156">
        <v>396</v>
      </c>
      <c r="B397" s="155">
        <v>1</v>
      </c>
      <c r="C397" s="148" t="s">
        <v>236</v>
      </c>
      <c r="D397" s="148" t="s">
        <v>859</v>
      </c>
      <c r="E397" s="148" t="s">
        <v>13</v>
      </c>
      <c r="F397" s="148" t="s">
        <v>860</v>
      </c>
      <c r="G397" s="148" t="s">
        <v>15</v>
      </c>
      <c r="H397" s="148" t="s">
        <v>708</v>
      </c>
      <c r="I397" s="161">
        <v>2012</v>
      </c>
      <c r="J397" s="161" t="s">
        <v>829</v>
      </c>
      <c r="K397" s="161" t="s">
        <v>830</v>
      </c>
      <c r="L397" s="161" t="s">
        <v>19</v>
      </c>
      <c r="M397" s="453" t="s">
        <v>4164</v>
      </c>
      <c r="N397" s="186" t="s">
        <v>20</v>
      </c>
      <c r="O397" s="186" t="s">
        <v>15</v>
      </c>
      <c r="P397" s="186" t="s">
        <v>20</v>
      </c>
      <c r="Q397" s="186" t="s">
        <v>20</v>
      </c>
      <c r="R397" s="186" t="s">
        <v>20</v>
      </c>
      <c r="S397" s="186" t="s">
        <v>20</v>
      </c>
      <c r="T397" s="186" t="s">
        <v>15</v>
      </c>
      <c r="U397" s="186" t="s">
        <v>15</v>
      </c>
      <c r="V397" s="186" t="s">
        <v>15</v>
      </c>
      <c r="W397" s="186" t="s">
        <v>15</v>
      </c>
      <c r="X397" s="186" t="s">
        <v>15</v>
      </c>
      <c r="Y397" s="186" t="s">
        <v>15</v>
      </c>
      <c r="Z397" s="186"/>
      <c r="AA397" s="186" t="s">
        <v>831</v>
      </c>
      <c r="AB397" s="186" t="s">
        <v>15</v>
      </c>
      <c r="AC397" s="186" t="s">
        <v>15</v>
      </c>
      <c r="AD397" s="268" t="s">
        <v>837</v>
      </c>
      <c r="AE397" s="268"/>
      <c r="AF397" s="144" t="str">
        <f t="shared" si="27"/>
        <v/>
      </c>
      <c r="AG397" s="144" t="str">
        <f t="shared" si="28"/>
        <v/>
      </c>
      <c r="AH397" s="146" t="str">
        <f t="shared" si="29"/>
        <v/>
      </c>
      <c r="AI397" s="146" t="str">
        <f t="shared" si="30"/>
        <v/>
      </c>
      <c r="AJ397" s="303"/>
      <c r="AK397" s="303"/>
      <c r="AL397" s="303"/>
      <c r="AM397" s="303"/>
      <c r="AN397" s="303"/>
      <c r="AO397" s="303"/>
      <c r="AP397" s="303"/>
      <c r="AQ397" s="303"/>
      <c r="AR397" s="303"/>
      <c r="AS397" s="170"/>
      <c r="AT397" s="170"/>
      <c r="AU397" s="310"/>
      <c r="AW397" s="294"/>
      <c r="AX397" s="294"/>
      <c r="AY397" s="294"/>
      <c r="AZ397" s="294"/>
      <c r="BA397" s="294"/>
      <c r="BB397" s="294"/>
      <c r="BC397" s="294"/>
      <c r="BD397" s="294"/>
      <c r="BE397" s="294"/>
      <c r="BF397" s="383"/>
      <c r="BG397" s="382">
        <v>1.27</v>
      </c>
      <c r="BH397" s="278" t="s">
        <v>861</v>
      </c>
      <c r="BI397" s="365" t="s">
        <v>834</v>
      </c>
      <c r="BJ397" s="409"/>
    </row>
    <row r="398" spans="1:62" ht="15.75" customHeight="1" thickBot="1" x14ac:dyDescent="0.25">
      <c r="A398" s="154">
        <v>397</v>
      </c>
      <c r="B398" s="155">
        <v>1</v>
      </c>
      <c r="C398" s="148" t="s">
        <v>236</v>
      </c>
      <c r="D398" s="148" t="s">
        <v>2034</v>
      </c>
      <c r="E398" s="148" t="s">
        <v>13</v>
      </c>
      <c r="F398" s="148" t="s">
        <v>862</v>
      </c>
      <c r="G398" s="148" t="s">
        <v>15</v>
      </c>
      <c r="H398" s="148" t="s">
        <v>708</v>
      </c>
      <c r="I398" s="161">
        <v>2012</v>
      </c>
      <c r="J398" s="161" t="s">
        <v>829</v>
      </c>
      <c r="K398" s="161" t="s">
        <v>830</v>
      </c>
      <c r="L398" s="161" t="s">
        <v>19</v>
      </c>
      <c r="M398" s="453" t="s">
        <v>4164</v>
      </c>
      <c r="N398" s="186" t="s">
        <v>20</v>
      </c>
      <c r="O398" s="186" t="s">
        <v>15</v>
      </c>
      <c r="P398" s="186" t="s">
        <v>20</v>
      </c>
      <c r="Q398" s="186" t="s">
        <v>20</v>
      </c>
      <c r="R398" s="186" t="s">
        <v>20</v>
      </c>
      <c r="S398" s="186" t="s">
        <v>20</v>
      </c>
      <c r="T398" s="186" t="s">
        <v>15</v>
      </c>
      <c r="U398" s="186" t="s">
        <v>15</v>
      </c>
      <c r="V398" s="186" t="s">
        <v>15</v>
      </c>
      <c r="W398" s="186" t="s">
        <v>15</v>
      </c>
      <c r="X398" s="186" t="s">
        <v>15</v>
      </c>
      <c r="Y398" s="186" t="s">
        <v>15</v>
      </c>
      <c r="Z398" s="186"/>
      <c r="AA398" s="186" t="s">
        <v>831</v>
      </c>
      <c r="AB398" s="186" t="s">
        <v>15</v>
      </c>
      <c r="AC398" s="186" t="s">
        <v>15</v>
      </c>
      <c r="AD398" s="268" t="s">
        <v>837</v>
      </c>
      <c r="AE398" s="268"/>
      <c r="AF398" s="144" t="str">
        <f t="shared" si="27"/>
        <v/>
      </c>
      <c r="AG398" s="144" t="str">
        <f t="shared" si="28"/>
        <v/>
      </c>
      <c r="AH398" s="146" t="str">
        <f t="shared" si="29"/>
        <v/>
      </c>
      <c r="AI398" s="146" t="str">
        <f t="shared" si="30"/>
        <v/>
      </c>
      <c r="AJ398" s="303"/>
      <c r="AK398" s="303"/>
      <c r="AL398" s="303"/>
      <c r="AM398" s="303"/>
      <c r="AN398" s="303"/>
      <c r="AO398" s="303"/>
      <c r="AP398" s="303"/>
      <c r="AQ398" s="303"/>
      <c r="AR398" s="303"/>
      <c r="AS398" s="170"/>
      <c r="AT398" s="170"/>
      <c r="AU398" s="310"/>
      <c r="AW398" s="294"/>
      <c r="AX398" s="294"/>
      <c r="AY398" s="294"/>
      <c r="AZ398" s="294"/>
      <c r="BA398" s="294"/>
      <c r="BB398" s="294"/>
      <c r="BC398" s="294"/>
      <c r="BD398" s="294"/>
      <c r="BE398" s="294"/>
      <c r="BF398" s="383"/>
      <c r="BG398" s="382">
        <v>0.27</v>
      </c>
      <c r="BH398" s="278" t="s">
        <v>863</v>
      </c>
      <c r="BI398" s="365" t="s">
        <v>834</v>
      </c>
      <c r="BJ398" s="409"/>
    </row>
    <row r="399" spans="1:62" ht="15.75" customHeight="1" thickBot="1" x14ac:dyDescent="0.25">
      <c r="A399" s="156">
        <v>398</v>
      </c>
      <c r="B399" s="155">
        <v>1</v>
      </c>
      <c r="C399" s="148" t="s">
        <v>236</v>
      </c>
      <c r="D399" s="142" t="s">
        <v>2042</v>
      </c>
      <c r="E399" s="148" t="s">
        <v>13</v>
      </c>
      <c r="F399" s="148" t="s">
        <v>864</v>
      </c>
      <c r="G399" s="148" t="s">
        <v>15</v>
      </c>
      <c r="H399" s="148" t="s">
        <v>708</v>
      </c>
      <c r="I399" s="161">
        <v>2012</v>
      </c>
      <c r="J399" s="161" t="s">
        <v>829</v>
      </c>
      <c r="K399" s="161" t="s">
        <v>830</v>
      </c>
      <c r="L399" s="161" t="s">
        <v>19</v>
      </c>
      <c r="M399" s="453" t="s">
        <v>4164</v>
      </c>
      <c r="N399" s="186" t="s">
        <v>20</v>
      </c>
      <c r="O399" s="186" t="s">
        <v>15</v>
      </c>
      <c r="P399" s="186" t="s">
        <v>20</v>
      </c>
      <c r="Q399" s="186" t="s">
        <v>20</v>
      </c>
      <c r="R399" s="186" t="s">
        <v>20</v>
      </c>
      <c r="S399" s="186" t="s">
        <v>20</v>
      </c>
      <c r="T399" s="186" t="s">
        <v>15</v>
      </c>
      <c r="U399" s="186" t="s">
        <v>15</v>
      </c>
      <c r="V399" s="186" t="s">
        <v>15</v>
      </c>
      <c r="W399" s="186" t="s">
        <v>15</v>
      </c>
      <c r="X399" s="186" t="s">
        <v>15</v>
      </c>
      <c r="Y399" s="186" t="s">
        <v>15</v>
      </c>
      <c r="Z399" s="186"/>
      <c r="AA399" s="186" t="s">
        <v>831</v>
      </c>
      <c r="AB399" s="186" t="s">
        <v>15</v>
      </c>
      <c r="AC399" s="186" t="s">
        <v>15</v>
      </c>
      <c r="AD399" s="268" t="s">
        <v>837</v>
      </c>
      <c r="AE399" s="268"/>
      <c r="AF399" s="144" t="str">
        <f t="shared" si="27"/>
        <v/>
      </c>
      <c r="AG399" s="144" t="str">
        <f t="shared" si="28"/>
        <v/>
      </c>
      <c r="AH399" s="146" t="str">
        <f t="shared" si="29"/>
        <v/>
      </c>
      <c r="AI399" s="146" t="str">
        <f t="shared" si="30"/>
        <v/>
      </c>
      <c r="AJ399" s="303"/>
      <c r="AK399" s="303"/>
      <c r="AL399" s="303"/>
      <c r="AM399" s="303"/>
      <c r="AN399" s="303"/>
      <c r="AO399" s="303"/>
      <c r="AP399" s="303"/>
      <c r="AQ399" s="303"/>
      <c r="AR399" s="303"/>
      <c r="AS399" s="170"/>
      <c r="AT399" s="170"/>
      <c r="AU399" s="310"/>
      <c r="AW399" s="294"/>
      <c r="AX399" s="294"/>
      <c r="AY399" s="294"/>
      <c r="AZ399" s="294"/>
      <c r="BA399" s="294"/>
      <c r="BB399" s="294"/>
      <c r="BC399" s="294"/>
      <c r="BD399" s="294"/>
      <c r="BE399" s="294"/>
      <c r="BF399" s="383"/>
      <c r="BG399" s="382">
        <v>0.6</v>
      </c>
      <c r="BH399" s="278" t="s">
        <v>865</v>
      </c>
      <c r="BI399" s="365" t="s">
        <v>834</v>
      </c>
      <c r="BJ399" s="409"/>
    </row>
    <row r="400" spans="1:62" ht="15.75" customHeight="1" thickBot="1" x14ac:dyDescent="0.25">
      <c r="A400" s="154">
        <v>399</v>
      </c>
      <c r="B400" s="155">
        <v>1</v>
      </c>
      <c r="C400" s="148" t="s">
        <v>236</v>
      </c>
      <c r="D400" s="148" t="s">
        <v>2282</v>
      </c>
      <c r="E400" s="148" t="s">
        <v>13</v>
      </c>
      <c r="F400" s="148" t="s">
        <v>866</v>
      </c>
      <c r="G400" s="148" t="s">
        <v>15</v>
      </c>
      <c r="H400" s="148" t="s">
        <v>708</v>
      </c>
      <c r="I400" s="161">
        <v>2012</v>
      </c>
      <c r="J400" s="161" t="s">
        <v>829</v>
      </c>
      <c r="K400" s="161" t="s">
        <v>830</v>
      </c>
      <c r="L400" s="161" t="s">
        <v>19</v>
      </c>
      <c r="M400" s="453" t="s">
        <v>4164</v>
      </c>
      <c r="N400" s="186" t="s">
        <v>20</v>
      </c>
      <c r="O400" s="186" t="s">
        <v>15</v>
      </c>
      <c r="P400" s="186" t="s">
        <v>20</v>
      </c>
      <c r="Q400" s="186" t="s">
        <v>20</v>
      </c>
      <c r="R400" s="186" t="s">
        <v>20</v>
      </c>
      <c r="S400" s="186" t="s">
        <v>20</v>
      </c>
      <c r="T400" s="186" t="s">
        <v>15</v>
      </c>
      <c r="U400" s="186" t="s">
        <v>15</v>
      </c>
      <c r="V400" s="186" t="s">
        <v>15</v>
      </c>
      <c r="W400" s="186" t="s">
        <v>15</v>
      </c>
      <c r="X400" s="186" t="s">
        <v>15</v>
      </c>
      <c r="Y400" s="186" t="s">
        <v>15</v>
      </c>
      <c r="Z400" s="186"/>
      <c r="AA400" s="186" t="s">
        <v>831</v>
      </c>
      <c r="AB400" s="186" t="s">
        <v>15</v>
      </c>
      <c r="AC400" s="186" t="s">
        <v>15</v>
      </c>
      <c r="AD400" s="268" t="s">
        <v>837</v>
      </c>
      <c r="AE400" s="268"/>
      <c r="AF400" s="144" t="str">
        <f t="shared" si="27"/>
        <v/>
      </c>
      <c r="AG400" s="144" t="str">
        <f t="shared" si="28"/>
        <v/>
      </c>
      <c r="AH400" s="146" t="str">
        <f t="shared" si="29"/>
        <v/>
      </c>
      <c r="AI400" s="146" t="str">
        <f t="shared" si="30"/>
        <v/>
      </c>
      <c r="AJ400" s="303"/>
      <c r="AK400" s="303"/>
      <c r="AL400" s="303"/>
      <c r="AM400" s="303"/>
      <c r="AN400" s="303"/>
      <c r="AO400" s="303"/>
      <c r="AP400" s="303"/>
      <c r="AQ400" s="303"/>
      <c r="AR400" s="303"/>
      <c r="AS400" s="170"/>
      <c r="AT400" s="170"/>
      <c r="AU400" s="310"/>
      <c r="AW400" s="294"/>
      <c r="AX400" s="294"/>
      <c r="AY400" s="294"/>
      <c r="AZ400" s="294"/>
      <c r="BA400" s="294"/>
      <c r="BB400" s="294"/>
      <c r="BC400" s="294"/>
      <c r="BD400" s="294"/>
      <c r="BE400" s="294"/>
      <c r="BF400" s="383"/>
      <c r="BG400" s="382">
        <v>0.28000000000000003</v>
      </c>
      <c r="BH400" s="278" t="s">
        <v>867</v>
      </c>
      <c r="BI400" s="365" t="s">
        <v>834</v>
      </c>
      <c r="BJ400" s="409"/>
    </row>
    <row r="401" spans="1:62" ht="15.75" customHeight="1" thickBot="1" x14ac:dyDescent="0.25">
      <c r="A401" s="156">
        <v>400</v>
      </c>
      <c r="B401" s="155">
        <v>1</v>
      </c>
      <c r="C401" s="148" t="s">
        <v>162</v>
      </c>
      <c r="D401" s="148" t="s">
        <v>868</v>
      </c>
      <c r="E401" s="148" t="s">
        <v>13</v>
      </c>
      <c r="F401" s="148" t="s">
        <v>869</v>
      </c>
      <c r="G401" s="148" t="s">
        <v>15</v>
      </c>
      <c r="H401" s="148" t="s">
        <v>708</v>
      </c>
      <c r="I401" s="161">
        <v>2012</v>
      </c>
      <c r="J401" s="161" t="s">
        <v>829</v>
      </c>
      <c r="K401" s="161" t="s">
        <v>830</v>
      </c>
      <c r="L401" s="161" t="s">
        <v>19</v>
      </c>
      <c r="M401" s="453" t="s">
        <v>4164</v>
      </c>
      <c r="N401" s="186" t="s">
        <v>20</v>
      </c>
      <c r="O401" s="186" t="s">
        <v>15</v>
      </c>
      <c r="P401" s="186" t="s">
        <v>20</v>
      </c>
      <c r="Q401" s="186" t="s">
        <v>20</v>
      </c>
      <c r="R401" s="186" t="s">
        <v>20</v>
      </c>
      <c r="S401" s="186" t="s">
        <v>20</v>
      </c>
      <c r="T401" s="186" t="s">
        <v>15</v>
      </c>
      <c r="U401" s="186" t="s">
        <v>15</v>
      </c>
      <c r="V401" s="186" t="s">
        <v>15</v>
      </c>
      <c r="W401" s="186" t="s">
        <v>15</v>
      </c>
      <c r="X401" s="186" t="s">
        <v>15</v>
      </c>
      <c r="Y401" s="186" t="s">
        <v>15</v>
      </c>
      <c r="Z401" s="186"/>
      <c r="AA401" s="186" t="s">
        <v>831</v>
      </c>
      <c r="AB401" s="186" t="s">
        <v>15</v>
      </c>
      <c r="AC401" s="186" t="s">
        <v>15</v>
      </c>
      <c r="AD401" s="268" t="s">
        <v>837</v>
      </c>
      <c r="AE401" s="268"/>
      <c r="AF401" s="144" t="str">
        <f t="shared" si="27"/>
        <v/>
      </c>
      <c r="AG401" s="144" t="str">
        <f t="shared" si="28"/>
        <v/>
      </c>
      <c r="AH401" s="146" t="str">
        <f t="shared" si="29"/>
        <v/>
      </c>
      <c r="AI401" s="146" t="str">
        <f t="shared" si="30"/>
        <v/>
      </c>
      <c r="AJ401" s="303"/>
      <c r="AK401" s="303"/>
      <c r="AL401" s="303"/>
      <c r="AM401" s="303"/>
      <c r="AN401" s="303"/>
      <c r="AO401" s="303"/>
      <c r="AP401" s="303"/>
      <c r="AQ401" s="303"/>
      <c r="AR401" s="303"/>
      <c r="AS401" s="170"/>
      <c r="AT401" s="170"/>
      <c r="AU401" s="310"/>
      <c r="AW401" s="294"/>
      <c r="AX401" s="294"/>
      <c r="AY401" s="294"/>
      <c r="AZ401" s="294"/>
      <c r="BA401" s="294"/>
      <c r="BB401" s="294"/>
      <c r="BC401" s="294"/>
      <c r="BD401" s="294"/>
      <c r="BE401" s="294"/>
      <c r="BF401" s="383"/>
      <c r="BG401" s="382">
        <v>0.43</v>
      </c>
      <c r="BH401" s="278" t="s">
        <v>870</v>
      </c>
      <c r="BI401" s="365" t="s">
        <v>834</v>
      </c>
      <c r="BJ401" s="409"/>
    </row>
    <row r="402" spans="1:62" ht="15.75" customHeight="1" thickBot="1" x14ac:dyDescent="0.25">
      <c r="A402" s="154">
        <v>401</v>
      </c>
      <c r="B402" s="155">
        <v>1</v>
      </c>
      <c r="C402" s="148" t="s">
        <v>162</v>
      </c>
      <c r="D402" s="148" t="s">
        <v>2447</v>
      </c>
      <c r="E402" s="148" t="s">
        <v>13</v>
      </c>
      <c r="F402" s="148" t="s">
        <v>872</v>
      </c>
      <c r="G402" s="148" t="s">
        <v>15</v>
      </c>
      <c r="H402" s="148" t="s">
        <v>708</v>
      </c>
      <c r="I402" s="161">
        <v>2012</v>
      </c>
      <c r="J402" s="161" t="s">
        <v>829</v>
      </c>
      <c r="K402" s="161" t="s">
        <v>830</v>
      </c>
      <c r="L402" s="161" t="s">
        <v>19</v>
      </c>
      <c r="M402" s="453" t="s">
        <v>4164</v>
      </c>
      <c r="N402" s="186" t="s">
        <v>20</v>
      </c>
      <c r="O402" s="186" t="s">
        <v>15</v>
      </c>
      <c r="P402" s="186" t="s">
        <v>20</v>
      </c>
      <c r="Q402" s="186" t="s">
        <v>20</v>
      </c>
      <c r="R402" s="186" t="s">
        <v>20</v>
      </c>
      <c r="S402" s="186" t="s">
        <v>20</v>
      </c>
      <c r="T402" s="186" t="s">
        <v>15</v>
      </c>
      <c r="U402" s="186" t="s">
        <v>15</v>
      </c>
      <c r="V402" s="186" t="s">
        <v>15</v>
      </c>
      <c r="W402" s="186" t="s">
        <v>15</v>
      </c>
      <c r="X402" s="186" t="s">
        <v>15</v>
      </c>
      <c r="Y402" s="186" t="s">
        <v>15</v>
      </c>
      <c r="Z402" s="186"/>
      <c r="AA402" s="186" t="s">
        <v>831</v>
      </c>
      <c r="AB402" s="186" t="s">
        <v>15</v>
      </c>
      <c r="AC402" s="186" t="s">
        <v>15</v>
      </c>
      <c r="AD402" s="268" t="s">
        <v>837</v>
      </c>
      <c r="AE402" s="268"/>
      <c r="AF402" s="144" t="str">
        <f t="shared" si="27"/>
        <v/>
      </c>
      <c r="AG402" s="144" t="str">
        <f t="shared" si="28"/>
        <v/>
      </c>
      <c r="AH402" s="146" t="str">
        <f t="shared" si="29"/>
        <v/>
      </c>
      <c r="AI402" s="146" t="str">
        <f t="shared" si="30"/>
        <v/>
      </c>
      <c r="AJ402" s="303"/>
      <c r="AK402" s="303"/>
      <c r="AL402" s="303"/>
      <c r="AM402" s="303"/>
      <c r="AN402" s="303"/>
      <c r="AO402" s="303"/>
      <c r="AP402" s="303"/>
      <c r="AQ402" s="303"/>
      <c r="AR402" s="303"/>
      <c r="AS402" s="170"/>
      <c r="AT402" s="170"/>
      <c r="AU402" s="310"/>
      <c r="AW402" s="294"/>
      <c r="AX402" s="294"/>
      <c r="AY402" s="294"/>
      <c r="AZ402" s="294"/>
      <c r="BA402" s="294"/>
      <c r="BB402" s="294"/>
      <c r="BC402" s="294"/>
      <c r="BD402" s="294"/>
      <c r="BE402" s="294"/>
      <c r="BF402" s="383"/>
      <c r="BG402" s="382">
        <v>0.43</v>
      </c>
      <c r="BH402" s="278" t="s">
        <v>870</v>
      </c>
      <c r="BI402" s="365" t="s">
        <v>834</v>
      </c>
      <c r="BJ402" s="409"/>
    </row>
    <row r="403" spans="1:62" ht="15.75" customHeight="1" thickBot="1" x14ac:dyDescent="0.25">
      <c r="A403" s="156">
        <v>402</v>
      </c>
      <c r="B403" s="155">
        <v>1</v>
      </c>
      <c r="C403" s="148" t="s">
        <v>162</v>
      </c>
      <c r="D403" s="148" t="s">
        <v>1864</v>
      </c>
      <c r="E403" s="148" t="s">
        <v>13</v>
      </c>
      <c r="F403" s="148" t="s">
        <v>874</v>
      </c>
      <c r="G403" s="148" t="s">
        <v>15</v>
      </c>
      <c r="H403" s="148" t="s">
        <v>708</v>
      </c>
      <c r="I403" s="161">
        <v>2012</v>
      </c>
      <c r="J403" s="161" t="s">
        <v>829</v>
      </c>
      <c r="K403" s="161" t="s">
        <v>830</v>
      </c>
      <c r="L403" s="161" t="s">
        <v>19</v>
      </c>
      <c r="M403" s="453" t="s">
        <v>4164</v>
      </c>
      <c r="N403" s="186" t="s">
        <v>20</v>
      </c>
      <c r="O403" s="186" t="s">
        <v>15</v>
      </c>
      <c r="P403" s="186" t="s">
        <v>20</v>
      </c>
      <c r="Q403" s="186" t="s">
        <v>20</v>
      </c>
      <c r="R403" s="186" t="s">
        <v>20</v>
      </c>
      <c r="S403" s="186" t="s">
        <v>20</v>
      </c>
      <c r="T403" s="186" t="s">
        <v>15</v>
      </c>
      <c r="U403" s="186" t="s">
        <v>15</v>
      </c>
      <c r="V403" s="186" t="s">
        <v>15</v>
      </c>
      <c r="W403" s="186" t="s">
        <v>15</v>
      </c>
      <c r="X403" s="186" t="s">
        <v>15</v>
      </c>
      <c r="Y403" s="186" t="s">
        <v>15</v>
      </c>
      <c r="Z403" s="186"/>
      <c r="AA403" s="186" t="s">
        <v>831</v>
      </c>
      <c r="AB403" s="186" t="s">
        <v>15</v>
      </c>
      <c r="AC403" s="186" t="s">
        <v>15</v>
      </c>
      <c r="AD403" s="268" t="s">
        <v>837</v>
      </c>
      <c r="AE403" s="268"/>
      <c r="AF403" s="144" t="str">
        <f t="shared" si="27"/>
        <v/>
      </c>
      <c r="AG403" s="144" t="str">
        <f t="shared" si="28"/>
        <v/>
      </c>
      <c r="AH403" s="146" t="str">
        <f t="shared" si="29"/>
        <v/>
      </c>
      <c r="AI403" s="146" t="str">
        <f t="shared" si="30"/>
        <v/>
      </c>
      <c r="AJ403" s="303"/>
      <c r="AK403" s="303"/>
      <c r="AL403" s="303"/>
      <c r="AM403" s="303"/>
      <c r="AN403" s="303"/>
      <c r="AO403" s="303"/>
      <c r="AP403" s="303"/>
      <c r="AQ403" s="303"/>
      <c r="AR403" s="303"/>
      <c r="AS403" s="170"/>
      <c r="AT403" s="170"/>
      <c r="AU403" s="310"/>
      <c r="AW403" s="294"/>
      <c r="AX403" s="294"/>
      <c r="AY403" s="294"/>
      <c r="AZ403" s="294"/>
      <c r="BA403" s="294"/>
      <c r="BB403" s="294"/>
      <c r="BC403" s="294"/>
      <c r="BD403" s="294"/>
      <c r="BE403" s="294"/>
      <c r="BF403" s="383"/>
      <c r="BG403" s="382">
        <v>0.43</v>
      </c>
      <c r="BH403" s="278" t="s">
        <v>870</v>
      </c>
      <c r="BI403" s="365" t="s">
        <v>834</v>
      </c>
      <c r="BJ403" s="409"/>
    </row>
    <row r="404" spans="1:62" ht="15.75" customHeight="1" thickBot="1" x14ac:dyDescent="0.25">
      <c r="A404" s="154">
        <v>403</v>
      </c>
      <c r="B404" s="155">
        <v>1</v>
      </c>
      <c r="C404" s="148" t="s">
        <v>162</v>
      </c>
      <c r="D404" s="148" t="s">
        <v>875</v>
      </c>
      <c r="E404" s="148" t="s">
        <v>13</v>
      </c>
      <c r="F404" s="148" t="s">
        <v>876</v>
      </c>
      <c r="G404" s="148" t="s">
        <v>15</v>
      </c>
      <c r="H404" s="148" t="s">
        <v>708</v>
      </c>
      <c r="I404" s="161">
        <v>2012</v>
      </c>
      <c r="J404" s="161" t="s">
        <v>829</v>
      </c>
      <c r="K404" s="161" t="s">
        <v>830</v>
      </c>
      <c r="L404" s="161" t="s">
        <v>19</v>
      </c>
      <c r="M404" s="453" t="s">
        <v>4164</v>
      </c>
      <c r="N404" s="186" t="s">
        <v>20</v>
      </c>
      <c r="O404" s="186" t="s">
        <v>15</v>
      </c>
      <c r="P404" s="186" t="s">
        <v>20</v>
      </c>
      <c r="Q404" s="186" t="s">
        <v>20</v>
      </c>
      <c r="R404" s="186" t="s">
        <v>20</v>
      </c>
      <c r="S404" s="186" t="s">
        <v>20</v>
      </c>
      <c r="T404" s="186" t="s">
        <v>15</v>
      </c>
      <c r="U404" s="186" t="s">
        <v>15</v>
      </c>
      <c r="V404" s="186" t="s">
        <v>15</v>
      </c>
      <c r="W404" s="186" t="s">
        <v>15</v>
      </c>
      <c r="X404" s="186" t="s">
        <v>15</v>
      </c>
      <c r="Y404" s="186" t="s">
        <v>15</v>
      </c>
      <c r="Z404" s="186"/>
      <c r="AA404" s="186" t="s">
        <v>831</v>
      </c>
      <c r="AB404" s="186" t="s">
        <v>15</v>
      </c>
      <c r="AC404" s="186" t="s">
        <v>15</v>
      </c>
      <c r="AD404" s="268" t="s">
        <v>837</v>
      </c>
      <c r="AE404" s="268"/>
      <c r="AF404" s="144" t="str">
        <f t="shared" si="27"/>
        <v/>
      </c>
      <c r="AG404" s="144" t="str">
        <f t="shared" si="28"/>
        <v/>
      </c>
      <c r="AH404" s="146" t="str">
        <f t="shared" si="29"/>
        <v/>
      </c>
      <c r="AI404" s="146" t="str">
        <f t="shared" si="30"/>
        <v/>
      </c>
      <c r="AJ404" s="303"/>
      <c r="AK404" s="303"/>
      <c r="AL404" s="303"/>
      <c r="AM404" s="303"/>
      <c r="AN404" s="303"/>
      <c r="AO404" s="303"/>
      <c r="AP404" s="303"/>
      <c r="AQ404" s="303"/>
      <c r="AR404" s="303"/>
      <c r="AS404" s="170"/>
      <c r="AT404" s="170"/>
      <c r="AU404" s="310"/>
      <c r="AW404" s="294"/>
      <c r="AX404" s="294"/>
      <c r="AY404" s="294"/>
      <c r="AZ404" s="294"/>
      <c r="BA404" s="294"/>
      <c r="BB404" s="294"/>
      <c r="BC404" s="294"/>
      <c r="BD404" s="294"/>
      <c r="BE404" s="294"/>
      <c r="BF404" s="383"/>
      <c r="BG404" s="382">
        <v>0.39</v>
      </c>
      <c r="BH404" s="278" t="s">
        <v>877</v>
      </c>
      <c r="BI404" s="365" t="s">
        <v>834</v>
      </c>
      <c r="BJ404" s="409"/>
    </row>
    <row r="405" spans="1:62" ht="15.75" customHeight="1" thickBot="1" x14ac:dyDescent="0.25">
      <c r="A405" s="156">
        <v>404</v>
      </c>
      <c r="B405" s="155">
        <v>1</v>
      </c>
      <c r="C405" s="148" t="s">
        <v>236</v>
      </c>
      <c r="D405" s="148" t="s">
        <v>878</v>
      </c>
      <c r="E405" s="148" t="s">
        <v>13</v>
      </c>
      <c r="F405" s="148" t="s">
        <v>878</v>
      </c>
      <c r="G405" s="148" t="s">
        <v>15</v>
      </c>
      <c r="H405" s="148" t="s">
        <v>708</v>
      </c>
      <c r="I405" s="161">
        <v>2012</v>
      </c>
      <c r="J405" s="161" t="s">
        <v>829</v>
      </c>
      <c r="K405" s="161" t="s">
        <v>830</v>
      </c>
      <c r="L405" s="161" t="s">
        <v>19</v>
      </c>
      <c r="M405" s="453" t="s">
        <v>4164</v>
      </c>
      <c r="N405" s="186" t="s">
        <v>20</v>
      </c>
      <c r="O405" s="186" t="s">
        <v>15</v>
      </c>
      <c r="P405" s="186" t="s">
        <v>20</v>
      </c>
      <c r="Q405" s="186" t="s">
        <v>20</v>
      </c>
      <c r="R405" s="186" t="s">
        <v>20</v>
      </c>
      <c r="S405" s="186" t="s">
        <v>20</v>
      </c>
      <c r="T405" s="186" t="s">
        <v>15</v>
      </c>
      <c r="U405" s="186" t="s">
        <v>15</v>
      </c>
      <c r="V405" s="186" t="s">
        <v>15</v>
      </c>
      <c r="W405" s="186" t="s">
        <v>15</v>
      </c>
      <c r="X405" s="186" t="s">
        <v>15</v>
      </c>
      <c r="Y405" s="186" t="s">
        <v>15</v>
      </c>
      <c r="Z405" s="186"/>
      <c r="AA405" s="186" t="s">
        <v>831</v>
      </c>
      <c r="AB405" s="186" t="s">
        <v>15</v>
      </c>
      <c r="AC405" s="186" t="s">
        <v>15</v>
      </c>
      <c r="AD405" s="268" t="s">
        <v>837</v>
      </c>
      <c r="AE405" s="268"/>
      <c r="AF405" s="144" t="str">
        <f t="shared" si="27"/>
        <v/>
      </c>
      <c r="AG405" s="144" t="str">
        <f t="shared" si="28"/>
        <v/>
      </c>
      <c r="AH405" s="146" t="str">
        <f t="shared" si="29"/>
        <v/>
      </c>
      <c r="AI405" s="146" t="str">
        <f t="shared" si="30"/>
        <v/>
      </c>
      <c r="AJ405" s="303"/>
      <c r="AK405" s="303"/>
      <c r="AL405" s="303"/>
      <c r="AM405" s="303"/>
      <c r="AN405" s="303"/>
      <c r="AO405" s="303"/>
      <c r="AP405" s="303"/>
      <c r="AQ405" s="303"/>
      <c r="AR405" s="303"/>
      <c r="AS405" s="170"/>
      <c r="AT405" s="170"/>
      <c r="AU405" s="310"/>
      <c r="AW405" s="294"/>
      <c r="AX405" s="294"/>
      <c r="AY405" s="294"/>
      <c r="AZ405" s="294"/>
      <c r="BA405" s="294"/>
      <c r="BB405" s="294"/>
      <c r="BC405" s="294"/>
      <c r="BD405" s="294"/>
      <c r="BE405" s="294"/>
      <c r="BF405" s="383"/>
      <c r="BG405" s="382">
        <v>0.34</v>
      </c>
      <c r="BH405" s="278" t="s">
        <v>879</v>
      </c>
      <c r="BI405" s="365" t="s">
        <v>834</v>
      </c>
      <c r="BJ405" s="409"/>
    </row>
    <row r="406" spans="1:62" ht="15.75" customHeight="1" thickBot="1" x14ac:dyDescent="0.25">
      <c r="A406" s="154">
        <v>405</v>
      </c>
      <c r="B406" s="155">
        <v>1</v>
      </c>
      <c r="C406" s="148" t="s">
        <v>162</v>
      </c>
      <c r="D406" s="148" t="s">
        <v>1976</v>
      </c>
      <c r="E406" s="148" t="s">
        <v>13</v>
      </c>
      <c r="F406" s="148" t="s">
        <v>880</v>
      </c>
      <c r="G406" s="148" t="s">
        <v>15</v>
      </c>
      <c r="H406" s="148" t="s">
        <v>708</v>
      </c>
      <c r="I406" s="161">
        <v>2012</v>
      </c>
      <c r="J406" s="161" t="s">
        <v>829</v>
      </c>
      <c r="K406" s="161" t="s">
        <v>830</v>
      </c>
      <c r="L406" s="161" t="s">
        <v>19</v>
      </c>
      <c r="M406" s="453" t="s">
        <v>4164</v>
      </c>
      <c r="N406" s="186" t="s">
        <v>20</v>
      </c>
      <c r="O406" s="186" t="s">
        <v>15</v>
      </c>
      <c r="P406" s="186" t="s">
        <v>20</v>
      </c>
      <c r="Q406" s="186" t="s">
        <v>20</v>
      </c>
      <c r="R406" s="186" t="s">
        <v>20</v>
      </c>
      <c r="S406" s="186" t="s">
        <v>20</v>
      </c>
      <c r="T406" s="186" t="s">
        <v>15</v>
      </c>
      <c r="U406" s="186" t="s">
        <v>15</v>
      </c>
      <c r="V406" s="186" t="s">
        <v>15</v>
      </c>
      <c r="W406" s="186" t="s">
        <v>15</v>
      </c>
      <c r="X406" s="186" t="s">
        <v>15</v>
      </c>
      <c r="Y406" s="186" t="s">
        <v>15</v>
      </c>
      <c r="Z406" s="186"/>
      <c r="AA406" s="186" t="s">
        <v>831</v>
      </c>
      <c r="AB406" s="186" t="s">
        <v>15</v>
      </c>
      <c r="AC406" s="186" t="s">
        <v>15</v>
      </c>
      <c r="AD406" s="268" t="s">
        <v>837</v>
      </c>
      <c r="AE406" s="268"/>
      <c r="AF406" s="144" t="str">
        <f t="shared" si="27"/>
        <v/>
      </c>
      <c r="AG406" s="144" t="str">
        <f t="shared" si="28"/>
        <v/>
      </c>
      <c r="AH406" s="146" t="str">
        <f t="shared" si="29"/>
        <v/>
      </c>
      <c r="AI406" s="146" t="str">
        <f t="shared" si="30"/>
        <v/>
      </c>
      <c r="AJ406" s="303"/>
      <c r="AK406" s="303"/>
      <c r="AL406" s="303"/>
      <c r="AM406" s="303"/>
      <c r="AN406" s="303"/>
      <c r="AO406" s="303"/>
      <c r="AP406" s="303"/>
      <c r="AQ406" s="303"/>
      <c r="AR406" s="303"/>
      <c r="AS406" s="170"/>
      <c r="AT406" s="170"/>
      <c r="AU406" s="310"/>
      <c r="AW406" s="294"/>
      <c r="AX406" s="294"/>
      <c r="AY406" s="294"/>
      <c r="AZ406" s="294"/>
      <c r="BA406" s="294"/>
      <c r="BB406" s="294"/>
      <c r="BC406" s="294"/>
      <c r="BD406" s="294"/>
      <c r="BE406" s="294"/>
      <c r="BF406" s="383"/>
      <c r="BG406" s="382">
        <v>0.43</v>
      </c>
      <c r="BH406" s="278" t="s">
        <v>881</v>
      </c>
      <c r="BI406" s="365" t="s">
        <v>834</v>
      </c>
      <c r="BJ406" s="409"/>
    </row>
    <row r="407" spans="1:62" ht="15.75" customHeight="1" thickBot="1" x14ac:dyDescent="0.25">
      <c r="A407" s="156">
        <v>406</v>
      </c>
      <c r="B407" s="155">
        <v>1</v>
      </c>
      <c r="C407" s="148" t="s">
        <v>162</v>
      </c>
      <c r="D407" s="148" t="s">
        <v>771</v>
      </c>
      <c r="E407" s="148" t="s">
        <v>13</v>
      </c>
      <c r="F407" s="148" t="s">
        <v>882</v>
      </c>
      <c r="G407" s="148" t="s">
        <v>15</v>
      </c>
      <c r="H407" s="148" t="s">
        <v>708</v>
      </c>
      <c r="I407" s="161">
        <v>2012</v>
      </c>
      <c r="J407" s="161" t="s">
        <v>829</v>
      </c>
      <c r="K407" s="161" t="s">
        <v>830</v>
      </c>
      <c r="L407" s="161" t="s">
        <v>19</v>
      </c>
      <c r="M407" s="453" t="s">
        <v>4164</v>
      </c>
      <c r="N407" s="186" t="s">
        <v>20</v>
      </c>
      <c r="O407" s="186" t="s">
        <v>15</v>
      </c>
      <c r="P407" s="186" t="s">
        <v>20</v>
      </c>
      <c r="Q407" s="186" t="s">
        <v>20</v>
      </c>
      <c r="R407" s="186" t="s">
        <v>20</v>
      </c>
      <c r="S407" s="186" t="s">
        <v>20</v>
      </c>
      <c r="T407" s="186" t="s">
        <v>15</v>
      </c>
      <c r="U407" s="186" t="s">
        <v>15</v>
      </c>
      <c r="V407" s="186" t="s">
        <v>15</v>
      </c>
      <c r="W407" s="186" t="s">
        <v>15</v>
      </c>
      <c r="X407" s="186" t="s">
        <v>15</v>
      </c>
      <c r="Y407" s="186" t="s">
        <v>15</v>
      </c>
      <c r="Z407" s="186"/>
      <c r="AA407" s="186" t="s">
        <v>831</v>
      </c>
      <c r="AB407" s="186" t="s">
        <v>15</v>
      </c>
      <c r="AC407" s="186" t="s">
        <v>15</v>
      </c>
      <c r="AD407" s="268" t="s">
        <v>837</v>
      </c>
      <c r="AE407" s="268"/>
      <c r="AF407" s="144" t="str">
        <f t="shared" si="27"/>
        <v/>
      </c>
      <c r="AG407" s="144" t="str">
        <f t="shared" si="28"/>
        <v/>
      </c>
      <c r="AH407" s="146" t="str">
        <f t="shared" si="29"/>
        <v/>
      </c>
      <c r="AI407" s="146" t="str">
        <f t="shared" si="30"/>
        <v/>
      </c>
      <c r="AJ407" s="303"/>
      <c r="AK407" s="303"/>
      <c r="AL407" s="303"/>
      <c r="AM407" s="303"/>
      <c r="AN407" s="303"/>
      <c r="AO407" s="303"/>
      <c r="AP407" s="303"/>
      <c r="AQ407" s="303"/>
      <c r="AR407" s="303"/>
      <c r="AS407" s="170"/>
      <c r="AT407" s="170"/>
      <c r="AU407" s="310"/>
      <c r="AW407" s="294"/>
      <c r="AX407" s="294"/>
      <c r="AY407" s="294"/>
      <c r="AZ407" s="294"/>
      <c r="BA407" s="294"/>
      <c r="BB407" s="294"/>
      <c r="BC407" s="294"/>
      <c r="BD407" s="294"/>
      <c r="BE407" s="294"/>
      <c r="BF407" s="383"/>
      <c r="BG407" s="382">
        <v>0.43</v>
      </c>
      <c r="BH407" s="278" t="s">
        <v>883</v>
      </c>
      <c r="BI407" s="365" t="s">
        <v>834</v>
      </c>
      <c r="BJ407" s="409"/>
    </row>
    <row r="408" spans="1:62" ht="15.75" customHeight="1" thickBot="1" x14ac:dyDescent="0.25">
      <c r="A408" s="154">
        <v>407</v>
      </c>
      <c r="B408" s="155">
        <v>1</v>
      </c>
      <c r="C408" s="148" t="s">
        <v>162</v>
      </c>
      <c r="D408" s="148" t="s">
        <v>884</v>
      </c>
      <c r="E408" s="148" t="s">
        <v>13</v>
      </c>
      <c r="F408" s="148" t="s">
        <v>885</v>
      </c>
      <c r="G408" s="148" t="s">
        <v>15</v>
      </c>
      <c r="H408" s="148" t="s">
        <v>708</v>
      </c>
      <c r="I408" s="161">
        <v>2012</v>
      </c>
      <c r="J408" s="161" t="s">
        <v>829</v>
      </c>
      <c r="K408" s="161" t="s">
        <v>830</v>
      </c>
      <c r="L408" s="161" t="s">
        <v>19</v>
      </c>
      <c r="M408" s="453" t="s">
        <v>4164</v>
      </c>
      <c r="N408" s="186" t="s">
        <v>20</v>
      </c>
      <c r="O408" s="186" t="s">
        <v>15</v>
      </c>
      <c r="P408" s="186" t="s">
        <v>20</v>
      </c>
      <c r="Q408" s="186" t="s">
        <v>20</v>
      </c>
      <c r="R408" s="186" t="s">
        <v>20</v>
      </c>
      <c r="S408" s="186" t="s">
        <v>20</v>
      </c>
      <c r="T408" s="186" t="s">
        <v>15</v>
      </c>
      <c r="U408" s="186" t="s">
        <v>15</v>
      </c>
      <c r="V408" s="186" t="s">
        <v>15</v>
      </c>
      <c r="W408" s="186" t="s">
        <v>15</v>
      </c>
      <c r="X408" s="186" t="s">
        <v>15</v>
      </c>
      <c r="Y408" s="186" t="s">
        <v>15</v>
      </c>
      <c r="Z408" s="186"/>
      <c r="AA408" s="186" t="s">
        <v>831</v>
      </c>
      <c r="AB408" s="186" t="s">
        <v>15</v>
      </c>
      <c r="AC408" s="186" t="s">
        <v>15</v>
      </c>
      <c r="AD408" s="268" t="s">
        <v>837</v>
      </c>
      <c r="AE408" s="268"/>
      <c r="AF408" s="144" t="str">
        <f t="shared" si="27"/>
        <v/>
      </c>
      <c r="AG408" s="144" t="str">
        <f t="shared" si="28"/>
        <v/>
      </c>
      <c r="AH408" s="146" t="str">
        <f t="shared" si="29"/>
        <v/>
      </c>
      <c r="AI408" s="146" t="str">
        <f t="shared" si="30"/>
        <v/>
      </c>
      <c r="AJ408" s="303"/>
      <c r="AK408" s="303"/>
      <c r="AL408" s="303"/>
      <c r="AM408" s="303"/>
      <c r="AN408" s="303"/>
      <c r="AO408" s="303"/>
      <c r="AP408" s="303"/>
      <c r="AQ408" s="303"/>
      <c r="AR408" s="303"/>
      <c r="AS408" s="170"/>
      <c r="AT408" s="170"/>
      <c r="AU408" s="310"/>
      <c r="AW408" s="294"/>
      <c r="AX408" s="294"/>
      <c r="AY408" s="294"/>
      <c r="AZ408" s="294"/>
      <c r="BA408" s="294"/>
      <c r="BB408" s="294"/>
      <c r="BC408" s="294"/>
      <c r="BD408" s="294"/>
      <c r="BE408" s="294"/>
      <c r="BF408" s="383"/>
      <c r="BG408" s="382">
        <v>1.3</v>
      </c>
      <c r="BH408" s="278" t="s">
        <v>886</v>
      </c>
      <c r="BI408" s="365" t="s">
        <v>834</v>
      </c>
      <c r="BJ408" s="409"/>
    </row>
    <row r="409" spans="1:62" ht="15.75" customHeight="1" thickBot="1" x14ac:dyDescent="0.25">
      <c r="A409" s="156">
        <v>408</v>
      </c>
      <c r="B409" s="155">
        <v>1</v>
      </c>
      <c r="C409" s="148" t="s">
        <v>162</v>
      </c>
      <c r="D409" s="148" t="s">
        <v>887</v>
      </c>
      <c r="E409" s="148" t="s">
        <v>13</v>
      </c>
      <c r="F409" s="148" t="s">
        <v>888</v>
      </c>
      <c r="G409" s="148" t="s">
        <v>15</v>
      </c>
      <c r="H409" s="148" t="s">
        <v>708</v>
      </c>
      <c r="I409" s="161">
        <v>2012</v>
      </c>
      <c r="J409" s="161" t="s">
        <v>829</v>
      </c>
      <c r="K409" s="161" t="s">
        <v>830</v>
      </c>
      <c r="L409" s="161" t="s">
        <v>19</v>
      </c>
      <c r="M409" s="453" t="s">
        <v>4164</v>
      </c>
      <c r="N409" s="186" t="s">
        <v>20</v>
      </c>
      <c r="O409" s="186" t="s">
        <v>15</v>
      </c>
      <c r="P409" s="186" t="s">
        <v>20</v>
      </c>
      <c r="Q409" s="186" t="s">
        <v>20</v>
      </c>
      <c r="R409" s="186" t="s">
        <v>20</v>
      </c>
      <c r="S409" s="186" t="s">
        <v>20</v>
      </c>
      <c r="T409" s="186" t="s">
        <v>15</v>
      </c>
      <c r="U409" s="186" t="s">
        <v>15</v>
      </c>
      <c r="V409" s="186" t="s">
        <v>15</v>
      </c>
      <c r="W409" s="186" t="s">
        <v>15</v>
      </c>
      <c r="X409" s="186" t="s">
        <v>15</v>
      </c>
      <c r="Y409" s="186" t="s">
        <v>15</v>
      </c>
      <c r="Z409" s="186"/>
      <c r="AA409" s="186" t="s">
        <v>831</v>
      </c>
      <c r="AB409" s="186" t="s">
        <v>15</v>
      </c>
      <c r="AC409" s="186" t="s">
        <v>15</v>
      </c>
      <c r="AD409" s="268" t="s">
        <v>837</v>
      </c>
      <c r="AE409" s="268"/>
      <c r="AF409" s="144" t="str">
        <f t="shared" si="27"/>
        <v/>
      </c>
      <c r="AG409" s="144" t="str">
        <f t="shared" si="28"/>
        <v/>
      </c>
      <c r="AH409" s="146" t="str">
        <f t="shared" si="29"/>
        <v/>
      </c>
      <c r="AI409" s="146" t="str">
        <f t="shared" si="30"/>
        <v/>
      </c>
      <c r="AJ409" s="303"/>
      <c r="AK409" s="303"/>
      <c r="AL409" s="303"/>
      <c r="AM409" s="303"/>
      <c r="AN409" s="303"/>
      <c r="AO409" s="303"/>
      <c r="AP409" s="303"/>
      <c r="AQ409" s="303"/>
      <c r="AR409" s="303"/>
      <c r="AS409" s="170"/>
      <c r="AT409" s="170"/>
      <c r="AU409" s="310"/>
      <c r="AW409" s="294"/>
      <c r="AX409" s="294"/>
      <c r="AY409" s="294"/>
      <c r="AZ409" s="294"/>
      <c r="BA409" s="294"/>
      <c r="BB409" s="294"/>
      <c r="BC409" s="294"/>
      <c r="BD409" s="294"/>
      <c r="BE409" s="294"/>
      <c r="BF409" s="383"/>
      <c r="BG409" s="382">
        <v>0.48</v>
      </c>
      <c r="BH409" s="278" t="s">
        <v>889</v>
      </c>
      <c r="BI409" s="365" t="s">
        <v>834</v>
      </c>
      <c r="BJ409" s="409"/>
    </row>
    <row r="410" spans="1:62" ht="15.75" customHeight="1" thickBot="1" x14ac:dyDescent="0.25">
      <c r="A410" s="154">
        <v>409</v>
      </c>
      <c r="B410" s="155">
        <v>1</v>
      </c>
      <c r="C410" s="148" t="s">
        <v>162</v>
      </c>
      <c r="D410" s="149" t="s">
        <v>2359</v>
      </c>
      <c r="E410" s="148" t="s">
        <v>13</v>
      </c>
      <c r="F410" s="148" t="s">
        <v>890</v>
      </c>
      <c r="G410" s="148" t="s">
        <v>15</v>
      </c>
      <c r="H410" s="148" t="s">
        <v>708</v>
      </c>
      <c r="I410" s="161">
        <v>2012</v>
      </c>
      <c r="J410" s="161" t="s">
        <v>829</v>
      </c>
      <c r="K410" s="161" t="s">
        <v>830</v>
      </c>
      <c r="L410" s="161" t="s">
        <v>19</v>
      </c>
      <c r="M410" s="453" t="s">
        <v>4164</v>
      </c>
      <c r="N410" s="186" t="s">
        <v>20</v>
      </c>
      <c r="O410" s="186" t="s">
        <v>15</v>
      </c>
      <c r="P410" s="186" t="s">
        <v>20</v>
      </c>
      <c r="Q410" s="186" t="s">
        <v>20</v>
      </c>
      <c r="R410" s="186" t="s">
        <v>20</v>
      </c>
      <c r="S410" s="186" t="s">
        <v>20</v>
      </c>
      <c r="T410" s="186" t="s">
        <v>15</v>
      </c>
      <c r="U410" s="186" t="s">
        <v>15</v>
      </c>
      <c r="V410" s="186" t="s">
        <v>15</v>
      </c>
      <c r="W410" s="186" t="s">
        <v>15</v>
      </c>
      <c r="X410" s="186" t="s">
        <v>15</v>
      </c>
      <c r="Y410" s="186" t="s">
        <v>15</v>
      </c>
      <c r="Z410" s="186"/>
      <c r="AA410" s="186" t="s">
        <v>831</v>
      </c>
      <c r="AB410" s="186" t="s">
        <v>15</v>
      </c>
      <c r="AC410" s="186" t="s">
        <v>15</v>
      </c>
      <c r="AD410" s="268" t="s">
        <v>837</v>
      </c>
      <c r="AE410" s="268"/>
      <c r="AF410" s="144" t="str">
        <f t="shared" si="27"/>
        <v/>
      </c>
      <c r="AG410" s="144" t="str">
        <f t="shared" si="28"/>
        <v/>
      </c>
      <c r="AH410" s="146" t="str">
        <f t="shared" si="29"/>
        <v/>
      </c>
      <c r="AI410" s="146" t="str">
        <f t="shared" si="30"/>
        <v/>
      </c>
      <c r="AJ410" s="303"/>
      <c r="AK410" s="303"/>
      <c r="AL410" s="303"/>
      <c r="AM410" s="303"/>
      <c r="AN410" s="303"/>
      <c r="AO410" s="303"/>
      <c r="AP410" s="303"/>
      <c r="AQ410" s="303"/>
      <c r="AR410" s="303"/>
      <c r="AS410" s="170"/>
      <c r="AT410" s="170"/>
      <c r="AU410" s="310"/>
      <c r="AW410" s="294"/>
      <c r="AX410" s="294"/>
      <c r="AY410" s="294"/>
      <c r="AZ410" s="294"/>
      <c r="BA410" s="294"/>
      <c r="BB410" s="294"/>
      <c r="BC410" s="294"/>
      <c r="BD410" s="294"/>
      <c r="BE410" s="294"/>
      <c r="BF410" s="383"/>
      <c r="BG410" s="382">
        <v>0.3</v>
      </c>
      <c r="BH410" s="278" t="s">
        <v>891</v>
      </c>
      <c r="BI410" s="365" t="s">
        <v>834</v>
      </c>
      <c r="BJ410" s="409"/>
    </row>
    <row r="411" spans="1:62" ht="15.75" customHeight="1" thickBot="1" x14ac:dyDescent="0.25">
      <c r="A411" s="156">
        <v>410</v>
      </c>
      <c r="B411" s="155">
        <v>1</v>
      </c>
      <c r="C411" s="148" t="s">
        <v>162</v>
      </c>
      <c r="D411" s="148" t="s">
        <v>892</v>
      </c>
      <c r="E411" s="148" t="s">
        <v>13</v>
      </c>
      <c r="F411" s="148" t="s">
        <v>893</v>
      </c>
      <c r="G411" s="148" t="s">
        <v>15</v>
      </c>
      <c r="H411" s="148" t="s">
        <v>708</v>
      </c>
      <c r="I411" s="161">
        <v>2012</v>
      </c>
      <c r="J411" s="161" t="s">
        <v>829</v>
      </c>
      <c r="K411" s="161" t="s">
        <v>830</v>
      </c>
      <c r="L411" s="161" t="s">
        <v>19</v>
      </c>
      <c r="M411" s="453" t="s">
        <v>4164</v>
      </c>
      <c r="N411" s="186" t="s">
        <v>20</v>
      </c>
      <c r="O411" s="186" t="s">
        <v>15</v>
      </c>
      <c r="P411" s="186" t="s">
        <v>20</v>
      </c>
      <c r="Q411" s="186" t="s">
        <v>20</v>
      </c>
      <c r="R411" s="186" t="s">
        <v>20</v>
      </c>
      <c r="S411" s="186" t="s">
        <v>20</v>
      </c>
      <c r="T411" s="186" t="s">
        <v>15</v>
      </c>
      <c r="U411" s="186" t="s">
        <v>15</v>
      </c>
      <c r="V411" s="186" t="s">
        <v>15</v>
      </c>
      <c r="W411" s="186" t="s">
        <v>15</v>
      </c>
      <c r="X411" s="186" t="s">
        <v>15</v>
      </c>
      <c r="Y411" s="186" t="s">
        <v>15</v>
      </c>
      <c r="Z411" s="186"/>
      <c r="AA411" s="186" t="s">
        <v>831</v>
      </c>
      <c r="AB411" s="186" t="s">
        <v>15</v>
      </c>
      <c r="AC411" s="186" t="s">
        <v>15</v>
      </c>
      <c r="AD411" s="268" t="s">
        <v>837</v>
      </c>
      <c r="AE411" s="268"/>
      <c r="AF411" s="144" t="str">
        <f t="shared" si="27"/>
        <v/>
      </c>
      <c r="AG411" s="144" t="str">
        <f t="shared" si="28"/>
        <v/>
      </c>
      <c r="AH411" s="146" t="str">
        <f t="shared" si="29"/>
        <v/>
      </c>
      <c r="AI411" s="146" t="str">
        <f t="shared" si="30"/>
        <v/>
      </c>
      <c r="AJ411" s="303"/>
      <c r="AK411" s="303"/>
      <c r="AL411" s="303"/>
      <c r="AM411" s="303"/>
      <c r="AN411" s="303"/>
      <c r="AO411" s="303"/>
      <c r="AP411" s="303"/>
      <c r="AQ411" s="303"/>
      <c r="AR411" s="303"/>
      <c r="AS411" s="170"/>
      <c r="AT411" s="170"/>
      <c r="AU411" s="310"/>
      <c r="AW411" s="294"/>
      <c r="AX411" s="294"/>
      <c r="AY411" s="294"/>
      <c r="AZ411" s="294"/>
      <c r="BA411" s="294"/>
      <c r="BB411" s="294"/>
      <c r="BC411" s="294"/>
      <c r="BD411" s="294"/>
      <c r="BE411" s="294"/>
      <c r="BF411" s="383"/>
      <c r="BG411" s="382">
        <v>0.13</v>
      </c>
      <c r="BH411" s="278" t="s">
        <v>894</v>
      </c>
      <c r="BI411" s="365" t="s">
        <v>834</v>
      </c>
      <c r="BJ411" s="409"/>
    </row>
    <row r="412" spans="1:62" ht="15.75" customHeight="1" thickBot="1" x14ac:dyDescent="0.25">
      <c r="A412" s="154">
        <v>411</v>
      </c>
      <c r="B412" s="155">
        <v>1</v>
      </c>
      <c r="C412" s="148" t="s">
        <v>24</v>
      </c>
      <c r="D412" s="148" t="s">
        <v>269</v>
      </c>
      <c r="E412" s="148" t="s">
        <v>13</v>
      </c>
      <c r="F412" s="148" t="s">
        <v>895</v>
      </c>
      <c r="G412" s="148" t="s">
        <v>122</v>
      </c>
      <c r="H412" s="148" t="s">
        <v>351</v>
      </c>
      <c r="I412" s="161">
        <v>2011</v>
      </c>
      <c r="J412" s="161" t="s">
        <v>896</v>
      </c>
      <c r="K412" s="161" t="s">
        <v>897</v>
      </c>
      <c r="L412" s="161" t="s">
        <v>104</v>
      </c>
      <c r="M412" s="453" t="s">
        <v>4165</v>
      </c>
      <c r="N412" s="186" t="s">
        <v>20</v>
      </c>
      <c r="O412" s="186" t="s">
        <v>15</v>
      </c>
      <c r="P412" s="186" t="s">
        <v>20</v>
      </c>
      <c r="Q412" s="186" t="s">
        <v>20</v>
      </c>
      <c r="R412" s="186" t="s">
        <v>20</v>
      </c>
      <c r="S412" s="186" t="s">
        <v>20</v>
      </c>
      <c r="T412" s="186" t="s">
        <v>20</v>
      </c>
      <c r="U412" s="186" t="s">
        <v>20</v>
      </c>
      <c r="V412" s="186" t="s">
        <v>20</v>
      </c>
      <c r="W412" s="186" t="s">
        <v>20</v>
      </c>
      <c r="X412" s="186" t="s">
        <v>15</v>
      </c>
      <c r="Y412" s="186" t="s">
        <v>15</v>
      </c>
      <c r="Z412" s="186"/>
      <c r="AA412" s="186" t="s">
        <v>898</v>
      </c>
      <c r="AB412" s="186" t="s">
        <v>122</v>
      </c>
      <c r="AC412" s="186" t="s">
        <v>122</v>
      </c>
      <c r="AD412" s="268" t="s">
        <v>899</v>
      </c>
      <c r="AE412" s="268" t="s">
        <v>900</v>
      </c>
      <c r="AF412" s="144" t="str">
        <f t="shared" si="27"/>
        <v/>
      </c>
      <c r="AG412" s="144" t="str">
        <f t="shared" si="28"/>
        <v/>
      </c>
      <c r="AH412" s="146">
        <f t="shared" si="29"/>
        <v>6.2640707964601781</v>
      </c>
      <c r="AI412" s="146">
        <f t="shared" si="30"/>
        <v>6.8240707964601786</v>
      </c>
      <c r="AJ412" s="303"/>
      <c r="AK412" s="303"/>
      <c r="AL412" s="303"/>
      <c r="AM412" s="303"/>
      <c r="AN412" s="303"/>
      <c r="AO412" s="303"/>
      <c r="AP412" s="303"/>
      <c r="AQ412" s="303"/>
      <c r="AR412" s="303"/>
      <c r="AS412" s="170"/>
      <c r="AT412" s="170"/>
      <c r="AU412" s="310"/>
      <c r="AW412" s="294">
        <f>0.632*BG412</f>
        <v>6.2640707964601781</v>
      </c>
      <c r="AX412" s="294"/>
      <c r="AY412" s="294">
        <f>0.0565*BG412</f>
        <v>0.56000000000000005</v>
      </c>
      <c r="AZ412" s="294">
        <f>0.0133*BG412</f>
        <v>0.13182300884955753</v>
      </c>
      <c r="BA412" s="294"/>
      <c r="BB412" s="294">
        <f>0.0726*BG412</f>
        <v>0.71957522123893813</v>
      </c>
      <c r="BC412" s="294">
        <f>0.227*BG412</f>
        <v>2.2499115044247793</v>
      </c>
      <c r="BD412" s="294"/>
      <c r="BE412" s="294"/>
      <c r="BF412" s="383">
        <f>AW412</f>
        <v>6.2640707964601781</v>
      </c>
      <c r="BG412" s="383">
        <v>9.9115044247787623</v>
      </c>
      <c r="BH412" s="278" t="s">
        <v>901</v>
      </c>
      <c r="BI412" s="365" t="s">
        <v>902</v>
      </c>
      <c r="BJ412" s="409"/>
    </row>
    <row r="413" spans="1:62" ht="15.75" customHeight="1" thickBot="1" x14ac:dyDescent="0.25">
      <c r="A413" s="156">
        <v>412</v>
      </c>
      <c r="B413" s="155">
        <v>1</v>
      </c>
      <c r="C413" s="148" t="s">
        <v>24</v>
      </c>
      <c r="D413" s="148" t="s">
        <v>269</v>
      </c>
      <c r="E413" s="148" t="s">
        <v>13</v>
      </c>
      <c r="F413" s="148" t="s">
        <v>903</v>
      </c>
      <c r="G413" s="148" t="s">
        <v>292</v>
      </c>
      <c r="H413" s="148" t="s">
        <v>258</v>
      </c>
      <c r="I413" s="161">
        <v>2013</v>
      </c>
      <c r="J413" s="161" t="s">
        <v>904</v>
      </c>
      <c r="K413" s="161" t="s">
        <v>905</v>
      </c>
      <c r="L413" s="161" t="s">
        <v>19</v>
      </c>
      <c r="M413" s="453" t="s">
        <v>4166</v>
      </c>
      <c r="N413" s="186" t="s">
        <v>20</v>
      </c>
      <c r="O413" s="186" t="s">
        <v>15</v>
      </c>
      <c r="P413" s="186" t="s">
        <v>20</v>
      </c>
      <c r="Q413" s="186" t="s">
        <v>20</v>
      </c>
      <c r="R413" s="186" t="s">
        <v>15</v>
      </c>
      <c r="S413" s="186" t="s">
        <v>15</v>
      </c>
      <c r="T413" s="186" t="s">
        <v>15</v>
      </c>
      <c r="U413" s="186" t="s">
        <v>15</v>
      </c>
      <c r="V413" s="186" t="s">
        <v>15</v>
      </c>
      <c r="W413" s="186" t="s">
        <v>15</v>
      </c>
      <c r="X413" s="186" t="s">
        <v>15</v>
      </c>
      <c r="Y413" s="186" t="s">
        <v>15</v>
      </c>
      <c r="Z413" s="186"/>
      <c r="AA413" s="186"/>
      <c r="AB413" s="186" t="s">
        <v>292</v>
      </c>
      <c r="AC413" s="186"/>
      <c r="AD413" s="268" t="s">
        <v>906</v>
      </c>
      <c r="AE413" s="268" t="s">
        <v>276</v>
      </c>
      <c r="AF413" s="144">
        <f t="shared" si="27"/>
        <v>23.319615912208505</v>
      </c>
      <c r="AG413" s="144">
        <f t="shared" si="28"/>
        <v>26.748970912208506</v>
      </c>
      <c r="AH413" s="146">
        <f t="shared" si="29"/>
        <v>4.1289437585733877</v>
      </c>
      <c r="AI413" s="146">
        <f t="shared" si="30"/>
        <v>4.4170097585733874</v>
      </c>
      <c r="AJ413" s="303">
        <v>23.319615912208505</v>
      </c>
      <c r="AK413" s="303"/>
      <c r="AL413" s="303">
        <v>3.4293550000000002</v>
      </c>
      <c r="AM413" s="303"/>
      <c r="AN413" s="303"/>
      <c r="AO413" s="303"/>
      <c r="AP413" s="303"/>
      <c r="AQ413" s="303"/>
      <c r="AR413" s="303"/>
      <c r="AS413" s="170">
        <v>23.319615912208505</v>
      </c>
      <c r="AT413" s="170">
        <v>26.748971193415638</v>
      </c>
      <c r="AU413" s="310"/>
      <c r="AW413" s="294">
        <v>4.1289437585733877</v>
      </c>
      <c r="AX413" s="294"/>
      <c r="AY413" s="294">
        <v>0.28806599999999999</v>
      </c>
      <c r="AZ413" s="294"/>
      <c r="BA413" s="294"/>
      <c r="BB413" s="294"/>
      <c r="BC413" s="294"/>
      <c r="BD413" s="294"/>
      <c r="BE413" s="294"/>
      <c r="BF413" s="383">
        <v>4.1289437585733877</v>
      </c>
      <c r="BG413" s="383">
        <v>4.4170096021947876</v>
      </c>
      <c r="BH413" s="278"/>
      <c r="BI413" s="365" t="s">
        <v>907</v>
      </c>
      <c r="BJ413" s="409"/>
    </row>
    <row r="414" spans="1:62" ht="15.75" customHeight="1" thickBot="1" x14ac:dyDescent="0.25">
      <c r="A414" s="154">
        <v>413</v>
      </c>
      <c r="B414" s="155">
        <v>1</v>
      </c>
      <c r="C414" s="148" t="s">
        <v>24</v>
      </c>
      <c r="D414" s="148" t="s">
        <v>269</v>
      </c>
      <c r="E414" s="148" t="s">
        <v>13</v>
      </c>
      <c r="F414" s="148" t="s">
        <v>908</v>
      </c>
      <c r="G414" s="148"/>
      <c r="H414" s="148" t="s">
        <v>909</v>
      </c>
      <c r="I414" s="161">
        <v>2016</v>
      </c>
      <c r="J414" s="161" t="s">
        <v>910</v>
      </c>
      <c r="K414" s="161" t="s">
        <v>911</v>
      </c>
      <c r="L414" s="161" t="s">
        <v>19</v>
      </c>
      <c r="M414" s="453" t="s">
        <v>4167</v>
      </c>
      <c r="N414" s="186" t="s">
        <v>20</v>
      </c>
      <c r="O414" s="186"/>
      <c r="P414" s="186" t="s">
        <v>20</v>
      </c>
      <c r="Q414" s="186" t="s">
        <v>20</v>
      </c>
      <c r="R414" s="186"/>
      <c r="S414" s="186"/>
      <c r="T414" s="186"/>
      <c r="U414" s="186"/>
      <c r="V414" s="186"/>
      <c r="W414" s="186"/>
      <c r="X414" s="186"/>
      <c r="Y414" s="186"/>
      <c r="Z414" s="186"/>
      <c r="AA414" s="186"/>
      <c r="AB414" s="186"/>
      <c r="AC414" s="186"/>
      <c r="AD414" s="268" t="s">
        <v>2853</v>
      </c>
      <c r="AE414" s="268"/>
      <c r="AF414" s="144" t="str">
        <f t="shared" si="27"/>
        <v/>
      </c>
      <c r="AG414" s="144" t="str">
        <f t="shared" si="28"/>
        <v/>
      </c>
      <c r="AH414" s="146" t="str">
        <f t="shared" si="29"/>
        <v/>
      </c>
      <c r="AI414" s="146" t="str">
        <f t="shared" si="30"/>
        <v/>
      </c>
      <c r="AJ414" s="303"/>
      <c r="AK414" s="303"/>
      <c r="AL414" s="303"/>
      <c r="AM414" s="303"/>
      <c r="AN414" s="303"/>
      <c r="AO414" s="303"/>
      <c r="AP414" s="303"/>
      <c r="AQ414" s="303"/>
      <c r="AR414" s="303"/>
      <c r="AS414" s="170"/>
      <c r="AT414" s="170"/>
      <c r="AU414" s="310"/>
      <c r="AW414" s="294"/>
      <c r="AX414" s="294"/>
      <c r="AY414" s="294"/>
      <c r="AZ414" s="294"/>
      <c r="BA414" s="294"/>
      <c r="BB414" s="294"/>
      <c r="BC414" s="294"/>
      <c r="BD414" s="294"/>
      <c r="BE414" s="294"/>
      <c r="BF414" s="383"/>
      <c r="BG414" s="382">
        <v>4.8</v>
      </c>
      <c r="BH414" s="278"/>
      <c r="BI414" s="365"/>
      <c r="BJ414" s="409"/>
    </row>
    <row r="415" spans="1:62" ht="15.75" customHeight="1" thickBot="1" x14ac:dyDescent="0.25">
      <c r="A415" s="156">
        <v>414</v>
      </c>
      <c r="B415" s="155">
        <v>1</v>
      </c>
      <c r="C415" s="148" t="s">
        <v>24</v>
      </c>
      <c r="D415" s="148" t="s">
        <v>269</v>
      </c>
      <c r="E415" s="148" t="s">
        <v>13</v>
      </c>
      <c r="F415" s="148"/>
      <c r="G415" s="148"/>
      <c r="H415" s="148" t="s">
        <v>909</v>
      </c>
      <c r="I415" s="161">
        <v>2016</v>
      </c>
      <c r="J415" s="161" t="s">
        <v>910</v>
      </c>
      <c r="K415" s="161" t="s">
        <v>911</v>
      </c>
      <c r="L415" s="161" t="s">
        <v>19</v>
      </c>
      <c r="M415" s="453" t="s">
        <v>4167</v>
      </c>
      <c r="N415" s="186"/>
      <c r="O415" s="186"/>
      <c r="P415" s="186"/>
      <c r="Q415" s="186"/>
      <c r="R415" s="186"/>
      <c r="S415" s="186"/>
      <c r="T415" s="186"/>
      <c r="U415" s="186"/>
      <c r="V415" s="186"/>
      <c r="W415" s="186"/>
      <c r="X415" s="186"/>
      <c r="Y415" s="186"/>
      <c r="Z415" s="186"/>
      <c r="AA415" s="186" t="s">
        <v>912</v>
      </c>
      <c r="AB415" s="186"/>
      <c r="AC415" s="186"/>
      <c r="AD415" s="268" t="s">
        <v>913</v>
      </c>
      <c r="AE415" s="268" t="s">
        <v>276</v>
      </c>
      <c r="AF415" s="144" t="str">
        <f t="shared" si="27"/>
        <v/>
      </c>
      <c r="AG415" s="144" t="str">
        <f t="shared" si="28"/>
        <v/>
      </c>
      <c r="AH415" s="146" t="str">
        <f t="shared" si="29"/>
        <v/>
      </c>
      <c r="AI415" s="146" t="str">
        <f t="shared" si="30"/>
        <v/>
      </c>
      <c r="AJ415" s="303"/>
      <c r="AK415" s="303"/>
      <c r="AL415" s="303"/>
      <c r="AM415" s="303"/>
      <c r="AN415" s="303"/>
      <c r="AO415" s="303"/>
      <c r="AP415" s="303"/>
      <c r="AQ415" s="303"/>
      <c r="AR415" s="303"/>
      <c r="AS415" s="170"/>
      <c r="AT415" s="170"/>
      <c r="AU415" s="310"/>
      <c r="AW415" s="294"/>
      <c r="AX415" s="294"/>
      <c r="AY415" s="294"/>
      <c r="AZ415" s="294"/>
      <c r="BA415" s="294"/>
      <c r="BB415" s="294"/>
      <c r="BC415" s="294"/>
      <c r="BD415" s="294"/>
      <c r="BE415" s="294"/>
      <c r="BF415" s="383"/>
      <c r="BG415" s="382">
        <f>2.55/0.729</f>
        <v>3.4979423868312756</v>
      </c>
      <c r="BH415" s="278"/>
      <c r="BI415" s="365"/>
      <c r="BJ415" s="409"/>
    </row>
    <row r="416" spans="1:62" ht="15.75" customHeight="1" thickBot="1" x14ac:dyDescent="0.25">
      <c r="A416" s="154">
        <v>415</v>
      </c>
      <c r="B416" s="155">
        <v>1</v>
      </c>
      <c r="C416" s="148" t="s">
        <v>24</v>
      </c>
      <c r="D416" s="148" t="s">
        <v>269</v>
      </c>
      <c r="E416" s="148" t="s">
        <v>13</v>
      </c>
      <c r="F416" s="148" t="s">
        <v>914</v>
      </c>
      <c r="G416" s="148" t="s">
        <v>122</v>
      </c>
      <c r="H416" s="148" t="s">
        <v>80</v>
      </c>
      <c r="I416" s="161">
        <v>2010</v>
      </c>
      <c r="J416" s="161" t="s">
        <v>915</v>
      </c>
      <c r="K416" s="161" t="s">
        <v>916</v>
      </c>
      <c r="L416" s="161" t="s">
        <v>19</v>
      </c>
      <c r="M416" s="453" t="s">
        <v>4168</v>
      </c>
      <c r="N416" s="186" t="s">
        <v>20</v>
      </c>
      <c r="O416" s="186" t="s">
        <v>15</v>
      </c>
      <c r="P416" s="186" t="s">
        <v>15</v>
      </c>
      <c r="Q416" s="186" t="s">
        <v>15</v>
      </c>
      <c r="R416" s="186" t="s">
        <v>15</v>
      </c>
      <c r="S416" s="186" t="s">
        <v>15</v>
      </c>
      <c r="T416" s="186" t="s">
        <v>15</v>
      </c>
      <c r="U416" s="186" t="s">
        <v>15</v>
      </c>
      <c r="V416" s="186" t="s">
        <v>15</v>
      </c>
      <c r="W416" s="186" t="s">
        <v>15</v>
      </c>
      <c r="X416" s="186" t="s">
        <v>15</v>
      </c>
      <c r="Y416" s="186" t="s">
        <v>15</v>
      </c>
      <c r="Z416" s="186"/>
      <c r="AA416" s="186" t="s">
        <v>917</v>
      </c>
      <c r="AB416" s="186" t="s">
        <v>292</v>
      </c>
      <c r="AC416" s="186" t="s">
        <v>122</v>
      </c>
      <c r="AD416" s="268" t="s">
        <v>304</v>
      </c>
      <c r="AE416" s="268" t="s">
        <v>918</v>
      </c>
      <c r="AF416" s="144" t="str">
        <f t="shared" si="27"/>
        <v/>
      </c>
      <c r="AG416" s="144" t="str">
        <f t="shared" si="28"/>
        <v/>
      </c>
      <c r="AH416" s="146">
        <f t="shared" si="29"/>
        <v>5.5324405641573637</v>
      </c>
      <c r="AI416" s="146" t="str">
        <f t="shared" si="30"/>
        <v/>
      </c>
      <c r="AJ416" s="303"/>
      <c r="AK416" s="303"/>
      <c r="AL416" s="303"/>
      <c r="AM416" s="303"/>
      <c r="AN416" s="303"/>
      <c r="AO416" s="303"/>
      <c r="AP416" s="303"/>
      <c r="AQ416" s="303"/>
      <c r="AR416" s="303"/>
      <c r="AS416" s="170"/>
      <c r="AT416" s="170"/>
      <c r="AU416" s="310"/>
      <c r="AW416" s="294"/>
      <c r="AX416" s="294"/>
      <c r="AY416" s="294"/>
      <c r="AZ416" s="294"/>
      <c r="BA416" s="294"/>
      <c r="BB416" s="294"/>
      <c r="BC416" s="294"/>
      <c r="BD416" s="294"/>
      <c r="BE416" s="294"/>
      <c r="BF416" s="382">
        <f>2.92/0.724/0.729</f>
        <v>5.5324405641573637</v>
      </c>
      <c r="BG416" s="383"/>
      <c r="BH416" s="278" t="s">
        <v>919</v>
      </c>
      <c r="BI416" s="365"/>
      <c r="BJ416" s="409"/>
    </row>
    <row r="417" spans="1:62" ht="15.75" customHeight="1" thickBot="1" x14ac:dyDescent="0.25">
      <c r="A417" s="156">
        <v>416</v>
      </c>
      <c r="B417" s="155">
        <v>1</v>
      </c>
      <c r="C417" s="148" t="s">
        <v>24</v>
      </c>
      <c r="D417" s="148" t="s">
        <v>269</v>
      </c>
      <c r="E417" s="148" t="s">
        <v>13</v>
      </c>
      <c r="F417" s="148" t="s">
        <v>920</v>
      </c>
      <c r="G417" s="148" t="s">
        <v>122</v>
      </c>
      <c r="H417" s="148" t="s">
        <v>80</v>
      </c>
      <c r="I417" s="161">
        <v>2010</v>
      </c>
      <c r="J417" s="161" t="s">
        <v>915</v>
      </c>
      <c r="K417" s="161" t="s">
        <v>916</v>
      </c>
      <c r="L417" s="161" t="s">
        <v>19</v>
      </c>
      <c r="M417" s="453" t="s">
        <v>4168</v>
      </c>
      <c r="N417" s="186" t="s">
        <v>20</v>
      </c>
      <c r="O417" s="186" t="s">
        <v>15</v>
      </c>
      <c r="P417" s="186" t="s">
        <v>15</v>
      </c>
      <c r="Q417" s="186" t="s">
        <v>15</v>
      </c>
      <c r="R417" s="186" t="s">
        <v>15</v>
      </c>
      <c r="S417" s="186" t="s">
        <v>15</v>
      </c>
      <c r="T417" s="186" t="s">
        <v>15</v>
      </c>
      <c r="U417" s="186" t="s">
        <v>15</v>
      </c>
      <c r="V417" s="186" t="s">
        <v>15</v>
      </c>
      <c r="W417" s="186" t="s">
        <v>15</v>
      </c>
      <c r="X417" s="186" t="s">
        <v>15</v>
      </c>
      <c r="Y417" s="186" t="s">
        <v>15</v>
      </c>
      <c r="Z417" s="186"/>
      <c r="AA417" s="186" t="s">
        <v>917</v>
      </c>
      <c r="AB417" s="186" t="s">
        <v>292</v>
      </c>
      <c r="AC417" s="186" t="s">
        <v>122</v>
      </c>
      <c r="AD417" s="268" t="s">
        <v>304</v>
      </c>
      <c r="AE417" s="268" t="s">
        <v>918</v>
      </c>
      <c r="AF417" s="144" t="str">
        <f t="shared" si="27"/>
        <v/>
      </c>
      <c r="AG417" s="144" t="str">
        <f t="shared" si="28"/>
        <v/>
      </c>
      <c r="AH417" s="146">
        <f t="shared" si="29"/>
        <v>6.2903091345898794</v>
      </c>
      <c r="AI417" s="146" t="str">
        <f t="shared" si="30"/>
        <v/>
      </c>
      <c r="AJ417" s="303"/>
      <c r="AK417" s="303"/>
      <c r="AL417" s="303"/>
      <c r="AM417" s="303"/>
      <c r="AN417" s="303"/>
      <c r="AO417" s="303"/>
      <c r="AP417" s="303"/>
      <c r="AQ417" s="303"/>
      <c r="AR417" s="303"/>
      <c r="AS417" s="170"/>
      <c r="AT417" s="170"/>
      <c r="AU417" s="310"/>
      <c r="AW417" s="294"/>
      <c r="AX417" s="294"/>
      <c r="AY417" s="294"/>
      <c r="AZ417" s="294"/>
      <c r="BA417" s="294"/>
      <c r="BB417" s="294"/>
      <c r="BC417" s="294"/>
      <c r="BD417" s="294"/>
      <c r="BE417" s="294"/>
      <c r="BF417" s="382">
        <f>3.32/0.724/0.729</f>
        <v>6.2903091345898794</v>
      </c>
      <c r="BG417" s="383"/>
      <c r="BH417" s="278" t="s">
        <v>919</v>
      </c>
      <c r="BI417" s="365"/>
      <c r="BJ417" s="409"/>
    </row>
    <row r="418" spans="1:62" ht="15.75" customHeight="1" thickBot="1" x14ac:dyDescent="0.25">
      <c r="A418" s="154">
        <v>417</v>
      </c>
      <c r="B418" s="155">
        <v>1</v>
      </c>
      <c r="C418" s="148" t="s">
        <v>24</v>
      </c>
      <c r="D418" s="148" t="s">
        <v>269</v>
      </c>
      <c r="E418" s="148" t="s">
        <v>13</v>
      </c>
      <c r="F418" s="148" t="s">
        <v>921</v>
      </c>
      <c r="G418" s="148" t="s">
        <v>122</v>
      </c>
      <c r="H418" s="148" t="s">
        <v>80</v>
      </c>
      <c r="I418" s="161">
        <v>2010</v>
      </c>
      <c r="J418" s="161" t="s">
        <v>915</v>
      </c>
      <c r="K418" s="161" t="s">
        <v>916</v>
      </c>
      <c r="L418" s="161" t="s">
        <v>19</v>
      </c>
      <c r="M418" s="453" t="s">
        <v>4168</v>
      </c>
      <c r="N418" s="186" t="s">
        <v>20</v>
      </c>
      <c r="O418" s="186" t="s">
        <v>15</v>
      </c>
      <c r="P418" s="186" t="s">
        <v>15</v>
      </c>
      <c r="Q418" s="186" t="s">
        <v>15</v>
      </c>
      <c r="R418" s="186" t="s">
        <v>15</v>
      </c>
      <c r="S418" s="186" t="s">
        <v>15</v>
      </c>
      <c r="T418" s="186" t="s">
        <v>15</v>
      </c>
      <c r="U418" s="186" t="s">
        <v>15</v>
      </c>
      <c r="V418" s="186" t="s">
        <v>15</v>
      </c>
      <c r="W418" s="186" t="s">
        <v>15</v>
      </c>
      <c r="X418" s="186" t="s">
        <v>15</v>
      </c>
      <c r="Y418" s="186" t="s">
        <v>15</v>
      </c>
      <c r="Z418" s="186"/>
      <c r="AA418" s="186" t="s">
        <v>917</v>
      </c>
      <c r="AB418" s="186" t="s">
        <v>292</v>
      </c>
      <c r="AC418" s="186" t="s">
        <v>122</v>
      </c>
      <c r="AD418" s="268" t="s">
        <v>304</v>
      </c>
      <c r="AE418" s="268" t="s">
        <v>918</v>
      </c>
      <c r="AF418" s="144" t="str">
        <f t="shared" si="27"/>
        <v/>
      </c>
      <c r="AG418" s="144" t="str">
        <f t="shared" si="28"/>
        <v/>
      </c>
      <c r="AH418" s="146">
        <f t="shared" si="29"/>
        <v>5.3619201358100481</v>
      </c>
      <c r="AI418" s="146" t="str">
        <f t="shared" si="30"/>
        <v/>
      </c>
      <c r="AJ418" s="303"/>
      <c r="AK418" s="303"/>
      <c r="AL418" s="303"/>
      <c r="AM418" s="303"/>
      <c r="AN418" s="303"/>
      <c r="AO418" s="303"/>
      <c r="AP418" s="303"/>
      <c r="AQ418" s="303"/>
      <c r="AR418" s="303"/>
      <c r="AS418" s="170"/>
      <c r="AT418" s="170"/>
      <c r="AU418" s="310"/>
      <c r="AW418" s="294"/>
      <c r="AX418" s="294"/>
      <c r="AY418" s="294"/>
      <c r="AZ418" s="294"/>
      <c r="BA418" s="294"/>
      <c r="BB418" s="294"/>
      <c r="BC418" s="294"/>
      <c r="BD418" s="294"/>
      <c r="BE418" s="294"/>
      <c r="BF418" s="382">
        <f>2.83/0.724/0.729</f>
        <v>5.3619201358100481</v>
      </c>
      <c r="BG418" s="383"/>
      <c r="BH418" s="278" t="s">
        <v>919</v>
      </c>
      <c r="BI418" s="365"/>
      <c r="BJ418" s="409"/>
    </row>
    <row r="419" spans="1:62" ht="15.75" customHeight="1" thickBot="1" x14ac:dyDescent="0.25">
      <c r="A419" s="156">
        <v>418</v>
      </c>
      <c r="B419" s="155">
        <v>1</v>
      </c>
      <c r="C419" s="148" t="s">
        <v>24</v>
      </c>
      <c r="D419" s="148" t="s">
        <v>269</v>
      </c>
      <c r="E419" s="148" t="s">
        <v>13</v>
      </c>
      <c r="F419" s="148" t="s">
        <v>922</v>
      </c>
      <c r="G419" s="148" t="s">
        <v>122</v>
      </c>
      <c r="H419" s="148" t="s">
        <v>923</v>
      </c>
      <c r="I419" s="161">
        <v>2010</v>
      </c>
      <c r="J419" s="161" t="s">
        <v>924</v>
      </c>
      <c r="K419" s="161" t="s">
        <v>925</v>
      </c>
      <c r="L419" s="161" t="s">
        <v>19</v>
      </c>
      <c r="M419" s="453" t="s">
        <v>4169</v>
      </c>
      <c r="N419" s="186" t="s">
        <v>20</v>
      </c>
      <c r="O419" s="186" t="s">
        <v>15</v>
      </c>
      <c r="P419" s="186" t="s">
        <v>15</v>
      </c>
      <c r="Q419" s="186" t="s">
        <v>15</v>
      </c>
      <c r="R419" s="186" t="s">
        <v>15</v>
      </c>
      <c r="S419" s="186" t="s">
        <v>15</v>
      </c>
      <c r="T419" s="186" t="s">
        <v>15</v>
      </c>
      <c r="U419" s="186" t="s">
        <v>15</v>
      </c>
      <c r="V419" s="186" t="s">
        <v>15</v>
      </c>
      <c r="W419" s="186" t="s">
        <v>15</v>
      </c>
      <c r="X419" s="186" t="s">
        <v>15</v>
      </c>
      <c r="Y419" s="186" t="s">
        <v>15</v>
      </c>
      <c r="Z419" s="186"/>
      <c r="AA419" s="186" t="s">
        <v>303</v>
      </c>
      <c r="AB419" s="186" t="s">
        <v>292</v>
      </c>
      <c r="AC419" s="186" t="s">
        <v>292</v>
      </c>
      <c r="AD419" s="268" t="s">
        <v>304</v>
      </c>
      <c r="AE419" s="268" t="s">
        <v>918</v>
      </c>
      <c r="AF419" s="144">
        <f t="shared" si="27"/>
        <v>18.378312832988502</v>
      </c>
      <c r="AG419" s="144" t="str">
        <f t="shared" si="28"/>
        <v/>
      </c>
      <c r="AH419" s="146">
        <f t="shared" si="29"/>
        <v>4.6798384224207838</v>
      </c>
      <c r="AI419" s="146" t="str">
        <f t="shared" si="30"/>
        <v/>
      </c>
      <c r="AJ419" s="303"/>
      <c r="AK419" s="303"/>
      <c r="AL419" s="303"/>
      <c r="AM419" s="303"/>
      <c r="AN419" s="303"/>
      <c r="AO419" s="303"/>
      <c r="AP419" s="303"/>
      <c r="AQ419" s="303"/>
      <c r="AR419" s="303"/>
      <c r="AS419" s="169">
        <f>9.7/0.724/0.729</f>
        <v>18.378312832988502</v>
      </c>
      <c r="AT419" s="170"/>
      <c r="AU419" s="310"/>
      <c r="AW419" s="294"/>
      <c r="AX419" s="294"/>
      <c r="AY419" s="294"/>
      <c r="AZ419" s="294"/>
      <c r="BA419" s="294"/>
      <c r="BB419" s="294"/>
      <c r="BC419" s="294"/>
      <c r="BD419" s="294"/>
      <c r="BE419" s="294"/>
      <c r="BF419" s="382">
        <f>2.47/0.724/0.729</f>
        <v>4.6798384224207838</v>
      </c>
      <c r="BG419" s="383"/>
      <c r="BH419" s="278"/>
      <c r="BI419" s="365"/>
      <c r="BJ419" s="409"/>
    </row>
    <row r="420" spans="1:62" ht="15.75" customHeight="1" thickBot="1" x14ac:dyDescent="0.25">
      <c r="A420" s="154">
        <v>419</v>
      </c>
      <c r="B420" s="155">
        <v>1</v>
      </c>
      <c r="C420" s="148" t="s">
        <v>24</v>
      </c>
      <c r="D420" s="148" t="s">
        <v>269</v>
      </c>
      <c r="E420" s="148" t="s">
        <v>13</v>
      </c>
      <c r="F420" s="148" t="s">
        <v>926</v>
      </c>
      <c r="G420" s="148" t="s">
        <v>122</v>
      </c>
      <c r="H420" s="148" t="s">
        <v>923</v>
      </c>
      <c r="I420" s="161">
        <v>2010</v>
      </c>
      <c r="J420" s="161" t="s">
        <v>924</v>
      </c>
      <c r="K420" s="161" t="s">
        <v>925</v>
      </c>
      <c r="L420" s="161" t="s">
        <v>19</v>
      </c>
      <c r="M420" s="453" t="s">
        <v>4169</v>
      </c>
      <c r="N420" s="186" t="s">
        <v>20</v>
      </c>
      <c r="O420" s="186" t="s">
        <v>15</v>
      </c>
      <c r="P420" s="186" t="s">
        <v>15</v>
      </c>
      <c r="Q420" s="186" t="s">
        <v>15</v>
      </c>
      <c r="R420" s="186" t="s">
        <v>15</v>
      </c>
      <c r="S420" s="186" t="s">
        <v>15</v>
      </c>
      <c r="T420" s="186" t="s">
        <v>15</v>
      </c>
      <c r="U420" s="186" t="s">
        <v>15</v>
      </c>
      <c r="V420" s="186" t="s">
        <v>15</v>
      </c>
      <c r="W420" s="186" t="s">
        <v>15</v>
      </c>
      <c r="X420" s="186" t="s">
        <v>15</v>
      </c>
      <c r="Y420" s="186" t="s">
        <v>15</v>
      </c>
      <c r="Z420" s="186"/>
      <c r="AA420" s="186" t="s">
        <v>303</v>
      </c>
      <c r="AB420" s="186" t="s">
        <v>292</v>
      </c>
      <c r="AC420" s="186" t="s">
        <v>292</v>
      </c>
      <c r="AD420" s="268" t="s">
        <v>304</v>
      </c>
      <c r="AE420" s="268" t="s">
        <v>918</v>
      </c>
      <c r="AF420" s="144">
        <f t="shared" si="27"/>
        <v>22.546589970367343</v>
      </c>
      <c r="AG420" s="144" t="str">
        <f t="shared" si="28"/>
        <v/>
      </c>
      <c r="AH420" s="146">
        <f t="shared" si="29"/>
        <v>5.7787478495479316</v>
      </c>
      <c r="AI420" s="146" t="str">
        <f t="shared" si="30"/>
        <v/>
      </c>
      <c r="AJ420" s="303"/>
      <c r="AK420" s="303"/>
      <c r="AL420" s="303"/>
      <c r="AM420" s="303"/>
      <c r="AN420" s="303"/>
      <c r="AO420" s="303"/>
      <c r="AP420" s="303"/>
      <c r="AQ420" s="303"/>
      <c r="AR420" s="303"/>
      <c r="AS420" s="169">
        <f>11.9/0.724/0.729</f>
        <v>22.546589970367343</v>
      </c>
      <c r="AT420" s="170"/>
      <c r="AU420" s="310"/>
      <c r="AW420" s="294"/>
      <c r="AX420" s="294"/>
      <c r="AY420" s="294"/>
      <c r="AZ420" s="294"/>
      <c r="BA420" s="294"/>
      <c r="BB420" s="294"/>
      <c r="BC420" s="294"/>
      <c r="BD420" s="294"/>
      <c r="BE420" s="294"/>
      <c r="BF420" s="382">
        <f>3.05/0.724/0.729</f>
        <v>5.7787478495479316</v>
      </c>
      <c r="BG420" s="383"/>
      <c r="BH420" s="278"/>
      <c r="BI420" s="365"/>
      <c r="BJ420" s="409"/>
    </row>
    <row r="421" spans="1:62" ht="15.75" customHeight="1" thickBot="1" x14ac:dyDescent="0.25">
      <c r="A421" s="156">
        <v>420</v>
      </c>
      <c r="B421" s="155">
        <v>1</v>
      </c>
      <c r="C421" s="148" t="s">
        <v>24</v>
      </c>
      <c r="D421" s="148" t="s">
        <v>269</v>
      </c>
      <c r="E421" s="148" t="s">
        <v>13</v>
      </c>
      <c r="F421" s="148" t="s">
        <v>927</v>
      </c>
      <c r="G421" s="148" t="s">
        <v>122</v>
      </c>
      <c r="H421" s="148" t="s">
        <v>923</v>
      </c>
      <c r="I421" s="161">
        <v>2010</v>
      </c>
      <c r="J421" s="161" t="s">
        <v>924</v>
      </c>
      <c r="K421" s="161" t="s">
        <v>925</v>
      </c>
      <c r="L421" s="161" t="s">
        <v>19</v>
      </c>
      <c r="M421" s="453" t="s">
        <v>4169</v>
      </c>
      <c r="N421" s="186" t="s">
        <v>20</v>
      </c>
      <c r="O421" s="186" t="s">
        <v>15</v>
      </c>
      <c r="P421" s="186" t="s">
        <v>15</v>
      </c>
      <c r="Q421" s="186" t="s">
        <v>15</v>
      </c>
      <c r="R421" s="186" t="s">
        <v>15</v>
      </c>
      <c r="S421" s="186" t="s">
        <v>15</v>
      </c>
      <c r="T421" s="186" t="s">
        <v>15</v>
      </c>
      <c r="U421" s="186" t="s">
        <v>15</v>
      </c>
      <c r="V421" s="186" t="s">
        <v>15</v>
      </c>
      <c r="W421" s="186" t="s">
        <v>15</v>
      </c>
      <c r="X421" s="186" t="s">
        <v>15</v>
      </c>
      <c r="Y421" s="186" t="s">
        <v>15</v>
      </c>
      <c r="Z421" s="186"/>
      <c r="AA421" s="186" t="s">
        <v>303</v>
      </c>
      <c r="AB421" s="186" t="s">
        <v>292</v>
      </c>
      <c r="AC421" s="186" t="s">
        <v>292</v>
      </c>
      <c r="AD421" s="268" t="s">
        <v>304</v>
      </c>
      <c r="AE421" s="268" t="s">
        <v>918</v>
      </c>
      <c r="AF421" s="144">
        <f t="shared" si="27"/>
        <v>21.599254257326695</v>
      </c>
      <c r="AG421" s="144" t="str">
        <f t="shared" si="28"/>
        <v/>
      </c>
      <c r="AH421" s="146">
        <f t="shared" si="29"/>
        <v>4.774571993724849</v>
      </c>
      <c r="AI421" s="146" t="str">
        <f t="shared" si="30"/>
        <v/>
      </c>
      <c r="AJ421" s="303"/>
      <c r="AK421" s="303"/>
      <c r="AL421" s="303"/>
      <c r="AM421" s="303"/>
      <c r="AN421" s="303"/>
      <c r="AO421" s="303"/>
      <c r="AP421" s="303"/>
      <c r="AQ421" s="303"/>
      <c r="AR421" s="303"/>
      <c r="AS421" s="169">
        <f>11.4/0.724/0.729</f>
        <v>21.599254257326695</v>
      </c>
      <c r="AT421" s="170"/>
      <c r="AU421" s="310"/>
      <c r="AW421" s="294"/>
      <c r="AX421" s="294"/>
      <c r="AY421" s="294"/>
      <c r="AZ421" s="294"/>
      <c r="BA421" s="294"/>
      <c r="BB421" s="294"/>
      <c r="BC421" s="294"/>
      <c r="BD421" s="294"/>
      <c r="BE421" s="294"/>
      <c r="BF421" s="382">
        <f>2.52/0.724/0.729</f>
        <v>4.774571993724849</v>
      </c>
      <c r="BG421" s="383"/>
      <c r="BH421" s="278"/>
      <c r="BI421" s="365"/>
      <c r="BJ421" s="409"/>
    </row>
    <row r="422" spans="1:62" ht="15.75" customHeight="1" thickBot="1" x14ac:dyDescent="0.25">
      <c r="A422" s="154">
        <v>421</v>
      </c>
      <c r="B422" s="155">
        <v>1</v>
      </c>
      <c r="C422" s="148" t="s">
        <v>24</v>
      </c>
      <c r="D422" s="148" t="s">
        <v>269</v>
      </c>
      <c r="E422" s="148" t="s">
        <v>13</v>
      </c>
      <c r="F422" s="148" t="s">
        <v>928</v>
      </c>
      <c r="G422" s="148" t="s">
        <v>122</v>
      </c>
      <c r="H422" s="148" t="s">
        <v>923</v>
      </c>
      <c r="I422" s="161">
        <v>2010</v>
      </c>
      <c r="J422" s="161" t="s">
        <v>924</v>
      </c>
      <c r="K422" s="161" t="s">
        <v>925</v>
      </c>
      <c r="L422" s="161" t="s">
        <v>19</v>
      </c>
      <c r="M422" s="453" t="s">
        <v>4169</v>
      </c>
      <c r="N422" s="186" t="s">
        <v>20</v>
      </c>
      <c r="O422" s="186" t="s">
        <v>15</v>
      </c>
      <c r="P422" s="186" t="s">
        <v>15</v>
      </c>
      <c r="Q422" s="186" t="s">
        <v>15</v>
      </c>
      <c r="R422" s="186" t="s">
        <v>15</v>
      </c>
      <c r="S422" s="186" t="s">
        <v>15</v>
      </c>
      <c r="T422" s="186" t="s">
        <v>15</v>
      </c>
      <c r="U422" s="186" t="s">
        <v>15</v>
      </c>
      <c r="V422" s="186" t="s">
        <v>15</v>
      </c>
      <c r="W422" s="186" t="s">
        <v>15</v>
      </c>
      <c r="X422" s="186" t="s">
        <v>15</v>
      </c>
      <c r="Y422" s="186" t="s">
        <v>15</v>
      </c>
      <c r="Z422" s="186"/>
      <c r="AA422" s="186" t="s">
        <v>303</v>
      </c>
      <c r="AB422" s="186" t="s">
        <v>292</v>
      </c>
      <c r="AC422" s="186" t="s">
        <v>292</v>
      </c>
      <c r="AD422" s="268" t="s">
        <v>304</v>
      </c>
      <c r="AE422" s="268" t="s">
        <v>918</v>
      </c>
      <c r="AF422" s="144">
        <f t="shared" si="27"/>
        <v>27.283268535570564</v>
      </c>
      <c r="AG422" s="144" t="str">
        <f t="shared" si="28"/>
        <v/>
      </c>
      <c r="AH422" s="146">
        <f t="shared" si="29"/>
        <v>6.3092558488506931</v>
      </c>
      <c r="AI422" s="146" t="str">
        <f t="shared" si="30"/>
        <v/>
      </c>
      <c r="AJ422" s="303"/>
      <c r="AK422" s="303"/>
      <c r="AL422" s="303"/>
      <c r="AM422" s="303"/>
      <c r="AN422" s="303"/>
      <c r="AO422" s="303"/>
      <c r="AP422" s="303"/>
      <c r="AQ422" s="303"/>
      <c r="AR422" s="303"/>
      <c r="AS422" s="169">
        <f>14.4/0.724/0.729</f>
        <v>27.283268535570564</v>
      </c>
      <c r="AT422" s="170"/>
      <c r="AU422" s="310"/>
      <c r="AW422" s="294"/>
      <c r="AX422" s="294"/>
      <c r="AY422" s="294"/>
      <c r="AZ422" s="294"/>
      <c r="BA422" s="294"/>
      <c r="BB422" s="294"/>
      <c r="BC422" s="294"/>
      <c r="BD422" s="294"/>
      <c r="BE422" s="294"/>
      <c r="BF422" s="382">
        <f>3.33/0.724/0.729</f>
        <v>6.3092558488506931</v>
      </c>
      <c r="BG422" s="383"/>
      <c r="BH422" s="278"/>
      <c r="BI422" s="365"/>
      <c r="BJ422" s="409"/>
    </row>
    <row r="423" spans="1:62" ht="15.75" customHeight="1" thickBot="1" x14ac:dyDescent="0.25">
      <c r="A423" s="156">
        <v>422</v>
      </c>
      <c r="B423" s="155">
        <v>1</v>
      </c>
      <c r="C423" s="148" t="s">
        <v>24</v>
      </c>
      <c r="D423" s="148" t="s">
        <v>269</v>
      </c>
      <c r="E423" s="148" t="s">
        <v>13</v>
      </c>
      <c r="F423" s="148" t="s">
        <v>929</v>
      </c>
      <c r="G423" s="148" t="s">
        <v>122</v>
      </c>
      <c r="H423" s="148" t="s">
        <v>930</v>
      </c>
      <c r="I423" s="161">
        <v>2010</v>
      </c>
      <c r="J423" s="161" t="s">
        <v>931</v>
      </c>
      <c r="K423" s="161" t="s">
        <v>932</v>
      </c>
      <c r="L423" s="161" t="s">
        <v>274</v>
      </c>
      <c r="M423" s="453" t="s">
        <v>4170</v>
      </c>
      <c r="N423" s="186" t="s">
        <v>20</v>
      </c>
      <c r="O423" s="186" t="s">
        <v>15</v>
      </c>
      <c r="P423" s="186" t="s">
        <v>20</v>
      </c>
      <c r="Q423" s="186" t="s">
        <v>20</v>
      </c>
      <c r="R423" s="186" t="s">
        <v>15</v>
      </c>
      <c r="S423" s="186" t="s">
        <v>15</v>
      </c>
      <c r="T423" s="186" t="s">
        <v>15</v>
      </c>
      <c r="U423" s="186" t="s">
        <v>15</v>
      </c>
      <c r="V423" s="186" t="s">
        <v>15</v>
      </c>
      <c r="W423" s="186" t="s">
        <v>15</v>
      </c>
      <c r="X423" s="186" t="s">
        <v>15</v>
      </c>
      <c r="Y423" s="186" t="s">
        <v>15</v>
      </c>
      <c r="Z423" s="186"/>
      <c r="AA423" s="186" t="s">
        <v>933</v>
      </c>
      <c r="AB423" s="186" t="s">
        <v>292</v>
      </c>
      <c r="AC423" s="186" t="s">
        <v>122</v>
      </c>
      <c r="AD423" s="268" t="s">
        <v>313</v>
      </c>
      <c r="AE423" s="268" t="s">
        <v>276</v>
      </c>
      <c r="AF423" s="144">
        <f t="shared" si="27"/>
        <v>24.554183813443071</v>
      </c>
      <c r="AG423" s="144">
        <f t="shared" si="28"/>
        <v>35.880089163237308</v>
      </c>
      <c r="AH423" s="146">
        <f t="shared" si="29"/>
        <v>3.614540466392318</v>
      </c>
      <c r="AI423" s="146">
        <f t="shared" si="30"/>
        <v>4.252400548696845</v>
      </c>
      <c r="AJ423" s="303">
        <f>AS423</f>
        <v>24.554183813443071</v>
      </c>
      <c r="AK423" s="303">
        <f>0.25*AT510</f>
        <v>7.5750000000000002</v>
      </c>
      <c r="AL423" s="303">
        <f>0.1347*AT423</f>
        <v>3.7509053497942384</v>
      </c>
      <c r="AM423" s="303"/>
      <c r="AN423" s="303"/>
      <c r="AO423" s="303"/>
      <c r="AP423" s="303"/>
      <c r="AQ423" s="303"/>
      <c r="AR423" s="303"/>
      <c r="AS423" s="170">
        <v>24.554183813443071</v>
      </c>
      <c r="AT423" s="170">
        <v>27.846364883401922</v>
      </c>
      <c r="AU423" s="310"/>
      <c r="AW423" s="294">
        <f>0.85*BG423</f>
        <v>3.614540466392318</v>
      </c>
      <c r="AX423" s="294"/>
      <c r="AY423" s="294">
        <f>0.15*BG423</f>
        <v>0.63786008230452673</v>
      </c>
      <c r="AZ423" s="294"/>
      <c r="BA423" s="294"/>
      <c r="BB423" s="294"/>
      <c r="BC423" s="294"/>
      <c r="BD423" s="294"/>
      <c r="BE423" s="294"/>
      <c r="BF423" s="383">
        <v>3.614540466392318</v>
      </c>
      <c r="BG423" s="383">
        <v>4.252400548696845</v>
      </c>
      <c r="BH423" s="278"/>
      <c r="BI423" s="365"/>
      <c r="BJ423" s="409"/>
    </row>
    <row r="424" spans="1:62" ht="15.75" customHeight="1" thickBot="1" x14ac:dyDescent="0.25">
      <c r="A424" s="154">
        <v>423</v>
      </c>
      <c r="B424" s="155">
        <v>1</v>
      </c>
      <c r="C424" s="148" t="s">
        <v>24</v>
      </c>
      <c r="D424" s="148" t="s">
        <v>269</v>
      </c>
      <c r="E424" s="148" t="s">
        <v>13</v>
      </c>
      <c r="F424" s="148" t="s">
        <v>934</v>
      </c>
      <c r="G424" s="148" t="s">
        <v>122</v>
      </c>
      <c r="H424" s="148" t="s">
        <v>930</v>
      </c>
      <c r="I424" s="161">
        <v>2010</v>
      </c>
      <c r="J424" s="161" t="s">
        <v>931</v>
      </c>
      <c r="K424" s="161" t="s">
        <v>932</v>
      </c>
      <c r="L424" s="161" t="s">
        <v>274</v>
      </c>
      <c r="M424" s="453" t="s">
        <v>4170</v>
      </c>
      <c r="N424" s="186" t="s">
        <v>20</v>
      </c>
      <c r="O424" s="186" t="s">
        <v>15</v>
      </c>
      <c r="P424" s="186" t="s">
        <v>20</v>
      </c>
      <c r="Q424" s="186" t="s">
        <v>20</v>
      </c>
      <c r="R424" s="186" t="s">
        <v>15</v>
      </c>
      <c r="S424" s="186" t="s">
        <v>15</v>
      </c>
      <c r="T424" s="186" t="s">
        <v>15</v>
      </c>
      <c r="U424" s="186" t="s">
        <v>15</v>
      </c>
      <c r="V424" s="186" t="s">
        <v>15</v>
      </c>
      <c r="W424" s="186" t="s">
        <v>15</v>
      </c>
      <c r="X424" s="186" t="s">
        <v>15</v>
      </c>
      <c r="Y424" s="186" t="s">
        <v>15</v>
      </c>
      <c r="Z424" s="186"/>
      <c r="AA424" s="186" t="s">
        <v>933</v>
      </c>
      <c r="AB424" s="186" t="s">
        <v>292</v>
      </c>
      <c r="AC424" s="186" t="s">
        <v>122</v>
      </c>
      <c r="AD424" s="268" t="s">
        <v>313</v>
      </c>
      <c r="AE424" s="268" t="s">
        <v>276</v>
      </c>
      <c r="AF424" s="144">
        <f t="shared" si="27"/>
        <v>30.8641975308642</v>
      </c>
      <c r="AG424" s="144">
        <f t="shared" si="28"/>
        <v>39.165943827160497</v>
      </c>
      <c r="AH424" s="146">
        <f t="shared" si="29"/>
        <v>7.0919067215363505</v>
      </c>
      <c r="AI424" s="146">
        <f t="shared" si="30"/>
        <v>7.544581618655692</v>
      </c>
      <c r="AJ424" s="303">
        <f>AS424</f>
        <v>30.8641975308642</v>
      </c>
      <c r="AK424" s="303">
        <f>0.18*AT511</f>
        <v>5.274</v>
      </c>
      <c r="AL424" s="303">
        <f>0.0900909*AT424</f>
        <v>3.0277462962962969</v>
      </c>
      <c r="AM424" s="303"/>
      <c r="AN424" s="303"/>
      <c r="AO424" s="303"/>
      <c r="AP424" s="303"/>
      <c r="AQ424" s="303"/>
      <c r="AR424" s="303"/>
      <c r="AS424" s="170">
        <v>30.8641975308642</v>
      </c>
      <c r="AT424" s="170">
        <v>33.607681755829908</v>
      </c>
      <c r="AU424" s="310"/>
      <c r="AW424" s="294">
        <f>0.94*BG424</f>
        <v>7.0919067215363505</v>
      </c>
      <c r="AX424" s="294"/>
      <c r="AY424" s="294">
        <f>0.06*BG424</f>
        <v>0.45267489711934156</v>
      </c>
      <c r="AZ424" s="294"/>
      <c r="BA424" s="294"/>
      <c r="BB424" s="294"/>
      <c r="BC424" s="294"/>
      <c r="BD424" s="294"/>
      <c r="BE424" s="294"/>
      <c r="BF424" s="383">
        <v>7.0919067215363505</v>
      </c>
      <c r="BG424" s="383">
        <v>7.5445816186556929</v>
      </c>
      <c r="BH424" s="278"/>
      <c r="BI424" s="365"/>
      <c r="BJ424" s="409"/>
    </row>
    <row r="425" spans="1:62" ht="15.75" customHeight="1" thickBot="1" x14ac:dyDescent="0.25">
      <c r="A425" s="156">
        <v>424</v>
      </c>
      <c r="B425" s="155">
        <v>1</v>
      </c>
      <c r="C425" s="148" t="s">
        <v>24</v>
      </c>
      <c r="D425" s="148" t="s">
        <v>269</v>
      </c>
      <c r="E425" s="148" t="s">
        <v>13</v>
      </c>
      <c r="F425" s="148" t="s">
        <v>935</v>
      </c>
      <c r="G425" s="148" t="s">
        <v>122</v>
      </c>
      <c r="H425" s="148" t="s">
        <v>42</v>
      </c>
      <c r="I425" s="161">
        <v>2012</v>
      </c>
      <c r="J425" s="161" t="s">
        <v>936</v>
      </c>
      <c r="K425" s="161" t="s">
        <v>937</v>
      </c>
      <c r="L425" s="161" t="s">
        <v>19</v>
      </c>
      <c r="M425" s="453" t="s">
        <v>4171</v>
      </c>
      <c r="N425" s="186" t="s">
        <v>20</v>
      </c>
      <c r="O425" s="186" t="s">
        <v>15</v>
      </c>
      <c r="P425" s="186" t="s">
        <v>15</v>
      </c>
      <c r="Q425" s="186" t="s">
        <v>15</v>
      </c>
      <c r="R425" s="186" t="s">
        <v>15</v>
      </c>
      <c r="S425" s="186" t="s">
        <v>15</v>
      </c>
      <c r="T425" s="186" t="s">
        <v>15</v>
      </c>
      <c r="U425" s="186" t="s">
        <v>15</v>
      </c>
      <c r="V425" s="186" t="s">
        <v>15</v>
      </c>
      <c r="W425" s="186" t="s">
        <v>15</v>
      </c>
      <c r="X425" s="186" t="s">
        <v>15</v>
      </c>
      <c r="Y425" s="186" t="s">
        <v>15</v>
      </c>
      <c r="Z425" s="186"/>
      <c r="AA425" s="186" t="s">
        <v>303</v>
      </c>
      <c r="AB425" s="186" t="s">
        <v>292</v>
      </c>
      <c r="AC425" s="186" t="s">
        <v>292</v>
      </c>
      <c r="AD425" s="268" t="s">
        <v>938</v>
      </c>
      <c r="AE425" s="268" t="s">
        <v>939</v>
      </c>
      <c r="AF425" s="144">
        <f t="shared" si="27"/>
        <v>38.436213991769549</v>
      </c>
      <c r="AG425" s="144" t="str">
        <f t="shared" si="28"/>
        <v/>
      </c>
      <c r="AH425" s="146">
        <f t="shared" si="29"/>
        <v>7.4897119341563787</v>
      </c>
      <c r="AI425" s="146" t="str">
        <f t="shared" si="30"/>
        <v/>
      </c>
      <c r="AJ425" s="303"/>
      <c r="AK425" s="303"/>
      <c r="AL425" s="303"/>
      <c r="AM425" s="303"/>
      <c r="AN425" s="303"/>
      <c r="AO425" s="303"/>
      <c r="AP425" s="303"/>
      <c r="AQ425" s="303"/>
      <c r="AR425" s="303"/>
      <c r="AS425" s="169">
        <f>28.02/0.729</f>
        <v>38.436213991769549</v>
      </c>
      <c r="AT425" s="170"/>
      <c r="AU425" s="310"/>
      <c r="AW425" s="294"/>
      <c r="AX425" s="294"/>
      <c r="AY425" s="294"/>
      <c r="AZ425" s="294"/>
      <c r="BA425" s="294"/>
      <c r="BB425" s="294"/>
      <c r="BC425" s="294"/>
      <c r="BD425" s="294"/>
      <c r="BE425" s="294"/>
      <c r="BF425" s="382">
        <f>5.46/0.729</f>
        <v>7.4897119341563787</v>
      </c>
      <c r="BG425" s="383"/>
      <c r="BH425" s="278"/>
      <c r="BI425" s="365"/>
      <c r="BJ425" s="409"/>
    </row>
    <row r="426" spans="1:62" ht="15.75" customHeight="1" thickBot="1" x14ac:dyDescent="0.25">
      <c r="A426" s="154">
        <v>425</v>
      </c>
      <c r="B426" s="155">
        <v>1</v>
      </c>
      <c r="C426" s="148" t="s">
        <v>24</v>
      </c>
      <c r="D426" s="148" t="s">
        <v>269</v>
      </c>
      <c r="E426" s="148" t="s">
        <v>13</v>
      </c>
      <c r="F426" s="148"/>
      <c r="G426" s="148" t="s">
        <v>292</v>
      </c>
      <c r="H426" s="148" t="s">
        <v>940</v>
      </c>
      <c r="I426" s="161">
        <v>2012</v>
      </c>
      <c r="J426" s="161" t="s">
        <v>331</v>
      </c>
      <c r="K426" s="161" t="s">
        <v>941</v>
      </c>
      <c r="L426" s="161" t="s">
        <v>19</v>
      </c>
      <c r="M426" s="453" t="s">
        <v>4172</v>
      </c>
      <c r="N426" s="186" t="s">
        <v>20</v>
      </c>
      <c r="O426" s="186" t="s">
        <v>15</v>
      </c>
      <c r="P426" s="186" t="s">
        <v>15</v>
      </c>
      <c r="Q426" s="186" t="s">
        <v>15</v>
      </c>
      <c r="R426" s="186" t="s">
        <v>15</v>
      </c>
      <c r="S426" s="186" t="s">
        <v>15</v>
      </c>
      <c r="T426" s="186" t="s">
        <v>15</v>
      </c>
      <c r="U426" s="186" t="s">
        <v>15</v>
      </c>
      <c r="V426" s="186" t="s">
        <v>15</v>
      </c>
      <c r="W426" s="186" t="s">
        <v>15</v>
      </c>
      <c r="X426" s="186" t="s">
        <v>15</v>
      </c>
      <c r="Y426" s="186" t="s">
        <v>15</v>
      </c>
      <c r="Z426" s="186"/>
      <c r="AA426" s="186" t="s">
        <v>303</v>
      </c>
      <c r="AB426" s="186" t="s">
        <v>292</v>
      </c>
      <c r="AC426" s="186" t="s">
        <v>292</v>
      </c>
      <c r="AD426" s="268" t="s">
        <v>275</v>
      </c>
      <c r="AE426" s="268" t="s">
        <v>276</v>
      </c>
      <c r="AF426" s="144">
        <f t="shared" si="27"/>
        <v>26.886145404663925</v>
      </c>
      <c r="AG426" s="144" t="str">
        <f t="shared" si="28"/>
        <v/>
      </c>
      <c r="AH426" s="146">
        <f t="shared" si="29"/>
        <v>6.5843621399176957</v>
      </c>
      <c r="AI426" s="146" t="str">
        <f t="shared" si="30"/>
        <v/>
      </c>
      <c r="AJ426" s="303"/>
      <c r="AK426" s="303"/>
      <c r="AL426" s="303"/>
      <c r="AM426" s="303"/>
      <c r="AN426" s="303"/>
      <c r="AO426" s="303"/>
      <c r="AP426" s="303"/>
      <c r="AQ426" s="303"/>
      <c r="AR426" s="303"/>
      <c r="AS426" s="169">
        <f>19.6/0.729</f>
        <v>26.886145404663925</v>
      </c>
      <c r="AT426" s="170"/>
      <c r="AU426" s="310"/>
      <c r="AW426" s="294"/>
      <c r="AX426" s="294"/>
      <c r="AY426" s="294"/>
      <c r="AZ426" s="294"/>
      <c r="BA426" s="294"/>
      <c r="BB426" s="294"/>
      <c r="BC426" s="294"/>
      <c r="BD426" s="294"/>
      <c r="BE426" s="294"/>
      <c r="BF426" s="382">
        <f>4.8/0.729</f>
        <v>6.5843621399176957</v>
      </c>
      <c r="BG426" s="383"/>
      <c r="BH426" s="278"/>
      <c r="BI426" s="365"/>
      <c r="BJ426" s="409"/>
    </row>
    <row r="427" spans="1:62" ht="15.75" customHeight="1" thickBot="1" x14ac:dyDescent="0.25">
      <c r="A427" s="156">
        <v>426</v>
      </c>
      <c r="B427" s="155">
        <v>1</v>
      </c>
      <c r="C427" s="148" t="s">
        <v>24</v>
      </c>
      <c r="D427" s="148" t="s">
        <v>269</v>
      </c>
      <c r="E427" s="148" t="s">
        <v>13</v>
      </c>
      <c r="F427" s="148" t="s">
        <v>378</v>
      </c>
      <c r="G427" s="148" t="s">
        <v>122</v>
      </c>
      <c r="H427" s="148" t="s">
        <v>940</v>
      </c>
      <c r="I427" s="161">
        <v>2014</v>
      </c>
      <c r="J427" s="161" t="s">
        <v>942</v>
      </c>
      <c r="K427" s="161" t="s">
        <v>943</v>
      </c>
      <c r="L427" s="161" t="s">
        <v>19</v>
      </c>
      <c r="M427" s="453" t="s">
        <v>4173</v>
      </c>
      <c r="N427" s="186" t="s">
        <v>20</v>
      </c>
      <c r="O427" s="186" t="s">
        <v>15</v>
      </c>
      <c r="P427" s="186" t="s">
        <v>15</v>
      </c>
      <c r="Q427" s="186" t="s">
        <v>15</v>
      </c>
      <c r="R427" s="186" t="s">
        <v>15</v>
      </c>
      <c r="S427" s="186" t="s">
        <v>15</v>
      </c>
      <c r="T427" s="186" t="s">
        <v>15</v>
      </c>
      <c r="U427" s="186" t="s">
        <v>15</v>
      </c>
      <c r="V427" s="186" t="s">
        <v>15</v>
      </c>
      <c r="W427" s="186" t="s">
        <v>15</v>
      </c>
      <c r="X427" s="186" t="s">
        <v>15</v>
      </c>
      <c r="Y427" s="186" t="s">
        <v>15</v>
      </c>
      <c r="Z427" s="186"/>
      <c r="AA427" s="186" t="s">
        <v>303</v>
      </c>
      <c r="AB427" s="186" t="s">
        <v>292</v>
      </c>
      <c r="AC427" s="186" t="s">
        <v>292</v>
      </c>
      <c r="AD427" s="268" t="s">
        <v>944</v>
      </c>
      <c r="AE427" s="268" t="s">
        <v>918</v>
      </c>
      <c r="AF427" s="144">
        <f t="shared" si="27"/>
        <v>30.731570531038503</v>
      </c>
      <c r="AG427" s="144" t="str">
        <f t="shared" si="28"/>
        <v/>
      </c>
      <c r="AH427" s="146">
        <f t="shared" si="29"/>
        <v>4.2630107086829003</v>
      </c>
      <c r="AI427" s="146" t="str">
        <f t="shared" si="30"/>
        <v/>
      </c>
      <c r="AJ427" s="303"/>
      <c r="AK427" s="303"/>
      <c r="AL427" s="303"/>
      <c r="AM427" s="303"/>
      <c r="AN427" s="303"/>
      <c r="AO427" s="303"/>
      <c r="AP427" s="303"/>
      <c r="AQ427" s="303"/>
      <c r="AR427" s="303"/>
      <c r="AS427" s="169">
        <f>16.22/0.724/0.729</f>
        <v>30.731570531038503</v>
      </c>
      <c r="AT427" s="170"/>
      <c r="AU427" s="310"/>
      <c r="AW427" s="294"/>
      <c r="AX427" s="294"/>
      <c r="AY427" s="294"/>
      <c r="AZ427" s="294"/>
      <c r="BA427" s="294"/>
      <c r="BB427" s="294"/>
      <c r="BC427" s="294"/>
      <c r="BD427" s="294"/>
      <c r="BE427" s="294"/>
      <c r="BF427" s="382">
        <f>2.25/0.724/0.729</f>
        <v>4.2630107086829003</v>
      </c>
      <c r="BG427" s="382"/>
      <c r="BH427" s="278" t="s">
        <v>945</v>
      </c>
      <c r="BI427" s="365" t="s">
        <v>946</v>
      </c>
      <c r="BJ427" s="409"/>
    </row>
    <row r="428" spans="1:62" ht="15.75" customHeight="1" thickBot="1" x14ac:dyDescent="0.25">
      <c r="A428" s="154">
        <v>427</v>
      </c>
      <c r="B428" s="155">
        <v>1</v>
      </c>
      <c r="C428" s="148" t="s">
        <v>24</v>
      </c>
      <c r="D428" s="148" t="s">
        <v>269</v>
      </c>
      <c r="E428" s="148" t="s">
        <v>13</v>
      </c>
      <c r="F428" s="148" t="s">
        <v>947</v>
      </c>
      <c r="G428" s="148" t="s">
        <v>122</v>
      </c>
      <c r="H428" s="148" t="s">
        <v>940</v>
      </c>
      <c r="I428" s="161">
        <v>2014</v>
      </c>
      <c r="J428" s="161" t="s">
        <v>942</v>
      </c>
      <c r="K428" s="161" t="s">
        <v>943</v>
      </c>
      <c r="L428" s="161" t="s">
        <v>19</v>
      </c>
      <c r="M428" s="453" t="s">
        <v>4173</v>
      </c>
      <c r="N428" s="186" t="s">
        <v>20</v>
      </c>
      <c r="O428" s="186" t="s">
        <v>15</v>
      </c>
      <c r="P428" s="186" t="s">
        <v>15</v>
      </c>
      <c r="Q428" s="186" t="s">
        <v>15</v>
      </c>
      <c r="R428" s="186" t="s">
        <v>15</v>
      </c>
      <c r="S428" s="186" t="s">
        <v>15</v>
      </c>
      <c r="T428" s="186" t="s">
        <v>15</v>
      </c>
      <c r="U428" s="186" t="s">
        <v>15</v>
      </c>
      <c r="V428" s="186" t="s">
        <v>15</v>
      </c>
      <c r="W428" s="186" t="s">
        <v>15</v>
      </c>
      <c r="X428" s="186" t="s">
        <v>15</v>
      </c>
      <c r="Y428" s="186" t="s">
        <v>15</v>
      </c>
      <c r="Z428" s="186"/>
      <c r="AA428" s="186" t="s">
        <v>303</v>
      </c>
      <c r="AB428" s="186" t="s">
        <v>292</v>
      </c>
      <c r="AC428" s="186" t="s">
        <v>292</v>
      </c>
      <c r="AD428" s="268" t="s">
        <v>944</v>
      </c>
      <c r="AE428" s="268" t="s">
        <v>918</v>
      </c>
      <c r="AF428" s="144">
        <f t="shared" si="27"/>
        <v>31.26207853034127</v>
      </c>
      <c r="AG428" s="144" t="str">
        <f t="shared" si="28"/>
        <v/>
      </c>
      <c r="AH428" s="146">
        <f t="shared" si="29"/>
        <v>4.8693055650289123</v>
      </c>
      <c r="AI428" s="146" t="str">
        <f t="shared" si="30"/>
        <v/>
      </c>
      <c r="AJ428" s="303"/>
      <c r="AK428" s="303"/>
      <c r="AL428" s="303"/>
      <c r="AM428" s="303"/>
      <c r="AN428" s="303"/>
      <c r="AO428" s="303"/>
      <c r="AP428" s="303"/>
      <c r="AQ428" s="303"/>
      <c r="AR428" s="303"/>
      <c r="AS428" s="169">
        <f>16.5/0.724/0.729</f>
        <v>31.26207853034127</v>
      </c>
      <c r="AT428" s="170"/>
      <c r="AU428" s="310"/>
      <c r="AW428" s="294"/>
      <c r="AX428" s="294"/>
      <c r="AY428" s="294"/>
      <c r="AZ428" s="294"/>
      <c r="BA428" s="294"/>
      <c r="BB428" s="294"/>
      <c r="BC428" s="294"/>
      <c r="BD428" s="294"/>
      <c r="BE428" s="294"/>
      <c r="BF428" s="382">
        <f>2.57/0.724/0.729</f>
        <v>4.8693055650289123</v>
      </c>
      <c r="BG428" s="382"/>
      <c r="BH428" s="278" t="s">
        <v>948</v>
      </c>
      <c r="BI428" s="365" t="s">
        <v>946</v>
      </c>
      <c r="BJ428" s="409"/>
    </row>
    <row r="429" spans="1:62" ht="15.75" customHeight="1" thickBot="1" x14ac:dyDescent="0.25">
      <c r="A429" s="156">
        <v>428</v>
      </c>
      <c r="B429" s="155">
        <v>1</v>
      </c>
      <c r="C429" s="148" t="s">
        <v>24</v>
      </c>
      <c r="D429" s="148" t="s">
        <v>269</v>
      </c>
      <c r="E429" s="148" t="s">
        <v>13</v>
      </c>
      <c r="F429" s="148" t="s">
        <v>379</v>
      </c>
      <c r="G429" s="148" t="s">
        <v>122</v>
      </c>
      <c r="H429" s="148" t="s">
        <v>940</v>
      </c>
      <c r="I429" s="161">
        <v>2014</v>
      </c>
      <c r="J429" s="161" t="s">
        <v>942</v>
      </c>
      <c r="K429" s="161" t="s">
        <v>943</v>
      </c>
      <c r="L429" s="161" t="s">
        <v>19</v>
      </c>
      <c r="M429" s="453" t="s">
        <v>4173</v>
      </c>
      <c r="N429" s="186" t="s">
        <v>20</v>
      </c>
      <c r="O429" s="186" t="s">
        <v>15</v>
      </c>
      <c r="P429" s="186" t="s">
        <v>15</v>
      </c>
      <c r="Q429" s="186" t="s">
        <v>15</v>
      </c>
      <c r="R429" s="186" t="s">
        <v>15</v>
      </c>
      <c r="S429" s="186" t="s">
        <v>15</v>
      </c>
      <c r="T429" s="186" t="s">
        <v>15</v>
      </c>
      <c r="U429" s="186" t="s">
        <v>15</v>
      </c>
      <c r="V429" s="186" t="s">
        <v>15</v>
      </c>
      <c r="W429" s="186" t="s">
        <v>15</v>
      </c>
      <c r="X429" s="186" t="s">
        <v>15</v>
      </c>
      <c r="Y429" s="186" t="s">
        <v>15</v>
      </c>
      <c r="Z429" s="186"/>
      <c r="AA429" s="186" t="s">
        <v>303</v>
      </c>
      <c r="AB429" s="186" t="s">
        <v>292</v>
      </c>
      <c r="AC429" s="186" t="s">
        <v>292</v>
      </c>
      <c r="AD429" s="268" t="s">
        <v>944</v>
      </c>
      <c r="AE429" s="268" t="s">
        <v>918</v>
      </c>
      <c r="AF429" s="144">
        <f t="shared" si="27"/>
        <v>34.255659383549705</v>
      </c>
      <c r="AG429" s="144" t="str">
        <f t="shared" si="28"/>
        <v/>
      </c>
      <c r="AH429" s="146">
        <f t="shared" si="29"/>
        <v>4.6040515653775325</v>
      </c>
      <c r="AI429" s="146" t="str">
        <f t="shared" si="30"/>
        <v/>
      </c>
      <c r="AJ429" s="303"/>
      <c r="AK429" s="303"/>
      <c r="AL429" s="303"/>
      <c r="AM429" s="303"/>
      <c r="AN429" s="303"/>
      <c r="AO429" s="303"/>
      <c r="AP429" s="303"/>
      <c r="AQ429" s="303"/>
      <c r="AR429" s="303"/>
      <c r="AS429" s="169">
        <f>18.08/0.724/0.729</f>
        <v>34.255659383549705</v>
      </c>
      <c r="AT429" s="170"/>
      <c r="AU429" s="310"/>
      <c r="AW429" s="294"/>
      <c r="AX429" s="294"/>
      <c r="AY429" s="294"/>
      <c r="AZ429" s="294"/>
      <c r="BA429" s="294"/>
      <c r="BB429" s="294"/>
      <c r="BC429" s="294"/>
      <c r="BD429" s="294"/>
      <c r="BE429" s="294"/>
      <c r="BF429" s="382">
        <f>2.43/0.724/0.729</f>
        <v>4.6040515653775325</v>
      </c>
      <c r="BG429" s="382"/>
      <c r="BH429" s="278" t="s">
        <v>949</v>
      </c>
      <c r="BI429" s="365" t="s">
        <v>946</v>
      </c>
      <c r="BJ429" s="409"/>
    </row>
    <row r="430" spans="1:62" ht="15.75" customHeight="1" thickBot="1" x14ac:dyDescent="0.25">
      <c r="A430" s="154">
        <v>429</v>
      </c>
      <c r="B430" s="155">
        <v>1</v>
      </c>
      <c r="C430" s="148" t="s">
        <v>24</v>
      </c>
      <c r="D430" s="148" t="s">
        <v>269</v>
      </c>
      <c r="E430" s="148" t="s">
        <v>13</v>
      </c>
      <c r="F430" s="148" t="s">
        <v>950</v>
      </c>
      <c r="G430" s="148" t="s">
        <v>122</v>
      </c>
      <c r="H430" s="148" t="s">
        <v>940</v>
      </c>
      <c r="I430" s="161">
        <v>2014</v>
      </c>
      <c r="J430" s="161" t="s">
        <v>942</v>
      </c>
      <c r="K430" s="161" t="s">
        <v>943</v>
      </c>
      <c r="L430" s="161" t="s">
        <v>19</v>
      </c>
      <c r="M430" s="453" t="s">
        <v>4173</v>
      </c>
      <c r="N430" s="186" t="s">
        <v>20</v>
      </c>
      <c r="O430" s="186" t="s">
        <v>15</v>
      </c>
      <c r="P430" s="186" t="s">
        <v>15</v>
      </c>
      <c r="Q430" s="186" t="s">
        <v>15</v>
      </c>
      <c r="R430" s="186" t="s">
        <v>15</v>
      </c>
      <c r="S430" s="186" t="s">
        <v>15</v>
      </c>
      <c r="T430" s="186" t="s">
        <v>15</v>
      </c>
      <c r="U430" s="186" t="s">
        <v>15</v>
      </c>
      <c r="V430" s="186" t="s">
        <v>15</v>
      </c>
      <c r="W430" s="186" t="s">
        <v>15</v>
      </c>
      <c r="X430" s="186" t="s">
        <v>15</v>
      </c>
      <c r="Y430" s="186" t="s">
        <v>15</v>
      </c>
      <c r="Z430" s="186"/>
      <c r="AA430" s="186" t="s">
        <v>303</v>
      </c>
      <c r="AB430" s="186" t="s">
        <v>292</v>
      </c>
      <c r="AC430" s="186" t="s">
        <v>292</v>
      </c>
      <c r="AD430" s="268" t="s">
        <v>944</v>
      </c>
      <c r="AE430" s="268" t="s">
        <v>918</v>
      </c>
      <c r="AF430" s="144">
        <f t="shared" si="27"/>
        <v>46.002622225253702</v>
      </c>
      <c r="AG430" s="144" t="str">
        <f t="shared" si="28"/>
        <v/>
      </c>
      <c r="AH430" s="146">
        <f t="shared" si="29"/>
        <v>6.574509848502073</v>
      </c>
      <c r="AI430" s="146" t="str">
        <f t="shared" si="30"/>
        <v/>
      </c>
      <c r="AJ430" s="303"/>
      <c r="AK430" s="303"/>
      <c r="AL430" s="303"/>
      <c r="AM430" s="303"/>
      <c r="AN430" s="303"/>
      <c r="AO430" s="303"/>
      <c r="AP430" s="303"/>
      <c r="AQ430" s="303"/>
      <c r="AR430" s="303"/>
      <c r="AS430" s="169">
        <f>24.28/0.724/0.729</f>
        <v>46.002622225253702</v>
      </c>
      <c r="AT430" s="170"/>
      <c r="AU430" s="310"/>
      <c r="AW430" s="294"/>
      <c r="AX430" s="294"/>
      <c r="AY430" s="294"/>
      <c r="AZ430" s="294"/>
      <c r="BA430" s="294"/>
      <c r="BB430" s="294"/>
      <c r="BC430" s="294"/>
      <c r="BD430" s="294"/>
      <c r="BE430" s="294"/>
      <c r="BF430" s="382">
        <f>3.47/0.724/0.729</f>
        <v>6.574509848502073</v>
      </c>
      <c r="BG430" s="382"/>
      <c r="BH430" s="278" t="s">
        <v>951</v>
      </c>
      <c r="BI430" s="365" t="s">
        <v>946</v>
      </c>
      <c r="BJ430" s="409"/>
    </row>
    <row r="431" spans="1:62" ht="15.75" customHeight="1" thickBot="1" x14ac:dyDescent="0.25">
      <c r="A431" s="156">
        <v>430</v>
      </c>
      <c r="B431" s="155">
        <v>1</v>
      </c>
      <c r="C431" s="148" t="s">
        <v>24</v>
      </c>
      <c r="D431" s="148" t="s">
        <v>269</v>
      </c>
      <c r="E431" s="148" t="s">
        <v>13</v>
      </c>
      <c r="F431" s="148" t="s">
        <v>952</v>
      </c>
      <c r="G431" s="148" t="s">
        <v>122</v>
      </c>
      <c r="H431" s="148" t="s">
        <v>108</v>
      </c>
      <c r="I431" s="161">
        <v>2011</v>
      </c>
      <c r="J431" s="161" t="s">
        <v>953</v>
      </c>
      <c r="K431" s="161" t="s">
        <v>954</v>
      </c>
      <c r="L431" s="161" t="s">
        <v>104</v>
      </c>
      <c r="M431" s="453" t="s">
        <v>4174</v>
      </c>
      <c r="N431" s="186" t="s">
        <v>20</v>
      </c>
      <c r="O431" s="186" t="s">
        <v>15</v>
      </c>
      <c r="P431" s="186" t="s">
        <v>20</v>
      </c>
      <c r="Q431" s="186" t="s">
        <v>20</v>
      </c>
      <c r="R431" s="186" t="s">
        <v>15</v>
      </c>
      <c r="S431" s="186" t="s">
        <v>15</v>
      </c>
      <c r="T431" s="186" t="s">
        <v>15</v>
      </c>
      <c r="U431" s="186" t="s">
        <v>15</v>
      </c>
      <c r="V431" s="186" t="s">
        <v>15</v>
      </c>
      <c r="W431" s="186" t="s">
        <v>15</v>
      </c>
      <c r="X431" s="186" t="s">
        <v>15</v>
      </c>
      <c r="Y431" s="186" t="s">
        <v>15</v>
      </c>
      <c r="Z431" s="186"/>
      <c r="AA431" s="186" t="s">
        <v>933</v>
      </c>
      <c r="AB431" s="186" t="s">
        <v>292</v>
      </c>
      <c r="AC431" s="186" t="s">
        <v>292</v>
      </c>
      <c r="AD431" s="268" t="s">
        <v>275</v>
      </c>
      <c r="AE431" s="268" t="s">
        <v>276</v>
      </c>
      <c r="AF431" s="144" t="str">
        <f t="shared" si="27"/>
        <v/>
      </c>
      <c r="AG431" s="144" t="str">
        <f t="shared" si="28"/>
        <v/>
      </c>
      <c r="AH431" s="146" t="str">
        <f t="shared" si="29"/>
        <v/>
      </c>
      <c r="AI431" s="146" t="str">
        <f t="shared" si="30"/>
        <v/>
      </c>
      <c r="AJ431" s="303"/>
      <c r="AK431" s="303"/>
      <c r="AL431" s="303"/>
      <c r="AM431" s="303"/>
      <c r="AN431" s="303"/>
      <c r="AO431" s="303"/>
      <c r="AP431" s="303"/>
      <c r="AQ431" s="303"/>
      <c r="AR431" s="303"/>
      <c r="AS431" s="169"/>
      <c r="AT431" s="170"/>
      <c r="AU431" s="310"/>
      <c r="AW431" s="294"/>
      <c r="AX431" s="294"/>
      <c r="AY431" s="294"/>
      <c r="AZ431" s="294"/>
      <c r="BA431" s="294"/>
      <c r="BB431" s="294"/>
      <c r="BC431" s="294"/>
      <c r="BD431" s="294"/>
      <c r="BE431" s="294"/>
      <c r="BF431" s="383"/>
      <c r="BG431" s="382">
        <f>4.7/0.729</f>
        <v>6.4471879286694103</v>
      </c>
      <c r="BH431" s="278"/>
      <c r="BI431" s="365" t="s">
        <v>733</v>
      </c>
      <c r="BJ431" s="409"/>
    </row>
    <row r="432" spans="1:62" ht="15.75" customHeight="1" thickBot="1" x14ac:dyDescent="0.25">
      <c r="A432" s="154">
        <v>431</v>
      </c>
      <c r="B432" s="155">
        <v>1</v>
      </c>
      <c r="C432" s="148" t="s">
        <v>24</v>
      </c>
      <c r="D432" s="148" t="s">
        <v>269</v>
      </c>
      <c r="E432" s="148" t="s">
        <v>13</v>
      </c>
      <c r="F432" s="148" t="s">
        <v>955</v>
      </c>
      <c r="G432" s="148" t="s">
        <v>122</v>
      </c>
      <c r="H432" s="148" t="s">
        <v>108</v>
      </c>
      <c r="I432" s="161">
        <v>2011</v>
      </c>
      <c r="J432" s="161" t="s">
        <v>953</v>
      </c>
      <c r="K432" s="161" t="s">
        <v>954</v>
      </c>
      <c r="L432" s="161" t="s">
        <v>104</v>
      </c>
      <c r="M432" s="453" t="s">
        <v>4174</v>
      </c>
      <c r="N432" s="186" t="s">
        <v>20</v>
      </c>
      <c r="O432" s="186" t="s">
        <v>15</v>
      </c>
      <c r="P432" s="186" t="s">
        <v>20</v>
      </c>
      <c r="Q432" s="186" t="s">
        <v>20</v>
      </c>
      <c r="R432" s="186" t="s">
        <v>15</v>
      </c>
      <c r="S432" s="186" t="s">
        <v>15</v>
      </c>
      <c r="T432" s="186" t="s">
        <v>15</v>
      </c>
      <c r="U432" s="186" t="s">
        <v>15</v>
      </c>
      <c r="V432" s="186" t="s">
        <v>15</v>
      </c>
      <c r="W432" s="186" t="s">
        <v>15</v>
      </c>
      <c r="X432" s="186" t="s">
        <v>15</v>
      </c>
      <c r="Y432" s="186" t="s">
        <v>15</v>
      </c>
      <c r="Z432" s="186"/>
      <c r="AA432" s="186" t="s">
        <v>933</v>
      </c>
      <c r="AB432" s="186" t="s">
        <v>292</v>
      </c>
      <c r="AC432" s="186" t="s">
        <v>292</v>
      </c>
      <c r="AD432" s="268" t="s">
        <v>275</v>
      </c>
      <c r="AE432" s="268" t="s">
        <v>276</v>
      </c>
      <c r="AF432" s="144" t="str">
        <f t="shared" si="27"/>
        <v/>
      </c>
      <c r="AG432" s="144" t="str">
        <f t="shared" si="28"/>
        <v/>
      </c>
      <c r="AH432" s="146" t="str">
        <f t="shared" si="29"/>
        <v/>
      </c>
      <c r="AI432" s="146" t="str">
        <f t="shared" si="30"/>
        <v/>
      </c>
      <c r="AJ432" s="303"/>
      <c r="AK432" s="303"/>
      <c r="AL432" s="303"/>
      <c r="AM432" s="303"/>
      <c r="AN432" s="303"/>
      <c r="AO432" s="303"/>
      <c r="AP432" s="303"/>
      <c r="AQ432" s="303"/>
      <c r="AR432" s="303"/>
      <c r="AS432" s="169"/>
      <c r="AT432" s="170"/>
      <c r="AU432" s="310"/>
      <c r="AW432" s="294"/>
      <c r="AX432" s="294"/>
      <c r="AY432" s="294"/>
      <c r="AZ432" s="294"/>
      <c r="BA432" s="294"/>
      <c r="BB432" s="294"/>
      <c r="BC432" s="294"/>
      <c r="BD432" s="294"/>
      <c r="BE432" s="294"/>
      <c r="BF432" s="383"/>
      <c r="BG432" s="382">
        <f>2.2/0.729</f>
        <v>3.0178326474622774</v>
      </c>
      <c r="BH432" s="278"/>
      <c r="BI432" s="365" t="s">
        <v>956</v>
      </c>
      <c r="BJ432" s="409"/>
    </row>
    <row r="433" spans="1:62" ht="15.75" customHeight="1" thickBot="1" x14ac:dyDescent="0.25">
      <c r="A433" s="156">
        <v>432</v>
      </c>
      <c r="B433" s="155">
        <v>1</v>
      </c>
      <c r="C433" s="148" t="s">
        <v>24</v>
      </c>
      <c r="D433" s="148" t="s">
        <v>283</v>
      </c>
      <c r="E433" s="148" t="s">
        <v>13</v>
      </c>
      <c r="F433" s="148"/>
      <c r="G433" s="148" t="s">
        <v>292</v>
      </c>
      <c r="H433" s="148" t="s">
        <v>351</v>
      </c>
      <c r="I433" s="161">
        <v>2008</v>
      </c>
      <c r="J433" s="161" t="s">
        <v>957</v>
      </c>
      <c r="K433" s="161" t="s">
        <v>958</v>
      </c>
      <c r="L433" s="161" t="s">
        <v>19</v>
      </c>
      <c r="M433" s="453" t="s">
        <v>4175</v>
      </c>
      <c r="N433" s="186" t="s">
        <v>20</v>
      </c>
      <c r="O433" s="186" t="s">
        <v>15</v>
      </c>
      <c r="P433" s="186" t="s">
        <v>15</v>
      </c>
      <c r="Q433" s="186" t="s">
        <v>15</v>
      </c>
      <c r="R433" s="186" t="s">
        <v>15</v>
      </c>
      <c r="S433" s="186" t="s">
        <v>15</v>
      </c>
      <c r="T433" s="186" t="s">
        <v>15</v>
      </c>
      <c r="U433" s="186" t="s">
        <v>15</v>
      </c>
      <c r="V433" s="186" t="s">
        <v>15</v>
      </c>
      <c r="W433" s="186" t="s">
        <v>15</v>
      </c>
      <c r="X433" s="186" t="s">
        <v>15</v>
      </c>
      <c r="Y433" s="186" t="s">
        <v>15</v>
      </c>
      <c r="Z433" s="186"/>
      <c r="AA433" s="186" t="s">
        <v>303</v>
      </c>
      <c r="AB433" s="186" t="s">
        <v>292</v>
      </c>
      <c r="AC433" s="186" t="s">
        <v>122</v>
      </c>
      <c r="AD433" s="268" t="s">
        <v>959</v>
      </c>
      <c r="AE433" s="268" t="s">
        <v>960</v>
      </c>
      <c r="AF433" s="144">
        <f t="shared" si="27"/>
        <v>26.712499999999995</v>
      </c>
      <c r="AG433" s="144" t="str">
        <f t="shared" si="28"/>
        <v/>
      </c>
      <c r="AH433" s="146">
        <f t="shared" si="29"/>
        <v>2.4910714285714284</v>
      </c>
      <c r="AI433" s="146" t="str">
        <f t="shared" si="30"/>
        <v/>
      </c>
      <c r="AJ433" s="303"/>
      <c r="AK433" s="303"/>
      <c r="AL433" s="303"/>
      <c r="AM433" s="303"/>
      <c r="AN433" s="303"/>
      <c r="AO433" s="303"/>
      <c r="AP433" s="303"/>
      <c r="AQ433" s="303"/>
      <c r="AR433" s="303"/>
      <c r="AS433" s="169">
        <f>14959/1000/0.56</f>
        <v>26.712499999999995</v>
      </c>
      <c r="AT433" s="170"/>
      <c r="AU433" s="310" t="s">
        <v>961</v>
      </c>
      <c r="AW433" s="294"/>
      <c r="AX433" s="294"/>
      <c r="AY433" s="294"/>
      <c r="AZ433" s="294"/>
      <c r="BA433" s="294"/>
      <c r="BB433" s="294"/>
      <c r="BC433" s="294"/>
      <c r="BD433" s="294"/>
      <c r="BE433" s="294"/>
      <c r="BF433" s="382">
        <f>1395/1000/0.56</f>
        <v>2.4910714285714284</v>
      </c>
      <c r="BG433" s="382"/>
      <c r="BH433" s="278"/>
      <c r="BI433" s="365" t="s">
        <v>962</v>
      </c>
      <c r="BJ433" s="409"/>
    </row>
    <row r="434" spans="1:62" ht="15.75" customHeight="1" thickBot="1" x14ac:dyDescent="0.25">
      <c r="A434" s="154">
        <v>433</v>
      </c>
      <c r="B434" s="155">
        <v>1</v>
      </c>
      <c r="C434" s="148" t="s">
        <v>24</v>
      </c>
      <c r="D434" s="148" t="s">
        <v>283</v>
      </c>
      <c r="E434" s="148" t="s">
        <v>13</v>
      </c>
      <c r="F434" s="148" t="s">
        <v>963</v>
      </c>
      <c r="G434" s="148" t="s">
        <v>292</v>
      </c>
      <c r="H434" s="148" t="s">
        <v>183</v>
      </c>
      <c r="I434" s="161">
        <v>2009</v>
      </c>
      <c r="J434" s="161" t="s">
        <v>964</v>
      </c>
      <c r="K434" s="161" t="s">
        <v>965</v>
      </c>
      <c r="L434" s="161" t="s">
        <v>19</v>
      </c>
      <c r="M434" s="453" t="s">
        <v>4176</v>
      </c>
      <c r="N434" s="186" t="s">
        <v>20</v>
      </c>
      <c r="O434" s="186" t="s">
        <v>15</v>
      </c>
      <c r="P434" s="186" t="s">
        <v>15</v>
      </c>
      <c r="Q434" s="186" t="s">
        <v>15</v>
      </c>
      <c r="R434" s="186" t="s">
        <v>15</v>
      </c>
      <c r="S434" s="186" t="s">
        <v>15</v>
      </c>
      <c r="T434" s="186" t="s">
        <v>15</v>
      </c>
      <c r="U434" s="186" t="s">
        <v>15</v>
      </c>
      <c r="V434" s="186" t="s">
        <v>15</v>
      </c>
      <c r="W434" s="186" t="s">
        <v>15</v>
      </c>
      <c r="X434" s="186" t="s">
        <v>15</v>
      </c>
      <c r="Y434" s="186" t="s">
        <v>15</v>
      </c>
      <c r="Z434" s="186"/>
      <c r="AA434" s="186" t="s">
        <v>303</v>
      </c>
      <c r="AB434" s="186" t="s">
        <v>292</v>
      </c>
      <c r="AC434" s="186" t="s">
        <v>292</v>
      </c>
      <c r="AD434" s="268" t="s">
        <v>304</v>
      </c>
      <c r="AE434" s="268" t="s">
        <v>966</v>
      </c>
      <c r="AF434" s="144" t="str">
        <f t="shared" si="27"/>
        <v/>
      </c>
      <c r="AG434" s="144" t="str">
        <f t="shared" si="28"/>
        <v/>
      </c>
      <c r="AH434" s="146">
        <f t="shared" si="29"/>
        <v>1.7857142857142856</v>
      </c>
      <c r="AI434" s="146" t="str">
        <f t="shared" si="30"/>
        <v/>
      </c>
      <c r="AJ434" s="303"/>
      <c r="AK434" s="303"/>
      <c r="AL434" s="303"/>
      <c r="AM434" s="303"/>
      <c r="AN434" s="303"/>
      <c r="AO434" s="303"/>
      <c r="AP434" s="303"/>
      <c r="AQ434" s="303"/>
      <c r="AR434" s="303"/>
      <c r="AS434" s="169"/>
      <c r="AT434" s="170"/>
      <c r="AU434" s="310"/>
      <c r="AW434" s="294"/>
      <c r="AX434" s="294"/>
      <c r="AY434" s="294"/>
      <c r="AZ434" s="294"/>
      <c r="BA434" s="294"/>
      <c r="BB434" s="294"/>
      <c r="BC434" s="294"/>
      <c r="BD434" s="294"/>
      <c r="BE434" s="294"/>
      <c r="BF434" s="382">
        <f>1/0.56</f>
        <v>1.7857142857142856</v>
      </c>
      <c r="BG434" s="382"/>
      <c r="BH434" s="278"/>
      <c r="BI434" s="365"/>
      <c r="BJ434" s="409"/>
    </row>
    <row r="435" spans="1:62" ht="15.75" customHeight="1" thickBot="1" x14ac:dyDescent="0.25">
      <c r="A435" s="156">
        <v>434</v>
      </c>
      <c r="B435" s="155">
        <v>1</v>
      </c>
      <c r="C435" s="148" t="s">
        <v>24</v>
      </c>
      <c r="D435" s="148" t="s">
        <v>967</v>
      </c>
      <c r="E435" s="148" t="s">
        <v>13</v>
      </c>
      <c r="F435" s="148" t="s">
        <v>963</v>
      </c>
      <c r="G435" s="148" t="s">
        <v>292</v>
      </c>
      <c r="H435" s="148" t="s">
        <v>183</v>
      </c>
      <c r="I435" s="161">
        <v>2009</v>
      </c>
      <c r="J435" s="161" t="s">
        <v>964</v>
      </c>
      <c r="K435" s="161" t="s">
        <v>965</v>
      </c>
      <c r="L435" s="161" t="s">
        <v>19</v>
      </c>
      <c r="M435" s="453" t="s">
        <v>4176</v>
      </c>
      <c r="N435" s="186" t="s">
        <v>20</v>
      </c>
      <c r="O435" s="186" t="s">
        <v>15</v>
      </c>
      <c r="P435" s="186" t="s">
        <v>15</v>
      </c>
      <c r="Q435" s="186" t="s">
        <v>15</v>
      </c>
      <c r="R435" s="186" t="s">
        <v>15</v>
      </c>
      <c r="S435" s="186" t="s">
        <v>15</v>
      </c>
      <c r="T435" s="186" t="s">
        <v>15</v>
      </c>
      <c r="U435" s="186" t="s">
        <v>15</v>
      </c>
      <c r="V435" s="186" t="s">
        <v>15</v>
      </c>
      <c r="W435" s="186" t="s">
        <v>15</v>
      </c>
      <c r="X435" s="186" t="s">
        <v>15</v>
      </c>
      <c r="Y435" s="186" t="s">
        <v>15</v>
      </c>
      <c r="Z435" s="186"/>
      <c r="AA435" s="186" t="s">
        <v>303</v>
      </c>
      <c r="AB435" s="186" t="s">
        <v>292</v>
      </c>
      <c r="AC435" s="186" t="s">
        <v>292</v>
      </c>
      <c r="AD435" s="268" t="s">
        <v>304</v>
      </c>
      <c r="AE435" s="268" t="s">
        <v>966</v>
      </c>
      <c r="AF435" s="144" t="str">
        <f t="shared" si="27"/>
        <v/>
      </c>
      <c r="AG435" s="144" t="str">
        <f t="shared" si="28"/>
        <v/>
      </c>
      <c r="AH435" s="146">
        <f t="shared" si="29"/>
        <v>2.5714285714285712</v>
      </c>
      <c r="AI435" s="146" t="str">
        <f t="shared" si="30"/>
        <v/>
      </c>
      <c r="AJ435" s="303"/>
      <c r="AK435" s="303"/>
      <c r="AL435" s="303"/>
      <c r="AM435" s="303"/>
      <c r="AN435" s="303"/>
      <c r="AO435" s="303"/>
      <c r="AP435" s="303"/>
      <c r="AQ435" s="303"/>
      <c r="AR435" s="303"/>
      <c r="AS435" s="169"/>
      <c r="AT435" s="170"/>
      <c r="AU435" s="310"/>
      <c r="AW435" s="294"/>
      <c r="AX435" s="294"/>
      <c r="AY435" s="294"/>
      <c r="AZ435" s="294"/>
      <c r="BA435" s="294"/>
      <c r="BB435" s="294"/>
      <c r="BC435" s="294"/>
      <c r="BD435" s="294"/>
      <c r="BE435" s="294"/>
      <c r="BF435" s="382">
        <f>1.44/0.56</f>
        <v>2.5714285714285712</v>
      </c>
      <c r="BG435" s="382"/>
      <c r="BH435" s="278"/>
      <c r="BI435" s="365"/>
      <c r="BJ435" s="409"/>
    </row>
    <row r="436" spans="1:62" ht="15.75" customHeight="1" thickBot="1" x14ac:dyDescent="0.25">
      <c r="A436" s="154">
        <v>435</v>
      </c>
      <c r="B436" s="155">
        <v>1</v>
      </c>
      <c r="C436" s="148" t="s">
        <v>24</v>
      </c>
      <c r="D436" s="148" t="s">
        <v>283</v>
      </c>
      <c r="E436" s="148" t="s">
        <v>13</v>
      </c>
      <c r="F436" s="148" t="s">
        <v>968</v>
      </c>
      <c r="G436" s="148" t="s">
        <v>122</v>
      </c>
      <c r="H436" s="148" t="s">
        <v>108</v>
      </c>
      <c r="I436" s="161">
        <v>2012</v>
      </c>
      <c r="J436" s="161" t="s">
        <v>969</v>
      </c>
      <c r="K436" s="161" t="s">
        <v>970</v>
      </c>
      <c r="L436" s="161" t="s">
        <v>19</v>
      </c>
      <c r="M436" s="453" t="s">
        <v>4177</v>
      </c>
      <c r="N436" s="186" t="s">
        <v>20</v>
      </c>
      <c r="O436" s="186" t="s">
        <v>15</v>
      </c>
      <c r="P436" s="186" t="s">
        <v>15</v>
      </c>
      <c r="Q436" s="186" t="s">
        <v>15</v>
      </c>
      <c r="R436" s="186" t="s">
        <v>15</v>
      </c>
      <c r="S436" s="186" t="s">
        <v>15</v>
      </c>
      <c r="T436" s="186" t="s">
        <v>15</v>
      </c>
      <c r="U436" s="186" t="s">
        <v>15</v>
      </c>
      <c r="V436" s="186" t="s">
        <v>15</v>
      </c>
      <c r="W436" s="186" t="s">
        <v>15</v>
      </c>
      <c r="X436" s="186" t="s">
        <v>15</v>
      </c>
      <c r="Y436" s="186" t="s">
        <v>15</v>
      </c>
      <c r="Z436" s="186"/>
      <c r="AA436" s="186" t="s">
        <v>303</v>
      </c>
      <c r="AB436" s="186" t="s">
        <v>292</v>
      </c>
      <c r="AC436" s="186" t="s">
        <v>292</v>
      </c>
      <c r="AD436" s="268" t="s">
        <v>971</v>
      </c>
      <c r="AE436" s="268" t="s">
        <v>485</v>
      </c>
      <c r="AF436" s="144">
        <f t="shared" si="27"/>
        <v>25.37</v>
      </c>
      <c r="AG436" s="144" t="str">
        <f t="shared" si="28"/>
        <v/>
      </c>
      <c r="AH436" s="146">
        <f t="shared" si="29"/>
        <v>4.41</v>
      </c>
      <c r="AI436" s="146" t="str">
        <f t="shared" si="30"/>
        <v/>
      </c>
      <c r="AJ436" s="303"/>
      <c r="AK436" s="303"/>
      <c r="AL436" s="303"/>
      <c r="AM436" s="303"/>
      <c r="AN436" s="303"/>
      <c r="AO436" s="303"/>
      <c r="AP436" s="303"/>
      <c r="AQ436" s="303"/>
      <c r="AR436" s="303"/>
      <c r="AS436" s="169">
        <v>25.37</v>
      </c>
      <c r="AT436" s="170"/>
      <c r="AU436" s="310"/>
      <c r="AW436" s="294"/>
      <c r="AX436" s="294"/>
      <c r="AY436" s="294"/>
      <c r="AZ436" s="294"/>
      <c r="BA436" s="294"/>
      <c r="BB436" s="294"/>
      <c r="BC436" s="294"/>
      <c r="BD436" s="294"/>
      <c r="BE436" s="294"/>
      <c r="BF436" s="382">
        <v>4.41</v>
      </c>
      <c r="BG436" s="382"/>
      <c r="BH436" s="278" t="s">
        <v>972</v>
      </c>
      <c r="BI436" s="365" t="s">
        <v>47</v>
      </c>
      <c r="BJ436" s="409"/>
    </row>
    <row r="437" spans="1:62" ht="15.75" customHeight="1" thickBot="1" x14ac:dyDescent="0.25">
      <c r="A437" s="156">
        <v>436</v>
      </c>
      <c r="B437" s="155">
        <v>1</v>
      </c>
      <c r="C437" s="148" t="s">
        <v>24</v>
      </c>
      <c r="D437" s="148" t="s">
        <v>283</v>
      </c>
      <c r="E437" s="148" t="s">
        <v>13</v>
      </c>
      <c r="F437" s="148" t="s">
        <v>460</v>
      </c>
      <c r="G437" s="148" t="s">
        <v>122</v>
      </c>
      <c r="H437" s="148" t="s">
        <v>108</v>
      </c>
      <c r="I437" s="161">
        <v>2012</v>
      </c>
      <c r="J437" s="161" t="s">
        <v>969</v>
      </c>
      <c r="K437" s="161" t="s">
        <v>970</v>
      </c>
      <c r="L437" s="161" t="s">
        <v>19</v>
      </c>
      <c r="M437" s="453" t="s">
        <v>4177</v>
      </c>
      <c r="N437" s="186" t="s">
        <v>20</v>
      </c>
      <c r="O437" s="186" t="s">
        <v>15</v>
      </c>
      <c r="P437" s="186" t="s">
        <v>15</v>
      </c>
      <c r="Q437" s="186" t="s">
        <v>15</v>
      </c>
      <c r="R437" s="186" t="s">
        <v>15</v>
      </c>
      <c r="S437" s="186" t="s">
        <v>15</v>
      </c>
      <c r="T437" s="186" t="s">
        <v>15</v>
      </c>
      <c r="U437" s="186" t="s">
        <v>15</v>
      </c>
      <c r="V437" s="186" t="s">
        <v>15</v>
      </c>
      <c r="W437" s="186" t="s">
        <v>15</v>
      </c>
      <c r="X437" s="186" t="s">
        <v>15</v>
      </c>
      <c r="Y437" s="186" t="s">
        <v>15</v>
      </c>
      <c r="Z437" s="186"/>
      <c r="AA437" s="186" t="s">
        <v>303</v>
      </c>
      <c r="AB437" s="186" t="s">
        <v>292</v>
      </c>
      <c r="AC437" s="186" t="s">
        <v>292</v>
      </c>
      <c r="AD437" s="268" t="s">
        <v>971</v>
      </c>
      <c r="AE437" s="268" t="s">
        <v>485</v>
      </c>
      <c r="AF437" s="144">
        <f t="shared" si="27"/>
        <v>25.65</v>
      </c>
      <c r="AG437" s="144" t="str">
        <f t="shared" si="28"/>
        <v/>
      </c>
      <c r="AH437" s="146">
        <f t="shared" si="29"/>
        <v>5.13</v>
      </c>
      <c r="AI437" s="146" t="str">
        <f t="shared" si="30"/>
        <v/>
      </c>
      <c r="AJ437" s="303"/>
      <c r="AK437" s="303"/>
      <c r="AL437" s="303"/>
      <c r="AM437" s="303"/>
      <c r="AN437" s="303"/>
      <c r="AO437" s="303"/>
      <c r="AP437" s="303"/>
      <c r="AQ437" s="303"/>
      <c r="AR437" s="303"/>
      <c r="AS437" s="169">
        <v>25.65</v>
      </c>
      <c r="AT437" s="170"/>
      <c r="AU437" s="310"/>
      <c r="AW437" s="294"/>
      <c r="AX437" s="294"/>
      <c r="AY437" s="294"/>
      <c r="AZ437" s="294"/>
      <c r="BA437" s="294"/>
      <c r="BB437" s="294"/>
      <c r="BC437" s="294"/>
      <c r="BD437" s="294"/>
      <c r="BE437" s="294"/>
      <c r="BF437" s="382">
        <v>5.13</v>
      </c>
      <c r="BG437" s="382"/>
      <c r="BH437" s="278" t="s">
        <v>973</v>
      </c>
      <c r="BI437" s="365" t="s">
        <v>733</v>
      </c>
      <c r="BJ437" s="409"/>
    </row>
    <row r="438" spans="1:62" ht="15.75" customHeight="1" thickBot="1" x14ac:dyDescent="0.25">
      <c r="A438" s="154">
        <v>437</v>
      </c>
      <c r="B438" s="155">
        <v>1</v>
      </c>
      <c r="C438" s="148" t="s">
        <v>24</v>
      </c>
      <c r="D438" s="148" t="s">
        <v>283</v>
      </c>
      <c r="E438" s="148" t="s">
        <v>13</v>
      </c>
      <c r="F438" s="148" t="s">
        <v>379</v>
      </c>
      <c r="G438" s="148" t="s">
        <v>122</v>
      </c>
      <c r="H438" s="148" t="s">
        <v>108</v>
      </c>
      <c r="I438" s="161">
        <v>2012</v>
      </c>
      <c r="J438" s="161" t="s">
        <v>969</v>
      </c>
      <c r="K438" s="161" t="s">
        <v>970</v>
      </c>
      <c r="L438" s="161" t="s">
        <v>19</v>
      </c>
      <c r="M438" s="453" t="s">
        <v>4177</v>
      </c>
      <c r="N438" s="186" t="s">
        <v>20</v>
      </c>
      <c r="O438" s="186" t="s">
        <v>15</v>
      </c>
      <c r="P438" s="186" t="s">
        <v>15</v>
      </c>
      <c r="Q438" s="186" t="s">
        <v>15</v>
      </c>
      <c r="R438" s="186" t="s">
        <v>15</v>
      </c>
      <c r="S438" s="186" t="s">
        <v>15</v>
      </c>
      <c r="T438" s="186" t="s">
        <v>15</v>
      </c>
      <c r="U438" s="186" t="s">
        <v>15</v>
      </c>
      <c r="V438" s="186" t="s">
        <v>15</v>
      </c>
      <c r="W438" s="186" t="s">
        <v>15</v>
      </c>
      <c r="X438" s="186" t="s">
        <v>15</v>
      </c>
      <c r="Y438" s="186" t="s">
        <v>15</v>
      </c>
      <c r="Z438" s="186"/>
      <c r="AA438" s="186" t="s">
        <v>303</v>
      </c>
      <c r="AB438" s="186" t="s">
        <v>292</v>
      </c>
      <c r="AC438" s="186" t="s">
        <v>292</v>
      </c>
      <c r="AD438" s="268" t="s">
        <v>971</v>
      </c>
      <c r="AE438" s="268" t="s">
        <v>485</v>
      </c>
      <c r="AF438" s="144">
        <f t="shared" si="27"/>
        <v>40.340000000000003</v>
      </c>
      <c r="AG438" s="144" t="str">
        <f t="shared" si="28"/>
        <v/>
      </c>
      <c r="AH438" s="146">
        <f t="shared" si="29"/>
        <v>5.66</v>
      </c>
      <c r="AI438" s="146" t="str">
        <f t="shared" si="30"/>
        <v/>
      </c>
      <c r="AJ438" s="303"/>
      <c r="AK438" s="303"/>
      <c r="AL438" s="303"/>
      <c r="AM438" s="303"/>
      <c r="AN438" s="303"/>
      <c r="AO438" s="303"/>
      <c r="AP438" s="303"/>
      <c r="AQ438" s="303"/>
      <c r="AR438" s="303"/>
      <c r="AS438" s="169">
        <v>40.340000000000003</v>
      </c>
      <c r="AT438" s="170"/>
      <c r="AU438" s="310"/>
      <c r="AW438" s="294"/>
      <c r="AX438" s="294"/>
      <c r="AY438" s="294"/>
      <c r="AZ438" s="294"/>
      <c r="BA438" s="294"/>
      <c r="BB438" s="294"/>
      <c r="BC438" s="294"/>
      <c r="BD438" s="294"/>
      <c r="BE438" s="294"/>
      <c r="BF438" s="382">
        <v>5.66</v>
      </c>
      <c r="BG438" s="382"/>
      <c r="BH438" s="278" t="s">
        <v>974</v>
      </c>
      <c r="BI438" s="365" t="s">
        <v>956</v>
      </c>
      <c r="BJ438" s="409"/>
    </row>
    <row r="439" spans="1:62" ht="15.75" customHeight="1" thickBot="1" x14ac:dyDescent="0.25">
      <c r="A439" s="156">
        <v>438</v>
      </c>
      <c r="B439" s="155">
        <v>1</v>
      </c>
      <c r="C439" s="148" t="s">
        <v>975</v>
      </c>
      <c r="D439" s="149" t="s">
        <v>3058</v>
      </c>
      <c r="E439" s="148" t="s">
        <v>778</v>
      </c>
      <c r="F439" s="148" t="s">
        <v>976</v>
      </c>
      <c r="G439" s="148" t="s">
        <v>292</v>
      </c>
      <c r="H439" s="148" t="s">
        <v>73</v>
      </c>
      <c r="I439" s="161">
        <v>2005</v>
      </c>
      <c r="J439" s="161" t="s">
        <v>977</v>
      </c>
      <c r="K439" s="161" t="s">
        <v>978</v>
      </c>
      <c r="L439" s="161" t="s">
        <v>19</v>
      </c>
      <c r="M439" s="453" t="s">
        <v>4178</v>
      </c>
      <c r="N439" s="186" t="s">
        <v>20</v>
      </c>
      <c r="O439" s="186" t="s">
        <v>15</v>
      </c>
      <c r="P439" s="186" t="s">
        <v>20</v>
      </c>
      <c r="Q439" s="186" t="s">
        <v>15</v>
      </c>
      <c r="R439" s="186" t="s">
        <v>15</v>
      </c>
      <c r="S439" s="186" t="s">
        <v>15</v>
      </c>
      <c r="T439" s="186" t="s">
        <v>15</v>
      </c>
      <c r="U439" s="186" t="s">
        <v>15</v>
      </c>
      <c r="V439" s="186" t="s">
        <v>15</v>
      </c>
      <c r="W439" s="186" t="s">
        <v>15</v>
      </c>
      <c r="X439" s="186" t="s">
        <v>15</v>
      </c>
      <c r="Y439" s="186" t="s">
        <v>15</v>
      </c>
      <c r="Z439" s="186"/>
      <c r="AA439" s="186" t="s">
        <v>979</v>
      </c>
      <c r="AB439" s="186" t="s">
        <v>292</v>
      </c>
      <c r="AC439" s="186" t="s">
        <v>292</v>
      </c>
      <c r="AD439" s="271" t="s">
        <v>980</v>
      </c>
      <c r="AE439" s="268" t="s">
        <v>2437</v>
      </c>
      <c r="AF439" s="144" t="str">
        <f t="shared" si="27"/>
        <v/>
      </c>
      <c r="AG439" s="144" t="str">
        <f t="shared" si="28"/>
        <v/>
      </c>
      <c r="AH439" s="146" t="str">
        <f t="shared" si="29"/>
        <v/>
      </c>
      <c r="AI439" s="146" t="str">
        <f t="shared" si="30"/>
        <v/>
      </c>
      <c r="AJ439" s="303"/>
      <c r="AK439" s="303"/>
      <c r="AL439" s="303"/>
      <c r="AM439" s="303"/>
      <c r="AN439" s="303"/>
      <c r="AO439" s="303"/>
      <c r="AP439" s="303"/>
      <c r="AQ439" s="303"/>
      <c r="AR439" s="303"/>
      <c r="AS439" s="169"/>
      <c r="AT439" s="170"/>
      <c r="AU439" s="310"/>
      <c r="AW439" s="294"/>
      <c r="AX439" s="294"/>
      <c r="AY439" s="294"/>
      <c r="AZ439" s="294"/>
      <c r="BA439" s="294"/>
      <c r="BB439" s="294"/>
      <c r="BC439" s="294"/>
      <c r="BD439" s="294"/>
      <c r="BE439" s="294"/>
      <c r="BF439" s="382"/>
      <c r="BG439" s="382">
        <f>1.8/0.58</f>
        <v>3.1034482758620694</v>
      </c>
      <c r="BH439" s="278"/>
      <c r="BI439" s="365"/>
      <c r="BJ439" s="409"/>
    </row>
    <row r="440" spans="1:62" ht="15.75" customHeight="1" thickBot="1" x14ac:dyDescent="0.25">
      <c r="A440" s="154">
        <v>439</v>
      </c>
      <c r="B440" s="155">
        <v>1</v>
      </c>
      <c r="C440" s="148" t="s">
        <v>975</v>
      </c>
      <c r="D440" s="149" t="s">
        <v>3056</v>
      </c>
      <c r="E440" s="148" t="s">
        <v>13</v>
      </c>
      <c r="F440" s="149" t="s">
        <v>2360</v>
      </c>
      <c r="G440" s="148" t="s">
        <v>122</v>
      </c>
      <c r="H440" s="148" t="s">
        <v>981</v>
      </c>
      <c r="I440" s="161">
        <v>2009</v>
      </c>
      <c r="J440" s="161" t="s">
        <v>982</v>
      </c>
      <c r="K440" s="161" t="s">
        <v>983</v>
      </c>
      <c r="L440" s="161" t="s">
        <v>19</v>
      </c>
      <c r="M440" s="453" t="s">
        <v>4179</v>
      </c>
      <c r="N440" s="186" t="s">
        <v>20</v>
      </c>
      <c r="O440" s="186" t="s">
        <v>15</v>
      </c>
      <c r="P440" s="186" t="s">
        <v>15</v>
      </c>
      <c r="Q440" s="186" t="s">
        <v>15</v>
      </c>
      <c r="R440" s="186" t="s">
        <v>15</v>
      </c>
      <c r="S440" s="186" t="s">
        <v>15</v>
      </c>
      <c r="T440" s="186" t="s">
        <v>15</v>
      </c>
      <c r="U440" s="186" t="s">
        <v>15</v>
      </c>
      <c r="V440" s="186" t="s">
        <v>15</v>
      </c>
      <c r="W440" s="186" t="s">
        <v>15</v>
      </c>
      <c r="X440" s="186" t="s">
        <v>15</v>
      </c>
      <c r="Y440" s="186" t="s">
        <v>15</v>
      </c>
      <c r="Z440" s="186"/>
      <c r="AA440" s="186" t="s">
        <v>984</v>
      </c>
      <c r="AB440" s="186" t="s">
        <v>292</v>
      </c>
      <c r="AC440" s="186" t="s">
        <v>292</v>
      </c>
      <c r="AD440" s="271" t="s">
        <v>985</v>
      </c>
      <c r="AE440" s="268" t="s">
        <v>2439</v>
      </c>
      <c r="AF440" s="144">
        <f t="shared" si="27"/>
        <v>53.644615384615385</v>
      </c>
      <c r="AG440" s="144" t="str">
        <f t="shared" si="28"/>
        <v/>
      </c>
      <c r="AH440" s="146">
        <f t="shared" si="29"/>
        <v>3.1</v>
      </c>
      <c r="AI440" s="146" t="str">
        <f t="shared" si="30"/>
        <v/>
      </c>
      <c r="AJ440" s="303"/>
      <c r="AK440" s="303"/>
      <c r="AL440" s="303"/>
      <c r="AM440" s="303"/>
      <c r="AN440" s="303"/>
      <c r="AO440" s="303"/>
      <c r="AP440" s="303"/>
      <c r="AQ440" s="303"/>
      <c r="AR440" s="303"/>
      <c r="AS440" s="169">
        <f>34869/1000/0.65</f>
        <v>53.644615384615385</v>
      </c>
      <c r="AT440" s="170"/>
      <c r="AU440" s="310"/>
      <c r="AW440" s="294"/>
      <c r="AX440" s="294"/>
      <c r="AY440" s="294"/>
      <c r="AZ440" s="294"/>
      <c r="BA440" s="294"/>
      <c r="BB440" s="294"/>
      <c r="BC440" s="294"/>
      <c r="BD440" s="294"/>
      <c r="BE440" s="294"/>
      <c r="BF440" s="382">
        <f>2015/1000/0.65</f>
        <v>3.1</v>
      </c>
      <c r="BG440" s="383"/>
      <c r="BH440" s="278"/>
      <c r="BI440" s="365"/>
      <c r="BJ440" s="409"/>
    </row>
    <row r="441" spans="1:62" ht="15.75" customHeight="1" thickBot="1" x14ac:dyDescent="0.25">
      <c r="A441" s="156">
        <v>440</v>
      </c>
      <c r="B441" s="155">
        <v>1</v>
      </c>
      <c r="C441" s="148" t="s">
        <v>975</v>
      </c>
      <c r="D441" s="149" t="s">
        <v>3056</v>
      </c>
      <c r="E441" s="148" t="s">
        <v>13</v>
      </c>
      <c r="F441" s="149" t="s">
        <v>2361</v>
      </c>
      <c r="G441" s="148" t="s">
        <v>122</v>
      </c>
      <c r="H441" s="148" t="s">
        <v>165</v>
      </c>
      <c r="I441" s="161">
        <v>2009</v>
      </c>
      <c r="J441" s="161" t="s">
        <v>982</v>
      </c>
      <c r="K441" s="161" t="s">
        <v>983</v>
      </c>
      <c r="L441" s="161" t="s">
        <v>19</v>
      </c>
      <c r="M441" s="453" t="s">
        <v>4179</v>
      </c>
      <c r="N441" s="186" t="s">
        <v>20</v>
      </c>
      <c r="O441" s="186" t="s">
        <v>15</v>
      </c>
      <c r="P441" s="186" t="s">
        <v>15</v>
      </c>
      <c r="Q441" s="186" t="s">
        <v>15</v>
      </c>
      <c r="R441" s="186" t="s">
        <v>15</v>
      </c>
      <c r="S441" s="186" t="s">
        <v>15</v>
      </c>
      <c r="T441" s="186" t="s">
        <v>15</v>
      </c>
      <c r="U441" s="186" t="s">
        <v>15</v>
      </c>
      <c r="V441" s="186" t="s">
        <v>15</v>
      </c>
      <c r="W441" s="186" t="s">
        <v>15</v>
      </c>
      <c r="X441" s="186" t="s">
        <v>15</v>
      </c>
      <c r="Y441" s="186" t="s">
        <v>15</v>
      </c>
      <c r="Z441" s="186"/>
      <c r="AA441" s="186" t="s">
        <v>984</v>
      </c>
      <c r="AB441" s="186" t="s">
        <v>292</v>
      </c>
      <c r="AC441" s="186" t="s">
        <v>292</v>
      </c>
      <c r="AD441" s="271" t="s">
        <v>985</v>
      </c>
      <c r="AE441" s="268" t="s">
        <v>2439</v>
      </c>
      <c r="AF441" s="144">
        <f t="shared" si="27"/>
        <v>97.233846153846144</v>
      </c>
      <c r="AG441" s="144" t="str">
        <f t="shared" si="28"/>
        <v/>
      </c>
      <c r="AH441" s="146">
        <f t="shared" si="29"/>
        <v>3.1430769230769231</v>
      </c>
      <c r="AI441" s="146" t="str">
        <f t="shared" si="30"/>
        <v/>
      </c>
      <c r="AJ441" s="303"/>
      <c r="AK441" s="303"/>
      <c r="AL441" s="303"/>
      <c r="AM441" s="303"/>
      <c r="AN441" s="303"/>
      <c r="AO441" s="303"/>
      <c r="AP441" s="303"/>
      <c r="AQ441" s="303"/>
      <c r="AR441" s="303"/>
      <c r="AS441" s="169">
        <f>63202/1000/0.65</f>
        <v>97.233846153846144</v>
      </c>
      <c r="AT441" s="170"/>
      <c r="AU441" s="310"/>
      <c r="AW441" s="294"/>
      <c r="AX441" s="294"/>
      <c r="AY441" s="294"/>
      <c r="AZ441" s="294"/>
      <c r="BA441" s="294"/>
      <c r="BB441" s="294"/>
      <c r="BC441" s="294"/>
      <c r="BD441" s="294"/>
      <c r="BE441" s="294"/>
      <c r="BF441" s="382">
        <f>2043/1000/0.65</f>
        <v>3.1430769230769231</v>
      </c>
      <c r="BG441" s="383"/>
      <c r="BH441" s="278"/>
      <c r="BI441" s="365"/>
      <c r="BJ441" s="409"/>
    </row>
    <row r="442" spans="1:62" ht="15.75" customHeight="1" thickBot="1" x14ac:dyDescent="0.25">
      <c r="A442" s="154">
        <v>441</v>
      </c>
      <c r="B442" s="155">
        <v>1</v>
      </c>
      <c r="C442" s="148" t="s">
        <v>975</v>
      </c>
      <c r="D442" s="149" t="s">
        <v>3060</v>
      </c>
      <c r="E442" s="148" t="s">
        <v>13</v>
      </c>
      <c r="F442" s="148" t="s">
        <v>986</v>
      </c>
      <c r="G442" s="148" t="s">
        <v>292</v>
      </c>
      <c r="H442" s="148" t="s">
        <v>73</v>
      </c>
      <c r="I442" s="161">
        <v>2010</v>
      </c>
      <c r="J442" s="161" t="s">
        <v>987</v>
      </c>
      <c r="K442" s="161" t="s">
        <v>988</v>
      </c>
      <c r="L442" s="161" t="s">
        <v>19</v>
      </c>
      <c r="M442" s="453" t="s">
        <v>4180</v>
      </c>
      <c r="N442" s="186" t="s">
        <v>20</v>
      </c>
      <c r="O442" s="186" t="s">
        <v>15</v>
      </c>
      <c r="P442" s="186" t="s">
        <v>20</v>
      </c>
      <c r="Q442" s="186" t="s">
        <v>20</v>
      </c>
      <c r="R442" s="186" t="s">
        <v>20</v>
      </c>
      <c r="S442" s="186" t="s">
        <v>20</v>
      </c>
      <c r="T442" s="186" t="s">
        <v>15</v>
      </c>
      <c r="U442" s="186" t="s">
        <v>15</v>
      </c>
      <c r="V442" s="186" t="s">
        <v>15</v>
      </c>
      <c r="W442" s="186" t="s">
        <v>15</v>
      </c>
      <c r="X442" s="186" t="s">
        <v>15</v>
      </c>
      <c r="Y442" s="186" t="s">
        <v>15</v>
      </c>
      <c r="Z442" s="186"/>
      <c r="AA442" s="186"/>
      <c r="AB442" s="186" t="s">
        <v>292</v>
      </c>
      <c r="AC442" s="186" t="s">
        <v>122</v>
      </c>
      <c r="AD442" s="268" t="s">
        <v>989</v>
      </c>
      <c r="AE442" s="268"/>
      <c r="AF442" s="144" t="str">
        <f t="shared" si="27"/>
        <v/>
      </c>
      <c r="AG442" s="144" t="str">
        <f t="shared" si="28"/>
        <v/>
      </c>
      <c r="AH442" s="146">
        <f t="shared" si="29"/>
        <v>2.5019999999999998</v>
      </c>
      <c r="AI442" s="146">
        <f t="shared" si="30"/>
        <v>13.622</v>
      </c>
      <c r="AJ442" s="303"/>
      <c r="AK442" s="303"/>
      <c r="AL442" s="303"/>
      <c r="AM442" s="303"/>
      <c r="AN442" s="303"/>
      <c r="AO442" s="303"/>
      <c r="AP442" s="303"/>
      <c r="AQ442" s="303"/>
      <c r="AR442" s="303"/>
      <c r="AS442" s="170"/>
      <c r="AT442" s="170"/>
      <c r="AU442" s="310"/>
      <c r="AW442" s="294">
        <f>BG442*0.18</f>
        <v>2.5019999999999998</v>
      </c>
      <c r="AX442" s="294">
        <f>BG442*0.8</f>
        <v>11.120000000000001</v>
      </c>
      <c r="AY442" s="294"/>
      <c r="AZ442" s="294"/>
      <c r="BA442" s="294"/>
      <c r="BB442" s="294"/>
      <c r="BC442" s="294">
        <f>0.02*BG442</f>
        <v>0.27800000000000002</v>
      </c>
      <c r="BD442" s="294"/>
      <c r="BE442" s="294"/>
      <c r="BF442" s="383">
        <v>2.5019999999999998</v>
      </c>
      <c r="BG442" s="383">
        <v>13.9</v>
      </c>
      <c r="BH442" s="278"/>
      <c r="BI442" s="365" t="s">
        <v>990</v>
      </c>
      <c r="BJ442" s="409"/>
    </row>
    <row r="443" spans="1:62" ht="15.75" customHeight="1" thickBot="1" x14ac:dyDescent="0.25">
      <c r="A443" s="156">
        <v>442</v>
      </c>
      <c r="B443" s="155">
        <v>1</v>
      </c>
      <c r="C443" s="148" t="s">
        <v>975</v>
      </c>
      <c r="D443" s="149" t="s">
        <v>3060</v>
      </c>
      <c r="E443" s="148" t="s">
        <v>196</v>
      </c>
      <c r="F443" s="148" t="s">
        <v>991</v>
      </c>
      <c r="G443" s="148" t="s">
        <v>292</v>
      </c>
      <c r="H443" s="148" t="s">
        <v>73</v>
      </c>
      <c r="I443" s="161">
        <v>2010</v>
      </c>
      <c r="J443" s="161" t="s">
        <v>987</v>
      </c>
      <c r="K443" s="161" t="s">
        <v>988</v>
      </c>
      <c r="L443" s="161" t="s">
        <v>19</v>
      </c>
      <c r="M443" s="453" t="s">
        <v>4180</v>
      </c>
      <c r="N443" s="186" t="s">
        <v>20</v>
      </c>
      <c r="O443" s="186" t="s">
        <v>15</v>
      </c>
      <c r="P443" s="186" t="s">
        <v>20</v>
      </c>
      <c r="Q443" s="186" t="s">
        <v>20</v>
      </c>
      <c r="R443" s="186" t="s">
        <v>20</v>
      </c>
      <c r="S443" s="186" t="s">
        <v>20</v>
      </c>
      <c r="T443" s="186" t="s">
        <v>15</v>
      </c>
      <c r="U443" s="186" t="s">
        <v>15</v>
      </c>
      <c r="V443" s="186" t="s">
        <v>15</v>
      </c>
      <c r="W443" s="186" t="s">
        <v>15</v>
      </c>
      <c r="X443" s="186" t="s">
        <v>15</v>
      </c>
      <c r="Y443" s="186" t="s">
        <v>15</v>
      </c>
      <c r="Z443" s="186"/>
      <c r="AA443" s="186"/>
      <c r="AB443" s="186" t="s">
        <v>292</v>
      </c>
      <c r="AC443" s="186" t="s">
        <v>122</v>
      </c>
      <c r="AD443" s="268" t="s">
        <v>989</v>
      </c>
      <c r="AE443" s="268"/>
      <c r="AF443" s="144" t="str">
        <f t="shared" si="27"/>
        <v/>
      </c>
      <c r="AG443" s="144" t="str">
        <f t="shared" si="28"/>
        <v/>
      </c>
      <c r="AH443" s="146">
        <f t="shared" si="29"/>
        <v>6.0023999999999997</v>
      </c>
      <c r="AI443" s="146">
        <f t="shared" si="30"/>
        <v>9.84</v>
      </c>
      <c r="AJ443" s="303"/>
      <c r="AK443" s="303"/>
      <c r="AL443" s="303"/>
      <c r="AM443" s="303"/>
      <c r="AN443" s="303"/>
      <c r="AO443" s="303"/>
      <c r="AP443" s="303"/>
      <c r="AQ443" s="303"/>
      <c r="AR443" s="303"/>
      <c r="AS443" s="170"/>
      <c r="AT443" s="170"/>
      <c r="AU443" s="310"/>
      <c r="AW443" s="294">
        <f>BG443*0.61</f>
        <v>6.0023999999999997</v>
      </c>
      <c r="AX443" s="294">
        <f>BG443*0.39</f>
        <v>3.8376000000000001</v>
      </c>
      <c r="AY443" s="294"/>
      <c r="AZ443" s="294"/>
      <c r="BA443" s="294"/>
      <c r="BB443" s="294"/>
      <c r="BC443" s="294"/>
      <c r="BD443" s="294"/>
      <c r="BE443" s="294"/>
      <c r="BF443" s="383">
        <v>6.0023999999999997</v>
      </c>
      <c r="BG443" s="383">
        <v>9.84</v>
      </c>
      <c r="BH443" s="278"/>
      <c r="BI443" s="365" t="s">
        <v>990</v>
      </c>
      <c r="BJ443" s="409"/>
    </row>
    <row r="444" spans="1:62" ht="15.75" customHeight="1" thickBot="1" x14ac:dyDescent="0.25">
      <c r="A444" s="154">
        <v>443</v>
      </c>
      <c r="B444" s="155">
        <v>1</v>
      </c>
      <c r="C444" s="148" t="s">
        <v>975</v>
      </c>
      <c r="D444" s="149" t="s">
        <v>3060</v>
      </c>
      <c r="E444" s="148" t="s">
        <v>778</v>
      </c>
      <c r="F444" s="148" t="s">
        <v>992</v>
      </c>
      <c r="G444" s="148" t="s">
        <v>292</v>
      </c>
      <c r="H444" s="148" t="s">
        <v>73</v>
      </c>
      <c r="I444" s="161">
        <v>2010</v>
      </c>
      <c r="J444" s="161" t="s">
        <v>987</v>
      </c>
      <c r="K444" s="161" t="s">
        <v>988</v>
      </c>
      <c r="L444" s="161" t="s">
        <v>19</v>
      </c>
      <c r="M444" s="453" t="s">
        <v>4180</v>
      </c>
      <c r="N444" s="186" t="s">
        <v>20</v>
      </c>
      <c r="O444" s="186" t="s">
        <v>15</v>
      </c>
      <c r="P444" s="186" t="s">
        <v>20</v>
      </c>
      <c r="Q444" s="186" t="s">
        <v>20</v>
      </c>
      <c r="R444" s="186" t="s">
        <v>20</v>
      </c>
      <c r="S444" s="186" t="s">
        <v>20</v>
      </c>
      <c r="T444" s="186" t="s">
        <v>15</v>
      </c>
      <c r="U444" s="186" t="s">
        <v>15</v>
      </c>
      <c r="V444" s="186" t="s">
        <v>15</v>
      </c>
      <c r="W444" s="186" t="s">
        <v>15</v>
      </c>
      <c r="X444" s="186" t="s">
        <v>15</v>
      </c>
      <c r="Y444" s="186" t="s">
        <v>15</v>
      </c>
      <c r="Z444" s="186"/>
      <c r="AA444" s="186"/>
      <c r="AB444" s="186" t="s">
        <v>292</v>
      </c>
      <c r="AC444" s="186" t="s">
        <v>122</v>
      </c>
      <c r="AD444" s="268" t="s">
        <v>989</v>
      </c>
      <c r="AE444" s="268"/>
      <c r="AF444" s="144" t="str">
        <f t="shared" si="27"/>
        <v/>
      </c>
      <c r="AG444" s="144" t="str">
        <f t="shared" si="28"/>
        <v/>
      </c>
      <c r="AH444" s="146">
        <f t="shared" si="29"/>
        <v>5.8010999999999999</v>
      </c>
      <c r="AI444" s="146">
        <f t="shared" si="30"/>
        <v>9.51</v>
      </c>
      <c r="AJ444" s="303"/>
      <c r="AK444" s="303"/>
      <c r="AL444" s="303"/>
      <c r="AM444" s="303"/>
      <c r="AN444" s="303"/>
      <c r="AO444" s="303"/>
      <c r="AP444" s="303"/>
      <c r="AQ444" s="303"/>
      <c r="AR444" s="303"/>
      <c r="AS444" s="170"/>
      <c r="AT444" s="170"/>
      <c r="AU444" s="310"/>
      <c r="AW444" s="294">
        <f>BG444*0.61</f>
        <v>5.8010999999999999</v>
      </c>
      <c r="AX444" s="294">
        <f>BG444*0.39</f>
        <v>3.7088999999999999</v>
      </c>
      <c r="AY444" s="294"/>
      <c r="AZ444" s="294"/>
      <c r="BA444" s="294"/>
      <c r="BB444" s="294"/>
      <c r="BC444" s="294"/>
      <c r="BD444" s="294"/>
      <c r="BE444" s="294"/>
      <c r="BF444" s="383">
        <v>5.8010999999999999</v>
      </c>
      <c r="BG444" s="383">
        <v>9.51</v>
      </c>
      <c r="BH444" s="278"/>
      <c r="BI444" s="365" t="s">
        <v>990</v>
      </c>
      <c r="BJ444" s="409"/>
    </row>
    <row r="445" spans="1:62" ht="15.75" customHeight="1" thickBot="1" x14ac:dyDescent="0.25">
      <c r="A445" s="156">
        <v>444</v>
      </c>
      <c r="B445" s="155">
        <v>1</v>
      </c>
      <c r="C445" s="148" t="s">
        <v>975</v>
      </c>
      <c r="D445" s="149" t="s">
        <v>3057</v>
      </c>
      <c r="E445" s="148" t="s">
        <v>13</v>
      </c>
      <c r="F445" s="149" t="s">
        <v>2362</v>
      </c>
      <c r="G445" s="148" t="s">
        <v>122</v>
      </c>
      <c r="H445" s="148" t="s">
        <v>73</v>
      </c>
      <c r="I445" s="161">
        <v>2010</v>
      </c>
      <c r="J445" s="161" t="s">
        <v>993</v>
      </c>
      <c r="K445" s="161" t="s">
        <v>994</v>
      </c>
      <c r="L445" s="161" t="s">
        <v>19</v>
      </c>
      <c r="M445" s="453" t="s">
        <v>4181</v>
      </c>
      <c r="N445" s="186" t="s">
        <v>20</v>
      </c>
      <c r="O445" s="186" t="s">
        <v>15</v>
      </c>
      <c r="P445" s="186" t="s">
        <v>15</v>
      </c>
      <c r="Q445" s="186" t="s">
        <v>15</v>
      </c>
      <c r="R445" s="186" t="s">
        <v>15</v>
      </c>
      <c r="S445" s="186" t="s">
        <v>15</v>
      </c>
      <c r="T445" s="186" t="s">
        <v>15</v>
      </c>
      <c r="U445" s="186" t="s">
        <v>15</v>
      </c>
      <c r="V445" s="186" t="s">
        <v>15</v>
      </c>
      <c r="W445" s="186" t="s">
        <v>15</v>
      </c>
      <c r="X445" s="186" t="s">
        <v>15</v>
      </c>
      <c r="Y445" s="186" t="s">
        <v>15</v>
      </c>
      <c r="Z445" s="186"/>
      <c r="AA445" s="186" t="s">
        <v>995</v>
      </c>
      <c r="AB445" s="186" t="s">
        <v>292</v>
      </c>
      <c r="AC445" s="186" t="s">
        <v>122</v>
      </c>
      <c r="AD445" s="272" t="s">
        <v>996</v>
      </c>
      <c r="AE445" s="268" t="s">
        <v>2436</v>
      </c>
      <c r="AF445" s="144" t="str">
        <f t="shared" si="27"/>
        <v/>
      </c>
      <c r="AG445" s="144" t="str">
        <f t="shared" si="28"/>
        <v/>
      </c>
      <c r="AH445" s="146" t="str">
        <f t="shared" si="29"/>
        <v/>
      </c>
      <c r="AI445" s="146" t="str">
        <f t="shared" si="30"/>
        <v/>
      </c>
      <c r="AJ445" s="303"/>
      <c r="AK445" s="303"/>
      <c r="AL445" s="303"/>
      <c r="AM445" s="303"/>
      <c r="AN445" s="303"/>
      <c r="AO445" s="303"/>
      <c r="AP445" s="303"/>
      <c r="AQ445" s="303"/>
      <c r="AR445" s="303"/>
      <c r="AS445" s="170"/>
      <c r="AT445" s="170"/>
      <c r="AU445" s="310"/>
      <c r="AW445" s="294"/>
      <c r="AX445" s="294"/>
      <c r="AY445" s="294"/>
      <c r="AZ445" s="294"/>
      <c r="BA445" s="294"/>
      <c r="BB445" s="294"/>
      <c r="BC445" s="294"/>
      <c r="BD445" s="294"/>
      <c r="BE445" s="294"/>
      <c r="BF445" s="383"/>
      <c r="BG445" s="382">
        <f>0.796/0.52</f>
        <v>1.5307692307692309</v>
      </c>
      <c r="BH445" s="278"/>
      <c r="BI445" s="365" t="s">
        <v>997</v>
      </c>
      <c r="BJ445" s="409"/>
    </row>
    <row r="446" spans="1:62" ht="15.75" customHeight="1" thickBot="1" x14ac:dyDescent="0.25">
      <c r="A446" s="154">
        <v>445</v>
      </c>
      <c r="B446" s="155">
        <v>1</v>
      </c>
      <c r="C446" s="148" t="s">
        <v>975</v>
      </c>
      <c r="D446" s="149" t="s">
        <v>3057</v>
      </c>
      <c r="E446" s="148" t="s">
        <v>13</v>
      </c>
      <c r="F446" s="149" t="s">
        <v>2363</v>
      </c>
      <c r="G446" s="148" t="s">
        <v>122</v>
      </c>
      <c r="H446" s="148" t="s">
        <v>73</v>
      </c>
      <c r="I446" s="161">
        <v>2010</v>
      </c>
      <c r="J446" s="161" t="s">
        <v>993</v>
      </c>
      <c r="K446" s="161" t="s">
        <v>994</v>
      </c>
      <c r="L446" s="161" t="s">
        <v>19</v>
      </c>
      <c r="M446" s="453" t="s">
        <v>4181</v>
      </c>
      <c r="N446" s="186" t="s">
        <v>20</v>
      </c>
      <c r="O446" s="186" t="s">
        <v>15</v>
      </c>
      <c r="P446" s="186" t="s">
        <v>15</v>
      </c>
      <c r="Q446" s="186" t="s">
        <v>15</v>
      </c>
      <c r="R446" s="186" t="s">
        <v>15</v>
      </c>
      <c r="S446" s="186" t="s">
        <v>15</v>
      </c>
      <c r="T446" s="186" t="s">
        <v>15</v>
      </c>
      <c r="U446" s="186" t="s">
        <v>15</v>
      </c>
      <c r="V446" s="186" t="s">
        <v>15</v>
      </c>
      <c r="W446" s="186" t="s">
        <v>15</v>
      </c>
      <c r="X446" s="186" t="s">
        <v>15</v>
      </c>
      <c r="Y446" s="186" t="s">
        <v>15</v>
      </c>
      <c r="Z446" s="186"/>
      <c r="AA446" s="186" t="s">
        <v>995</v>
      </c>
      <c r="AB446" s="186" t="s">
        <v>292</v>
      </c>
      <c r="AC446" s="186" t="s">
        <v>122</v>
      </c>
      <c r="AD446" s="272" t="s">
        <v>996</v>
      </c>
      <c r="AE446" s="268" t="s">
        <v>2436</v>
      </c>
      <c r="AF446" s="144" t="str">
        <f t="shared" si="27"/>
        <v/>
      </c>
      <c r="AG446" s="144" t="str">
        <f t="shared" si="28"/>
        <v/>
      </c>
      <c r="AH446" s="146" t="str">
        <f t="shared" si="29"/>
        <v/>
      </c>
      <c r="AI446" s="146" t="str">
        <f t="shared" si="30"/>
        <v/>
      </c>
      <c r="AJ446" s="303"/>
      <c r="AK446" s="303"/>
      <c r="AL446" s="303"/>
      <c r="AM446" s="303"/>
      <c r="AN446" s="303"/>
      <c r="AO446" s="303"/>
      <c r="AP446" s="303"/>
      <c r="AQ446" s="303"/>
      <c r="AR446" s="303"/>
      <c r="AS446" s="170"/>
      <c r="AT446" s="170"/>
      <c r="AU446" s="310"/>
      <c r="AW446" s="294"/>
      <c r="AX446" s="294"/>
      <c r="AY446" s="294"/>
      <c r="AZ446" s="294"/>
      <c r="BA446" s="294"/>
      <c r="BB446" s="294"/>
      <c r="BC446" s="294"/>
      <c r="BD446" s="294"/>
      <c r="BE446" s="294"/>
      <c r="BF446" s="383"/>
      <c r="BG446" s="382">
        <f>2.278/0.52</f>
        <v>4.3807692307692303</v>
      </c>
      <c r="BH446" s="278"/>
      <c r="BI446" s="365" t="s">
        <v>997</v>
      </c>
      <c r="BJ446" s="409"/>
    </row>
    <row r="447" spans="1:62" ht="15.75" customHeight="1" thickBot="1" x14ac:dyDescent="0.25">
      <c r="A447" s="156">
        <v>446</v>
      </c>
      <c r="B447" s="155">
        <v>1</v>
      </c>
      <c r="C447" s="148" t="s">
        <v>975</v>
      </c>
      <c r="D447" s="149" t="s">
        <v>3057</v>
      </c>
      <c r="E447" s="148" t="s">
        <v>13</v>
      </c>
      <c r="F447" s="149" t="s">
        <v>2364</v>
      </c>
      <c r="G447" s="148" t="s">
        <v>122</v>
      </c>
      <c r="H447" s="148" t="s">
        <v>998</v>
      </c>
      <c r="I447" s="161">
        <v>2011</v>
      </c>
      <c r="J447" s="161" t="s">
        <v>993</v>
      </c>
      <c r="K447" s="161" t="s">
        <v>994</v>
      </c>
      <c r="L447" s="161" t="s">
        <v>19</v>
      </c>
      <c r="M447" s="453" t="s">
        <v>4182</v>
      </c>
      <c r="N447" s="186" t="s">
        <v>20</v>
      </c>
      <c r="O447" s="186" t="s">
        <v>15</v>
      </c>
      <c r="P447" s="186" t="s">
        <v>20</v>
      </c>
      <c r="Q447" s="186" t="s">
        <v>20</v>
      </c>
      <c r="R447" s="186" t="s">
        <v>20</v>
      </c>
      <c r="S447" s="186" t="s">
        <v>20</v>
      </c>
      <c r="T447" s="186" t="s">
        <v>20</v>
      </c>
      <c r="U447" s="186" t="s">
        <v>20</v>
      </c>
      <c r="V447" s="186" t="s">
        <v>20</v>
      </c>
      <c r="W447" s="186" t="s">
        <v>20</v>
      </c>
      <c r="X447" s="186" t="s">
        <v>15</v>
      </c>
      <c r="Y447" s="186" t="s">
        <v>15</v>
      </c>
      <c r="Z447" s="186"/>
      <c r="AA447" s="186" t="s">
        <v>999</v>
      </c>
      <c r="AB447" s="186" t="s">
        <v>292</v>
      </c>
      <c r="AC447" s="186" t="s">
        <v>122</v>
      </c>
      <c r="AD447" s="272" t="s">
        <v>1000</v>
      </c>
      <c r="AE447" s="268" t="s">
        <v>1001</v>
      </c>
      <c r="AF447" s="144" t="str">
        <f t="shared" si="27"/>
        <v/>
      </c>
      <c r="AG447" s="144" t="str">
        <f t="shared" si="28"/>
        <v/>
      </c>
      <c r="AH447" s="146" t="str">
        <f t="shared" si="29"/>
        <v/>
      </c>
      <c r="AI447" s="146" t="str">
        <f t="shared" si="30"/>
        <v/>
      </c>
      <c r="AJ447" s="303"/>
      <c r="AK447" s="303"/>
      <c r="AL447" s="303"/>
      <c r="AM447" s="303"/>
      <c r="AN447" s="303"/>
      <c r="AO447" s="303"/>
      <c r="AP447" s="303"/>
      <c r="AQ447" s="303"/>
      <c r="AR447" s="303"/>
      <c r="AS447" s="170"/>
      <c r="AT447" s="170"/>
      <c r="AU447" s="310"/>
      <c r="AW447" s="294"/>
      <c r="AX447" s="294"/>
      <c r="AY447" s="294"/>
      <c r="AZ447" s="294"/>
      <c r="BA447" s="294"/>
      <c r="BB447" s="294"/>
      <c r="BC447" s="294"/>
      <c r="BD447" s="294"/>
      <c r="BE447" s="294"/>
      <c r="BF447" s="383"/>
      <c r="BG447" s="382">
        <f>3.83*2</f>
        <v>7.66</v>
      </c>
      <c r="BH447" s="278"/>
      <c r="BI447" s="365" t="s">
        <v>997</v>
      </c>
      <c r="BJ447" s="409"/>
    </row>
    <row r="448" spans="1:62" ht="15.75" customHeight="1" thickBot="1" x14ac:dyDescent="0.25">
      <c r="A448" s="154">
        <v>447</v>
      </c>
      <c r="B448" s="155">
        <v>1</v>
      </c>
      <c r="C448" s="148" t="s">
        <v>975</v>
      </c>
      <c r="D448" s="149" t="s">
        <v>3057</v>
      </c>
      <c r="E448" s="148" t="s">
        <v>13</v>
      </c>
      <c r="F448" s="149" t="s">
        <v>2365</v>
      </c>
      <c r="G448" s="148" t="s">
        <v>122</v>
      </c>
      <c r="H448" s="148" t="s">
        <v>998</v>
      </c>
      <c r="I448" s="161">
        <v>2011</v>
      </c>
      <c r="J448" s="161" t="s">
        <v>993</v>
      </c>
      <c r="K448" s="161" t="s">
        <v>994</v>
      </c>
      <c r="L448" s="161" t="s">
        <v>19</v>
      </c>
      <c r="M448" s="453" t="s">
        <v>4182</v>
      </c>
      <c r="N448" s="186" t="s">
        <v>20</v>
      </c>
      <c r="O448" s="186" t="s">
        <v>15</v>
      </c>
      <c r="P448" s="186" t="s">
        <v>20</v>
      </c>
      <c r="Q448" s="186" t="s">
        <v>20</v>
      </c>
      <c r="R448" s="186" t="s">
        <v>20</v>
      </c>
      <c r="S448" s="186" t="s">
        <v>20</v>
      </c>
      <c r="T448" s="186" t="s">
        <v>20</v>
      </c>
      <c r="U448" s="186" t="s">
        <v>20</v>
      </c>
      <c r="V448" s="186" t="s">
        <v>20</v>
      </c>
      <c r="W448" s="186" t="s">
        <v>20</v>
      </c>
      <c r="X448" s="186" t="s">
        <v>15</v>
      </c>
      <c r="Y448" s="186" t="s">
        <v>15</v>
      </c>
      <c r="Z448" s="186"/>
      <c r="AA448" s="186" t="s">
        <v>999</v>
      </c>
      <c r="AB448" s="186" t="s">
        <v>292</v>
      </c>
      <c r="AC448" s="186" t="s">
        <v>122</v>
      </c>
      <c r="AD448" s="272" t="s">
        <v>1000</v>
      </c>
      <c r="AE448" s="268" t="s">
        <v>1001</v>
      </c>
      <c r="AF448" s="144" t="str">
        <f t="shared" si="27"/>
        <v/>
      </c>
      <c r="AG448" s="144" t="str">
        <f t="shared" si="28"/>
        <v/>
      </c>
      <c r="AH448" s="146" t="str">
        <f t="shared" si="29"/>
        <v/>
      </c>
      <c r="AI448" s="146" t="str">
        <f t="shared" si="30"/>
        <v/>
      </c>
      <c r="AJ448" s="303"/>
      <c r="AK448" s="303"/>
      <c r="AL448" s="303"/>
      <c r="AM448" s="303"/>
      <c r="AN448" s="303"/>
      <c r="AO448" s="303"/>
      <c r="AP448" s="303"/>
      <c r="AQ448" s="303"/>
      <c r="AR448" s="303"/>
      <c r="AS448" s="170"/>
      <c r="AT448" s="170"/>
      <c r="AU448" s="310"/>
      <c r="AW448" s="294"/>
      <c r="AX448" s="294"/>
      <c r="AY448" s="294"/>
      <c r="AZ448" s="294"/>
      <c r="BA448" s="294"/>
      <c r="BB448" s="294"/>
      <c r="BC448" s="294"/>
      <c r="BD448" s="294"/>
      <c r="BE448" s="294"/>
      <c r="BF448" s="383"/>
      <c r="BG448" s="382">
        <f>5.74*2</f>
        <v>11.48</v>
      </c>
      <c r="BH448" s="278"/>
      <c r="BI448" s="365" t="s">
        <v>997</v>
      </c>
      <c r="BJ448" s="409"/>
    </row>
    <row r="449" spans="1:62" ht="15.75" customHeight="1" thickBot="1" x14ac:dyDescent="0.25">
      <c r="A449" s="156">
        <v>448</v>
      </c>
      <c r="B449" s="155">
        <v>1</v>
      </c>
      <c r="C449" s="148" t="s">
        <v>236</v>
      </c>
      <c r="D449" s="148" t="s">
        <v>597</v>
      </c>
      <c r="E449" s="148" t="s">
        <v>13</v>
      </c>
      <c r="F449" s="148" t="s">
        <v>1002</v>
      </c>
      <c r="G449" s="148" t="s">
        <v>122</v>
      </c>
      <c r="H449" s="148" t="s">
        <v>1003</v>
      </c>
      <c r="I449" s="161">
        <v>2013</v>
      </c>
      <c r="J449" s="161" t="s">
        <v>1004</v>
      </c>
      <c r="K449" s="161" t="s">
        <v>1005</v>
      </c>
      <c r="L449" s="161" t="s">
        <v>19</v>
      </c>
      <c r="M449" s="453" t="s">
        <v>4183</v>
      </c>
      <c r="N449" s="186" t="s">
        <v>20</v>
      </c>
      <c r="O449" s="186" t="s">
        <v>15</v>
      </c>
      <c r="P449" s="186" t="s">
        <v>15</v>
      </c>
      <c r="Q449" s="186" t="s">
        <v>15</v>
      </c>
      <c r="R449" s="186" t="s">
        <v>15</v>
      </c>
      <c r="S449" s="186" t="s">
        <v>15</v>
      </c>
      <c r="T449" s="186" t="s">
        <v>15</v>
      </c>
      <c r="U449" s="186" t="s">
        <v>15</v>
      </c>
      <c r="V449" s="186" t="s">
        <v>15</v>
      </c>
      <c r="W449" s="186" t="s">
        <v>15</v>
      </c>
      <c r="X449" s="186" t="s">
        <v>15</v>
      </c>
      <c r="Y449" s="186" t="s">
        <v>15</v>
      </c>
      <c r="Z449" s="186"/>
      <c r="AA449" s="186" t="s">
        <v>1006</v>
      </c>
      <c r="AB449" s="186" t="s">
        <v>15</v>
      </c>
      <c r="AC449" s="186" t="s">
        <v>15</v>
      </c>
      <c r="AD449" s="268" t="s">
        <v>1007</v>
      </c>
      <c r="AE449" s="268" t="s">
        <v>1008</v>
      </c>
      <c r="AF449" s="144" t="str">
        <f t="shared" si="27"/>
        <v/>
      </c>
      <c r="AG449" s="144" t="str">
        <f t="shared" si="28"/>
        <v/>
      </c>
      <c r="AH449" s="146" t="str">
        <f t="shared" si="29"/>
        <v/>
      </c>
      <c r="AI449" s="146" t="str">
        <f t="shared" si="30"/>
        <v/>
      </c>
      <c r="AJ449" s="303"/>
      <c r="AK449" s="303"/>
      <c r="AL449" s="303"/>
      <c r="AM449" s="303"/>
      <c r="AN449" s="303"/>
      <c r="AO449" s="303"/>
      <c r="AP449" s="303"/>
      <c r="AQ449" s="303"/>
      <c r="AR449" s="303"/>
      <c r="AS449" s="170"/>
      <c r="AT449" s="170"/>
      <c r="AU449" s="310"/>
      <c r="AW449" s="294"/>
      <c r="AX449" s="294"/>
      <c r="AY449" s="294"/>
      <c r="AZ449" s="294"/>
      <c r="BA449" s="294"/>
      <c r="BB449" s="294"/>
      <c r="BC449" s="294"/>
      <c r="BD449" s="294"/>
      <c r="BE449" s="294"/>
      <c r="BF449" s="383"/>
      <c r="BG449" s="390">
        <f>0.08414*(10/11)</f>
        <v>7.6490909090909096E-2</v>
      </c>
      <c r="BH449" s="278"/>
      <c r="BI449" s="365" t="s">
        <v>1009</v>
      </c>
      <c r="BJ449" s="409"/>
    </row>
    <row r="450" spans="1:62" ht="15.75" customHeight="1" thickBot="1" x14ac:dyDescent="0.25">
      <c r="A450" s="154">
        <v>449</v>
      </c>
      <c r="B450" s="155">
        <v>1</v>
      </c>
      <c r="C450" s="148" t="s">
        <v>236</v>
      </c>
      <c r="D450" s="148" t="s">
        <v>597</v>
      </c>
      <c r="E450" s="148" t="s">
        <v>13</v>
      </c>
      <c r="F450" s="148" t="s">
        <v>1010</v>
      </c>
      <c r="G450" s="148" t="s">
        <v>122</v>
      </c>
      <c r="H450" s="148" t="s">
        <v>1003</v>
      </c>
      <c r="I450" s="161">
        <v>2013</v>
      </c>
      <c r="J450" s="161" t="s">
        <v>1004</v>
      </c>
      <c r="K450" s="161" t="s">
        <v>1005</v>
      </c>
      <c r="L450" s="161" t="s">
        <v>19</v>
      </c>
      <c r="M450" s="453" t="s">
        <v>4183</v>
      </c>
      <c r="N450" s="186" t="s">
        <v>20</v>
      </c>
      <c r="O450" s="186" t="s">
        <v>15</v>
      </c>
      <c r="P450" s="186" t="s">
        <v>15</v>
      </c>
      <c r="Q450" s="186" t="s">
        <v>15</v>
      </c>
      <c r="R450" s="186" t="s">
        <v>15</v>
      </c>
      <c r="S450" s="186" t="s">
        <v>15</v>
      </c>
      <c r="T450" s="186" t="s">
        <v>15</v>
      </c>
      <c r="U450" s="186" t="s">
        <v>15</v>
      </c>
      <c r="V450" s="186" t="s">
        <v>15</v>
      </c>
      <c r="W450" s="186" t="s">
        <v>15</v>
      </c>
      <c r="X450" s="186" t="s">
        <v>15</v>
      </c>
      <c r="Y450" s="186" t="s">
        <v>15</v>
      </c>
      <c r="Z450" s="186"/>
      <c r="AA450" s="186" t="s">
        <v>1006</v>
      </c>
      <c r="AB450" s="186" t="s">
        <v>15</v>
      </c>
      <c r="AC450" s="186" t="s">
        <v>15</v>
      </c>
      <c r="AD450" s="268" t="s">
        <v>1007</v>
      </c>
      <c r="AE450" s="268" t="s">
        <v>1008</v>
      </c>
      <c r="AF450" s="144" t="str">
        <f t="shared" ref="AF450:AF513" si="31">IF(AS450&lt;&gt;0,AS450,"")</f>
        <v/>
      </c>
      <c r="AG450" s="144" t="str">
        <f t="shared" ref="AG450:AG465" si="32">IF(AND(SUM(AJ450:AL450)&lt;&gt;0,SUM(AJ450:AL450)&lt;&gt;AJ450),SUM(AJ450:AL450),"")</f>
        <v/>
      </c>
      <c r="AH450" s="146" t="str">
        <f t="shared" ref="AH450:AH513" si="33">IF(BF450&lt;&gt;0,BF450,"")</f>
        <v/>
      </c>
      <c r="AI450" s="146" t="str">
        <f t="shared" ref="AI450:AI513" si="34">IF(AND(SUM(AW450:AY450)&lt;&gt;0,SUM(AW450:AY450)&lt;&gt;AW450),SUM(AW450:AY450),"")</f>
        <v/>
      </c>
      <c r="AJ450" s="303"/>
      <c r="AK450" s="303"/>
      <c r="AL450" s="303"/>
      <c r="AM450" s="303"/>
      <c r="AN450" s="303"/>
      <c r="AO450" s="303"/>
      <c r="AP450" s="303"/>
      <c r="AQ450" s="303"/>
      <c r="AR450" s="303"/>
      <c r="AS450" s="170"/>
      <c r="AT450" s="170"/>
      <c r="AU450" s="310"/>
      <c r="AW450" s="294"/>
      <c r="AX450" s="294"/>
      <c r="AY450" s="294"/>
      <c r="AZ450" s="294"/>
      <c r="BA450" s="294"/>
      <c r="BB450" s="294"/>
      <c r="BC450" s="294"/>
      <c r="BD450" s="294"/>
      <c r="BE450" s="294"/>
      <c r="BF450" s="383"/>
      <c r="BG450" s="390">
        <f>0.11746*(10/11)</f>
        <v>0.10678181818181817</v>
      </c>
      <c r="BH450" s="278"/>
      <c r="BI450" s="365" t="s">
        <v>1009</v>
      </c>
      <c r="BJ450" s="409"/>
    </row>
    <row r="451" spans="1:62" ht="15.75" customHeight="1" thickBot="1" x14ac:dyDescent="0.25">
      <c r="A451" s="156">
        <v>450</v>
      </c>
      <c r="B451" s="155">
        <v>1</v>
      </c>
      <c r="C451" s="148" t="s">
        <v>236</v>
      </c>
      <c r="D451" s="148" t="s">
        <v>597</v>
      </c>
      <c r="E451" s="148" t="s">
        <v>13</v>
      </c>
      <c r="F451" s="148" t="s">
        <v>1011</v>
      </c>
      <c r="G451" s="148" t="s">
        <v>122</v>
      </c>
      <c r="H451" s="148" t="s">
        <v>1003</v>
      </c>
      <c r="I451" s="161">
        <v>2013</v>
      </c>
      <c r="J451" s="161" t="s">
        <v>1004</v>
      </c>
      <c r="K451" s="161" t="s">
        <v>1005</v>
      </c>
      <c r="L451" s="161" t="s">
        <v>19</v>
      </c>
      <c r="M451" s="453" t="s">
        <v>4183</v>
      </c>
      <c r="N451" s="186" t="s">
        <v>20</v>
      </c>
      <c r="O451" s="186" t="s">
        <v>15</v>
      </c>
      <c r="P451" s="186" t="s">
        <v>15</v>
      </c>
      <c r="Q451" s="186" t="s">
        <v>15</v>
      </c>
      <c r="R451" s="186" t="s">
        <v>15</v>
      </c>
      <c r="S451" s="186" t="s">
        <v>15</v>
      </c>
      <c r="T451" s="186" t="s">
        <v>15</v>
      </c>
      <c r="U451" s="186" t="s">
        <v>15</v>
      </c>
      <c r="V451" s="186" t="s">
        <v>15</v>
      </c>
      <c r="W451" s="186" t="s">
        <v>15</v>
      </c>
      <c r="X451" s="186" t="s">
        <v>15</v>
      </c>
      <c r="Y451" s="186" t="s">
        <v>15</v>
      </c>
      <c r="Z451" s="186"/>
      <c r="AA451" s="186" t="s">
        <v>1006</v>
      </c>
      <c r="AB451" s="186" t="s">
        <v>15</v>
      </c>
      <c r="AC451" s="186" t="s">
        <v>15</v>
      </c>
      <c r="AD451" s="268" t="s">
        <v>1007</v>
      </c>
      <c r="AE451" s="268" t="s">
        <v>1008</v>
      </c>
      <c r="AF451" s="144" t="str">
        <f t="shared" si="31"/>
        <v/>
      </c>
      <c r="AG451" s="144" t="str">
        <f t="shared" si="32"/>
        <v/>
      </c>
      <c r="AH451" s="146" t="str">
        <f t="shared" si="33"/>
        <v/>
      </c>
      <c r="AI451" s="146" t="str">
        <f t="shared" si="34"/>
        <v/>
      </c>
      <c r="AJ451" s="303"/>
      <c r="AK451" s="303"/>
      <c r="AL451" s="303"/>
      <c r="AM451" s="303"/>
      <c r="AN451" s="303"/>
      <c r="AO451" s="303"/>
      <c r="AP451" s="303"/>
      <c r="AQ451" s="303"/>
      <c r="AR451" s="303"/>
      <c r="AS451" s="170"/>
      <c r="AT451" s="170"/>
      <c r="AU451" s="310"/>
      <c r="AW451" s="294"/>
      <c r="AX451" s="294"/>
      <c r="AY451" s="294"/>
      <c r="AZ451" s="294"/>
      <c r="BA451" s="294"/>
      <c r="BB451" s="294"/>
      <c r="BC451" s="294"/>
      <c r="BD451" s="294"/>
      <c r="BE451" s="294"/>
      <c r="BF451" s="383"/>
      <c r="BG451" s="390">
        <f>0.329365*(10/11)</f>
        <v>0.29942272727272728</v>
      </c>
      <c r="BH451" s="278"/>
      <c r="BI451" s="365" t="s">
        <v>1009</v>
      </c>
      <c r="BJ451" s="409"/>
    </row>
    <row r="452" spans="1:62" ht="15.75" customHeight="1" thickBot="1" x14ac:dyDescent="0.25">
      <c r="A452" s="154">
        <v>451</v>
      </c>
      <c r="B452" s="155">
        <v>1</v>
      </c>
      <c r="C452" s="148" t="s">
        <v>596</v>
      </c>
      <c r="D452" s="148" t="s">
        <v>3052</v>
      </c>
      <c r="E452" s="148" t="s">
        <v>13</v>
      </c>
      <c r="F452" s="148" t="s">
        <v>1012</v>
      </c>
      <c r="G452" s="148" t="s">
        <v>292</v>
      </c>
      <c r="H452" s="148" t="s">
        <v>708</v>
      </c>
      <c r="I452" s="161">
        <v>2009</v>
      </c>
      <c r="J452" s="161" t="s">
        <v>1013</v>
      </c>
      <c r="K452" s="161"/>
      <c r="L452" s="161" t="s">
        <v>19</v>
      </c>
      <c r="M452" s="453" t="s">
        <v>4184</v>
      </c>
      <c r="N452" s="186" t="s">
        <v>20</v>
      </c>
      <c r="O452" s="186" t="s">
        <v>15</v>
      </c>
      <c r="P452" s="186" t="s">
        <v>20</v>
      </c>
      <c r="Q452" s="186" t="s">
        <v>20</v>
      </c>
      <c r="R452" s="186" t="s">
        <v>20</v>
      </c>
      <c r="S452" s="186" t="s">
        <v>20</v>
      </c>
      <c r="T452" s="186" t="s">
        <v>15</v>
      </c>
      <c r="U452" s="186" t="s">
        <v>15</v>
      </c>
      <c r="V452" s="186" t="s">
        <v>15</v>
      </c>
      <c r="W452" s="186" t="s">
        <v>20</v>
      </c>
      <c r="X452" s="186" t="s">
        <v>15</v>
      </c>
      <c r="Y452" s="186" t="s">
        <v>15</v>
      </c>
      <c r="Z452" s="186"/>
      <c r="AA452" s="186" t="s">
        <v>1014</v>
      </c>
      <c r="AB452" s="186" t="s">
        <v>292</v>
      </c>
      <c r="AC452" s="186" t="s">
        <v>15</v>
      </c>
      <c r="AD452" s="268" t="s">
        <v>1015</v>
      </c>
      <c r="AE452" s="268" t="s">
        <v>3306</v>
      </c>
      <c r="AF452" s="144">
        <f t="shared" si="31"/>
        <v>115</v>
      </c>
      <c r="AG452" s="144">
        <f t="shared" si="32"/>
        <v>175</v>
      </c>
      <c r="AH452" s="146">
        <f t="shared" si="33"/>
        <v>7.75</v>
      </c>
      <c r="AI452" s="146">
        <f t="shared" si="34"/>
        <v>11.35</v>
      </c>
      <c r="AJ452" s="303">
        <v>115</v>
      </c>
      <c r="AK452" s="303">
        <v>10</v>
      </c>
      <c r="AL452" s="303">
        <v>50</v>
      </c>
      <c r="AM452" s="303">
        <v>45</v>
      </c>
      <c r="AN452" s="303">
        <v>15</v>
      </c>
      <c r="AO452" s="303"/>
      <c r="AP452" s="303">
        <f>(0.3+0.4)/0.002</f>
        <v>349.99999999999994</v>
      </c>
      <c r="AQ452" s="303">
        <f>-0.005/0.002</f>
        <v>-2.5</v>
      </c>
      <c r="AR452" s="303">
        <f>(0.06+0.03)/0.002</f>
        <v>45</v>
      </c>
      <c r="AS452" s="170">
        <f>AJ452</f>
        <v>115</v>
      </c>
      <c r="AT452" s="169">
        <f>SUM(AJ452:AR452)</f>
        <v>627.5</v>
      </c>
      <c r="AU452" s="310"/>
      <c r="AW452" s="294">
        <f>(9.6+2.4+3.5)/0.002/1000</f>
        <v>7.75</v>
      </c>
      <c r="AX452" s="294">
        <f>1/1000/0.02</f>
        <v>0.05</v>
      </c>
      <c r="AY452" s="294">
        <f>7.1/1000/0.002</f>
        <v>3.55</v>
      </c>
      <c r="AZ452" s="294">
        <f>7.7/1000/0.002</f>
        <v>3.85</v>
      </c>
      <c r="BA452" s="294">
        <f>1.6/1000/0.002</f>
        <v>0.8</v>
      </c>
      <c r="BB452" s="294"/>
      <c r="BC452" s="294">
        <f>(15+20)/1000/0.002</f>
        <v>17.5</v>
      </c>
      <c r="BD452" s="294">
        <f>-2.2/1000/0.002</f>
        <v>-1.1000000000000001</v>
      </c>
      <c r="BE452" s="294">
        <f>(2+3.2)/1000/0.002</f>
        <v>2.5999999999999996</v>
      </c>
      <c r="BF452" s="383">
        <f>AW452</f>
        <v>7.75</v>
      </c>
      <c r="BG452" s="382">
        <f>SUM(AW452:BE452)</f>
        <v>35</v>
      </c>
      <c r="BH452" s="278"/>
      <c r="BI452" s="365" t="s">
        <v>47</v>
      </c>
      <c r="BJ452" s="409"/>
    </row>
    <row r="453" spans="1:62" ht="15" customHeight="1" thickBot="1" x14ac:dyDescent="0.25">
      <c r="A453" s="156">
        <v>452</v>
      </c>
      <c r="B453" s="155">
        <v>1</v>
      </c>
      <c r="C453" s="148" t="s">
        <v>596</v>
      </c>
      <c r="D453" s="148" t="s">
        <v>1928</v>
      </c>
      <c r="E453" s="148" t="s">
        <v>13</v>
      </c>
      <c r="F453" s="148" t="s">
        <v>1017</v>
      </c>
      <c r="G453" s="148" t="s">
        <v>292</v>
      </c>
      <c r="H453" s="148" t="s">
        <v>708</v>
      </c>
      <c r="I453" s="161">
        <v>2009</v>
      </c>
      <c r="J453" s="161" t="s">
        <v>1013</v>
      </c>
      <c r="K453" s="161"/>
      <c r="L453" s="161" t="s">
        <v>19</v>
      </c>
      <c r="M453" s="453" t="s">
        <v>4184</v>
      </c>
      <c r="N453" s="186" t="s">
        <v>20</v>
      </c>
      <c r="O453" s="186" t="s">
        <v>15</v>
      </c>
      <c r="P453" s="186" t="s">
        <v>20</v>
      </c>
      <c r="Q453" s="186" t="s">
        <v>20</v>
      </c>
      <c r="R453" s="186" t="s">
        <v>20</v>
      </c>
      <c r="S453" s="186" t="s">
        <v>20</v>
      </c>
      <c r="T453" s="186" t="s">
        <v>15</v>
      </c>
      <c r="U453" s="186" t="s">
        <v>15</v>
      </c>
      <c r="V453" s="186" t="s">
        <v>15</v>
      </c>
      <c r="W453" s="186" t="s">
        <v>20</v>
      </c>
      <c r="X453" s="186" t="s">
        <v>15</v>
      </c>
      <c r="Y453" s="186" t="s">
        <v>15</v>
      </c>
      <c r="Z453" s="186"/>
      <c r="AA453" s="186" t="s">
        <v>1014</v>
      </c>
      <c r="AB453" s="186" t="s">
        <v>15</v>
      </c>
      <c r="AC453" s="186" t="s">
        <v>15</v>
      </c>
      <c r="AD453" s="268" t="s">
        <v>1015</v>
      </c>
      <c r="AE453" s="268" t="s">
        <v>3307</v>
      </c>
      <c r="AF453" s="144">
        <f t="shared" si="31"/>
        <v>44.444444444444443</v>
      </c>
      <c r="AG453" s="144">
        <f t="shared" si="32"/>
        <v>55.55555555555555</v>
      </c>
      <c r="AH453" s="146">
        <f t="shared" si="33"/>
        <v>2.8740740740740738</v>
      </c>
      <c r="AI453" s="146">
        <f t="shared" si="34"/>
        <v>3.2888888888888888</v>
      </c>
      <c r="AJ453" s="303">
        <f>(0.2+0.3+0.1)/0.0135</f>
        <v>44.444444444444443</v>
      </c>
      <c r="AK453" s="303">
        <f>0.06/0.0135</f>
        <v>4.4444444444444446</v>
      </c>
      <c r="AL453" s="303">
        <f>0.09/0.0135</f>
        <v>6.6666666666666661</v>
      </c>
      <c r="AM453" s="303">
        <f>0.06/0.0135</f>
        <v>4.4444444444444446</v>
      </c>
      <c r="AN453" s="303">
        <f>0.08/0.0135</f>
        <v>5.9259259259259265</v>
      </c>
      <c r="AO453" s="303"/>
      <c r="AP453" s="303">
        <f>(0.9+0.4)/0.0135</f>
        <v>96.296296296296305</v>
      </c>
      <c r="AQ453" s="303">
        <f>-0.07/0.0135</f>
        <v>-5.185185185185186</v>
      </c>
      <c r="AR453" s="303">
        <f>(0.06+0.9)/0.0135</f>
        <v>71.111111111111114</v>
      </c>
      <c r="AS453" s="170">
        <f>AJ453</f>
        <v>44.444444444444443</v>
      </c>
      <c r="AT453" s="169">
        <f>SUM(AJ453:AR453)</f>
        <v>228.14814814814815</v>
      </c>
      <c r="AU453" s="310"/>
      <c r="AW453" s="294">
        <f>(24+6.1+8.7)/1000/0.0135</f>
        <v>2.8740740740740738</v>
      </c>
      <c r="AX453" s="294">
        <f>2.5/1000/0.0135</f>
        <v>0.1851851851851852</v>
      </c>
      <c r="AY453" s="294">
        <f>3.1/1000/0.0135</f>
        <v>0.22962962962962963</v>
      </c>
      <c r="AZ453" s="294">
        <f>2.5/1000/0.0135</f>
        <v>0.1851851851851852</v>
      </c>
      <c r="BA453" s="294">
        <f>2.7/1000/0.0135</f>
        <v>0.2</v>
      </c>
      <c r="BB453" s="294"/>
      <c r="BC453" s="294">
        <f>(44+20)/1000/0.0135</f>
        <v>4.7407407407407405</v>
      </c>
      <c r="BD453" s="294">
        <f>-3.5/1000/0.0135</f>
        <v>-0.25925925925925924</v>
      </c>
      <c r="BE453" s="294">
        <f>(2.8+3.2)/1000/0.0135</f>
        <v>0.44444444444444448</v>
      </c>
      <c r="BF453" s="383">
        <f>AW453</f>
        <v>2.8740740740740738</v>
      </c>
      <c r="BG453" s="382">
        <f>SUM(AW453:BE453)</f>
        <v>8.6</v>
      </c>
      <c r="BH453" s="278"/>
      <c r="BI453" s="365" t="s">
        <v>47</v>
      </c>
      <c r="BJ453" s="409"/>
    </row>
    <row r="454" spans="1:62" ht="15.75" customHeight="1" thickBot="1" x14ac:dyDescent="0.25">
      <c r="A454" s="154">
        <v>453</v>
      </c>
      <c r="B454" s="155">
        <v>1</v>
      </c>
      <c r="C454" s="148" t="s">
        <v>596</v>
      </c>
      <c r="D454" s="148" t="s">
        <v>1928</v>
      </c>
      <c r="E454" s="148" t="s">
        <v>13</v>
      </c>
      <c r="F454" s="148" t="s">
        <v>1018</v>
      </c>
      <c r="G454" s="148" t="s">
        <v>292</v>
      </c>
      <c r="H454" s="148" t="s">
        <v>708</v>
      </c>
      <c r="I454" s="161">
        <v>2009</v>
      </c>
      <c r="J454" s="161" t="s">
        <v>1013</v>
      </c>
      <c r="K454" s="161"/>
      <c r="L454" s="161" t="s">
        <v>19</v>
      </c>
      <c r="M454" s="453" t="s">
        <v>4184</v>
      </c>
      <c r="N454" s="186" t="s">
        <v>20</v>
      </c>
      <c r="O454" s="186" t="s">
        <v>15</v>
      </c>
      <c r="P454" s="186" t="s">
        <v>20</v>
      </c>
      <c r="Q454" s="186" t="s">
        <v>20</v>
      </c>
      <c r="R454" s="186" t="s">
        <v>20</v>
      </c>
      <c r="S454" s="186" t="s">
        <v>20</v>
      </c>
      <c r="T454" s="186" t="s">
        <v>15</v>
      </c>
      <c r="U454" s="186" t="s">
        <v>15</v>
      </c>
      <c r="V454" s="186" t="s">
        <v>15</v>
      </c>
      <c r="W454" s="186" t="s">
        <v>20</v>
      </c>
      <c r="X454" s="186" t="s">
        <v>15</v>
      </c>
      <c r="Y454" s="186" t="s">
        <v>15</v>
      </c>
      <c r="Z454" s="186"/>
      <c r="AA454" s="186" t="s">
        <v>1014</v>
      </c>
      <c r="AB454" s="186" t="s">
        <v>15</v>
      </c>
      <c r="AC454" s="186" t="s">
        <v>15</v>
      </c>
      <c r="AD454" s="268" t="s">
        <v>1015</v>
      </c>
      <c r="AE454" s="268" t="s">
        <v>2761</v>
      </c>
      <c r="AF454" s="144">
        <f t="shared" si="31"/>
        <v>73.846153846153854</v>
      </c>
      <c r="AG454" s="144">
        <f t="shared" si="32"/>
        <v>84.615384615384627</v>
      </c>
      <c r="AH454" s="146">
        <f t="shared" si="33"/>
        <v>4.2615384615384615</v>
      </c>
      <c r="AI454" s="146">
        <f t="shared" si="34"/>
        <v>4.8769230769230765</v>
      </c>
      <c r="AJ454" s="303">
        <f>(0.2+0.2+0.08)/0.0065</f>
        <v>73.846153846153854</v>
      </c>
      <c r="AK454" s="303">
        <f>0.03/0.0065</f>
        <v>4.6153846153846159</v>
      </c>
      <c r="AL454" s="303">
        <f>0.04/0.0065</f>
        <v>6.1538461538461542</v>
      </c>
      <c r="AM454" s="303">
        <f>0.5/0.0065</f>
        <v>76.92307692307692</v>
      </c>
      <c r="AN454" s="303">
        <f>0.08/0.0065</f>
        <v>12.307692307692308</v>
      </c>
      <c r="AO454" s="303"/>
      <c r="AP454" s="303">
        <f>(0.3+0.4)/0.0065</f>
        <v>107.69230769230769</v>
      </c>
      <c r="AQ454" s="303">
        <f>-0.05/0.0065</f>
        <v>-7.6923076923076934</v>
      </c>
      <c r="AR454" s="303">
        <f>(0.07+0.08)/0.0065</f>
        <v>23.07692307692308</v>
      </c>
      <c r="AS454" s="170">
        <f>AJ454</f>
        <v>73.846153846153854</v>
      </c>
      <c r="AT454" s="169">
        <f>SUM(AJ454:AR454)</f>
        <v>296.92307692307696</v>
      </c>
      <c r="AU454" s="310"/>
      <c r="AW454" s="294">
        <f>(17+4.4+6.3)/1000/0.0065</f>
        <v>4.2615384615384615</v>
      </c>
      <c r="AX454" s="294">
        <f>1.8/1000/0.0065</f>
        <v>0.27692307692307694</v>
      </c>
      <c r="AY454" s="294">
        <f>2.2/1000/0.0065</f>
        <v>0.33846153846153848</v>
      </c>
      <c r="AZ454" s="294">
        <f>21/1000/0.0065</f>
        <v>3.2307692307692313</v>
      </c>
      <c r="BA454" s="294">
        <f>4.2/1000/0.0065</f>
        <v>0.6461538461538463</v>
      </c>
      <c r="BB454" s="294"/>
      <c r="BC454" s="294">
        <f>(17+20)/1000/0.0065</f>
        <v>5.6923076923076925</v>
      </c>
      <c r="BD454" s="294">
        <f>6.2/1000/0.0065</f>
        <v>0.9538461538461539</v>
      </c>
      <c r="BE454" s="294">
        <f>(4.6+3.7)/1000/0.0065</f>
        <v>1.276923076923077</v>
      </c>
      <c r="BF454" s="383">
        <f>AW454</f>
        <v>4.2615384615384615</v>
      </c>
      <c r="BG454" s="382">
        <f>SUM(AW454:BE454)</f>
        <v>16.676923076923075</v>
      </c>
      <c r="BH454" s="278"/>
      <c r="BI454" s="365" t="s">
        <v>47</v>
      </c>
      <c r="BJ454" s="409"/>
    </row>
    <row r="455" spans="1:62" ht="15.75" customHeight="1" thickBot="1" x14ac:dyDescent="0.25">
      <c r="A455" s="156">
        <v>454</v>
      </c>
      <c r="B455" s="155">
        <v>1</v>
      </c>
      <c r="C455" s="148" t="s">
        <v>596</v>
      </c>
      <c r="D455" s="148" t="s">
        <v>1928</v>
      </c>
      <c r="E455" s="148" t="s">
        <v>13</v>
      </c>
      <c r="F455" s="148" t="s">
        <v>1019</v>
      </c>
      <c r="G455" s="148" t="s">
        <v>292</v>
      </c>
      <c r="H455" s="148" t="s">
        <v>708</v>
      </c>
      <c r="I455" s="161">
        <v>2009</v>
      </c>
      <c r="J455" s="161" t="s">
        <v>1020</v>
      </c>
      <c r="K455" s="161" t="s">
        <v>1021</v>
      </c>
      <c r="L455" s="161" t="s">
        <v>1022</v>
      </c>
      <c r="M455" s="453" t="s">
        <v>4185</v>
      </c>
      <c r="N455" s="186" t="s">
        <v>20</v>
      </c>
      <c r="O455" s="186" t="s">
        <v>15</v>
      </c>
      <c r="P455" s="186" t="s">
        <v>20</v>
      </c>
      <c r="Q455" s="186" t="s">
        <v>20</v>
      </c>
      <c r="R455" s="186" t="s">
        <v>20</v>
      </c>
      <c r="S455" s="186" t="s">
        <v>20</v>
      </c>
      <c r="T455" s="186" t="s">
        <v>15</v>
      </c>
      <c r="U455" s="186" t="s">
        <v>20</v>
      </c>
      <c r="V455" s="186" t="s">
        <v>15</v>
      </c>
      <c r="W455" s="186" t="s">
        <v>20</v>
      </c>
      <c r="X455" s="186" t="s">
        <v>15</v>
      </c>
      <c r="Y455" s="186" t="s">
        <v>15</v>
      </c>
      <c r="Z455" s="186"/>
      <c r="AA455" s="186" t="s">
        <v>1023</v>
      </c>
      <c r="AB455" s="186" t="s">
        <v>292</v>
      </c>
      <c r="AC455" s="186" t="s">
        <v>15</v>
      </c>
      <c r="AD455" s="268" t="s">
        <v>1024</v>
      </c>
      <c r="AE455" s="268" t="s">
        <v>2762</v>
      </c>
      <c r="AF455" s="144" t="str">
        <f t="shared" si="31"/>
        <v/>
      </c>
      <c r="AG455" s="144">
        <f t="shared" si="32"/>
        <v>53.571428571428569</v>
      </c>
      <c r="AH455" s="146" t="str">
        <f t="shared" si="33"/>
        <v/>
      </c>
      <c r="AI455" s="146">
        <f t="shared" si="34"/>
        <v>10.671428571428571</v>
      </c>
      <c r="AJ455" s="303"/>
      <c r="AK455" s="303"/>
      <c r="AL455" s="307">
        <f>0.375/(7/1000)</f>
        <v>53.571428571428569</v>
      </c>
      <c r="AM455" s="303">
        <f>0.0263/0.007</f>
        <v>3.7571428571428571</v>
      </c>
      <c r="AN455" s="303"/>
      <c r="AO455" s="303"/>
      <c r="AP455" s="303">
        <f>0.239/0.007</f>
        <v>34.142857142857139</v>
      </c>
      <c r="AQ455" s="303"/>
      <c r="AR455" s="303"/>
      <c r="AS455" s="170"/>
      <c r="AT455" s="169">
        <f>SUM(AJ455:AR455)</f>
        <v>91.471428571428561</v>
      </c>
      <c r="AU455" s="310"/>
      <c r="AW455" s="294"/>
      <c r="AX455" s="294"/>
      <c r="AY455" s="353">
        <f>0.0747/(7/1000)</f>
        <v>10.671428571428571</v>
      </c>
      <c r="AZ455" s="294">
        <f>0.00123/0.007</f>
        <v>0.17571428571428571</v>
      </c>
      <c r="BA455" s="294"/>
      <c r="BB455" s="294"/>
      <c r="BC455" s="294">
        <f>0.0119/0.007</f>
        <v>1.7000000000000002</v>
      </c>
      <c r="BD455" s="294"/>
      <c r="BE455" s="294"/>
      <c r="BF455" s="383"/>
      <c r="BG455" s="382">
        <f>SUM(AW455:BE455)</f>
        <v>12.547142857142855</v>
      </c>
      <c r="BH455" s="278"/>
      <c r="BI455" s="365"/>
      <c r="BJ455" s="409"/>
    </row>
    <row r="456" spans="1:62" ht="15.75" customHeight="1" thickBot="1" x14ac:dyDescent="0.25">
      <c r="A456" s="154">
        <v>455</v>
      </c>
      <c r="B456" s="155">
        <v>1</v>
      </c>
      <c r="C456" s="148" t="s">
        <v>596</v>
      </c>
      <c r="D456" s="148" t="s">
        <v>2760</v>
      </c>
      <c r="E456" s="148" t="s">
        <v>13</v>
      </c>
      <c r="F456" s="148" t="s">
        <v>1026</v>
      </c>
      <c r="G456" s="148" t="s">
        <v>292</v>
      </c>
      <c r="H456" s="148" t="s">
        <v>708</v>
      </c>
      <c r="I456" s="161">
        <v>2009</v>
      </c>
      <c r="J456" s="161" t="s">
        <v>1020</v>
      </c>
      <c r="K456" s="161" t="s">
        <v>1021</v>
      </c>
      <c r="L456" s="161" t="s">
        <v>1022</v>
      </c>
      <c r="M456" s="453" t="s">
        <v>4185</v>
      </c>
      <c r="N456" s="186" t="s">
        <v>20</v>
      </c>
      <c r="O456" s="186" t="s">
        <v>15</v>
      </c>
      <c r="P456" s="186" t="s">
        <v>20</v>
      </c>
      <c r="Q456" s="186" t="s">
        <v>20</v>
      </c>
      <c r="R456" s="186" t="s">
        <v>20</v>
      </c>
      <c r="S456" s="186" t="s">
        <v>20</v>
      </c>
      <c r="T456" s="186" t="s">
        <v>15</v>
      </c>
      <c r="U456" s="186" t="s">
        <v>20</v>
      </c>
      <c r="V456" s="186" t="s">
        <v>15</v>
      </c>
      <c r="W456" s="186" t="s">
        <v>20</v>
      </c>
      <c r="X456" s="186" t="s">
        <v>15</v>
      </c>
      <c r="Y456" s="186" t="s">
        <v>15</v>
      </c>
      <c r="Z456" s="186"/>
      <c r="AA456" s="186" t="s">
        <v>1023</v>
      </c>
      <c r="AB456" s="186" t="s">
        <v>15</v>
      </c>
      <c r="AC456" s="186" t="s">
        <v>15</v>
      </c>
      <c r="AD456" s="268" t="s">
        <v>1024</v>
      </c>
      <c r="AE456" s="268" t="s">
        <v>1025</v>
      </c>
      <c r="AF456" s="144" t="str">
        <f t="shared" si="31"/>
        <v/>
      </c>
      <c r="AG456" s="144" t="str">
        <f t="shared" si="32"/>
        <v/>
      </c>
      <c r="AH456" s="146" t="str">
        <f t="shared" si="33"/>
        <v/>
      </c>
      <c r="AI456" s="146" t="str">
        <f t="shared" si="34"/>
        <v/>
      </c>
      <c r="AJ456" s="303"/>
      <c r="AK456" s="303"/>
      <c r="AL456" s="303"/>
      <c r="AM456" s="303"/>
      <c r="AN456" s="303"/>
      <c r="AO456" s="303"/>
      <c r="AP456" s="303"/>
      <c r="AQ456" s="303"/>
      <c r="AR456" s="303"/>
      <c r="AS456" s="170"/>
      <c r="AT456" s="225">
        <f>1.42*1000/236.588</f>
        <v>6.0019950293336946</v>
      </c>
      <c r="AU456" s="310"/>
      <c r="AW456" s="294"/>
      <c r="AX456" s="294"/>
      <c r="AY456" s="294"/>
      <c r="AZ456" s="294"/>
      <c r="BA456" s="294"/>
      <c r="BB456" s="294"/>
      <c r="BC456" s="294"/>
      <c r="BD456" s="294"/>
      <c r="BE456" s="294"/>
      <c r="BF456" s="383"/>
      <c r="BG456" s="390">
        <f>0.125*1000/236.588</f>
        <v>0.52834463286388156</v>
      </c>
      <c r="BH456" s="278"/>
      <c r="BI456" s="365"/>
      <c r="BJ456" s="409"/>
    </row>
    <row r="457" spans="1:62" ht="15.75" customHeight="1" thickBot="1" x14ac:dyDescent="0.25">
      <c r="A457" s="156">
        <v>456</v>
      </c>
      <c r="B457" s="155">
        <v>1</v>
      </c>
      <c r="C457" s="148" t="s">
        <v>596</v>
      </c>
      <c r="D457" s="148" t="s">
        <v>3052</v>
      </c>
      <c r="E457" s="148" t="s">
        <v>13</v>
      </c>
      <c r="F457" s="148" t="s">
        <v>1027</v>
      </c>
      <c r="G457" s="148" t="s">
        <v>292</v>
      </c>
      <c r="H457" s="148" t="s">
        <v>708</v>
      </c>
      <c r="I457" s="161">
        <v>2009</v>
      </c>
      <c r="J457" s="161" t="s">
        <v>1020</v>
      </c>
      <c r="K457" s="161" t="s">
        <v>1021</v>
      </c>
      <c r="L457" s="161" t="s">
        <v>1022</v>
      </c>
      <c r="M457" s="453" t="s">
        <v>4185</v>
      </c>
      <c r="N457" s="186" t="s">
        <v>20</v>
      </c>
      <c r="O457" s="186" t="s">
        <v>15</v>
      </c>
      <c r="P457" s="186" t="s">
        <v>20</v>
      </c>
      <c r="Q457" s="186" t="s">
        <v>20</v>
      </c>
      <c r="R457" s="186" t="s">
        <v>20</v>
      </c>
      <c r="S457" s="186" t="s">
        <v>20</v>
      </c>
      <c r="T457" s="186" t="s">
        <v>15</v>
      </c>
      <c r="U457" s="186" t="s">
        <v>20</v>
      </c>
      <c r="V457" s="186" t="s">
        <v>15</v>
      </c>
      <c r="W457" s="186" t="s">
        <v>20</v>
      </c>
      <c r="X457" s="186" t="s">
        <v>15</v>
      </c>
      <c r="Y457" s="186" t="s">
        <v>15</v>
      </c>
      <c r="Z457" s="186"/>
      <c r="AA457" s="186" t="s">
        <v>1023</v>
      </c>
      <c r="AB457" s="186" t="s">
        <v>15</v>
      </c>
      <c r="AC457" s="186" t="s">
        <v>15</v>
      </c>
      <c r="AD457" s="268" t="s">
        <v>1024</v>
      </c>
      <c r="AE457" s="268" t="s">
        <v>2763</v>
      </c>
      <c r="AF457" s="144" t="str">
        <f t="shared" si="31"/>
        <v/>
      </c>
      <c r="AG457" s="144">
        <f t="shared" si="32"/>
        <v>187.5</v>
      </c>
      <c r="AH457" s="146" t="str">
        <f t="shared" si="33"/>
        <v/>
      </c>
      <c r="AI457" s="146">
        <f t="shared" si="34"/>
        <v>27.05</v>
      </c>
      <c r="AJ457" s="303"/>
      <c r="AK457" s="303"/>
      <c r="AL457" s="307">
        <f>0.375/(2/1000)</f>
        <v>187.5</v>
      </c>
      <c r="AM457" s="303">
        <f>0.126/0.002</f>
        <v>63</v>
      </c>
      <c r="AN457" s="303"/>
      <c r="AO457" s="303"/>
      <c r="AP457" s="303">
        <f>0.334/0.002</f>
        <v>167</v>
      </c>
      <c r="AQ457" s="303"/>
      <c r="AR457" s="303"/>
      <c r="AS457" s="170"/>
      <c r="AT457" s="169">
        <f>SUM(AJ457:AR457)</f>
        <v>417.5</v>
      </c>
      <c r="AU457" s="310"/>
      <c r="AW457" s="294"/>
      <c r="AX457" s="294"/>
      <c r="AY457" s="353">
        <f>0.0541/(2/1000)</f>
        <v>27.05</v>
      </c>
      <c r="AZ457" s="294">
        <f>0.007/0.002</f>
        <v>3.5</v>
      </c>
      <c r="BA457" s="294"/>
      <c r="BB457" s="294"/>
      <c r="BC457" s="294">
        <f>0.0178/0.002</f>
        <v>8.9</v>
      </c>
      <c r="BD457" s="294"/>
      <c r="BE457" s="294"/>
      <c r="BF457" s="383"/>
      <c r="BG457" s="382">
        <f>SUM(AW457:BE457)</f>
        <v>39.450000000000003</v>
      </c>
      <c r="BH457" s="278"/>
      <c r="BI457" s="365"/>
      <c r="BJ457" s="409"/>
    </row>
    <row r="458" spans="1:62" ht="15.75" customHeight="1" thickBot="1" x14ac:dyDescent="0.25">
      <c r="A458" s="154">
        <v>457</v>
      </c>
      <c r="B458" s="155">
        <v>1</v>
      </c>
      <c r="C458" s="148" t="s">
        <v>596</v>
      </c>
      <c r="D458" s="148" t="s">
        <v>2305</v>
      </c>
      <c r="E458" s="148" t="s">
        <v>13</v>
      </c>
      <c r="F458" s="148" t="s">
        <v>1029</v>
      </c>
      <c r="G458" s="148" t="s">
        <v>292</v>
      </c>
      <c r="H458" s="148" t="s">
        <v>793</v>
      </c>
      <c r="I458" s="161">
        <v>2015</v>
      </c>
      <c r="J458" s="161" t="s">
        <v>1030</v>
      </c>
      <c r="K458" s="161" t="s">
        <v>1031</v>
      </c>
      <c r="L458" s="161" t="s">
        <v>19</v>
      </c>
      <c r="M458" s="453" t="s">
        <v>4186</v>
      </c>
      <c r="N458" s="186" t="s">
        <v>20</v>
      </c>
      <c r="O458" s="186" t="s">
        <v>20</v>
      </c>
      <c r="P458" s="186" t="s">
        <v>20</v>
      </c>
      <c r="Q458" s="186" t="s">
        <v>20</v>
      </c>
      <c r="R458" s="186" t="s">
        <v>20</v>
      </c>
      <c r="S458" s="186" t="s">
        <v>20</v>
      </c>
      <c r="T458" s="186" t="s">
        <v>20</v>
      </c>
      <c r="U458" s="186" t="s">
        <v>15</v>
      </c>
      <c r="V458" s="186" t="s">
        <v>15</v>
      </c>
      <c r="W458" s="186" t="s">
        <v>20</v>
      </c>
      <c r="X458" s="186" t="s">
        <v>15</v>
      </c>
      <c r="Y458" s="186" t="s">
        <v>15</v>
      </c>
      <c r="Z458" s="186"/>
      <c r="AA458" s="186" t="s">
        <v>243</v>
      </c>
      <c r="AB458" s="186" t="s">
        <v>15</v>
      </c>
      <c r="AC458" s="186" t="s">
        <v>20</v>
      </c>
      <c r="AD458" s="268" t="s">
        <v>1032</v>
      </c>
      <c r="AE458" s="268" t="s">
        <v>92</v>
      </c>
      <c r="AF458" s="144" t="str">
        <f t="shared" si="31"/>
        <v/>
      </c>
      <c r="AG458" s="144" t="str">
        <f t="shared" si="32"/>
        <v/>
      </c>
      <c r="AH458" s="146">
        <f t="shared" si="33"/>
        <v>1.07</v>
      </c>
      <c r="AI458" s="146">
        <f t="shared" si="34"/>
        <v>1.1300000000000001</v>
      </c>
      <c r="AJ458" s="303"/>
      <c r="AK458" s="303"/>
      <c r="AL458" s="303"/>
      <c r="AM458" s="303"/>
      <c r="AN458" s="303"/>
      <c r="AO458" s="303"/>
      <c r="AP458" s="303"/>
      <c r="AQ458" s="303"/>
      <c r="AR458" s="303"/>
      <c r="AS458" s="170"/>
      <c r="AT458" s="169"/>
      <c r="AU458" s="310"/>
      <c r="AW458" s="294">
        <v>1.07</v>
      </c>
      <c r="AX458" s="294"/>
      <c r="AY458" s="294">
        <v>0.06</v>
      </c>
      <c r="AZ458" s="294"/>
      <c r="BA458" s="294">
        <v>0.49</v>
      </c>
      <c r="BB458" s="294"/>
      <c r="BC458" s="294">
        <v>10.46</v>
      </c>
      <c r="BD458" s="294"/>
      <c r="BE458" s="294"/>
      <c r="BF458" s="383">
        <f>AW458</f>
        <v>1.07</v>
      </c>
      <c r="BG458" s="383">
        <v>12.08</v>
      </c>
      <c r="BH458" s="278"/>
      <c r="BI458" s="365"/>
      <c r="BJ458" s="411"/>
    </row>
    <row r="459" spans="1:62" ht="15.75" customHeight="1" thickBot="1" x14ac:dyDescent="0.25">
      <c r="A459" s="156">
        <v>458</v>
      </c>
      <c r="B459" s="155">
        <v>1</v>
      </c>
      <c r="C459" s="148" t="s">
        <v>596</v>
      </c>
      <c r="D459" s="148" t="s">
        <v>2305</v>
      </c>
      <c r="E459" s="148" t="s">
        <v>13</v>
      </c>
      <c r="F459" s="148" t="s">
        <v>1033</v>
      </c>
      <c r="G459" s="148" t="s">
        <v>292</v>
      </c>
      <c r="H459" s="148" t="s">
        <v>793</v>
      </c>
      <c r="I459" s="161">
        <v>2015</v>
      </c>
      <c r="J459" s="161" t="s">
        <v>1030</v>
      </c>
      <c r="K459" s="161" t="s">
        <v>1031</v>
      </c>
      <c r="L459" s="161" t="s">
        <v>19</v>
      </c>
      <c r="M459" s="453" t="s">
        <v>4186</v>
      </c>
      <c r="N459" s="186" t="s">
        <v>20</v>
      </c>
      <c r="O459" s="186" t="s">
        <v>20</v>
      </c>
      <c r="P459" s="186" t="s">
        <v>20</v>
      </c>
      <c r="Q459" s="186" t="s">
        <v>20</v>
      </c>
      <c r="R459" s="186" t="s">
        <v>20</v>
      </c>
      <c r="S459" s="186" t="s">
        <v>20</v>
      </c>
      <c r="T459" s="186" t="s">
        <v>20</v>
      </c>
      <c r="U459" s="186" t="s">
        <v>15</v>
      </c>
      <c r="V459" s="186" t="s">
        <v>15</v>
      </c>
      <c r="W459" s="186" t="s">
        <v>20</v>
      </c>
      <c r="X459" s="186" t="s">
        <v>15</v>
      </c>
      <c r="Y459" s="186" t="s">
        <v>15</v>
      </c>
      <c r="Z459" s="186"/>
      <c r="AA459" s="186" t="s">
        <v>243</v>
      </c>
      <c r="AB459" s="186" t="s">
        <v>15</v>
      </c>
      <c r="AC459" s="186" t="s">
        <v>20</v>
      </c>
      <c r="AD459" s="268" t="s">
        <v>1032</v>
      </c>
      <c r="AE459" s="268" t="s">
        <v>92</v>
      </c>
      <c r="AF459" s="144" t="str">
        <f t="shared" si="31"/>
        <v/>
      </c>
      <c r="AG459" s="144" t="str">
        <f t="shared" si="32"/>
        <v/>
      </c>
      <c r="AH459" s="146">
        <f t="shared" si="33"/>
        <v>1.42</v>
      </c>
      <c r="AI459" s="146">
        <f t="shared" si="34"/>
        <v>1.48</v>
      </c>
      <c r="AJ459" s="303"/>
      <c r="AK459" s="303"/>
      <c r="AL459" s="303"/>
      <c r="AM459" s="303"/>
      <c r="AN459" s="303"/>
      <c r="AO459" s="303"/>
      <c r="AP459" s="303"/>
      <c r="AQ459" s="303"/>
      <c r="AR459" s="303"/>
      <c r="AS459" s="170"/>
      <c r="AT459" s="169"/>
      <c r="AU459" s="310"/>
      <c r="AW459" s="294">
        <v>1.42</v>
      </c>
      <c r="AX459" s="294"/>
      <c r="AY459" s="294">
        <v>0.06</v>
      </c>
      <c r="AZ459" s="294"/>
      <c r="BA459" s="294">
        <v>0.51</v>
      </c>
      <c r="BB459" s="294"/>
      <c r="BC459" s="294">
        <v>10.46</v>
      </c>
      <c r="BD459" s="294"/>
      <c r="BE459" s="294"/>
      <c r="BF459" s="388">
        <f>AW459</f>
        <v>1.42</v>
      </c>
      <c r="BG459" s="383">
        <v>12.45</v>
      </c>
      <c r="BH459" s="278"/>
      <c r="BI459" s="365"/>
      <c r="BJ459" s="411"/>
    </row>
    <row r="460" spans="1:62" ht="15.75" customHeight="1" thickBot="1" x14ac:dyDescent="0.25">
      <c r="A460" s="154">
        <v>459</v>
      </c>
      <c r="B460" s="155">
        <v>1</v>
      </c>
      <c r="C460" s="148" t="s">
        <v>596</v>
      </c>
      <c r="D460" s="148" t="s">
        <v>2305</v>
      </c>
      <c r="E460" s="148" t="s">
        <v>13</v>
      </c>
      <c r="F460" s="148" t="s">
        <v>2764</v>
      </c>
      <c r="G460" s="148" t="s">
        <v>122</v>
      </c>
      <c r="H460" s="148" t="s">
        <v>1034</v>
      </c>
      <c r="I460" s="161">
        <v>2010</v>
      </c>
      <c r="J460" s="161" t="s">
        <v>1035</v>
      </c>
      <c r="K460" s="161" t="s">
        <v>1036</v>
      </c>
      <c r="L460" s="161" t="s">
        <v>1022</v>
      </c>
      <c r="M460" s="453" t="s">
        <v>4187</v>
      </c>
      <c r="N460" s="186" t="s">
        <v>20</v>
      </c>
      <c r="O460" s="186" t="s">
        <v>15</v>
      </c>
      <c r="P460" s="186" t="s">
        <v>20</v>
      </c>
      <c r="Q460" s="186" t="s">
        <v>20</v>
      </c>
      <c r="R460" s="186" t="s">
        <v>20</v>
      </c>
      <c r="S460" s="186" t="s">
        <v>20</v>
      </c>
      <c r="T460" s="186" t="s">
        <v>20</v>
      </c>
      <c r="U460" s="186" t="s">
        <v>20</v>
      </c>
      <c r="V460" s="186" t="s">
        <v>15</v>
      </c>
      <c r="W460" s="186" t="s">
        <v>20</v>
      </c>
      <c r="X460" s="186" t="s">
        <v>15</v>
      </c>
      <c r="Y460" s="186" t="s">
        <v>15</v>
      </c>
      <c r="Z460" s="186"/>
      <c r="AA460" s="186" t="s">
        <v>243</v>
      </c>
      <c r="AB460" s="186" t="s">
        <v>15</v>
      </c>
      <c r="AC460" s="186" t="s">
        <v>15</v>
      </c>
      <c r="AD460" s="268" t="s">
        <v>1037</v>
      </c>
      <c r="AE460" s="268" t="s">
        <v>2766</v>
      </c>
      <c r="AF460" s="144">
        <f t="shared" si="31"/>
        <v>51.428571428571423</v>
      </c>
      <c r="AG460" s="144">
        <f t="shared" si="32"/>
        <v>51.999999999999993</v>
      </c>
      <c r="AH460" s="146">
        <f t="shared" si="33"/>
        <v>2.9142857142857146</v>
      </c>
      <c r="AI460" s="146">
        <f t="shared" si="34"/>
        <v>6.6857142857142859</v>
      </c>
      <c r="AJ460" s="308">
        <f>0.09/0.00175</f>
        <v>51.428571428571423</v>
      </c>
      <c r="AK460" s="303">
        <f>0.001/0.00175</f>
        <v>0.5714285714285714</v>
      </c>
      <c r="AL460" s="303"/>
      <c r="AM460" s="303">
        <f>0.003/0.00175</f>
        <v>1.7142857142857142</v>
      </c>
      <c r="AN460" s="303">
        <f>0/0.00175</f>
        <v>0</v>
      </c>
      <c r="AO460" s="303"/>
      <c r="AP460" s="303">
        <f>0.66/0.00175</f>
        <v>377.14285714285717</v>
      </c>
      <c r="AQ460" s="303"/>
      <c r="AR460" s="303"/>
      <c r="AS460" s="170">
        <f>AJ460</f>
        <v>51.428571428571423</v>
      </c>
      <c r="AT460" s="225">
        <f>SUM(AJ460:AR460)</f>
        <v>430.85714285714289</v>
      </c>
      <c r="AU460" s="307"/>
      <c r="AW460" s="294">
        <f>0.0051/0.00175</f>
        <v>2.9142857142857146</v>
      </c>
      <c r="AX460" s="294"/>
      <c r="AY460" s="294">
        <f>0.0066/0.00175</f>
        <v>3.7714285714285714</v>
      </c>
      <c r="AZ460" s="294">
        <f>0.004/0.00175</f>
        <v>2.2857142857142856</v>
      </c>
      <c r="BA460" s="294">
        <f>0.009/0.00175</f>
        <v>5.1428571428571423</v>
      </c>
      <c r="BB460" s="294">
        <f>0.0011/0.00175</f>
        <v>0.62857142857142856</v>
      </c>
      <c r="BC460" s="294">
        <f>0.033/0.0175</f>
        <v>1.8857142857142857</v>
      </c>
      <c r="BD460" s="294"/>
      <c r="BE460" s="294"/>
      <c r="BF460" s="391">
        <f>AW460</f>
        <v>2.9142857142857146</v>
      </c>
      <c r="BG460" s="392">
        <f>SUM(AW460:BE460)</f>
        <v>16.628571428571426</v>
      </c>
      <c r="BH460" s="278"/>
      <c r="BI460" s="365"/>
      <c r="BJ460" s="411"/>
    </row>
    <row r="461" spans="1:62" ht="15.75" customHeight="1" thickBot="1" x14ac:dyDescent="0.25">
      <c r="A461" s="156">
        <v>460</v>
      </c>
      <c r="B461" s="155">
        <v>1</v>
      </c>
      <c r="C461" s="148" t="s">
        <v>596</v>
      </c>
      <c r="D461" s="148" t="s">
        <v>1028</v>
      </c>
      <c r="E461" s="148" t="s">
        <v>13</v>
      </c>
      <c r="F461" s="148" t="s">
        <v>1039</v>
      </c>
      <c r="G461" s="148" t="s">
        <v>122</v>
      </c>
      <c r="H461" s="148" t="s">
        <v>1034</v>
      </c>
      <c r="I461" s="161">
        <v>2010</v>
      </c>
      <c r="J461" s="161" t="s">
        <v>1035</v>
      </c>
      <c r="K461" s="161" t="s">
        <v>1036</v>
      </c>
      <c r="L461" s="161" t="s">
        <v>1022</v>
      </c>
      <c r="M461" s="453" t="s">
        <v>4187</v>
      </c>
      <c r="N461" s="186" t="s">
        <v>20</v>
      </c>
      <c r="O461" s="186" t="s">
        <v>15</v>
      </c>
      <c r="P461" s="186" t="s">
        <v>20</v>
      </c>
      <c r="Q461" s="186" t="s">
        <v>20</v>
      </c>
      <c r="R461" s="186" t="s">
        <v>20</v>
      </c>
      <c r="S461" s="186" t="s">
        <v>20</v>
      </c>
      <c r="T461" s="186" t="s">
        <v>20</v>
      </c>
      <c r="U461" s="186" t="s">
        <v>20</v>
      </c>
      <c r="V461" s="186" t="s">
        <v>15</v>
      </c>
      <c r="W461" s="186" t="s">
        <v>20</v>
      </c>
      <c r="X461" s="186" t="s">
        <v>15</v>
      </c>
      <c r="Y461" s="186" t="s">
        <v>15</v>
      </c>
      <c r="Z461" s="186"/>
      <c r="AA461" s="186" t="s">
        <v>243</v>
      </c>
      <c r="AB461" s="186" t="s">
        <v>15</v>
      </c>
      <c r="AC461" s="186" t="s">
        <v>15</v>
      </c>
      <c r="AD461" s="268" t="s">
        <v>1037</v>
      </c>
      <c r="AE461" s="268" t="s">
        <v>1038</v>
      </c>
      <c r="AF461" s="144" t="str">
        <f t="shared" si="31"/>
        <v/>
      </c>
      <c r="AG461" s="144" t="str">
        <f t="shared" si="32"/>
        <v/>
      </c>
      <c r="AH461" s="146" t="str">
        <f t="shared" si="33"/>
        <v/>
      </c>
      <c r="AI461" s="146" t="str">
        <f t="shared" si="34"/>
        <v/>
      </c>
      <c r="AJ461" s="303"/>
      <c r="AK461" s="303"/>
      <c r="AL461" s="303"/>
      <c r="AM461" s="303"/>
      <c r="AN461" s="303"/>
      <c r="AO461" s="303"/>
      <c r="AP461" s="303"/>
      <c r="AQ461" s="303"/>
      <c r="AR461" s="303"/>
      <c r="AS461" s="170"/>
      <c r="AT461" s="225">
        <f>0.858*1000/250.44</f>
        <v>3.4259702922855775</v>
      </c>
      <c r="AU461" s="307"/>
      <c r="AW461" s="294"/>
      <c r="AX461" s="294"/>
      <c r="AY461" s="294"/>
      <c r="BA461" s="294"/>
      <c r="BB461" s="294"/>
      <c r="BC461" s="294"/>
      <c r="BD461" s="294"/>
      <c r="BE461" s="294"/>
      <c r="BF461" s="391"/>
      <c r="BG461" s="392">
        <f>0.0516*1000/250.44</f>
        <v>0.20603737422137039</v>
      </c>
      <c r="BH461" s="278"/>
      <c r="BI461" s="365"/>
      <c r="BJ461" s="411"/>
    </row>
    <row r="462" spans="1:62" ht="15.75" customHeight="1" thickBot="1" x14ac:dyDescent="0.25">
      <c r="A462" s="154">
        <v>461</v>
      </c>
      <c r="B462" s="155">
        <v>1</v>
      </c>
      <c r="C462" s="148" t="s">
        <v>596</v>
      </c>
      <c r="D462" s="148" t="s">
        <v>2305</v>
      </c>
      <c r="E462" s="148" t="s">
        <v>13</v>
      </c>
      <c r="F462" s="148" t="s">
        <v>2765</v>
      </c>
      <c r="G462" s="148" t="s">
        <v>122</v>
      </c>
      <c r="H462" s="148" t="s">
        <v>1034</v>
      </c>
      <c r="I462" s="161">
        <v>2010</v>
      </c>
      <c r="J462" s="161" t="s">
        <v>1035</v>
      </c>
      <c r="K462" s="161" t="s">
        <v>1036</v>
      </c>
      <c r="L462" s="161" t="s">
        <v>1022</v>
      </c>
      <c r="M462" s="453" t="s">
        <v>4187</v>
      </c>
      <c r="N462" s="186" t="s">
        <v>20</v>
      </c>
      <c r="O462" s="186" t="s">
        <v>15</v>
      </c>
      <c r="P462" s="186" t="s">
        <v>20</v>
      </c>
      <c r="Q462" s="186" t="s">
        <v>20</v>
      </c>
      <c r="R462" s="186" t="s">
        <v>20</v>
      </c>
      <c r="S462" s="186" t="s">
        <v>20</v>
      </c>
      <c r="T462" s="186" t="s">
        <v>20</v>
      </c>
      <c r="U462" s="186" t="s">
        <v>20</v>
      </c>
      <c r="V462" s="186" t="s">
        <v>15</v>
      </c>
      <c r="W462" s="186" t="s">
        <v>20</v>
      </c>
      <c r="X462" s="186" t="s">
        <v>15</v>
      </c>
      <c r="Y462" s="186" t="s">
        <v>15</v>
      </c>
      <c r="Z462" s="186"/>
      <c r="AA462" s="186" t="s">
        <v>243</v>
      </c>
      <c r="AB462" s="186" t="s">
        <v>15</v>
      </c>
      <c r="AC462" s="186" t="s">
        <v>15</v>
      </c>
      <c r="AD462" s="268" t="s">
        <v>1037</v>
      </c>
      <c r="AE462" s="268" t="s">
        <v>2766</v>
      </c>
      <c r="AF462" s="144">
        <f t="shared" si="31"/>
        <v>57.142857142857146</v>
      </c>
      <c r="AG462" s="144">
        <f t="shared" si="32"/>
        <v>57.714285714285715</v>
      </c>
      <c r="AH462" s="146">
        <f t="shared" si="33"/>
        <v>1.7142857142857142</v>
      </c>
      <c r="AI462" s="146">
        <f t="shared" si="34"/>
        <v>5.4857142857142858</v>
      </c>
      <c r="AJ462" s="308">
        <f>0.1/0.00175</f>
        <v>57.142857142857146</v>
      </c>
      <c r="AK462" s="303">
        <f>0.001/0.00175</f>
        <v>0.5714285714285714</v>
      </c>
      <c r="AL462" s="303"/>
      <c r="AM462" s="303">
        <f>0.003/0.00175</f>
        <v>1.7142857142857142</v>
      </c>
      <c r="AN462" s="303">
        <f>0.01/0.00175</f>
        <v>5.7142857142857144</v>
      </c>
      <c r="AO462" s="303"/>
      <c r="AP462" s="303">
        <f>0.66/0.00175</f>
        <v>377.14285714285717</v>
      </c>
      <c r="AQ462" s="303"/>
      <c r="AR462" s="303"/>
      <c r="AS462" s="170">
        <f>AJ462</f>
        <v>57.142857142857146</v>
      </c>
      <c r="AT462" s="225">
        <f>SUM(AJ462:AR462)</f>
        <v>442.28571428571433</v>
      </c>
      <c r="AU462" s="307"/>
      <c r="AW462" s="294">
        <f>0.003/0.00175</f>
        <v>1.7142857142857142</v>
      </c>
      <c r="AX462" s="294"/>
      <c r="AY462" s="294">
        <f>0.0066/0.00175</f>
        <v>3.7714285714285714</v>
      </c>
      <c r="AZ462" s="294">
        <f>0.004/0.00175</f>
        <v>2.2857142857142856</v>
      </c>
      <c r="BA462" s="294">
        <f>0.009/0.00175</f>
        <v>5.1428571428571423</v>
      </c>
      <c r="BB462" s="294">
        <f>0.0011/0.00175</f>
        <v>0.62857142857142856</v>
      </c>
      <c r="BC462" s="294">
        <f>0.033/0.0175</f>
        <v>1.8857142857142857</v>
      </c>
      <c r="BD462" s="294"/>
      <c r="BE462" s="294"/>
      <c r="BF462" s="391">
        <f>AW462</f>
        <v>1.7142857142857142</v>
      </c>
      <c r="BG462" s="392">
        <f>SUM(AW462:BE462)</f>
        <v>15.428571428571429</v>
      </c>
      <c r="BH462" s="278"/>
      <c r="BI462" s="365"/>
      <c r="BJ462" s="411"/>
    </row>
    <row r="463" spans="1:62" ht="15.75" customHeight="1" thickBot="1" x14ac:dyDescent="0.25">
      <c r="A463" s="156">
        <v>462</v>
      </c>
      <c r="B463" s="155">
        <v>1</v>
      </c>
      <c r="C463" s="148" t="s">
        <v>596</v>
      </c>
      <c r="D463" s="148" t="s">
        <v>1028</v>
      </c>
      <c r="E463" s="148" t="s">
        <v>13</v>
      </c>
      <c r="F463" s="148" t="s">
        <v>1041</v>
      </c>
      <c r="G463" s="148" t="s">
        <v>122</v>
      </c>
      <c r="H463" s="148" t="s">
        <v>1034</v>
      </c>
      <c r="I463" s="161">
        <v>2010</v>
      </c>
      <c r="J463" s="161" t="s">
        <v>1035</v>
      </c>
      <c r="K463" s="161" t="s">
        <v>1036</v>
      </c>
      <c r="L463" s="161" t="s">
        <v>1022</v>
      </c>
      <c r="M463" s="453" t="s">
        <v>4187</v>
      </c>
      <c r="N463" s="186" t="s">
        <v>20</v>
      </c>
      <c r="O463" s="186" t="s">
        <v>15</v>
      </c>
      <c r="P463" s="186" t="s">
        <v>20</v>
      </c>
      <c r="Q463" s="186" t="s">
        <v>20</v>
      </c>
      <c r="R463" s="186" t="s">
        <v>20</v>
      </c>
      <c r="S463" s="186" t="s">
        <v>20</v>
      </c>
      <c r="T463" s="186" t="s">
        <v>20</v>
      </c>
      <c r="U463" s="186" t="s">
        <v>20</v>
      </c>
      <c r="V463" s="186" t="s">
        <v>15</v>
      </c>
      <c r="W463" s="186" t="s">
        <v>20</v>
      </c>
      <c r="X463" s="186" t="s">
        <v>15</v>
      </c>
      <c r="Y463" s="186" t="s">
        <v>15</v>
      </c>
      <c r="Z463" s="186"/>
      <c r="AA463" s="186" t="s">
        <v>243</v>
      </c>
      <c r="AB463" s="186" t="s">
        <v>15</v>
      </c>
      <c r="AC463" s="186" t="s">
        <v>15</v>
      </c>
      <c r="AD463" s="268" t="s">
        <v>1037</v>
      </c>
      <c r="AE463" s="268" t="s">
        <v>1038</v>
      </c>
      <c r="AF463" s="144" t="str">
        <f t="shared" si="31"/>
        <v/>
      </c>
      <c r="AG463" s="144" t="str">
        <f t="shared" si="32"/>
        <v/>
      </c>
      <c r="AH463" s="146" t="str">
        <f t="shared" si="33"/>
        <v/>
      </c>
      <c r="AI463" s="146" t="str">
        <f t="shared" si="34"/>
        <v/>
      </c>
      <c r="AJ463" s="303"/>
      <c r="AK463" s="303"/>
      <c r="AL463" s="303"/>
      <c r="AM463" s="303"/>
      <c r="AN463" s="303"/>
      <c r="AO463" s="303"/>
      <c r="AP463" s="303"/>
      <c r="AQ463" s="303"/>
      <c r="AR463" s="303"/>
      <c r="AS463" s="170"/>
      <c r="AT463" s="225">
        <f>0.865*1000/250.44</f>
        <v>3.4539210988659961</v>
      </c>
      <c r="AU463" s="307"/>
      <c r="AW463" s="294"/>
      <c r="AX463" s="294"/>
      <c r="AY463" s="294"/>
      <c r="AZ463" s="294"/>
      <c r="BA463" s="294"/>
      <c r="BB463" s="294"/>
      <c r="BC463" s="294"/>
      <c r="BD463" s="294"/>
      <c r="BE463" s="294"/>
      <c r="BF463" s="391"/>
      <c r="BG463" s="392">
        <f>0.0492*1000/250.44</f>
        <v>0.1964542405366555</v>
      </c>
      <c r="BH463" s="278"/>
      <c r="BI463" s="365"/>
      <c r="BJ463" s="411"/>
    </row>
    <row r="464" spans="1:62" ht="15.75" customHeight="1" thickBot="1" x14ac:dyDescent="0.25">
      <c r="A464" s="154">
        <v>463</v>
      </c>
      <c r="B464" s="155">
        <v>1</v>
      </c>
      <c r="C464" s="148" t="s">
        <v>596</v>
      </c>
      <c r="D464" s="148" t="s">
        <v>1028</v>
      </c>
      <c r="E464" s="148" t="s">
        <v>13</v>
      </c>
      <c r="F464" s="148" t="s">
        <v>1042</v>
      </c>
      <c r="G464" s="148" t="s">
        <v>122</v>
      </c>
      <c r="H464" s="148" t="s">
        <v>1034</v>
      </c>
      <c r="I464" s="161">
        <v>2010</v>
      </c>
      <c r="J464" s="161" t="s">
        <v>1035</v>
      </c>
      <c r="K464" s="161" t="s">
        <v>1036</v>
      </c>
      <c r="L464" s="161" t="s">
        <v>1022</v>
      </c>
      <c r="M464" s="453" t="s">
        <v>4187</v>
      </c>
      <c r="N464" s="186" t="s">
        <v>20</v>
      </c>
      <c r="O464" s="186" t="s">
        <v>15</v>
      </c>
      <c r="P464" s="186" t="s">
        <v>20</v>
      </c>
      <c r="Q464" s="186" t="s">
        <v>20</v>
      </c>
      <c r="R464" s="186" t="s">
        <v>20</v>
      </c>
      <c r="S464" s="186" t="s">
        <v>15</v>
      </c>
      <c r="T464" s="186" t="s">
        <v>15</v>
      </c>
      <c r="U464" s="186" t="s">
        <v>15</v>
      </c>
      <c r="V464" s="186" t="s">
        <v>15</v>
      </c>
      <c r="W464" s="186" t="s">
        <v>20</v>
      </c>
      <c r="X464" s="186" t="s">
        <v>15</v>
      </c>
      <c r="Y464" s="186" t="s">
        <v>15</v>
      </c>
      <c r="Z464" s="186"/>
      <c r="AA464" s="186" t="s">
        <v>243</v>
      </c>
      <c r="AB464" s="186" t="s">
        <v>15</v>
      </c>
      <c r="AC464" s="186" t="s">
        <v>15</v>
      </c>
      <c r="AD464" s="268" t="s">
        <v>1037</v>
      </c>
      <c r="AE464" s="268" t="s">
        <v>1038</v>
      </c>
      <c r="AF464" s="144" t="str">
        <f t="shared" si="31"/>
        <v/>
      </c>
      <c r="AG464" s="144" t="str">
        <f t="shared" si="32"/>
        <v/>
      </c>
      <c r="AH464" s="146" t="str">
        <f t="shared" si="33"/>
        <v/>
      </c>
      <c r="AI464" s="146" t="str">
        <f t="shared" si="34"/>
        <v/>
      </c>
      <c r="AJ464" s="303"/>
      <c r="AK464" s="303"/>
      <c r="AL464" s="303"/>
      <c r="AM464" s="303"/>
      <c r="AN464" s="303"/>
      <c r="AO464" s="303"/>
      <c r="AP464" s="303"/>
      <c r="AQ464" s="303"/>
      <c r="AR464" s="303"/>
      <c r="AS464" s="170"/>
      <c r="AT464" s="225">
        <f>0.76*1000/250.44</f>
        <v>3.0346590001597189</v>
      </c>
      <c r="AU464" s="307"/>
      <c r="AW464" s="294"/>
      <c r="AX464" s="294"/>
      <c r="AY464" s="294"/>
      <c r="AZ464" s="294"/>
      <c r="BA464" s="294"/>
      <c r="BB464" s="294"/>
      <c r="BC464" s="294"/>
      <c r="BD464" s="294"/>
      <c r="BE464" s="294"/>
      <c r="BF464" s="391"/>
      <c r="BG464" s="392">
        <f>0.046*1000/250.44</f>
        <v>0.18367672895703563</v>
      </c>
      <c r="BH464" s="278"/>
      <c r="BI464" s="365"/>
      <c r="BJ464" s="411"/>
    </row>
    <row r="465" spans="1:62" ht="15.75" customHeight="1" thickBot="1" x14ac:dyDescent="0.25">
      <c r="A465" s="156">
        <v>464</v>
      </c>
      <c r="B465" s="155">
        <v>1</v>
      </c>
      <c r="C465" s="148" t="s">
        <v>596</v>
      </c>
      <c r="D465" s="148" t="s">
        <v>1043</v>
      </c>
      <c r="E465" s="148" t="s">
        <v>13</v>
      </c>
      <c r="F465" s="148" t="s">
        <v>1044</v>
      </c>
      <c r="G465" s="148" t="s">
        <v>292</v>
      </c>
      <c r="H465" s="148" t="s">
        <v>108</v>
      </c>
      <c r="I465" s="161">
        <v>2012</v>
      </c>
      <c r="J465" s="161" t="s">
        <v>1045</v>
      </c>
      <c r="K465" s="161"/>
      <c r="L465" s="161" t="s">
        <v>19</v>
      </c>
      <c r="M465" s="453" t="s">
        <v>4188</v>
      </c>
      <c r="N465" s="186" t="s">
        <v>20</v>
      </c>
      <c r="O465" s="186" t="s">
        <v>15</v>
      </c>
      <c r="P465" s="186" t="s">
        <v>20</v>
      </c>
      <c r="Q465" s="186" t="s">
        <v>20</v>
      </c>
      <c r="R465" s="186" t="s">
        <v>20</v>
      </c>
      <c r="S465" s="186" t="s">
        <v>20</v>
      </c>
      <c r="T465" s="186" t="s">
        <v>20</v>
      </c>
      <c r="U465" s="186" t="s">
        <v>20</v>
      </c>
      <c r="V465" s="186" t="s">
        <v>20</v>
      </c>
      <c r="W465" s="186" t="s">
        <v>15</v>
      </c>
      <c r="X465" s="186" t="s">
        <v>15</v>
      </c>
      <c r="Y465" s="186" t="s">
        <v>15</v>
      </c>
      <c r="Z465" s="186"/>
      <c r="AA465" s="186" t="s">
        <v>243</v>
      </c>
      <c r="AB465" s="186" t="s">
        <v>15</v>
      </c>
      <c r="AC465" s="186" t="s">
        <v>15</v>
      </c>
      <c r="AD465" s="268" t="s">
        <v>1046</v>
      </c>
      <c r="AE465" s="268" t="s">
        <v>1047</v>
      </c>
      <c r="AF465" s="144">
        <f t="shared" si="31"/>
        <v>1.4733205374280227</v>
      </c>
      <c r="AG465" s="144">
        <f t="shared" si="32"/>
        <v>2.5492322456813814</v>
      </c>
      <c r="AH465" s="146">
        <f t="shared" si="33"/>
        <v>3.8387715930902108E-2</v>
      </c>
      <c r="AI465" s="146">
        <f t="shared" si="34"/>
        <v>9.2130518234165071E-2</v>
      </c>
      <c r="AJ465" s="303">
        <f>0.152*AT465</f>
        <v>1.4733205374280227</v>
      </c>
      <c r="AK465" s="303"/>
      <c r="AL465" s="303">
        <f>0.111*AT465</f>
        <v>1.0759117082533587</v>
      </c>
      <c r="AM465" s="303">
        <f>0.689*AT465</f>
        <v>6.6784069097888663</v>
      </c>
      <c r="AN465" s="303">
        <f>0.014*AT465</f>
        <v>0.13570057581573894</v>
      </c>
      <c r="AO465" s="303"/>
      <c r="AP465" s="303"/>
      <c r="AQ465" s="303">
        <f>0.034*AT465</f>
        <v>0.32955854126679462</v>
      </c>
      <c r="AR465" s="303"/>
      <c r="AS465" s="170">
        <f>AJ465</f>
        <v>1.4733205374280227</v>
      </c>
      <c r="AT465" s="169">
        <f>10.1/1.042</f>
        <v>9.6928982725527817</v>
      </c>
      <c r="AU465" s="310"/>
      <c r="AW465" s="294">
        <f>0.04/1.042</f>
        <v>3.8387715930902108E-2</v>
      </c>
      <c r="AX465" s="294"/>
      <c r="AY465" s="294">
        <f>0.056/1.042</f>
        <v>5.3742802303262956E-2</v>
      </c>
      <c r="AZ465" s="294">
        <f>0.414/1.042</f>
        <v>0.39731285988483683</v>
      </c>
      <c r="BA465" s="294">
        <f>0.008/1.042</f>
        <v>7.677543186180422E-3</v>
      </c>
      <c r="BB465" s="294"/>
      <c r="BC465" s="294"/>
      <c r="BD465" s="294">
        <f>0.037/1.042</f>
        <v>3.5508637236084453E-2</v>
      </c>
      <c r="BE465" s="294"/>
      <c r="BF465" s="391">
        <f>AW465</f>
        <v>3.8387715930902108E-2</v>
      </c>
      <c r="BG465" s="392">
        <f>SUM(AW465:BE465)</f>
        <v>0.53262955854126681</v>
      </c>
      <c r="BH465" s="278"/>
      <c r="BI465" s="365" t="s">
        <v>990</v>
      </c>
      <c r="BJ465" s="411"/>
    </row>
    <row r="466" spans="1:62" ht="15.75" customHeight="1" thickBot="1" x14ac:dyDescent="0.25">
      <c r="A466" s="154">
        <v>465</v>
      </c>
      <c r="B466" s="155">
        <v>1</v>
      </c>
      <c r="C466" s="148" t="s">
        <v>596</v>
      </c>
      <c r="D466" s="148" t="s">
        <v>1043</v>
      </c>
      <c r="E466" s="148" t="s">
        <v>13</v>
      </c>
      <c r="F466" s="148" t="s">
        <v>1048</v>
      </c>
      <c r="G466" s="148" t="s">
        <v>292</v>
      </c>
      <c r="H466" s="148" t="s">
        <v>108</v>
      </c>
      <c r="I466" s="161">
        <v>2012</v>
      </c>
      <c r="J466" s="161" t="s">
        <v>1045</v>
      </c>
      <c r="K466" s="161"/>
      <c r="L466" s="161" t="s">
        <v>19</v>
      </c>
      <c r="M466" s="453" t="s">
        <v>4188</v>
      </c>
      <c r="N466" s="186" t="s">
        <v>20</v>
      </c>
      <c r="O466" s="186" t="s">
        <v>15</v>
      </c>
      <c r="P466" s="186" t="s">
        <v>20</v>
      </c>
      <c r="Q466" s="186" t="s">
        <v>20</v>
      </c>
      <c r="R466" s="186" t="s">
        <v>20</v>
      </c>
      <c r="S466" s="186" t="s">
        <v>20</v>
      </c>
      <c r="T466" s="186" t="s">
        <v>20</v>
      </c>
      <c r="U466" s="186" t="s">
        <v>20</v>
      </c>
      <c r="V466" s="186" t="s">
        <v>20</v>
      </c>
      <c r="W466" s="186" t="s">
        <v>15</v>
      </c>
      <c r="X466" s="186" t="s">
        <v>15</v>
      </c>
      <c r="Y466" s="186" t="s">
        <v>15</v>
      </c>
      <c r="Z466" s="186"/>
      <c r="AA466" s="186" t="s">
        <v>243</v>
      </c>
      <c r="AB466" s="186" t="s">
        <v>15</v>
      </c>
      <c r="AC466" s="186" t="s">
        <v>15</v>
      </c>
      <c r="AD466" s="268" t="s">
        <v>1046</v>
      </c>
      <c r="AE466" s="268" t="s">
        <v>1047</v>
      </c>
      <c r="AF466" s="144">
        <f t="shared" si="31"/>
        <v>1.4700575815738961</v>
      </c>
      <c r="AG466" s="144">
        <f>IF(AND(SUM(AJ466:AM466)&lt;&gt;0,SUM(AJ466:AM466)&lt;&gt;AJ466),SUM(AJ466:AM466),"")</f>
        <v>4.2380038387715917</v>
      </c>
      <c r="AH466" s="146">
        <f t="shared" si="33"/>
        <v>3.8387715930902108E-2</v>
      </c>
      <c r="AI466" s="146">
        <f t="shared" si="34"/>
        <v>4.9904030710172742E-2</v>
      </c>
      <c r="AJ466" s="303">
        <f>0.333*AT466</f>
        <v>1.4700575815738961</v>
      </c>
      <c r="AK466" s="303"/>
      <c r="AL466" s="303">
        <f>0.047*AT466</f>
        <v>0.20748560460652588</v>
      </c>
      <c r="AM466" s="303">
        <f>0.58*AT466</f>
        <v>2.5604606525911699</v>
      </c>
      <c r="AN466" s="303">
        <f>0.021*AT466</f>
        <v>9.270633397312858E-2</v>
      </c>
      <c r="AO466" s="303"/>
      <c r="AP466" s="303"/>
      <c r="AQ466" s="303">
        <f>0.019*AT466</f>
        <v>8.3877159309021093E-2</v>
      </c>
      <c r="AR466" s="303"/>
      <c r="AS466" s="170">
        <f>AJ466</f>
        <v>1.4700575815738961</v>
      </c>
      <c r="AT466" s="169">
        <f>4.6/1.042</f>
        <v>4.4145873320537419</v>
      </c>
      <c r="AU466" s="310"/>
      <c r="AW466" s="294">
        <f>0.04/1.042</f>
        <v>3.8387715930902108E-2</v>
      </c>
      <c r="AX466" s="294"/>
      <c r="AY466" s="294">
        <f>0.012/1.042</f>
        <v>1.1516314779270634E-2</v>
      </c>
      <c r="AZ466" s="294">
        <f>0.248/1.042</f>
        <v>0.23800383877159309</v>
      </c>
      <c r="BA466" s="294">
        <f>0.005/1.042</f>
        <v>4.7984644913627635E-3</v>
      </c>
      <c r="BB466" s="294"/>
      <c r="BC466" s="294"/>
      <c r="BD466" s="294">
        <f>0.007/1.042</f>
        <v>6.7178502879078695E-3</v>
      </c>
      <c r="BE466" s="294"/>
      <c r="BF466" s="391">
        <f>AW466</f>
        <v>3.8387715930902108E-2</v>
      </c>
      <c r="BG466" s="392">
        <f>SUM(AW466:BE466)</f>
        <v>0.29942418426103651</v>
      </c>
      <c r="BH466" s="278"/>
      <c r="BI466" s="365" t="s">
        <v>990</v>
      </c>
      <c r="BJ466" s="411"/>
    </row>
    <row r="467" spans="1:62" ht="15.75" customHeight="1" thickBot="1" x14ac:dyDescent="0.25">
      <c r="A467" s="156">
        <v>466</v>
      </c>
      <c r="B467" s="155">
        <v>1</v>
      </c>
      <c r="C467" s="148" t="s">
        <v>596</v>
      </c>
      <c r="D467" s="148" t="s">
        <v>1043</v>
      </c>
      <c r="E467" s="148" t="s">
        <v>13</v>
      </c>
      <c r="F467" s="148" t="s">
        <v>1049</v>
      </c>
      <c r="G467" s="148" t="s">
        <v>292</v>
      </c>
      <c r="H467" s="148" t="s">
        <v>108</v>
      </c>
      <c r="I467" s="161">
        <v>2012</v>
      </c>
      <c r="J467" s="161" t="s">
        <v>1045</v>
      </c>
      <c r="K467" s="161"/>
      <c r="L467" s="161" t="s">
        <v>19</v>
      </c>
      <c r="M467" s="453" t="s">
        <v>4188</v>
      </c>
      <c r="N467" s="186" t="s">
        <v>20</v>
      </c>
      <c r="O467" s="186" t="s">
        <v>15</v>
      </c>
      <c r="P467" s="186" t="s">
        <v>20</v>
      </c>
      <c r="Q467" s="186" t="s">
        <v>20</v>
      </c>
      <c r="R467" s="186" t="s">
        <v>20</v>
      </c>
      <c r="S467" s="186" t="s">
        <v>20</v>
      </c>
      <c r="T467" s="186" t="s">
        <v>20</v>
      </c>
      <c r="U467" s="186" t="s">
        <v>20</v>
      </c>
      <c r="V467" s="186" t="s">
        <v>20</v>
      </c>
      <c r="W467" s="186" t="s">
        <v>15</v>
      </c>
      <c r="X467" s="186" t="s">
        <v>15</v>
      </c>
      <c r="Y467" s="186" t="s">
        <v>15</v>
      </c>
      <c r="Z467" s="186"/>
      <c r="AA467" s="186" t="s">
        <v>243</v>
      </c>
      <c r="AB467" s="186" t="s">
        <v>15</v>
      </c>
      <c r="AC467" s="186" t="s">
        <v>15</v>
      </c>
      <c r="AD467" s="268" t="s">
        <v>1046</v>
      </c>
      <c r="AE467" s="268" t="s">
        <v>1047</v>
      </c>
      <c r="AF467" s="144">
        <f t="shared" si="31"/>
        <v>2.0596928982725524</v>
      </c>
      <c r="AG467" s="144">
        <f t="shared" ref="AG467:AG530" si="35">IF(AND(SUM(AJ467:AL467)&lt;&gt;0,SUM(AJ467:AL467)&lt;&gt;AJ467),SUM(AJ467:AL467),"")</f>
        <v>2.7231381957773508</v>
      </c>
      <c r="AH467" s="146">
        <f t="shared" si="33"/>
        <v>3.8387715930902108E-2</v>
      </c>
      <c r="AI467" s="146">
        <f t="shared" si="34"/>
        <v>7.4856046065259113E-2</v>
      </c>
      <c r="AJ467" s="303">
        <f>0.294*AT467</f>
        <v>2.0596928982725524</v>
      </c>
      <c r="AK467" s="303"/>
      <c r="AL467" s="303">
        <f>0.0947*AT467</f>
        <v>0.66344529750479841</v>
      </c>
      <c r="AM467" s="303">
        <f>0.58*AT467</f>
        <v>4.0633397312859882</v>
      </c>
      <c r="AN467" s="303">
        <f>0.0113*AT467</f>
        <v>7.9165067178502871E-2</v>
      </c>
      <c r="AO467" s="303"/>
      <c r="AP467" s="303"/>
      <c r="AQ467" s="303">
        <f>0.02*AT467</f>
        <v>0.14011516314779271</v>
      </c>
      <c r="AR467" s="303"/>
      <c r="AS467" s="170">
        <f>AJ467</f>
        <v>2.0596928982725524</v>
      </c>
      <c r="AT467" s="169">
        <f>7.3/1.042</f>
        <v>7.0057581573896348</v>
      </c>
      <c r="AU467" s="310"/>
      <c r="AW467" s="294">
        <f>0.04/1.042</f>
        <v>3.8387715930902108E-2</v>
      </c>
      <c r="AX467" s="294"/>
      <c r="AY467" s="294">
        <f>0.038/1.042</f>
        <v>3.6468330134357005E-2</v>
      </c>
      <c r="AZ467" s="294">
        <f>0.174/1.042</f>
        <v>0.16698656429942416</v>
      </c>
      <c r="BA467" s="294">
        <f>0.006/1.042</f>
        <v>5.7581573896353169E-3</v>
      </c>
      <c r="BB467" s="294"/>
      <c r="BC467" s="294"/>
      <c r="BD467" s="294">
        <f>0.035/1.042</f>
        <v>3.358925143953935E-2</v>
      </c>
      <c r="BE467" s="294"/>
      <c r="BF467" s="391">
        <f>AW467</f>
        <v>3.8387715930902108E-2</v>
      </c>
      <c r="BG467" s="392">
        <f>SUM(AW467:BE467)</f>
        <v>0.28119001919385794</v>
      </c>
      <c r="BH467" s="278"/>
      <c r="BI467" s="365" t="s">
        <v>990</v>
      </c>
      <c r="BJ467" s="411"/>
    </row>
    <row r="468" spans="1:62" ht="15.75" customHeight="1" thickBot="1" x14ac:dyDescent="0.25">
      <c r="A468" s="154">
        <v>467</v>
      </c>
      <c r="B468" s="155">
        <v>1</v>
      </c>
      <c r="C468" s="148" t="s">
        <v>596</v>
      </c>
      <c r="D468" s="148" t="s">
        <v>1043</v>
      </c>
      <c r="E468" s="148" t="s">
        <v>13</v>
      </c>
      <c r="F468" s="148" t="s">
        <v>1050</v>
      </c>
      <c r="G468" s="148" t="s">
        <v>292</v>
      </c>
      <c r="H468" s="148" t="s">
        <v>108</v>
      </c>
      <c r="I468" s="161">
        <v>2012</v>
      </c>
      <c r="J468" s="161" t="s">
        <v>1045</v>
      </c>
      <c r="K468" s="161"/>
      <c r="L468" s="161" t="s">
        <v>19</v>
      </c>
      <c r="M468" s="453" t="s">
        <v>4188</v>
      </c>
      <c r="N468" s="186" t="s">
        <v>20</v>
      </c>
      <c r="O468" s="186" t="s">
        <v>15</v>
      </c>
      <c r="P468" s="186" t="s">
        <v>20</v>
      </c>
      <c r="Q468" s="186" t="s">
        <v>20</v>
      </c>
      <c r="R468" s="186" t="s">
        <v>20</v>
      </c>
      <c r="S468" s="186" t="s">
        <v>20</v>
      </c>
      <c r="T468" s="186" t="s">
        <v>20</v>
      </c>
      <c r="U468" s="186" t="s">
        <v>20</v>
      </c>
      <c r="V468" s="186" t="s">
        <v>20</v>
      </c>
      <c r="W468" s="186" t="s">
        <v>15</v>
      </c>
      <c r="X468" s="186" t="s">
        <v>15</v>
      </c>
      <c r="Y468" s="186" t="s">
        <v>15</v>
      </c>
      <c r="Z468" s="186"/>
      <c r="AA468" s="186" t="s">
        <v>243</v>
      </c>
      <c r="AB468" s="186" t="s">
        <v>15</v>
      </c>
      <c r="AC468" s="186" t="s">
        <v>15</v>
      </c>
      <c r="AD468" s="268" t="s">
        <v>1046</v>
      </c>
      <c r="AE468" s="268" t="s">
        <v>1047</v>
      </c>
      <c r="AF468" s="144">
        <f t="shared" si="31"/>
        <v>1.1568138195777349</v>
      </c>
      <c r="AG468" s="144">
        <f t="shared" si="35"/>
        <v>1.5294337811900189</v>
      </c>
      <c r="AH468" s="146">
        <f t="shared" si="33"/>
        <v>3.8387715930902108E-2</v>
      </c>
      <c r="AI468" s="146">
        <f t="shared" si="34"/>
        <v>5.4702495201535507E-2</v>
      </c>
      <c r="AJ468" s="303">
        <f>0.294*AT468</f>
        <v>1.1568138195777349</v>
      </c>
      <c r="AK468" s="303"/>
      <c r="AL468" s="303">
        <f>0.0947*AT468</f>
        <v>0.37261996161228406</v>
      </c>
      <c r="AM468" s="303">
        <f>0.58*AT468</f>
        <v>2.2821497120921301</v>
      </c>
      <c r="AN468" s="303">
        <f>0.0113*AT468</f>
        <v>4.4462571976967361E-2</v>
      </c>
      <c r="AO468" s="303"/>
      <c r="AP468" s="303"/>
      <c r="AQ468" s="303">
        <f>0.02*AT468</f>
        <v>7.869481765834932E-2</v>
      </c>
      <c r="AR468" s="303"/>
      <c r="AS468" s="170">
        <f>AJ468</f>
        <v>1.1568138195777349</v>
      </c>
      <c r="AT468" s="169">
        <f>4.1/1.042</f>
        <v>3.9347408829174659</v>
      </c>
      <c r="AU468" s="310"/>
      <c r="AW468" s="294">
        <f>0.04/1.042</f>
        <v>3.8387715930902108E-2</v>
      </c>
      <c r="AX468" s="294"/>
      <c r="AY468" s="294">
        <f>0.017/1.042</f>
        <v>1.6314779270633399E-2</v>
      </c>
      <c r="AZ468" s="294">
        <f>0.074/1.042</f>
        <v>7.1017274472168906E-2</v>
      </c>
      <c r="BA468" s="294">
        <f>0.005/1.042</f>
        <v>4.7984644913627635E-3</v>
      </c>
      <c r="BB468" s="294"/>
      <c r="BC468" s="294"/>
      <c r="BD468" s="294">
        <f>0.014/1.042</f>
        <v>1.3435700575815739E-2</v>
      </c>
      <c r="BE468" s="294"/>
      <c r="BF468" s="391">
        <f>AW468</f>
        <v>3.8387715930902108E-2</v>
      </c>
      <c r="BG468" s="392">
        <f>SUM(AW468:BE468)</f>
        <v>0.14395393474088292</v>
      </c>
      <c r="BH468" s="278"/>
      <c r="BI468" s="365" t="s">
        <v>990</v>
      </c>
      <c r="BJ468" s="411"/>
    </row>
    <row r="469" spans="1:62" ht="15.75" customHeight="1" thickBot="1" x14ac:dyDescent="0.25">
      <c r="A469" s="156">
        <v>468</v>
      </c>
      <c r="B469" s="155">
        <v>1</v>
      </c>
      <c r="C469" s="148" t="s">
        <v>975</v>
      </c>
      <c r="D469" s="148" t="s">
        <v>3060</v>
      </c>
      <c r="E469" s="148" t="s">
        <v>778</v>
      </c>
      <c r="F469" s="148" t="s">
        <v>1051</v>
      </c>
      <c r="G469" s="148" t="s">
        <v>292</v>
      </c>
      <c r="H469" s="148" t="s">
        <v>1052</v>
      </c>
      <c r="I469" s="161">
        <v>2012</v>
      </c>
      <c r="J469" s="161" t="s">
        <v>1053</v>
      </c>
      <c r="K469" s="161" t="s">
        <v>1054</v>
      </c>
      <c r="L469" s="161" t="s">
        <v>19</v>
      </c>
      <c r="M469" s="453" t="s">
        <v>4189</v>
      </c>
      <c r="N469" s="186" t="s">
        <v>20</v>
      </c>
      <c r="O469" s="186" t="s">
        <v>15</v>
      </c>
      <c r="P469" s="186" t="s">
        <v>20</v>
      </c>
      <c r="Q469" s="186" t="s">
        <v>15</v>
      </c>
      <c r="R469" s="186" t="s">
        <v>20</v>
      </c>
      <c r="S469" s="186" t="s">
        <v>15</v>
      </c>
      <c r="T469" s="186" t="s">
        <v>15</v>
      </c>
      <c r="U469" s="186" t="s">
        <v>15</v>
      </c>
      <c r="V469" s="186" t="s">
        <v>15</v>
      </c>
      <c r="W469" s="186" t="s">
        <v>15</v>
      </c>
      <c r="X469" s="186" t="s">
        <v>15</v>
      </c>
      <c r="Y469" s="186" t="s">
        <v>15</v>
      </c>
      <c r="Z469" s="186"/>
      <c r="AA469" s="186" t="s">
        <v>1055</v>
      </c>
      <c r="AB469" s="186" t="s">
        <v>292</v>
      </c>
      <c r="AC469" s="186" t="s">
        <v>292</v>
      </c>
      <c r="AD469" s="268" t="s">
        <v>1056</v>
      </c>
      <c r="AE469" s="268" t="s">
        <v>2443</v>
      </c>
      <c r="AF469" s="144" t="str">
        <f t="shared" si="31"/>
        <v/>
      </c>
      <c r="AG469" s="144" t="str">
        <f t="shared" si="35"/>
        <v/>
      </c>
      <c r="AH469" s="146" t="str">
        <f t="shared" si="33"/>
        <v/>
      </c>
      <c r="AI469" s="146" t="str">
        <f t="shared" si="34"/>
        <v/>
      </c>
      <c r="AJ469" s="303"/>
      <c r="AK469" s="303"/>
      <c r="AL469" s="303"/>
      <c r="AM469" s="303"/>
      <c r="AN469" s="303"/>
      <c r="AO469" s="303"/>
      <c r="AP469" s="303"/>
      <c r="AQ469" s="303"/>
      <c r="AR469" s="303"/>
      <c r="AS469" s="170"/>
      <c r="AT469" s="170"/>
      <c r="AU469" s="310"/>
      <c r="AW469" s="294"/>
      <c r="AX469" s="294"/>
      <c r="AY469" s="294"/>
      <c r="AZ469" s="294"/>
      <c r="BA469" s="294"/>
      <c r="BB469" s="294"/>
      <c r="BC469" s="294"/>
      <c r="BD469" s="294"/>
      <c r="BE469" s="294"/>
      <c r="BF469" s="391"/>
      <c r="BG469" s="382">
        <f>(186.43+186.96+190.27)/3/24/0.79</f>
        <v>9.9096343178621655</v>
      </c>
      <c r="BH469" s="278"/>
      <c r="BI469" s="365" t="s">
        <v>990</v>
      </c>
      <c r="BJ469" s="411"/>
    </row>
    <row r="470" spans="1:62" ht="15.75" customHeight="1" thickBot="1" x14ac:dyDescent="0.25">
      <c r="A470" s="154">
        <v>469</v>
      </c>
      <c r="B470" s="155">
        <v>1</v>
      </c>
      <c r="C470" s="148" t="s">
        <v>975</v>
      </c>
      <c r="D470" s="148" t="s">
        <v>3059</v>
      </c>
      <c r="E470" s="148" t="s">
        <v>13</v>
      </c>
      <c r="F470" s="149" t="s">
        <v>2366</v>
      </c>
      <c r="G470" s="148" t="s">
        <v>122</v>
      </c>
      <c r="H470" s="148" t="s">
        <v>1057</v>
      </c>
      <c r="I470" s="161">
        <v>2014</v>
      </c>
      <c r="J470" s="161" t="s">
        <v>1058</v>
      </c>
      <c r="K470" s="161" t="s">
        <v>1059</v>
      </c>
      <c r="L470" s="161" t="s">
        <v>19</v>
      </c>
      <c r="M470" s="453" t="s">
        <v>4190</v>
      </c>
      <c r="N470" s="186" t="s">
        <v>20</v>
      </c>
      <c r="O470" s="186" t="s">
        <v>15</v>
      </c>
      <c r="P470" s="186" t="s">
        <v>20</v>
      </c>
      <c r="Q470" s="186" t="s">
        <v>15</v>
      </c>
      <c r="R470" s="186" t="s">
        <v>20</v>
      </c>
      <c r="S470" s="186" t="s">
        <v>15</v>
      </c>
      <c r="T470" s="186" t="s">
        <v>15</v>
      </c>
      <c r="U470" s="186" t="s">
        <v>15</v>
      </c>
      <c r="V470" s="186" t="s">
        <v>15</v>
      </c>
      <c r="W470" s="186" t="s">
        <v>15</v>
      </c>
      <c r="X470" s="186" t="s">
        <v>15</v>
      </c>
      <c r="Y470" s="186" t="s">
        <v>15</v>
      </c>
      <c r="Z470" s="186"/>
      <c r="AA470" s="186" t="s">
        <v>1060</v>
      </c>
      <c r="AB470" s="186" t="s">
        <v>292</v>
      </c>
      <c r="AC470" s="186" t="s">
        <v>122</v>
      </c>
      <c r="AD470" s="268" t="s">
        <v>1061</v>
      </c>
      <c r="AE470" s="268" t="s">
        <v>2856</v>
      </c>
      <c r="AF470" s="144">
        <f t="shared" si="31"/>
        <v>609.67741935483866</v>
      </c>
      <c r="AG470" s="144" t="str">
        <f t="shared" si="35"/>
        <v/>
      </c>
      <c r="AH470" s="146">
        <f t="shared" si="33"/>
        <v>40.645161290322577</v>
      </c>
      <c r="AI470" s="146" t="str">
        <f t="shared" si="34"/>
        <v/>
      </c>
      <c r="AJ470" s="303">
        <f>189/0.31</f>
        <v>609.67741935483866</v>
      </c>
      <c r="AK470" s="303"/>
      <c r="AL470" s="303"/>
      <c r="AM470" s="303">
        <f>31/0.31</f>
        <v>100</v>
      </c>
      <c r="AN470" s="303">
        <f>265/0.31</f>
        <v>854.83870967741939</v>
      </c>
      <c r="AO470" s="303"/>
      <c r="AP470" s="303"/>
      <c r="AQ470" s="303"/>
      <c r="AR470" s="303"/>
      <c r="AS470" s="170">
        <f>AJ470</f>
        <v>609.67741935483866</v>
      </c>
      <c r="AT470" s="170">
        <v>1564.516129032258</v>
      </c>
      <c r="AU470" s="310" t="s">
        <v>1062</v>
      </c>
      <c r="AW470" s="294">
        <f>12.6/0.31</f>
        <v>40.645161290322577</v>
      </c>
      <c r="AX470" s="294"/>
      <c r="AY470" s="294"/>
      <c r="AZ470" s="294">
        <f>0.92/0.31</f>
        <v>2.967741935483871</v>
      </c>
      <c r="BA470" s="294">
        <f>17.5/0.31</f>
        <v>56.451612903225808</v>
      </c>
      <c r="BB470" s="294"/>
      <c r="BC470" s="294"/>
      <c r="BD470" s="294"/>
      <c r="BE470" s="294"/>
      <c r="BF470" s="383">
        <f>AW470</f>
        <v>40.645161290322577</v>
      </c>
      <c r="BG470" s="383">
        <v>100</v>
      </c>
      <c r="BH470" s="278"/>
      <c r="BI470" s="365" t="s">
        <v>1062</v>
      </c>
      <c r="BJ470" s="409"/>
    </row>
    <row r="471" spans="1:62" ht="15.75" customHeight="1" thickBot="1" x14ac:dyDescent="0.25">
      <c r="A471" s="156">
        <v>470</v>
      </c>
      <c r="B471" s="155">
        <v>1</v>
      </c>
      <c r="C471" s="148" t="s">
        <v>975</v>
      </c>
      <c r="D471" s="149" t="s">
        <v>3056</v>
      </c>
      <c r="E471" s="148" t="s">
        <v>1063</v>
      </c>
      <c r="F471" s="149" t="s">
        <v>2367</v>
      </c>
      <c r="G471" s="148" t="s">
        <v>292</v>
      </c>
      <c r="H471" s="148" t="s">
        <v>1064</v>
      </c>
      <c r="I471" s="161">
        <v>2013</v>
      </c>
      <c r="J471" s="161" t="s">
        <v>1065</v>
      </c>
      <c r="K471" s="161" t="s">
        <v>1066</v>
      </c>
      <c r="L471" s="161" t="s">
        <v>19</v>
      </c>
      <c r="M471" s="453" t="s">
        <v>4191</v>
      </c>
      <c r="N471" s="186" t="s">
        <v>20</v>
      </c>
      <c r="O471" s="186" t="s">
        <v>15</v>
      </c>
      <c r="P471" s="186" t="s">
        <v>20</v>
      </c>
      <c r="Q471" s="186" t="s">
        <v>20</v>
      </c>
      <c r="R471" s="186" t="s">
        <v>20</v>
      </c>
      <c r="S471" s="186" t="s">
        <v>20</v>
      </c>
      <c r="T471" s="186" t="s">
        <v>15</v>
      </c>
      <c r="U471" s="186" t="s">
        <v>15</v>
      </c>
      <c r="V471" s="186" t="s">
        <v>15</v>
      </c>
      <c r="W471" s="186" t="s">
        <v>15</v>
      </c>
      <c r="X471" s="186" t="s">
        <v>15</v>
      </c>
      <c r="Y471" s="186" t="s">
        <v>15</v>
      </c>
      <c r="Z471" s="186"/>
      <c r="AA471" s="186"/>
      <c r="AB471" s="186" t="s">
        <v>292</v>
      </c>
      <c r="AC471" s="186" t="s">
        <v>292</v>
      </c>
      <c r="AD471" s="268" t="s">
        <v>1067</v>
      </c>
      <c r="AE471" s="268"/>
      <c r="AF471" s="144" t="str">
        <f t="shared" si="31"/>
        <v/>
      </c>
      <c r="AG471" s="144" t="str">
        <f t="shared" si="35"/>
        <v/>
      </c>
      <c r="AH471" s="146">
        <f t="shared" si="33"/>
        <v>2</v>
      </c>
      <c r="AI471" s="146" t="str">
        <f t="shared" si="34"/>
        <v/>
      </c>
      <c r="AJ471" s="303"/>
      <c r="AK471" s="303"/>
      <c r="AL471" s="303"/>
      <c r="AM471" s="303"/>
      <c r="AN471" s="303"/>
      <c r="AO471" s="303"/>
      <c r="AP471" s="303"/>
      <c r="AQ471" s="303"/>
      <c r="AR471" s="303"/>
      <c r="AS471" s="170"/>
      <c r="AT471" s="170"/>
      <c r="AU471" s="310"/>
      <c r="AW471" s="294"/>
      <c r="AX471" s="294"/>
      <c r="AY471" s="294"/>
      <c r="AZ471" s="294"/>
      <c r="BA471" s="294"/>
      <c r="BB471" s="294"/>
      <c r="BC471" s="294"/>
      <c r="BD471" s="294"/>
      <c r="BE471" s="294"/>
      <c r="BF471" s="382">
        <v>2</v>
      </c>
      <c r="BG471" s="382">
        <v>3.6</v>
      </c>
      <c r="BH471" s="278"/>
      <c r="BI471" s="365" t="s">
        <v>93</v>
      </c>
      <c r="BJ471" s="409"/>
    </row>
    <row r="472" spans="1:62" ht="15.75" customHeight="1" thickBot="1" x14ac:dyDescent="0.25">
      <c r="A472" s="154">
        <v>471</v>
      </c>
      <c r="B472" s="155">
        <v>1</v>
      </c>
      <c r="C472" s="148" t="s">
        <v>975</v>
      </c>
      <c r="D472" s="149" t="s">
        <v>3056</v>
      </c>
      <c r="E472" s="148" t="s">
        <v>1063</v>
      </c>
      <c r="F472" s="149" t="s">
        <v>2368</v>
      </c>
      <c r="G472" s="148" t="s">
        <v>292</v>
      </c>
      <c r="H472" s="148" t="s">
        <v>1064</v>
      </c>
      <c r="I472" s="161">
        <v>2013</v>
      </c>
      <c r="J472" s="161" t="s">
        <v>1065</v>
      </c>
      <c r="K472" s="161" t="s">
        <v>1066</v>
      </c>
      <c r="L472" s="161" t="s">
        <v>19</v>
      </c>
      <c r="M472" s="453" t="s">
        <v>4191</v>
      </c>
      <c r="N472" s="186" t="s">
        <v>20</v>
      </c>
      <c r="O472" s="186" t="s">
        <v>15</v>
      </c>
      <c r="P472" s="186" t="s">
        <v>20</v>
      </c>
      <c r="Q472" s="186" t="s">
        <v>20</v>
      </c>
      <c r="R472" s="186" t="s">
        <v>20</v>
      </c>
      <c r="S472" s="186" t="s">
        <v>20</v>
      </c>
      <c r="T472" s="186" t="s">
        <v>15</v>
      </c>
      <c r="U472" s="186" t="s">
        <v>15</v>
      </c>
      <c r="V472" s="186" t="s">
        <v>15</v>
      </c>
      <c r="W472" s="186" t="s">
        <v>15</v>
      </c>
      <c r="X472" s="186" t="s">
        <v>15</v>
      </c>
      <c r="Y472" s="186" t="s">
        <v>15</v>
      </c>
      <c r="Z472" s="186"/>
      <c r="AA472" s="186"/>
      <c r="AB472" s="186" t="s">
        <v>292</v>
      </c>
      <c r="AC472" s="186" t="s">
        <v>292</v>
      </c>
      <c r="AD472" s="268" t="s">
        <v>1067</v>
      </c>
      <c r="AE472" s="268"/>
      <c r="AF472" s="144" t="str">
        <f t="shared" si="31"/>
        <v/>
      </c>
      <c r="AG472" s="144" t="str">
        <f t="shared" si="35"/>
        <v/>
      </c>
      <c r="AH472" s="146">
        <f t="shared" si="33"/>
        <v>2</v>
      </c>
      <c r="AI472" s="146" t="str">
        <f t="shared" si="34"/>
        <v/>
      </c>
      <c r="AJ472" s="303"/>
      <c r="AK472" s="303"/>
      <c r="AL472" s="303"/>
      <c r="AM472" s="303"/>
      <c r="AN472" s="303"/>
      <c r="AO472" s="303"/>
      <c r="AP472" s="303"/>
      <c r="AQ472" s="303"/>
      <c r="AR472" s="303"/>
      <c r="AS472" s="170"/>
      <c r="AT472" s="170"/>
      <c r="AU472" s="310"/>
      <c r="AW472" s="294"/>
      <c r="AX472" s="294"/>
      <c r="AY472" s="294"/>
      <c r="AZ472" s="294"/>
      <c r="BA472" s="294"/>
      <c r="BB472" s="294"/>
      <c r="BC472" s="294"/>
      <c r="BD472" s="294"/>
      <c r="BE472" s="294"/>
      <c r="BF472" s="382">
        <v>2</v>
      </c>
      <c r="BG472" s="382">
        <v>3.29</v>
      </c>
      <c r="BH472" s="278"/>
      <c r="BI472" s="365" t="s">
        <v>93</v>
      </c>
      <c r="BJ472" s="409"/>
    </row>
    <row r="473" spans="1:62" ht="15.75" customHeight="1" thickBot="1" x14ac:dyDescent="0.25">
      <c r="A473" s="156">
        <v>472</v>
      </c>
      <c r="B473" s="155">
        <v>1</v>
      </c>
      <c r="C473" s="148" t="s">
        <v>975</v>
      </c>
      <c r="D473" s="149" t="s">
        <v>3056</v>
      </c>
      <c r="E473" s="148" t="s">
        <v>1063</v>
      </c>
      <c r="F473" s="149" t="s">
        <v>2369</v>
      </c>
      <c r="G473" s="148" t="s">
        <v>292</v>
      </c>
      <c r="H473" s="148" t="s">
        <v>1064</v>
      </c>
      <c r="I473" s="161">
        <v>2013</v>
      </c>
      <c r="J473" s="161" t="s">
        <v>1065</v>
      </c>
      <c r="K473" s="161" t="s">
        <v>1066</v>
      </c>
      <c r="L473" s="161" t="s">
        <v>19</v>
      </c>
      <c r="M473" s="453" t="s">
        <v>4191</v>
      </c>
      <c r="N473" s="186" t="s">
        <v>20</v>
      </c>
      <c r="O473" s="186" t="s">
        <v>15</v>
      </c>
      <c r="P473" s="186" t="s">
        <v>20</v>
      </c>
      <c r="Q473" s="186" t="s">
        <v>20</v>
      </c>
      <c r="R473" s="186" t="s">
        <v>20</v>
      </c>
      <c r="S473" s="186" t="s">
        <v>20</v>
      </c>
      <c r="T473" s="186" t="s">
        <v>15</v>
      </c>
      <c r="U473" s="186" t="s">
        <v>15</v>
      </c>
      <c r="V473" s="186" t="s">
        <v>15</v>
      </c>
      <c r="W473" s="186" t="s">
        <v>15</v>
      </c>
      <c r="X473" s="186" t="s">
        <v>15</v>
      </c>
      <c r="Y473" s="186" t="s">
        <v>15</v>
      </c>
      <c r="Z473" s="186"/>
      <c r="AA473" s="186"/>
      <c r="AB473" s="186" t="s">
        <v>292</v>
      </c>
      <c r="AC473" s="186" t="s">
        <v>292</v>
      </c>
      <c r="AD473" s="268" t="s">
        <v>1067</v>
      </c>
      <c r="AE473" s="268"/>
      <c r="AF473" s="144" t="str">
        <f t="shared" si="31"/>
        <v/>
      </c>
      <c r="AG473" s="144" t="str">
        <f t="shared" si="35"/>
        <v/>
      </c>
      <c r="AH473" s="146">
        <f t="shared" si="33"/>
        <v>2</v>
      </c>
      <c r="AI473" s="146" t="str">
        <f t="shared" si="34"/>
        <v/>
      </c>
      <c r="AJ473" s="303"/>
      <c r="AK473" s="303"/>
      <c r="AL473" s="303"/>
      <c r="AM473" s="303"/>
      <c r="AN473" s="303"/>
      <c r="AO473" s="303"/>
      <c r="AP473" s="303"/>
      <c r="AQ473" s="303"/>
      <c r="AR473" s="303"/>
      <c r="AS473" s="170"/>
      <c r="AT473" s="170"/>
      <c r="AU473" s="310"/>
      <c r="AW473" s="294"/>
      <c r="AX473" s="294"/>
      <c r="AY473" s="294"/>
      <c r="AZ473" s="294"/>
      <c r="BA473" s="294"/>
      <c r="BB473" s="294"/>
      <c r="BC473" s="294"/>
      <c r="BD473" s="294"/>
      <c r="BE473" s="294"/>
      <c r="BF473" s="382">
        <v>2</v>
      </c>
      <c r="BG473" s="382">
        <v>4.16</v>
      </c>
      <c r="BH473" s="278"/>
      <c r="BI473" s="365" t="s">
        <v>93</v>
      </c>
      <c r="BJ473" s="409"/>
    </row>
    <row r="474" spans="1:62" ht="15.75" customHeight="1" thickBot="1" x14ac:dyDescent="0.25">
      <c r="A474" s="154">
        <v>473</v>
      </c>
      <c r="B474" s="155">
        <v>1</v>
      </c>
      <c r="C474" s="148" t="s">
        <v>975</v>
      </c>
      <c r="D474" s="148" t="s">
        <v>3056</v>
      </c>
      <c r="E474" s="148" t="s">
        <v>1063</v>
      </c>
      <c r="F474" s="149" t="s">
        <v>2370</v>
      </c>
      <c r="G474" s="148" t="s">
        <v>292</v>
      </c>
      <c r="H474" s="148" t="s">
        <v>1064</v>
      </c>
      <c r="I474" s="161">
        <v>2013</v>
      </c>
      <c r="J474" s="161" t="s">
        <v>1065</v>
      </c>
      <c r="K474" s="161" t="s">
        <v>1066</v>
      </c>
      <c r="L474" s="161" t="s">
        <v>19</v>
      </c>
      <c r="M474" s="453" t="s">
        <v>4191</v>
      </c>
      <c r="N474" s="186" t="s">
        <v>20</v>
      </c>
      <c r="O474" s="186" t="s">
        <v>15</v>
      </c>
      <c r="P474" s="186" t="s">
        <v>20</v>
      </c>
      <c r="Q474" s="186" t="s">
        <v>20</v>
      </c>
      <c r="R474" s="186" t="s">
        <v>20</v>
      </c>
      <c r="S474" s="186" t="s">
        <v>20</v>
      </c>
      <c r="T474" s="186" t="s">
        <v>15</v>
      </c>
      <c r="U474" s="186" t="s">
        <v>15</v>
      </c>
      <c r="V474" s="186" t="s">
        <v>15</v>
      </c>
      <c r="W474" s="186" t="s">
        <v>15</v>
      </c>
      <c r="X474" s="186" t="s">
        <v>15</v>
      </c>
      <c r="Y474" s="186" t="s">
        <v>15</v>
      </c>
      <c r="Z474" s="186"/>
      <c r="AA474" s="186"/>
      <c r="AB474" s="186" t="s">
        <v>292</v>
      </c>
      <c r="AC474" s="186" t="s">
        <v>292</v>
      </c>
      <c r="AD474" s="268" t="s">
        <v>1067</v>
      </c>
      <c r="AE474" s="268"/>
      <c r="AF474" s="144" t="str">
        <f t="shared" si="31"/>
        <v/>
      </c>
      <c r="AG474" s="144" t="str">
        <f t="shared" si="35"/>
        <v/>
      </c>
      <c r="AH474" s="146">
        <f t="shared" si="33"/>
        <v>2</v>
      </c>
      <c r="AI474" s="146" t="str">
        <f t="shared" si="34"/>
        <v/>
      </c>
      <c r="AJ474" s="303"/>
      <c r="AK474" s="303"/>
      <c r="AL474" s="303"/>
      <c r="AM474" s="303"/>
      <c r="AN474" s="303"/>
      <c r="AO474" s="303"/>
      <c r="AP474" s="303"/>
      <c r="AQ474" s="303"/>
      <c r="AR474" s="303"/>
      <c r="AS474" s="170"/>
      <c r="AT474" s="170"/>
      <c r="AU474" s="310"/>
      <c r="AW474" s="294"/>
      <c r="AX474" s="294"/>
      <c r="AY474" s="294"/>
      <c r="AZ474" s="294"/>
      <c r="BA474" s="294"/>
      <c r="BB474" s="294"/>
      <c r="BC474" s="294"/>
      <c r="BD474" s="294"/>
      <c r="BE474" s="294"/>
      <c r="BF474" s="382">
        <v>2</v>
      </c>
      <c r="BG474" s="382">
        <v>13.9</v>
      </c>
      <c r="BH474" s="278"/>
      <c r="BI474" s="365" t="s">
        <v>93</v>
      </c>
      <c r="BJ474" s="409"/>
    </row>
    <row r="475" spans="1:62" ht="15.75" customHeight="1" thickBot="1" x14ac:dyDescent="0.25">
      <c r="A475" s="156">
        <v>474</v>
      </c>
      <c r="B475" s="155">
        <v>1</v>
      </c>
      <c r="C475" s="148" t="s">
        <v>975</v>
      </c>
      <c r="D475" s="149" t="s">
        <v>3056</v>
      </c>
      <c r="E475" s="148" t="s">
        <v>1068</v>
      </c>
      <c r="F475" s="149" t="s">
        <v>2371</v>
      </c>
      <c r="G475" s="148" t="s">
        <v>292</v>
      </c>
      <c r="H475" s="148" t="s">
        <v>1064</v>
      </c>
      <c r="I475" s="161">
        <v>2013</v>
      </c>
      <c r="J475" s="161" t="s">
        <v>1065</v>
      </c>
      <c r="K475" s="161" t="s">
        <v>1066</v>
      </c>
      <c r="L475" s="161" t="s">
        <v>19</v>
      </c>
      <c r="M475" s="453" t="s">
        <v>4191</v>
      </c>
      <c r="N475" s="186" t="s">
        <v>20</v>
      </c>
      <c r="O475" s="186" t="s">
        <v>15</v>
      </c>
      <c r="P475" s="186" t="s">
        <v>20</v>
      </c>
      <c r="Q475" s="186" t="s">
        <v>20</v>
      </c>
      <c r="R475" s="186" t="s">
        <v>20</v>
      </c>
      <c r="S475" s="186" t="s">
        <v>20</v>
      </c>
      <c r="T475" s="186" t="s">
        <v>15</v>
      </c>
      <c r="U475" s="186" t="s">
        <v>15</v>
      </c>
      <c r="V475" s="186" t="s">
        <v>15</v>
      </c>
      <c r="W475" s="186" t="s">
        <v>15</v>
      </c>
      <c r="X475" s="186" t="s">
        <v>15</v>
      </c>
      <c r="Y475" s="186" t="s">
        <v>15</v>
      </c>
      <c r="Z475" s="186"/>
      <c r="AA475" s="186"/>
      <c r="AB475" s="186" t="s">
        <v>292</v>
      </c>
      <c r="AC475" s="186" t="s">
        <v>292</v>
      </c>
      <c r="AD475" s="268" t="s">
        <v>1067</v>
      </c>
      <c r="AE475" s="268"/>
      <c r="AF475" s="144" t="str">
        <f t="shared" si="31"/>
        <v/>
      </c>
      <c r="AG475" s="144" t="str">
        <f t="shared" si="35"/>
        <v/>
      </c>
      <c r="AH475" s="146">
        <f t="shared" si="33"/>
        <v>2</v>
      </c>
      <c r="AI475" s="146" t="str">
        <f t="shared" si="34"/>
        <v/>
      </c>
      <c r="AJ475" s="303"/>
      <c r="AK475" s="303"/>
      <c r="AL475" s="303"/>
      <c r="AM475" s="303"/>
      <c r="AN475" s="303"/>
      <c r="AO475" s="303"/>
      <c r="AP475" s="303"/>
      <c r="AQ475" s="303"/>
      <c r="AR475" s="303"/>
      <c r="AS475" s="170"/>
      <c r="AT475" s="170"/>
      <c r="AU475" s="310"/>
      <c r="AW475" s="294"/>
      <c r="AX475" s="294"/>
      <c r="AY475" s="294"/>
      <c r="AZ475" s="294"/>
      <c r="BA475" s="294"/>
      <c r="BB475" s="294"/>
      <c r="BC475" s="294"/>
      <c r="BD475" s="294"/>
      <c r="BE475" s="294"/>
      <c r="BF475" s="382">
        <v>2</v>
      </c>
      <c r="BG475" s="382">
        <v>4.08</v>
      </c>
      <c r="BH475" s="278"/>
      <c r="BI475" s="365" t="s">
        <v>93</v>
      </c>
      <c r="BJ475" s="409"/>
    </row>
    <row r="476" spans="1:62" ht="15.75" customHeight="1" thickBot="1" x14ac:dyDescent="0.25">
      <c r="A476" s="154">
        <v>475</v>
      </c>
      <c r="B476" s="155">
        <v>1</v>
      </c>
      <c r="C476" s="148" t="s">
        <v>975</v>
      </c>
      <c r="D476" s="149" t="s">
        <v>3056</v>
      </c>
      <c r="E476" s="148" t="s">
        <v>13</v>
      </c>
      <c r="F476" s="149" t="s">
        <v>2372</v>
      </c>
      <c r="G476" s="148" t="s">
        <v>292</v>
      </c>
      <c r="H476" s="148" t="s">
        <v>1064</v>
      </c>
      <c r="I476" s="161">
        <v>2013</v>
      </c>
      <c r="J476" s="161" t="s">
        <v>1065</v>
      </c>
      <c r="K476" s="161" t="s">
        <v>1066</v>
      </c>
      <c r="L476" s="161" t="s">
        <v>19</v>
      </c>
      <c r="M476" s="453" t="s">
        <v>4191</v>
      </c>
      <c r="N476" s="186" t="s">
        <v>20</v>
      </c>
      <c r="O476" s="186" t="s">
        <v>15</v>
      </c>
      <c r="P476" s="186" t="s">
        <v>20</v>
      </c>
      <c r="Q476" s="186" t="s">
        <v>20</v>
      </c>
      <c r="R476" s="186" t="s">
        <v>20</v>
      </c>
      <c r="S476" s="186" t="s">
        <v>20</v>
      </c>
      <c r="T476" s="186" t="s">
        <v>15</v>
      </c>
      <c r="U476" s="186" t="s">
        <v>15</v>
      </c>
      <c r="V476" s="186" t="s">
        <v>15</v>
      </c>
      <c r="W476" s="186" t="s">
        <v>15</v>
      </c>
      <c r="X476" s="186" t="s">
        <v>15</v>
      </c>
      <c r="Y476" s="186" t="s">
        <v>15</v>
      </c>
      <c r="Z476" s="186"/>
      <c r="AA476" s="186"/>
      <c r="AB476" s="186" t="s">
        <v>292</v>
      </c>
      <c r="AC476" s="186" t="s">
        <v>292</v>
      </c>
      <c r="AD476" s="268" t="s">
        <v>1067</v>
      </c>
      <c r="AE476" s="268"/>
      <c r="AF476" s="144" t="str">
        <f t="shared" si="31"/>
        <v/>
      </c>
      <c r="AG476" s="144" t="str">
        <f t="shared" si="35"/>
        <v/>
      </c>
      <c r="AH476" s="146">
        <f t="shared" si="33"/>
        <v>2</v>
      </c>
      <c r="AI476" s="146" t="str">
        <f t="shared" si="34"/>
        <v/>
      </c>
      <c r="AJ476" s="303"/>
      <c r="AK476" s="303"/>
      <c r="AL476" s="303"/>
      <c r="AM476" s="303"/>
      <c r="AN476" s="303"/>
      <c r="AO476" s="303"/>
      <c r="AP476" s="303"/>
      <c r="AQ476" s="303"/>
      <c r="AR476" s="303"/>
      <c r="AS476" s="170"/>
      <c r="AT476" s="170"/>
      <c r="AU476" s="310"/>
      <c r="AW476" s="294"/>
      <c r="AX476" s="294"/>
      <c r="AY476" s="294"/>
      <c r="AZ476" s="294"/>
      <c r="BA476" s="294"/>
      <c r="BB476" s="294"/>
      <c r="BC476" s="294"/>
      <c r="BD476" s="294"/>
      <c r="BE476" s="294"/>
      <c r="BF476" s="382">
        <v>2</v>
      </c>
      <c r="BG476" s="382">
        <v>2.52</v>
      </c>
      <c r="BH476" s="278"/>
      <c r="BI476" s="365" t="s">
        <v>93</v>
      </c>
      <c r="BJ476" s="409"/>
    </row>
    <row r="477" spans="1:62" ht="15.75" customHeight="1" thickBot="1" x14ac:dyDescent="0.25">
      <c r="A477" s="156">
        <v>476</v>
      </c>
      <c r="B477" s="155">
        <v>1</v>
      </c>
      <c r="C477" s="148" t="s">
        <v>975</v>
      </c>
      <c r="D477" s="149" t="s">
        <v>3056</v>
      </c>
      <c r="E477" s="148" t="s">
        <v>1068</v>
      </c>
      <c r="F477" s="149" t="s">
        <v>2372</v>
      </c>
      <c r="G477" s="148" t="s">
        <v>292</v>
      </c>
      <c r="H477" s="148" t="s">
        <v>1064</v>
      </c>
      <c r="I477" s="161">
        <v>2013</v>
      </c>
      <c r="J477" s="161" t="s">
        <v>1065</v>
      </c>
      <c r="K477" s="161" t="s">
        <v>1066</v>
      </c>
      <c r="L477" s="161" t="s">
        <v>19</v>
      </c>
      <c r="M477" s="453" t="s">
        <v>4191</v>
      </c>
      <c r="N477" s="186" t="s">
        <v>20</v>
      </c>
      <c r="O477" s="186" t="s">
        <v>15</v>
      </c>
      <c r="P477" s="186" t="s">
        <v>20</v>
      </c>
      <c r="Q477" s="186" t="s">
        <v>20</v>
      </c>
      <c r="R477" s="186" t="s">
        <v>20</v>
      </c>
      <c r="S477" s="186" t="s">
        <v>20</v>
      </c>
      <c r="T477" s="186" t="s">
        <v>15</v>
      </c>
      <c r="U477" s="186" t="s">
        <v>15</v>
      </c>
      <c r="V477" s="186" t="s">
        <v>15</v>
      </c>
      <c r="W477" s="186" t="s">
        <v>15</v>
      </c>
      <c r="X477" s="186" t="s">
        <v>15</v>
      </c>
      <c r="Y477" s="186" t="s">
        <v>15</v>
      </c>
      <c r="Z477" s="186"/>
      <c r="AA477" s="186"/>
      <c r="AB477" s="186" t="s">
        <v>292</v>
      </c>
      <c r="AC477" s="186" t="s">
        <v>292</v>
      </c>
      <c r="AD477" s="268" t="s">
        <v>1067</v>
      </c>
      <c r="AE477" s="268"/>
      <c r="AF477" s="144" t="str">
        <f t="shared" si="31"/>
        <v/>
      </c>
      <c r="AG477" s="144" t="str">
        <f t="shared" si="35"/>
        <v/>
      </c>
      <c r="AH477" s="146">
        <f t="shared" si="33"/>
        <v>2</v>
      </c>
      <c r="AI477" s="146" t="str">
        <f t="shared" si="34"/>
        <v/>
      </c>
      <c r="AJ477" s="303"/>
      <c r="AK477" s="303"/>
      <c r="AL477" s="303"/>
      <c r="AM477" s="303"/>
      <c r="AN477" s="303"/>
      <c r="AO477" s="303"/>
      <c r="AP477" s="303"/>
      <c r="AQ477" s="303"/>
      <c r="AR477" s="303"/>
      <c r="AS477" s="170"/>
      <c r="AT477" s="170"/>
      <c r="AU477" s="310"/>
      <c r="AW477" s="294"/>
      <c r="AX477" s="294"/>
      <c r="AY477" s="294"/>
      <c r="AZ477" s="294"/>
      <c r="BA477" s="294"/>
      <c r="BB477" s="294"/>
      <c r="BC477" s="294"/>
      <c r="BD477" s="294"/>
      <c r="BE477" s="294"/>
      <c r="BF477" s="382">
        <v>2</v>
      </c>
      <c r="BG477" s="382">
        <v>2.4700000000000002</v>
      </c>
      <c r="BH477" s="278"/>
      <c r="BI477" s="365" t="s">
        <v>93</v>
      </c>
      <c r="BJ477" s="409"/>
    </row>
    <row r="478" spans="1:62" ht="15.75" customHeight="1" thickBot="1" x14ac:dyDescent="0.25">
      <c r="A478" s="154">
        <v>477</v>
      </c>
      <c r="B478" s="155">
        <v>1</v>
      </c>
      <c r="C478" s="148" t="s">
        <v>975</v>
      </c>
      <c r="D478" s="149" t="s">
        <v>3060</v>
      </c>
      <c r="E478" s="148" t="s">
        <v>1069</v>
      </c>
      <c r="F478" s="149" t="s">
        <v>2373</v>
      </c>
      <c r="G478" s="148" t="s">
        <v>292</v>
      </c>
      <c r="H478" s="148" t="s">
        <v>1064</v>
      </c>
      <c r="I478" s="161">
        <v>2013</v>
      </c>
      <c r="J478" s="161" t="s">
        <v>1065</v>
      </c>
      <c r="K478" s="161" t="s">
        <v>1066</v>
      </c>
      <c r="L478" s="161" t="s">
        <v>19</v>
      </c>
      <c r="M478" s="453" t="s">
        <v>4191</v>
      </c>
      <c r="N478" s="186" t="s">
        <v>20</v>
      </c>
      <c r="O478" s="186" t="s">
        <v>15</v>
      </c>
      <c r="P478" s="186" t="s">
        <v>20</v>
      </c>
      <c r="Q478" s="186" t="s">
        <v>20</v>
      </c>
      <c r="R478" s="186" t="s">
        <v>20</v>
      </c>
      <c r="S478" s="186" t="s">
        <v>20</v>
      </c>
      <c r="T478" s="186" t="s">
        <v>15</v>
      </c>
      <c r="U478" s="186" t="s">
        <v>15</v>
      </c>
      <c r="V478" s="186" t="s">
        <v>15</v>
      </c>
      <c r="W478" s="186" t="s">
        <v>15</v>
      </c>
      <c r="X478" s="186" t="s">
        <v>15</v>
      </c>
      <c r="Y478" s="186" t="s">
        <v>15</v>
      </c>
      <c r="Z478" s="186"/>
      <c r="AA478" s="186"/>
      <c r="AB478" s="186" t="s">
        <v>292</v>
      </c>
      <c r="AC478" s="186" t="s">
        <v>292</v>
      </c>
      <c r="AD478" s="268" t="s">
        <v>1067</v>
      </c>
      <c r="AE478" s="268"/>
      <c r="AF478" s="144" t="str">
        <f t="shared" si="31"/>
        <v/>
      </c>
      <c r="AG478" s="144" t="str">
        <f t="shared" si="35"/>
        <v/>
      </c>
      <c r="AH478" s="146">
        <f t="shared" si="33"/>
        <v>0.16900000000000001</v>
      </c>
      <c r="AI478" s="146" t="str">
        <f t="shared" si="34"/>
        <v/>
      </c>
      <c r="AJ478" s="303"/>
      <c r="AK478" s="303"/>
      <c r="AL478" s="303"/>
      <c r="AM478" s="303"/>
      <c r="AN478" s="303"/>
      <c r="AO478" s="303"/>
      <c r="AP478" s="303"/>
      <c r="AQ478" s="303"/>
      <c r="AR478" s="303"/>
      <c r="AS478" s="170"/>
      <c r="AT478" s="170"/>
      <c r="AU478" s="310"/>
      <c r="AW478" s="294"/>
      <c r="AX478" s="294"/>
      <c r="AY478" s="294"/>
      <c r="AZ478" s="294"/>
      <c r="BA478" s="294"/>
      <c r="BB478" s="294"/>
      <c r="BC478" s="294"/>
      <c r="BD478" s="294"/>
      <c r="BE478" s="294"/>
      <c r="BF478" s="382">
        <v>0.16900000000000001</v>
      </c>
      <c r="BG478" s="382">
        <v>2.5499999999999998</v>
      </c>
      <c r="BH478" s="278"/>
      <c r="BI478" s="365" t="s">
        <v>93</v>
      </c>
      <c r="BJ478" s="409"/>
    </row>
    <row r="479" spans="1:62" ht="15.75" customHeight="1" thickBot="1" x14ac:dyDescent="0.25">
      <c r="A479" s="156">
        <v>478</v>
      </c>
      <c r="B479" s="155">
        <v>1</v>
      </c>
      <c r="C479" s="148" t="s">
        <v>975</v>
      </c>
      <c r="D479" s="149" t="s">
        <v>3057</v>
      </c>
      <c r="E479" s="148" t="s">
        <v>13</v>
      </c>
      <c r="F479" s="149" t="s">
        <v>2374</v>
      </c>
      <c r="G479" s="148" t="s">
        <v>292</v>
      </c>
      <c r="H479" s="148" t="s">
        <v>1064</v>
      </c>
      <c r="I479" s="161">
        <v>2013</v>
      </c>
      <c r="J479" s="161" t="s">
        <v>1065</v>
      </c>
      <c r="K479" s="161" t="s">
        <v>1066</v>
      </c>
      <c r="L479" s="161" t="s">
        <v>19</v>
      </c>
      <c r="M479" s="453" t="s">
        <v>4191</v>
      </c>
      <c r="N479" s="186" t="s">
        <v>20</v>
      </c>
      <c r="O479" s="186" t="s">
        <v>15</v>
      </c>
      <c r="P479" s="186" t="s">
        <v>20</v>
      </c>
      <c r="Q479" s="186" t="s">
        <v>20</v>
      </c>
      <c r="R479" s="186" t="s">
        <v>20</v>
      </c>
      <c r="S479" s="186" t="s">
        <v>20</v>
      </c>
      <c r="T479" s="186" t="s">
        <v>15</v>
      </c>
      <c r="U479" s="186" t="s">
        <v>15</v>
      </c>
      <c r="V479" s="186" t="s">
        <v>15</v>
      </c>
      <c r="W479" s="186" t="s">
        <v>15</v>
      </c>
      <c r="X479" s="186" t="s">
        <v>15</v>
      </c>
      <c r="Y479" s="186" t="s">
        <v>15</v>
      </c>
      <c r="Z479" s="186"/>
      <c r="AA479" s="186"/>
      <c r="AB479" s="186" t="s">
        <v>292</v>
      </c>
      <c r="AC479" s="186" t="s">
        <v>292</v>
      </c>
      <c r="AD479" s="268" t="s">
        <v>1067</v>
      </c>
      <c r="AE479" s="268"/>
      <c r="AF479" s="144" t="str">
        <f t="shared" si="31"/>
        <v/>
      </c>
      <c r="AG479" s="144" t="str">
        <f t="shared" si="35"/>
        <v/>
      </c>
      <c r="AH479" s="146">
        <f t="shared" si="33"/>
        <v>1.2</v>
      </c>
      <c r="AI479" s="146" t="str">
        <f t="shared" si="34"/>
        <v/>
      </c>
      <c r="AJ479" s="303"/>
      <c r="AK479" s="303"/>
      <c r="AL479" s="303"/>
      <c r="AM479" s="303"/>
      <c r="AN479" s="303"/>
      <c r="AO479" s="303"/>
      <c r="AP479" s="303"/>
      <c r="AQ479" s="303"/>
      <c r="AR479" s="303"/>
      <c r="AS479" s="170"/>
      <c r="AT479" s="170"/>
      <c r="AU479" s="310"/>
      <c r="AW479" s="294"/>
      <c r="AX479" s="294"/>
      <c r="AY479" s="294"/>
      <c r="AZ479" s="294"/>
      <c r="BA479" s="294"/>
      <c r="BB479" s="294"/>
      <c r="BC479" s="294"/>
      <c r="BD479" s="294"/>
      <c r="BE479" s="294"/>
      <c r="BF479" s="382">
        <v>1.2</v>
      </c>
      <c r="BG479" s="382">
        <v>3.63</v>
      </c>
      <c r="BH479" s="278"/>
      <c r="BI479" s="365" t="s">
        <v>93</v>
      </c>
      <c r="BJ479" s="409"/>
    </row>
    <row r="480" spans="1:62" ht="15.75" customHeight="1" thickBot="1" x14ac:dyDescent="0.25">
      <c r="A480" s="154">
        <v>479</v>
      </c>
      <c r="B480" s="155">
        <v>1</v>
      </c>
      <c r="C480" s="148" t="s">
        <v>975</v>
      </c>
      <c r="D480" s="149" t="s">
        <v>3057</v>
      </c>
      <c r="E480" s="148" t="s">
        <v>13</v>
      </c>
      <c r="F480" s="149" t="s">
        <v>2375</v>
      </c>
      <c r="G480" s="148" t="s">
        <v>292</v>
      </c>
      <c r="H480" s="148" t="s">
        <v>1064</v>
      </c>
      <c r="I480" s="161">
        <v>2013</v>
      </c>
      <c r="J480" s="161" t="s">
        <v>1065</v>
      </c>
      <c r="K480" s="161" t="s">
        <v>1066</v>
      </c>
      <c r="L480" s="161" t="s">
        <v>19</v>
      </c>
      <c r="M480" s="453" t="s">
        <v>4191</v>
      </c>
      <c r="N480" s="186" t="s">
        <v>20</v>
      </c>
      <c r="O480" s="186" t="s">
        <v>15</v>
      </c>
      <c r="P480" s="186" t="s">
        <v>20</v>
      </c>
      <c r="Q480" s="186" t="s">
        <v>20</v>
      </c>
      <c r="R480" s="186" t="s">
        <v>20</v>
      </c>
      <c r="S480" s="186" t="s">
        <v>20</v>
      </c>
      <c r="T480" s="186" t="s">
        <v>15</v>
      </c>
      <c r="U480" s="186" t="s">
        <v>15</v>
      </c>
      <c r="V480" s="186" t="s">
        <v>15</v>
      </c>
      <c r="W480" s="186" t="s">
        <v>15</v>
      </c>
      <c r="X480" s="186" t="s">
        <v>15</v>
      </c>
      <c r="Y480" s="186" t="s">
        <v>15</v>
      </c>
      <c r="Z480" s="186"/>
      <c r="AA480" s="186"/>
      <c r="AB480" s="186" t="s">
        <v>292</v>
      </c>
      <c r="AC480" s="186" t="s">
        <v>292</v>
      </c>
      <c r="AD480" s="268" t="s">
        <v>1067</v>
      </c>
      <c r="AE480" s="268"/>
      <c r="AF480" s="144" t="str">
        <f t="shared" si="31"/>
        <v/>
      </c>
      <c r="AG480" s="144" t="str">
        <f t="shared" si="35"/>
        <v/>
      </c>
      <c r="AH480" s="146">
        <f t="shared" si="33"/>
        <v>1.2</v>
      </c>
      <c r="AI480" s="146" t="str">
        <f t="shared" si="34"/>
        <v/>
      </c>
      <c r="AJ480" s="303"/>
      <c r="AK480" s="303"/>
      <c r="AL480" s="303"/>
      <c r="AM480" s="303"/>
      <c r="AN480" s="303"/>
      <c r="AO480" s="303"/>
      <c r="AP480" s="303"/>
      <c r="AQ480" s="303"/>
      <c r="AR480" s="303"/>
      <c r="AS480" s="170"/>
      <c r="AT480" s="170"/>
      <c r="AU480" s="310"/>
      <c r="AW480" s="294"/>
      <c r="AX480" s="294"/>
      <c r="AY480" s="294"/>
      <c r="AZ480" s="294"/>
      <c r="BA480" s="294"/>
      <c r="BB480" s="294"/>
      <c r="BC480" s="294"/>
      <c r="BD480" s="294"/>
      <c r="BE480" s="294"/>
      <c r="BF480" s="382">
        <v>1.2</v>
      </c>
      <c r="BG480" s="382">
        <v>2.36</v>
      </c>
      <c r="BH480" s="278"/>
      <c r="BI480" s="365" t="s">
        <v>93</v>
      </c>
      <c r="BJ480" s="409"/>
    </row>
    <row r="481" spans="1:62" ht="15.75" customHeight="1" thickBot="1" x14ac:dyDescent="0.25">
      <c r="A481" s="156">
        <v>480</v>
      </c>
      <c r="B481" s="155">
        <v>1</v>
      </c>
      <c r="C481" s="148" t="s">
        <v>975</v>
      </c>
      <c r="D481" s="149" t="s">
        <v>3057</v>
      </c>
      <c r="E481" s="148" t="s">
        <v>13</v>
      </c>
      <c r="F481" s="149" t="s">
        <v>2376</v>
      </c>
      <c r="G481" s="148" t="s">
        <v>292</v>
      </c>
      <c r="H481" s="148" t="s">
        <v>1064</v>
      </c>
      <c r="I481" s="161">
        <v>2013</v>
      </c>
      <c r="J481" s="161" t="s">
        <v>1065</v>
      </c>
      <c r="K481" s="161" t="s">
        <v>1066</v>
      </c>
      <c r="L481" s="161" t="s">
        <v>19</v>
      </c>
      <c r="M481" s="453" t="s">
        <v>4191</v>
      </c>
      <c r="N481" s="186" t="s">
        <v>20</v>
      </c>
      <c r="O481" s="186" t="s">
        <v>15</v>
      </c>
      <c r="P481" s="186" t="s">
        <v>20</v>
      </c>
      <c r="Q481" s="186" t="s">
        <v>20</v>
      </c>
      <c r="R481" s="186" t="s">
        <v>20</v>
      </c>
      <c r="S481" s="186" t="s">
        <v>20</v>
      </c>
      <c r="T481" s="186" t="s">
        <v>15</v>
      </c>
      <c r="U481" s="186" t="s">
        <v>15</v>
      </c>
      <c r="V481" s="186" t="s">
        <v>15</v>
      </c>
      <c r="W481" s="186" t="s">
        <v>15</v>
      </c>
      <c r="X481" s="186" t="s">
        <v>15</v>
      </c>
      <c r="Y481" s="186" t="s">
        <v>15</v>
      </c>
      <c r="Z481" s="186"/>
      <c r="AA481" s="186"/>
      <c r="AB481" s="186" t="s">
        <v>292</v>
      </c>
      <c r="AC481" s="186" t="s">
        <v>292</v>
      </c>
      <c r="AD481" s="268" t="s">
        <v>1067</v>
      </c>
      <c r="AE481" s="268"/>
      <c r="AF481" s="144" t="str">
        <f t="shared" si="31"/>
        <v/>
      </c>
      <c r="AG481" s="144" t="str">
        <f t="shared" si="35"/>
        <v/>
      </c>
      <c r="AH481" s="146">
        <f t="shared" si="33"/>
        <v>1.2</v>
      </c>
      <c r="AI481" s="146" t="str">
        <f t="shared" si="34"/>
        <v/>
      </c>
      <c r="AJ481" s="303"/>
      <c r="AK481" s="303"/>
      <c r="AL481" s="303"/>
      <c r="AM481" s="303"/>
      <c r="AN481" s="303"/>
      <c r="AO481" s="303"/>
      <c r="AP481" s="303"/>
      <c r="AQ481" s="303"/>
      <c r="AR481" s="303"/>
      <c r="AS481" s="170"/>
      <c r="AT481" s="170"/>
      <c r="AU481" s="310"/>
      <c r="AW481" s="294"/>
      <c r="AX481" s="294"/>
      <c r="AY481" s="294"/>
      <c r="AZ481" s="294"/>
      <c r="BA481" s="294"/>
      <c r="BB481" s="294"/>
      <c r="BC481" s="294"/>
      <c r="BD481" s="294"/>
      <c r="BE481" s="294"/>
      <c r="BF481" s="382">
        <v>1.2</v>
      </c>
      <c r="BG481" s="382">
        <v>2.5099999999999998</v>
      </c>
      <c r="BH481" s="278"/>
      <c r="BI481" s="365" t="s">
        <v>93</v>
      </c>
      <c r="BJ481" s="409"/>
    </row>
    <row r="482" spans="1:62" ht="15.75" customHeight="1" thickBot="1" x14ac:dyDescent="0.25">
      <c r="A482" s="154">
        <v>481</v>
      </c>
      <c r="B482" s="155">
        <v>1</v>
      </c>
      <c r="C482" s="148" t="s">
        <v>975</v>
      </c>
      <c r="D482" s="149" t="s">
        <v>3057</v>
      </c>
      <c r="E482" s="148" t="s">
        <v>1068</v>
      </c>
      <c r="F482" s="149" t="s">
        <v>2376</v>
      </c>
      <c r="G482" s="148" t="s">
        <v>292</v>
      </c>
      <c r="H482" s="148" t="s">
        <v>1064</v>
      </c>
      <c r="I482" s="161">
        <v>2013</v>
      </c>
      <c r="J482" s="161" t="s">
        <v>1065</v>
      </c>
      <c r="K482" s="161" t="s">
        <v>1066</v>
      </c>
      <c r="L482" s="161" t="s">
        <v>19</v>
      </c>
      <c r="M482" s="453" t="s">
        <v>4191</v>
      </c>
      <c r="N482" s="186" t="s">
        <v>20</v>
      </c>
      <c r="O482" s="186" t="s">
        <v>15</v>
      </c>
      <c r="P482" s="186" t="s">
        <v>20</v>
      </c>
      <c r="Q482" s="186" t="s">
        <v>20</v>
      </c>
      <c r="R482" s="186" t="s">
        <v>20</v>
      </c>
      <c r="S482" s="186" t="s">
        <v>20</v>
      </c>
      <c r="T482" s="186" t="s">
        <v>15</v>
      </c>
      <c r="U482" s="186" t="s">
        <v>15</v>
      </c>
      <c r="V482" s="186" t="s">
        <v>15</v>
      </c>
      <c r="W482" s="186" t="s">
        <v>15</v>
      </c>
      <c r="X482" s="186" t="s">
        <v>15</v>
      </c>
      <c r="Y482" s="186" t="s">
        <v>15</v>
      </c>
      <c r="Z482" s="186"/>
      <c r="AA482" s="186"/>
      <c r="AB482" s="186" t="s">
        <v>292</v>
      </c>
      <c r="AC482" s="186" t="s">
        <v>292</v>
      </c>
      <c r="AD482" s="268" t="s">
        <v>1067</v>
      </c>
      <c r="AE482" s="268"/>
      <c r="AF482" s="144" t="str">
        <f t="shared" si="31"/>
        <v/>
      </c>
      <c r="AG482" s="144" t="str">
        <f t="shared" si="35"/>
        <v/>
      </c>
      <c r="AH482" s="146">
        <f t="shared" si="33"/>
        <v>1.2</v>
      </c>
      <c r="AI482" s="146" t="str">
        <f t="shared" si="34"/>
        <v/>
      </c>
      <c r="AJ482" s="303"/>
      <c r="AK482" s="303"/>
      <c r="AL482" s="303"/>
      <c r="AM482" s="303"/>
      <c r="AN482" s="303"/>
      <c r="AO482" s="303"/>
      <c r="AP482" s="303"/>
      <c r="AQ482" s="303"/>
      <c r="AR482" s="303"/>
      <c r="AS482" s="170"/>
      <c r="AT482" s="170"/>
      <c r="AU482" s="310"/>
      <c r="AW482" s="294"/>
      <c r="AX482" s="294"/>
      <c r="AY482" s="294"/>
      <c r="AZ482" s="294"/>
      <c r="BA482" s="294"/>
      <c r="BB482" s="294"/>
      <c r="BC482" s="294"/>
      <c r="BD482" s="294"/>
      <c r="BE482" s="294"/>
      <c r="BF482" s="382">
        <v>1.2</v>
      </c>
      <c r="BG482" s="382">
        <v>2.5099999999999998</v>
      </c>
      <c r="BH482" s="278"/>
      <c r="BI482" s="365" t="s">
        <v>93</v>
      </c>
      <c r="BJ482" s="409"/>
    </row>
    <row r="483" spans="1:62" ht="15.75" customHeight="1" thickBot="1" x14ac:dyDescent="0.25">
      <c r="A483" s="156">
        <v>482</v>
      </c>
      <c r="B483" s="155">
        <v>1</v>
      </c>
      <c r="C483" s="148" t="s">
        <v>975</v>
      </c>
      <c r="D483" s="149" t="s">
        <v>3057</v>
      </c>
      <c r="E483" s="148" t="s">
        <v>1068</v>
      </c>
      <c r="F483" s="149" t="s">
        <v>2377</v>
      </c>
      <c r="G483" s="148" t="s">
        <v>292</v>
      </c>
      <c r="H483" s="148" t="s">
        <v>1064</v>
      </c>
      <c r="I483" s="161">
        <v>2013</v>
      </c>
      <c r="J483" s="161" t="s">
        <v>1065</v>
      </c>
      <c r="K483" s="161" t="s">
        <v>1066</v>
      </c>
      <c r="L483" s="161" t="s">
        <v>19</v>
      </c>
      <c r="M483" s="453" t="s">
        <v>4191</v>
      </c>
      <c r="N483" s="186" t="s">
        <v>20</v>
      </c>
      <c r="O483" s="186" t="s">
        <v>15</v>
      </c>
      <c r="P483" s="186" t="s">
        <v>20</v>
      </c>
      <c r="Q483" s="186" t="s">
        <v>20</v>
      </c>
      <c r="R483" s="186" t="s">
        <v>20</v>
      </c>
      <c r="S483" s="186" t="s">
        <v>20</v>
      </c>
      <c r="T483" s="186" t="s">
        <v>15</v>
      </c>
      <c r="U483" s="186" t="s">
        <v>15</v>
      </c>
      <c r="V483" s="186" t="s">
        <v>15</v>
      </c>
      <c r="W483" s="186" t="s">
        <v>15</v>
      </c>
      <c r="X483" s="186" t="s">
        <v>15</v>
      </c>
      <c r="Y483" s="186" t="s">
        <v>15</v>
      </c>
      <c r="Z483" s="186"/>
      <c r="AA483" s="186"/>
      <c r="AB483" s="186" t="s">
        <v>292</v>
      </c>
      <c r="AC483" s="186" t="s">
        <v>292</v>
      </c>
      <c r="AD483" s="268" t="s">
        <v>1067</v>
      </c>
      <c r="AE483" s="268"/>
      <c r="AF483" s="144" t="str">
        <f t="shared" si="31"/>
        <v/>
      </c>
      <c r="AG483" s="144" t="str">
        <f t="shared" si="35"/>
        <v/>
      </c>
      <c r="AH483" s="146">
        <f t="shared" si="33"/>
        <v>1.2</v>
      </c>
      <c r="AI483" s="146" t="str">
        <f t="shared" si="34"/>
        <v/>
      </c>
      <c r="AJ483" s="303"/>
      <c r="AK483" s="303"/>
      <c r="AL483" s="303"/>
      <c r="AM483" s="303"/>
      <c r="AN483" s="303"/>
      <c r="AO483" s="303"/>
      <c r="AP483" s="303"/>
      <c r="AQ483" s="303"/>
      <c r="AR483" s="303"/>
      <c r="AS483" s="170"/>
      <c r="AT483" s="170"/>
      <c r="AU483" s="310"/>
      <c r="AW483" s="294"/>
      <c r="AX483" s="294"/>
      <c r="AY483" s="294"/>
      <c r="AZ483" s="294"/>
      <c r="BA483" s="294"/>
      <c r="BB483" s="294"/>
      <c r="BC483" s="294"/>
      <c r="BD483" s="294"/>
      <c r="BE483" s="294"/>
      <c r="BF483" s="382">
        <v>1.2</v>
      </c>
      <c r="BG483" s="382">
        <v>3.78</v>
      </c>
      <c r="BH483" s="278"/>
      <c r="BI483" s="365" t="s">
        <v>93</v>
      </c>
      <c r="BJ483" s="409"/>
    </row>
    <row r="484" spans="1:62" ht="15.75" customHeight="1" thickBot="1" x14ac:dyDescent="0.25">
      <c r="A484" s="154">
        <v>483</v>
      </c>
      <c r="B484" s="155">
        <v>1</v>
      </c>
      <c r="C484" s="148" t="s">
        <v>975</v>
      </c>
      <c r="D484" s="149" t="s">
        <v>3057</v>
      </c>
      <c r="E484" s="148" t="s">
        <v>1070</v>
      </c>
      <c r="F484" s="149" t="s">
        <v>2378</v>
      </c>
      <c r="G484" s="148" t="s">
        <v>292</v>
      </c>
      <c r="H484" s="148" t="s">
        <v>1064</v>
      </c>
      <c r="I484" s="161">
        <v>2013</v>
      </c>
      <c r="J484" s="161" t="s">
        <v>1065</v>
      </c>
      <c r="K484" s="161" t="s">
        <v>1066</v>
      </c>
      <c r="L484" s="161" t="s">
        <v>19</v>
      </c>
      <c r="M484" s="453" t="s">
        <v>4191</v>
      </c>
      <c r="N484" s="186" t="s">
        <v>20</v>
      </c>
      <c r="O484" s="186" t="s">
        <v>15</v>
      </c>
      <c r="P484" s="186" t="s">
        <v>20</v>
      </c>
      <c r="Q484" s="186" t="s">
        <v>20</v>
      </c>
      <c r="R484" s="186" t="s">
        <v>20</v>
      </c>
      <c r="S484" s="186" t="s">
        <v>20</v>
      </c>
      <c r="T484" s="186" t="s">
        <v>15</v>
      </c>
      <c r="U484" s="186" t="s">
        <v>15</v>
      </c>
      <c r="V484" s="186" t="s">
        <v>15</v>
      </c>
      <c r="W484" s="186" t="s">
        <v>15</v>
      </c>
      <c r="X484" s="186" t="s">
        <v>15</v>
      </c>
      <c r="Y484" s="186" t="s">
        <v>15</v>
      </c>
      <c r="Z484" s="186"/>
      <c r="AA484" s="186"/>
      <c r="AB484" s="186" t="s">
        <v>292</v>
      </c>
      <c r="AC484" s="186" t="s">
        <v>292</v>
      </c>
      <c r="AD484" s="268" t="s">
        <v>1067</v>
      </c>
      <c r="AE484" s="268"/>
      <c r="AF484" s="144" t="str">
        <f t="shared" si="31"/>
        <v/>
      </c>
      <c r="AG484" s="144" t="str">
        <f t="shared" si="35"/>
        <v/>
      </c>
      <c r="AH484" s="146">
        <f t="shared" si="33"/>
        <v>1.2</v>
      </c>
      <c r="AI484" s="146" t="str">
        <f t="shared" si="34"/>
        <v/>
      </c>
      <c r="AJ484" s="303"/>
      <c r="AK484" s="303"/>
      <c r="AL484" s="303"/>
      <c r="AM484" s="303"/>
      <c r="AN484" s="303"/>
      <c r="AO484" s="303"/>
      <c r="AP484" s="303"/>
      <c r="AQ484" s="303"/>
      <c r="AR484" s="303"/>
      <c r="AS484" s="170"/>
      <c r="AT484" s="170"/>
      <c r="AU484" s="310"/>
      <c r="AW484" s="294"/>
      <c r="AX484" s="294"/>
      <c r="AY484" s="294"/>
      <c r="AZ484" s="294"/>
      <c r="BA484" s="294"/>
      <c r="BB484" s="294"/>
      <c r="BC484" s="294"/>
      <c r="BD484" s="294"/>
      <c r="BE484" s="294"/>
      <c r="BF484" s="382">
        <v>1.2</v>
      </c>
      <c r="BG484" s="382">
        <v>2.21</v>
      </c>
      <c r="BH484" s="278"/>
      <c r="BI484" s="365" t="s">
        <v>93</v>
      </c>
      <c r="BJ484" s="409"/>
    </row>
    <row r="485" spans="1:62" ht="15.75" customHeight="1" thickBot="1" x14ac:dyDescent="0.25">
      <c r="A485" s="156">
        <v>484</v>
      </c>
      <c r="B485" s="155">
        <v>1</v>
      </c>
      <c r="C485" s="148" t="s">
        <v>975</v>
      </c>
      <c r="D485" s="149" t="s">
        <v>3057</v>
      </c>
      <c r="E485" s="148" t="s">
        <v>1070</v>
      </c>
      <c r="F485" s="149" t="s">
        <v>2378</v>
      </c>
      <c r="G485" s="148" t="s">
        <v>292</v>
      </c>
      <c r="H485" s="148" t="s">
        <v>1064</v>
      </c>
      <c r="I485" s="161">
        <v>2013</v>
      </c>
      <c r="J485" s="161" t="s">
        <v>1065</v>
      </c>
      <c r="K485" s="161" t="s">
        <v>1066</v>
      </c>
      <c r="L485" s="161" t="s">
        <v>19</v>
      </c>
      <c r="M485" s="453" t="s">
        <v>4191</v>
      </c>
      <c r="N485" s="186" t="s">
        <v>20</v>
      </c>
      <c r="O485" s="186" t="s">
        <v>15</v>
      </c>
      <c r="P485" s="186" t="s">
        <v>20</v>
      </c>
      <c r="Q485" s="186" t="s">
        <v>20</v>
      </c>
      <c r="R485" s="186" t="s">
        <v>20</v>
      </c>
      <c r="S485" s="186" t="s">
        <v>20</v>
      </c>
      <c r="T485" s="186" t="s">
        <v>15</v>
      </c>
      <c r="U485" s="186" t="s">
        <v>15</v>
      </c>
      <c r="V485" s="186" t="s">
        <v>15</v>
      </c>
      <c r="W485" s="186" t="s">
        <v>15</v>
      </c>
      <c r="X485" s="186" t="s">
        <v>15</v>
      </c>
      <c r="Y485" s="186" t="s">
        <v>15</v>
      </c>
      <c r="Z485" s="186"/>
      <c r="AA485" s="186"/>
      <c r="AB485" s="186" t="s">
        <v>292</v>
      </c>
      <c r="AC485" s="186" t="s">
        <v>292</v>
      </c>
      <c r="AD485" s="268" t="s">
        <v>1067</v>
      </c>
      <c r="AE485" s="268"/>
      <c r="AF485" s="144" t="str">
        <f t="shared" si="31"/>
        <v/>
      </c>
      <c r="AG485" s="144" t="str">
        <f t="shared" si="35"/>
        <v/>
      </c>
      <c r="AH485" s="146">
        <f t="shared" si="33"/>
        <v>1.2</v>
      </c>
      <c r="AI485" s="146" t="str">
        <f t="shared" si="34"/>
        <v/>
      </c>
      <c r="AJ485" s="303"/>
      <c r="AK485" s="303"/>
      <c r="AL485" s="303"/>
      <c r="AM485" s="303"/>
      <c r="AN485" s="303"/>
      <c r="AO485" s="303"/>
      <c r="AP485" s="303"/>
      <c r="AQ485" s="303"/>
      <c r="AR485" s="303"/>
      <c r="AS485" s="170"/>
      <c r="AT485" s="170"/>
      <c r="AU485" s="310"/>
      <c r="AW485" s="294"/>
      <c r="AX485" s="294"/>
      <c r="AY485" s="294"/>
      <c r="AZ485" s="294"/>
      <c r="BA485" s="294"/>
      <c r="BB485" s="294"/>
      <c r="BC485" s="294"/>
      <c r="BD485" s="294"/>
      <c r="BE485" s="294"/>
      <c r="BF485" s="382">
        <v>1.2</v>
      </c>
      <c r="BG485" s="382">
        <v>2.2799999999999998</v>
      </c>
      <c r="BH485" s="278"/>
      <c r="BI485" s="365" t="s">
        <v>93</v>
      </c>
      <c r="BJ485" s="409"/>
    </row>
    <row r="486" spans="1:62" ht="15.75" customHeight="1" thickBot="1" x14ac:dyDescent="0.25">
      <c r="A486" s="154">
        <v>485</v>
      </c>
      <c r="B486" s="155">
        <v>1</v>
      </c>
      <c r="C486" s="148" t="s">
        <v>975</v>
      </c>
      <c r="D486" s="149" t="s">
        <v>3057</v>
      </c>
      <c r="E486" s="148" t="s">
        <v>3069</v>
      </c>
      <c r="F486" s="148" t="s">
        <v>1071</v>
      </c>
      <c r="G486" s="148" t="s">
        <v>292</v>
      </c>
      <c r="H486" s="148" t="s">
        <v>1064</v>
      </c>
      <c r="I486" s="161">
        <v>2013</v>
      </c>
      <c r="J486" s="161" t="s">
        <v>1065</v>
      </c>
      <c r="K486" s="161" t="s">
        <v>1066</v>
      </c>
      <c r="L486" s="161" t="s">
        <v>19</v>
      </c>
      <c r="M486" s="453" t="s">
        <v>4191</v>
      </c>
      <c r="N486" s="186" t="s">
        <v>20</v>
      </c>
      <c r="O486" s="186" t="s">
        <v>15</v>
      </c>
      <c r="P486" s="186" t="s">
        <v>20</v>
      </c>
      <c r="Q486" s="186" t="s">
        <v>20</v>
      </c>
      <c r="R486" s="186" t="s">
        <v>20</v>
      </c>
      <c r="S486" s="186" t="s">
        <v>20</v>
      </c>
      <c r="T486" s="186" t="s">
        <v>15</v>
      </c>
      <c r="U486" s="186" t="s">
        <v>15</v>
      </c>
      <c r="V486" s="186" t="s">
        <v>15</v>
      </c>
      <c r="W486" s="186" t="s">
        <v>15</v>
      </c>
      <c r="X486" s="186" t="s">
        <v>15</v>
      </c>
      <c r="Y486" s="186" t="s">
        <v>15</v>
      </c>
      <c r="Z486" s="186"/>
      <c r="AA486" s="186"/>
      <c r="AB486" s="186" t="s">
        <v>292</v>
      </c>
      <c r="AC486" s="186" t="s">
        <v>292</v>
      </c>
      <c r="AD486" s="268" t="s">
        <v>1067</v>
      </c>
      <c r="AE486" s="268"/>
      <c r="AF486" s="144" t="str">
        <f t="shared" si="31"/>
        <v/>
      </c>
      <c r="AG486" s="144" t="str">
        <f t="shared" si="35"/>
        <v/>
      </c>
      <c r="AH486" s="146">
        <f t="shared" si="33"/>
        <v>1.3</v>
      </c>
      <c r="AI486" s="146" t="str">
        <f t="shared" si="34"/>
        <v/>
      </c>
      <c r="AJ486" s="303"/>
      <c r="AK486" s="303"/>
      <c r="AL486" s="303"/>
      <c r="AM486" s="303"/>
      <c r="AN486" s="303"/>
      <c r="AO486" s="303"/>
      <c r="AP486" s="303"/>
      <c r="AQ486" s="303"/>
      <c r="AR486" s="303"/>
      <c r="AS486" s="170"/>
      <c r="AT486" s="170"/>
      <c r="AU486" s="310"/>
      <c r="AW486" s="294"/>
      <c r="AX486" s="294"/>
      <c r="AY486" s="294"/>
      <c r="AZ486" s="294"/>
      <c r="BA486" s="294"/>
      <c r="BB486" s="294"/>
      <c r="BC486" s="294"/>
      <c r="BD486" s="294"/>
      <c r="BE486" s="294"/>
      <c r="BF486" s="382">
        <v>1.3</v>
      </c>
      <c r="BG486" s="382">
        <v>2.57</v>
      </c>
      <c r="BH486" s="278"/>
      <c r="BI486" s="365" t="s">
        <v>93</v>
      </c>
      <c r="BJ486" s="409"/>
    </row>
    <row r="487" spans="1:62" ht="15.75" customHeight="1" thickBot="1" x14ac:dyDescent="0.25">
      <c r="A487" s="156">
        <v>486</v>
      </c>
      <c r="B487" s="155">
        <v>1</v>
      </c>
      <c r="C487" s="148" t="s">
        <v>975</v>
      </c>
      <c r="D487" s="149" t="s">
        <v>3057</v>
      </c>
      <c r="E487" s="148" t="s">
        <v>13</v>
      </c>
      <c r="F487" s="149" t="s">
        <v>2379</v>
      </c>
      <c r="G487" s="148" t="s">
        <v>292</v>
      </c>
      <c r="H487" s="148" t="s">
        <v>1064</v>
      </c>
      <c r="I487" s="161">
        <v>2013</v>
      </c>
      <c r="J487" s="161" t="s">
        <v>1065</v>
      </c>
      <c r="K487" s="161" t="s">
        <v>1066</v>
      </c>
      <c r="L487" s="161" t="s">
        <v>19</v>
      </c>
      <c r="M487" s="453" t="s">
        <v>4191</v>
      </c>
      <c r="N487" s="186" t="s">
        <v>20</v>
      </c>
      <c r="O487" s="186" t="s">
        <v>15</v>
      </c>
      <c r="P487" s="186" t="s">
        <v>20</v>
      </c>
      <c r="Q487" s="186" t="s">
        <v>20</v>
      </c>
      <c r="R487" s="186" t="s">
        <v>20</v>
      </c>
      <c r="S487" s="186" t="s">
        <v>20</v>
      </c>
      <c r="T487" s="186" t="s">
        <v>15</v>
      </c>
      <c r="U487" s="186" t="s">
        <v>15</v>
      </c>
      <c r="V487" s="186" t="s">
        <v>15</v>
      </c>
      <c r="W487" s="186" t="s">
        <v>15</v>
      </c>
      <c r="X487" s="186" t="s">
        <v>15</v>
      </c>
      <c r="Y487" s="186" t="s">
        <v>15</v>
      </c>
      <c r="Z487" s="186"/>
      <c r="AA487" s="186"/>
      <c r="AB487" s="186" t="s">
        <v>292</v>
      </c>
      <c r="AC487" s="186" t="s">
        <v>292</v>
      </c>
      <c r="AD487" s="268" t="s">
        <v>1067</v>
      </c>
      <c r="AE487" s="268"/>
      <c r="AF487" s="144" t="str">
        <f t="shared" si="31"/>
        <v/>
      </c>
      <c r="AG487" s="144" t="str">
        <f t="shared" si="35"/>
        <v/>
      </c>
      <c r="AH487" s="146">
        <f t="shared" si="33"/>
        <v>1.35</v>
      </c>
      <c r="AI487" s="146" t="str">
        <f t="shared" si="34"/>
        <v/>
      </c>
      <c r="AJ487" s="303"/>
      <c r="AK487" s="303"/>
      <c r="AL487" s="303"/>
      <c r="AM487" s="303"/>
      <c r="AN487" s="303"/>
      <c r="AO487" s="303"/>
      <c r="AP487" s="303"/>
      <c r="AQ487" s="303"/>
      <c r="AR487" s="303"/>
      <c r="AS487" s="170"/>
      <c r="AT487" s="170"/>
      <c r="AU487" s="310"/>
      <c r="AW487" s="294"/>
      <c r="AX487" s="294"/>
      <c r="AY487" s="294"/>
      <c r="AZ487" s="294"/>
      <c r="BA487" s="294"/>
      <c r="BB487" s="294"/>
      <c r="BC487" s="294"/>
      <c r="BD487" s="294"/>
      <c r="BE487" s="294"/>
      <c r="BF487" s="382">
        <v>1.35</v>
      </c>
      <c r="BG487" s="382">
        <v>3.71</v>
      </c>
      <c r="BH487" s="278"/>
      <c r="BI487" s="365" t="s">
        <v>93</v>
      </c>
      <c r="BJ487" s="409"/>
    </row>
    <row r="488" spans="1:62" ht="15.75" customHeight="1" thickBot="1" x14ac:dyDescent="0.25">
      <c r="A488" s="154">
        <v>487</v>
      </c>
      <c r="B488" s="155">
        <v>1</v>
      </c>
      <c r="C488" s="148" t="s">
        <v>975</v>
      </c>
      <c r="D488" s="149" t="s">
        <v>3057</v>
      </c>
      <c r="E488" s="148" t="s">
        <v>1068</v>
      </c>
      <c r="F488" s="149" t="s">
        <v>2380</v>
      </c>
      <c r="G488" s="148" t="s">
        <v>292</v>
      </c>
      <c r="H488" s="148" t="s">
        <v>1064</v>
      </c>
      <c r="I488" s="161">
        <v>2013</v>
      </c>
      <c r="J488" s="161" t="s">
        <v>1065</v>
      </c>
      <c r="K488" s="161" t="s">
        <v>1066</v>
      </c>
      <c r="L488" s="161" t="s">
        <v>19</v>
      </c>
      <c r="M488" s="453" t="s">
        <v>4191</v>
      </c>
      <c r="N488" s="186" t="s">
        <v>20</v>
      </c>
      <c r="O488" s="186" t="s">
        <v>15</v>
      </c>
      <c r="P488" s="186" t="s">
        <v>20</v>
      </c>
      <c r="Q488" s="186" t="s">
        <v>20</v>
      </c>
      <c r="R488" s="186" t="s">
        <v>20</v>
      </c>
      <c r="S488" s="186" t="s">
        <v>20</v>
      </c>
      <c r="T488" s="186" t="s">
        <v>15</v>
      </c>
      <c r="U488" s="186" t="s">
        <v>15</v>
      </c>
      <c r="V488" s="186" t="s">
        <v>15</v>
      </c>
      <c r="W488" s="186" t="s">
        <v>15</v>
      </c>
      <c r="X488" s="186" t="s">
        <v>15</v>
      </c>
      <c r="Y488" s="186" t="s">
        <v>15</v>
      </c>
      <c r="Z488" s="186"/>
      <c r="AA488" s="186"/>
      <c r="AB488" s="186" t="s">
        <v>292</v>
      </c>
      <c r="AC488" s="186" t="s">
        <v>292</v>
      </c>
      <c r="AD488" s="268" t="s">
        <v>1067</v>
      </c>
      <c r="AE488" s="268"/>
      <c r="AF488" s="144" t="str">
        <f t="shared" si="31"/>
        <v/>
      </c>
      <c r="AG488" s="144" t="str">
        <f t="shared" si="35"/>
        <v/>
      </c>
      <c r="AH488" s="146">
        <f t="shared" si="33"/>
        <v>0.34</v>
      </c>
      <c r="AI488" s="146" t="str">
        <f t="shared" si="34"/>
        <v/>
      </c>
      <c r="AJ488" s="303"/>
      <c r="AK488" s="303"/>
      <c r="AL488" s="303"/>
      <c r="AM488" s="303"/>
      <c r="AN488" s="303"/>
      <c r="AO488" s="303"/>
      <c r="AP488" s="303"/>
      <c r="AQ488" s="303"/>
      <c r="AR488" s="303"/>
      <c r="AS488" s="170"/>
      <c r="AT488" s="170"/>
      <c r="AU488" s="310"/>
      <c r="AW488" s="294"/>
      <c r="AX488" s="294"/>
      <c r="AY488" s="294"/>
      <c r="AZ488" s="294"/>
      <c r="BA488" s="294"/>
      <c r="BB488" s="294"/>
      <c r="BC488" s="294"/>
      <c r="BD488" s="294"/>
      <c r="BE488" s="294"/>
      <c r="BF488" s="382">
        <v>0.34</v>
      </c>
      <c r="BG488" s="382">
        <v>3.84</v>
      </c>
      <c r="BH488" s="278"/>
      <c r="BI488" s="365" t="s">
        <v>93</v>
      </c>
      <c r="BJ488" s="409"/>
    </row>
    <row r="489" spans="1:62" ht="15.75" customHeight="1" thickBot="1" x14ac:dyDescent="0.25">
      <c r="A489" s="156">
        <v>488</v>
      </c>
      <c r="B489" s="155">
        <v>1</v>
      </c>
      <c r="C489" s="148" t="s">
        <v>975</v>
      </c>
      <c r="D489" s="149" t="s">
        <v>3057</v>
      </c>
      <c r="E489" s="148" t="s">
        <v>3070</v>
      </c>
      <c r="F489" s="148" t="s">
        <v>1072</v>
      </c>
      <c r="G489" s="148" t="s">
        <v>292</v>
      </c>
      <c r="H489" s="148" t="s">
        <v>1064</v>
      </c>
      <c r="I489" s="161">
        <v>2013</v>
      </c>
      <c r="J489" s="161" t="s">
        <v>1065</v>
      </c>
      <c r="K489" s="161" t="s">
        <v>1066</v>
      </c>
      <c r="L489" s="161" t="s">
        <v>19</v>
      </c>
      <c r="M489" s="453" t="s">
        <v>4191</v>
      </c>
      <c r="N489" s="186" t="s">
        <v>20</v>
      </c>
      <c r="O489" s="186" t="s">
        <v>15</v>
      </c>
      <c r="P489" s="186" t="s">
        <v>20</v>
      </c>
      <c r="Q489" s="186" t="s">
        <v>20</v>
      </c>
      <c r="R489" s="186" t="s">
        <v>20</v>
      </c>
      <c r="S489" s="186" t="s">
        <v>20</v>
      </c>
      <c r="T489" s="186" t="s">
        <v>15</v>
      </c>
      <c r="U489" s="186" t="s">
        <v>15</v>
      </c>
      <c r="V489" s="186" t="s">
        <v>15</v>
      </c>
      <c r="W489" s="186" t="s">
        <v>15</v>
      </c>
      <c r="X489" s="186" t="s">
        <v>15</v>
      </c>
      <c r="Y489" s="186" t="s">
        <v>15</v>
      </c>
      <c r="Z489" s="186"/>
      <c r="AA489" s="186"/>
      <c r="AB489" s="186" t="s">
        <v>292</v>
      </c>
      <c r="AC489" s="186" t="s">
        <v>292</v>
      </c>
      <c r="AD489" s="268" t="s">
        <v>1067</v>
      </c>
      <c r="AE489" s="268"/>
      <c r="AF489" s="144" t="str">
        <f t="shared" si="31"/>
        <v/>
      </c>
      <c r="AG489" s="144" t="str">
        <f t="shared" si="35"/>
        <v/>
      </c>
      <c r="AH489" s="146">
        <f t="shared" si="33"/>
        <v>0.34</v>
      </c>
      <c r="AI489" s="146" t="str">
        <f t="shared" si="34"/>
        <v/>
      </c>
      <c r="AJ489" s="303"/>
      <c r="AK489" s="303"/>
      <c r="AL489" s="303"/>
      <c r="AM489" s="303"/>
      <c r="AN489" s="303"/>
      <c r="AO489" s="303"/>
      <c r="AP489" s="303"/>
      <c r="AQ489" s="303"/>
      <c r="AR489" s="303"/>
      <c r="AS489" s="170"/>
      <c r="AT489" s="170"/>
      <c r="AU489" s="310"/>
      <c r="AW489" s="294"/>
      <c r="AX489" s="294"/>
      <c r="AY489" s="294"/>
      <c r="AZ489" s="294"/>
      <c r="BA489" s="294"/>
      <c r="BB489" s="294"/>
      <c r="BC489" s="294"/>
      <c r="BD489" s="294"/>
      <c r="BE489" s="294"/>
      <c r="BF489" s="382">
        <v>0.34</v>
      </c>
      <c r="BG489" s="382">
        <v>0.97</v>
      </c>
      <c r="BH489" s="278"/>
      <c r="BI489" s="365" t="s">
        <v>93</v>
      </c>
      <c r="BJ489" s="409"/>
    </row>
    <row r="490" spans="1:62" ht="15.75" customHeight="1" thickBot="1" x14ac:dyDescent="0.25">
      <c r="A490" s="154">
        <v>489</v>
      </c>
      <c r="B490" s="155">
        <v>1</v>
      </c>
      <c r="C490" s="148" t="s">
        <v>975</v>
      </c>
      <c r="D490" s="149" t="s">
        <v>3057</v>
      </c>
      <c r="E490" s="148" t="s">
        <v>3070</v>
      </c>
      <c r="F490" s="148" t="s">
        <v>1073</v>
      </c>
      <c r="G490" s="148" t="s">
        <v>292</v>
      </c>
      <c r="H490" s="148" t="s">
        <v>1064</v>
      </c>
      <c r="I490" s="161">
        <v>2013</v>
      </c>
      <c r="J490" s="161" t="s">
        <v>1065</v>
      </c>
      <c r="K490" s="161" t="s">
        <v>1066</v>
      </c>
      <c r="L490" s="161" t="s">
        <v>19</v>
      </c>
      <c r="M490" s="453" t="s">
        <v>4191</v>
      </c>
      <c r="N490" s="186" t="s">
        <v>20</v>
      </c>
      <c r="O490" s="186" t="s">
        <v>15</v>
      </c>
      <c r="P490" s="186" t="s">
        <v>20</v>
      </c>
      <c r="Q490" s="186" t="s">
        <v>20</v>
      </c>
      <c r="R490" s="186" t="s">
        <v>20</v>
      </c>
      <c r="S490" s="186" t="s">
        <v>20</v>
      </c>
      <c r="T490" s="186" t="s">
        <v>15</v>
      </c>
      <c r="U490" s="186" t="s">
        <v>15</v>
      </c>
      <c r="V490" s="186" t="s">
        <v>15</v>
      </c>
      <c r="W490" s="186" t="s">
        <v>15</v>
      </c>
      <c r="X490" s="186" t="s">
        <v>15</v>
      </c>
      <c r="Y490" s="186" t="s">
        <v>15</v>
      </c>
      <c r="Z490" s="186"/>
      <c r="AA490" s="186"/>
      <c r="AB490" s="186" t="s">
        <v>292</v>
      </c>
      <c r="AC490" s="186" t="s">
        <v>292</v>
      </c>
      <c r="AD490" s="268" t="s">
        <v>1067</v>
      </c>
      <c r="AE490" s="268"/>
      <c r="AF490" s="144" t="str">
        <f t="shared" si="31"/>
        <v/>
      </c>
      <c r="AG490" s="144" t="str">
        <f t="shared" si="35"/>
        <v/>
      </c>
      <c r="AH490" s="146">
        <f t="shared" si="33"/>
        <v>0.34</v>
      </c>
      <c r="AI490" s="146" t="str">
        <f t="shared" si="34"/>
        <v/>
      </c>
      <c r="AJ490" s="303"/>
      <c r="AK490" s="303"/>
      <c r="AL490" s="303"/>
      <c r="AM490" s="303"/>
      <c r="AN490" s="303"/>
      <c r="AO490" s="303"/>
      <c r="AP490" s="303"/>
      <c r="AQ490" s="303"/>
      <c r="AR490" s="303"/>
      <c r="AS490" s="170"/>
      <c r="AT490" s="170"/>
      <c r="AU490" s="310"/>
      <c r="AW490" s="294"/>
      <c r="AX490" s="294"/>
      <c r="AY490" s="294"/>
      <c r="AZ490" s="294"/>
      <c r="BA490" s="294"/>
      <c r="BB490" s="294"/>
      <c r="BC490" s="294"/>
      <c r="BD490" s="294"/>
      <c r="BE490" s="294"/>
      <c r="BF490" s="382">
        <v>0.34</v>
      </c>
      <c r="BG490" s="382">
        <v>1.39</v>
      </c>
      <c r="BH490" s="278"/>
      <c r="BI490" s="365" t="s">
        <v>93</v>
      </c>
      <c r="BJ490" s="409"/>
    </row>
    <row r="491" spans="1:62" ht="15.75" customHeight="1" thickBot="1" x14ac:dyDescent="0.25">
      <c r="A491" s="156">
        <v>490</v>
      </c>
      <c r="B491" s="155">
        <v>1</v>
      </c>
      <c r="C491" s="148" t="s">
        <v>975</v>
      </c>
      <c r="D491" s="149" t="s">
        <v>3057</v>
      </c>
      <c r="E491" s="148" t="s">
        <v>1068</v>
      </c>
      <c r="F491" s="149" t="s">
        <v>2381</v>
      </c>
      <c r="G491" s="148" t="s">
        <v>292</v>
      </c>
      <c r="H491" s="148" t="s">
        <v>1064</v>
      </c>
      <c r="I491" s="161">
        <v>2013</v>
      </c>
      <c r="J491" s="161" t="s">
        <v>1065</v>
      </c>
      <c r="K491" s="161" t="s">
        <v>1066</v>
      </c>
      <c r="L491" s="161" t="s">
        <v>19</v>
      </c>
      <c r="M491" s="453" t="s">
        <v>4191</v>
      </c>
      <c r="N491" s="186" t="s">
        <v>20</v>
      </c>
      <c r="O491" s="186" t="s">
        <v>15</v>
      </c>
      <c r="P491" s="186" t="s">
        <v>20</v>
      </c>
      <c r="Q491" s="186" t="s">
        <v>20</v>
      </c>
      <c r="R491" s="186" t="s">
        <v>20</v>
      </c>
      <c r="S491" s="186" t="s">
        <v>20</v>
      </c>
      <c r="T491" s="186" t="s">
        <v>15</v>
      </c>
      <c r="U491" s="186" t="s">
        <v>15</v>
      </c>
      <c r="V491" s="186" t="s">
        <v>15</v>
      </c>
      <c r="W491" s="186" t="s">
        <v>15</v>
      </c>
      <c r="X491" s="186" t="s">
        <v>15</v>
      </c>
      <c r="Y491" s="186" t="s">
        <v>15</v>
      </c>
      <c r="Z491" s="186"/>
      <c r="AA491" s="186"/>
      <c r="AB491" s="186" t="s">
        <v>292</v>
      </c>
      <c r="AC491" s="186" t="s">
        <v>292</v>
      </c>
      <c r="AD491" s="268" t="s">
        <v>1067</v>
      </c>
      <c r="AE491" s="268"/>
      <c r="AF491" s="144" t="str">
        <f t="shared" si="31"/>
        <v/>
      </c>
      <c r="AG491" s="144" t="str">
        <f t="shared" si="35"/>
        <v/>
      </c>
      <c r="AH491" s="146">
        <f t="shared" si="33"/>
        <v>0.34</v>
      </c>
      <c r="AI491" s="146" t="str">
        <f t="shared" si="34"/>
        <v/>
      </c>
      <c r="AJ491" s="303"/>
      <c r="AK491" s="303"/>
      <c r="AL491" s="303"/>
      <c r="AM491" s="303"/>
      <c r="AN491" s="303"/>
      <c r="AO491" s="303"/>
      <c r="AP491" s="303"/>
      <c r="AQ491" s="303"/>
      <c r="AR491" s="303"/>
      <c r="AS491" s="170"/>
      <c r="AT491" s="170"/>
      <c r="AU491" s="310"/>
      <c r="AW491" s="294"/>
      <c r="AX491" s="294"/>
      <c r="AY491" s="294"/>
      <c r="AZ491" s="294"/>
      <c r="BA491" s="294"/>
      <c r="BB491" s="294"/>
      <c r="BC491" s="294"/>
      <c r="BD491" s="294"/>
      <c r="BE491" s="294"/>
      <c r="BF491" s="382">
        <v>0.34</v>
      </c>
      <c r="BG491" s="382">
        <v>1.93</v>
      </c>
      <c r="BH491" s="278"/>
      <c r="BI491" s="365" t="s">
        <v>93</v>
      </c>
      <c r="BJ491" s="409"/>
    </row>
    <row r="492" spans="1:62" ht="15.75" customHeight="1" thickBot="1" x14ac:dyDescent="0.25">
      <c r="A492" s="154">
        <v>491</v>
      </c>
      <c r="B492" s="155">
        <v>1</v>
      </c>
      <c r="C492" s="148" t="s">
        <v>975</v>
      </c>
      <c r="D492" s="149" t="s">
        <v>3057</v>
      </c>
      <c r="E492" s="148" t="s">
        <v>1068</v>
      </c>
      <c r="F492" s="149" t="s">
        <v>2382</v>
      </c>
      <c r="G492" s="148" t="s">
        <v>292</v>
      </c>
      <c r="H492" s="148" t="s">
        <v>1064</v>
      </c>
      <c r="I492" s="161">
        <v>2013</v>
      </c>
      <c r="J492" s="161" t="s">
        <v>1065</v>
      </c>
      <c r="K492" s="161" t="s">
        <v>1066</v>
      </c>
      <c r="L492" s="161" t="s">
        <v>19</v>
      </c>
      <c r="M492" s="453" t="s">
        <v>4191</v>
      </c>
      <c r="N492" s="186" t="s">
        <v>20</v>
      </c>
      <c r="O492" s="186" t="s">
        <v>15</v>
      </c>
      <c r="P492" s="186" t="s">
        <v>20</v>
      </c>
      <c r="Q492" s="186" t="s">
        <v>20</v>
      </c>
      <c r="R492" s="186" t="s">
        <v>20</v>
      </c>
      <c r="S492" s="186" t="s">
        <v>20</v>
      </c>
      <c r="T492" s="186" t="s">
        <v>15</v>
      </c>
      <c r="U492" s="186" t="s">
        <v>15</v>
      </c>
      <c r="V492" s="186" t="s">
        <v>15</v>
      </c>
      <c r="W492" s="186" t="s">
        <v>15</v>
      </c>
      <c r="X492" s="186" t="s">
        <v>15</v>
      </c>
      <c r="Y492" s="186" t="s">
        <v>15</v>
      </c>
      <c r="Z492" s="186"/>
      <c r="AA492" s="186"/>
      <c r="AB492" s="186" t="s">
        <v>292</v>
      </c>
      <c r="AC492" s="186" t="s">
        <v>292</v>
      </c>
      <c r="AD492" s="268" t="s">
        <v>1067</v>
      </c>
      <c r="AE492" s="268"/>
      <c r="AF492" s="144" t="str">
        <f t="shared" si="31"/>
        <v/>
      </c>
      <c r="AG492" s="144" t="str">
        <f t="shared" si="35"/>
        <v/>
      </c>
      <c r="AH492" s="146">
        <f t="shared" si="33"/>
        <v>0.34</v>
      </c>
      <c r="AI492" s="146" t="str">
        <f t="shared" si="34"/>
        <v/>
      </c>
      <c r="AJ492" s="303"/>
      <c r="AK492" s="303"/>
      <c r="AL492" s="303"/>
      <c r="AM492" s="303"/>
      <c r="AN492" s="303"/>
      <c r="AO492" s="303"/>
      <c r="AP492" s="303"/>
      <c r="AQ492" s="303"/>
      <c r="AR492" s="303"/>
      <c r="AS492" s="170"/>
      <c r="AT492" s="170"/>
      <c r="AU492" s="310"/>
      <c r="AW492" s="294"/>
      <c r="AX492" s="294"/>
      <c r="AY492" s="294"/>
      <c r="AZ492" s="294"/>
      <c r="BA492" s="294"/>
      <c r="BB492" s="294"/>
      <c r="BC492" s="294"/>
      <c r="BD492" s="294"/>
      <c r="BE492" s="294"/>
      <c r="BF492" s="382">
        <v>0.34</v>
      </c>
      <c r="BG492" s="382">
        <v>1</v>
      </c>
      <c r="BH492" s="278"/>
      <c r="BI492" s="365" t="s">
        <v>93</v>
      </c>
      <c r="BJ492" s="409"/>
    </row>
    <row r="493" spans="1:62" ht="15.75" customHeight="1" thickBot="1" x14ac:dyDescent="0.25">
      <c r="A493" s="156">
        <v>492</v>
      </c>
      <c r="B493" s="155">
        <v>1</v>
      </c>
      <c r="C493" s="148" t="s">
        <v>975</v>
      </c>
      <c r="D493" s="149" t="s">
        <v>3059</v>
      </c>
      <c r="E493" s="148" t="s">
        <v>1069</v>
      </c>
      <c r="F493" s="149" t="s">
        <v>2383</v>
      </c>
      <c r="G493" s="148" t="s">
        <v>292</v>
      </c>
      <c r="H493" s="148" t="s">
        <v>1074</v>
      </c>
      <c r="I493" s="161">
        <v>2015</v>
      </c>
      <c r="J493" s="161" t="s">
        <v>1075</v>
      </c>
      <c r="K493" s="161" t="s">
        <v>1076</v>
      </c>
      <c r="L493" s="161" t="s">
        <v>19</v>
      </c>
      <c r="M493" s="453" t="s">
        <v>4192</v>
      </c>
      <c r="N493" s="186" t="s">
        <v>20</v>
      </c>
      <c r="O493" s="186" t="s">
        <v>15</v>
      </c>
      <c r="P493" s="186" t="s">
        <v>20</v>
      </c>
      <c r="Q493" s="186" t="s">
        <v>15</v>
      </c>
      <c r="R493" s="186" t="s">
        <v>15</v>
      </c>
      <c r="S493" s="186" t="s">
        <v>15</v>
      </c>
      <c r="T493" s="186" t="s">
        <v>15</v>
      </c>
      <c r="U493" s="186" t="s">
        <v>15</v>
      </c>
      <c r="V493" s="186" t="s">
        <v>15</v>
      </c>
      <c r="W493" s="186" t="s">
        <v>15</v>
      </c>
      <c r="X493" s="186" t="s">
        <v>15</v>
      </c>
      <c r="Y493" s="186" t="s">
        <v>15</v>
      </c>
      <c r="Z493" s="186"/>
      <c r="AA493" s="264" t="s">
        <v>1077</v>
      </c>
      <c r="AB493" s="186" t="s">
        <v>292</v>
      </c>
      <c r="AC493" s="186" t="s">
        <v>122</v>
      </c>
      <c r="AD493" s="272" t="s">
        <v>1078</v>
      </c>
      <c r="AE493" s="268" t="s">
        <v>2442</v>
      </c>
      <c r="AF493" s="144">
        <f t="shared" si="31"/>
        <v>244.11612903225807</v>
      </c>
      <c r="AG493" s="144" t="str">
        <f t="shared" si="35"/>
        <v/>
      </c>
      <c r="AH493" s="146">
        <f t="shared" si="33"/>
        <v>15.848387096774195</v>
      </c>
      <c r="AI493" s="146" t="str">
        <f t="shared" si="34"/>
        <v/>
      </c>
      <c r="AJ493" s="303">
        <v>244.11612903225807</v>
      </c>
      <c r="AK493" s="303"/>
      <c r="AL493" s="303"/>
      <c r="AM493" s="303"/>
      <c r="AN493" s="303">
        <f>14.0129+2.8839</f>
        <v>16.896799999999999</v>
      </c>
      <c r="AO493" s="303"/>
      <c r="AP493" s="303"/>
      <c r="AQ493" s="303"/>
      <c r="AR493" s="303"/>
      <c r="AS493" s="170">
        <v>244.11612903225807</v>
      </c>
      <c r="AT493" s="170">
        <v>261.01290322580644</v>
      </c>
      <c r="AU493" s="310" t="s">
        <v>961</v>
      </c>
      <c r="AW493" s="294">
        <v>15.848387096774195</v>
      </c>
      <c r="AX493" s="294"/>
      <c r="AY493" s="294"/>
      <c r="AZ493" s="294"/>
      <c r="BA493" s="294">
        <f>0.741935+0.2129</f>
        <v>0.95483499999999999</v>
      </c>
      <c r="BB493" s="294"/>
      <c r="BC493" s="294"/>
      <c r="BD493" s="294"/>
      <c r="BE493" s="294"/>
      <c r="BF493" s="383">
        <v>15.848387096774195</v>
      </c>
      <c r="BG493" s="383">
        <v>16.803225806451611</v>
      </c>
      <c r="BH493" s="278"/>
      <c r="BI493" s="365" t="s">
        <v>990</v>
      </c>
      <c r="BJ493" s="409"/>
    </row>
    <row r="494" spans="1:62" ht="15.75" customHeight="1" thickBot="1" x14ac:dyDescent="0.25">
      <c r="A494" s="154">
        <v>493</v>
      </c>
      <c r="B494" s="155">
        <v>1</v>
      </c>
      <c r="C494" s="148" t="s">
        <v>975</v>
      </c>
      <c r="D494" s="149" t="s">
        <v>3059</v>
      </c>
      <c r="E494" s="148" t="s">
        <v>1069</v>
      </c>
      <c r="F494" s="149" t="s">
        <v>2384</v>
      </c>
      <c r="G494" s="148" t="s">
        <v>292</v>
      </c>
      <c r="H494" s="148" t="s">
        <v>1079</v>
      </c>
      <c r="I494" s="161">
        <v>2015</v>
      </c>
      <c r="J494" s="161" t="s">
        <v>1075</v>
      </c>
      <c r="K494" s="161" t="s">
        <v>1076</v>
      </c>
      <c r="L494" s="161" t="s">
        <v>19</v>
      </c>
      <c r="M494" s="453" t="s">
        <v>4192</v>
      </c>
      <c r="N494" s="186" t="s">
        <v>20</v>
      </c>
      <c r="O494" s="186" t="s">
        <v>15</v>
      </c>
      <c r="P494" s="186" t="s">
        <v>20</v>
      </c>
      <c r="Q494" s="186" t="s">
        <v>15</v>
      </c>
      <c r="R494" s="186" t="s">
        <v>15</v>
      </c>
      <c r="S494" s="186" t="s">
        <v>15</v>
      </c>
      <c r="T494" s="186" t="s">
        <v>15</v>
      </c>
      <c r="U494" s="186" t="s">
        <v>15</v>
      </c>
      <c r="V494" s="186" t="s">
        <v>15</v>
      </c>
      <c r="W494" s="186" t="s">
        <v>15</v>
      </c>
      <c r="X494" s="186" t="s">
        <v>15</v>
      </c>
      <c r="Y494" s="186" t="s">
        <v>15</v>
      </c>
      <c r="Z494" s="186"/>
      <c r="AA494" s="264" t="s">
        <v>1077</v>
      </c>
      <c r="AB494" s="186" t="s">
        <v>292</v>
      </c>
      <c r="AC494" s="186" t="s">
        <v>122</v>
      </c>
      <c r="AD494" s="272" t="s">
        <v>1080</v>
      </c>
      <c r="AE494" s="268" t="s">
        <v>2442</v>
      </c>
      <c r="AF494" s="144">
        <f t="shared" si="31"/>
        <v>191.96774193548387</v>
      </c>
      <c r="AG494" s="144">
        <f t="shared" si="35"/>
        <v>219.17096193548389</v>
      </c>
      <c r="AH494" s="146">
        <f t="shared" si="33"/>
        <v>13.445161290322581</v>
      </c>
      <c r="AI494" s="146" t="str">
        <f t="shared" si="34"/>
        <v/>
      </c>
      <c r="AJ494" s="303">
        <v>191.96774193548387</v>
      </c>
      <c r="AK494" s="303">
        <v>27.203220000000002</v>
      </c>
      <c r="AL494" s="303"/>
      <c r="AM494" s="303"/>
      <c r="AN494" s="303">
        <v>224.858</v>
      </c>
      <c r="AO494" s="303"/>
      <c r="AP494" s="303"/>
      <c r="AQ494" s="303"/>
      <c r="AR494" s="303"/>
      <c r="AS494" s="170">
        <v>191.96774193548387</v>
      </c>
      <c r="AT494" s="170">
        <v>444.03225806451616</v>
      </c>
      <c r="AU494" s="310" t="s">
        <v>961</v>
      </c>
      <c r="AV494" s="329"/>
      <c r="AW494" s="294">
        <v>13.445161290322581</v>
      </c>
      <c r="AX494" s="294"/>
      <c r="AY494" s="294"/>
      <c r="AZ494" s="294"/>
      <c r="BA494" s="294">
        <f>(670+4359)/1000/0.31</f>
        <v>16.22258064516129</v>
      </c>
      <c r="BB494" s="294"/>
      <c r="BC494" s="294"/>
      <c r="BD494" s="294"/>
      <c r="BE494" s="294"/>
      <c r="BF494" s="383">
        <v>13.445161290322581</v>
      </c>
      <c r="BG494" s="383">
        <v>29.667741935483868</v>
      </c>
      <c r="BH494" s="278"/>
      <c r="BI494" s="365" t="s">
        <v>990</v>
      </c>
      <c r="BJ494" s="409"/>
    </row>
    <row r="495" spans="1:62" ht="15.75" customHeight="1" thickBot="1" x14ac:dyDescent="0.25">
      <c r="A495" s="156">
        <v>494</v>
      </c>
      <c r="B495" s="155">
        <v>1</v>
      </c>
      <c r="C495" s="148" t="s">
        <v>975</v>
      </c>
      <c r="D495" s="149" t="s">
        <v>3057</v>
      </c>
      <c r="E495" s="148" t="s">
        <v>3071</v>
      </c>
      <c r="F495" s="149" t="s">
        <v>3231</v>
      </c>
      <c r="G495" s="148" t="s">
        <v>292</v>
      </c>
      <c r="H495" s="148" t="s">
        <v>80</v>
      </c>
      <c r="I495" s="161">
        <v>2011</v>
      </c>
      <c r="J495" s="161" t="s">
        <v>1082</v>
      </c>
      <c r="K495" s="161" t="s">
        <v>1083</v>
      </c>
      <c r="L495" s="161" t="s">
        <v>104</v>
      </c>
      <c r="M495" s="453" t="s">
        <v>4193</v>
      </c>
      <c r="N495" s="186" t="s">
        <v>20</v>
      </c>
      <c r="O495" s="186" t="s">
        <v>15</v>
      </c>
      <c r="P495" s="186" t="s">
        <v>20</v>
      </c>
      <c r="Q495" s="186" t="s">
        <v>20</v>
      </c>
      <c r="R495" s="186" t="s">
        <v>20</v>
      </c>
      <c r="S495" s="186" t="s">
        <v>20</v>
      </c>
      <c r="T495" s="186" t="s">
        <v>20</v>
      </c>
      <c r="U495" s="186" t="s">
        <v>15</v>
      </c>
      <c r="V495" s="186" t="s">
        <v>15</v>
      </c>
      <c r="W495" s="186" t="s">
        <v>15</v>
      </c>
      <c r="X495" s="186" t="s">
        <v>15</v>
      </c>
      <c r="Y495" s="186" t="s">
        <v>15</v>
      </c>
      <c r="Z495" s="186"/>
      <c r="AA495" s="186" t="s">
        <v>1084</v>
      </c>
      <c r="AB495" s="186" t="s">
        <v>292</v>
      </c>
      <c r="AC495" s="186" t="s">
        <v>122</v>
      </c>
      <c r="AD495" s="268" t="s">
        <v>1085</v>
      </c>
      <c r="AE495" s="268"/>
      <c r="AF495" s="144" t="str">
        <f t="shared" si="31"/>
        <v/>
      </c>
      <c r="AG495" s="144" t="str">
        <f t="shared" si="35"/>
        <v/>
      </c>
      <c r="AH495" s="146">
        <f t="shared" si="33"/>
        <v>0.55000000000000004</v>
      </c>
      <c r="AI495" s="146">
        <f t="shared" si="34"/>
        <v>1.2</v>
      </c>
      <c r="AJ495" s="303"/>
      <c r="AK495" s="303"/>
      <c r="AL495" s="303"/>
      <c r="AM495" s="303"/>
      <c r="AN495" s="303"/>
      <c r="AO495" s="303"/>
      <c r="AP495" s="303"/>
      <c r="AQ495" s="303"/>
      <c r="AR495" s="303"/>
      <c r="AS495" s="170"/>
      <c r="AT495" s="170"/>
      <c r="AU495" s="310"/>
      <c r="AW495" s="294">
        <v>0.55000000000000004</v>
      </c>
      <c r="AX495" s="294">
        <v>0.2</v>
      </c>
      <c r="AY495" s="294">
        <v>0.45</v>
      </c>
      <c r="AZ495" s="294">
        <v>2.3199999999999998</v>
      </c>
      <c r="BA495" s="294">
        <v>0.22</v>
      </c>
      <c r="BB495" s="294"/>
      <c r="BC495" s="294"/>
      <c r="BD495" s="294"/>
      <c r="BE495" s="294"/>
      <c r="BF495" s="388">
        <f>AW495</f>
        <v>0.55000000000000004</v>
      </c>
      <c r="BG495" s="383">
        <v>3.7</v>
      </c>
      <c r="BH495" s="278"/>
      <c r="BI495" s="365" t="s">
        <v>733</v>
      </c>
      <c r="BJ495" s="409"/>
    </row>
    <row r="496" spans="1:62" ht="15.75" customHeight="1" thickBot="1" x14ac:dyDescent="0.25">
      <c r="A496" s="154">
        <v>495</v>
      </c>
      <c r="B496" s="155">
        <v>1</v>
      </c>
      <c r="C496" s="148" t="s">
        <v>975</v>
      </c>
      <c r="D496" s="149" t="s">
        <v>3057</v>
      </c>
      <c r="E496" s="148" t="s">
        <v>1081</v>
      </c>
      <c r="F496" s="149" t="s">
        <v>3232</v>
      </c>
      <c r="G496" s="148" t="s">
        <v>292</v>
      </c>
      <c r="H496" s="148" t="s">
        <v>80</v>
      </c>
      <c r="I496" s="161">
        <v>2011</v>
      </c>
      <c r="J496" s="161" t="s">
        <v>1082</v>
      </c>
      <c r="K496" s="161" t="s">
        <v>1083</v>
      </c>
      <c r="L496" s="161" t="s">
        <v>104</v>
      </c>
      <c r="M496" s="453" t="s">
        <v>4193</v>
      </c>
      <c r="N496" s="186" t="s">
        <v>20</v>
      </c>
      <c r="O496" s="186" t="s">
        <v>15</v>
      </c>
      <c r="P496" s="186" t="s">
        <v>20</v>
      </c>
      <c r="Q496" s="186" t="s">
        <v>20</v>
      </c>
      <c r="R496" s="186" t="s">
        <v>20</v>
      </c>
      <c r="S496" s="186" t="s">
        <v>20</v>
      </c>
      <c r="T496" s="186" t="s">
        <v>20</v>
      </c>
      <c r="U496" s="186" t="s">
        <v>15</v>
      </c>
      <c r="V496" s="186" t="s">
        <v>15</v>
      </c>
      <c r="W496" s="186" t="s">
        <v>15</v>
      </c>
      <c r="X496" s="186" t="s">
        <v>15</v>
      </c>
      <c r="Y496" s="186" t="s">
        <v>15</v>
      </c>
      <c r="Z496" s="186"/>
      <c r="AA496" s="186" t="s">
        <v>1084</v>
      </c>
      <c r="AB496" s="186" t="s">
        <v>292</v>
      </c>
      <c r="AC496" s="186" t="s">
        <v>122</v>
      </c>
      <c r="AD496" s="268" t="s">
        <v>1086</v>
      </c>
      <c r="AE496" s="268"/>
      <c r="AF496" s="144" t="str">
        <f t="shared" si="31"/>
        <v/>
      </c>
      <c r="AG496" s="144" t="str">
        <f t="shared" si="35"/>
        <v/>
      </c>
      <c r="AH496" s="146">
        <f t="shared" si="33"/>
        <v>0.45</v>
      </c>
      <c r="AI496" s="146">
        <f t="shared" si="34"/>
        <v>1.1200000000000001</v>
      </c>
      <c r="AJ496" s="303"/>
      <c r="AK496" s="303"/>
      <c r="AL496" s="303"/>
      <c r="AM496" s="303"/>
      <c r="AN496" s="303"/>
      <c r="AO496" s="303"/>
      <c r="AP496" s="303"/>
      <c r="AQ496" s="303"/>
      <c r="AR496" s="303"/>
      <c r="AS496" s="170"/>
      <c r="AT496" s="170"/>
      <c r="AU496" s="310"/>
      <c r="AW496" s="294">
        <v>0.45</v>
      </c>
      <c r="AX496" s="294">
        <v>0.22</v>
      </c>
      <c r="AY496" s="294">
        <v>0.45</v>
      </c>
      <c r="AZ496" s="294">
        <v>2.4</v>
      </c>
      <c r="BA496" s="294">
        <v>0.22</v>
      </c>
      <c r="BB496" s="294"/>
      <c r="BC496" s="294"/>
      <c r="BD496" s="294"/>
      <c r="BE496" s="294"/>
      <c r="BF496" s="388">
        <f>AW496</f>
        <v>0.45</v>
      </c>
      <c r="BG496" s="383">
        <v>3.7</v>
      </c>
      <c r="BH496" s="278"/>
      <c r="BI496" s="365" t="s">
        <v>733</v>
      </c>
      <c r="BJ496" s="409"/>
    </row>
    <row r="497" spans="1:62" ht="15.75" customHeight="1" thickBot="1" x14ac:dyDescent="0.25">
      <c r="A497" s="156">
        <v>496</v>
      </c>
      <c r="B497" s="155">
        <v>1</v>
      </c>
      <c r="C497" s="148" t="s">
        <v>975</v>
      </c>
      <c r="D497" s="149" t="s">
        <v>3057</v>
      </c>
      <c r="E497" s="148" t="s">
        <v>1068</v>
      </c>
      <c r="F497" s="149" t="s">
        <v>2385</v>
      </c>
      <c r="G497" s="148" t="s">
        <v>292</v>
      </c>
      <c r="H497" s="148" t="s">
        <v>80</v>
      </c>
      <c r="I497" s="161">
        <v>2011</v>
      </c>
      <c r="J497" s="161" t="s">
        <v>1082</v>
      </c>
      <c r="K497" s="161" t="s">
        <v>1083</v>
      </c>
      <c r="L497" s="161" t="s">
        <v>104</v>
      </c>
      <c r="M497" s="453" t="s">
        <v>4193</v>
      </c>
      <c r="N497" s="186" t="s">
        <v>20</v>
      </c>
      <c r="O497" s="186" t="s">
        <v>15</v>
      </c>
      <c r="P497" s="186" t="s">
        <v>20</v>
      </c>
      <c r="Q497" s="186" t="s">
        <v>20</v>
      </c>
      <c r="R497" s="186" t="s">
        <v>20</v>
      </c>
      <c r="S497" s="186" t="s">
        <v>20</v>
      </c>
      <c r="T497" s="186" t="s">
        <v>20</v>
      </c>
      <c r="U497" s="186" t="s">
        <v>15</v>
      </c>
      <c r="V497" s="186" t="s">
        <v>15</v>
      </c>
      <c r="W497" s="186" t="s">
        <v>15</v>
      </c>
      <c r="X497" s="186" t="s">
        <v>15</v>
      </c>
      <c r="Y497" s="186" t="s">
        <v>15</v>
      </c>
      <c r="Z497" s="186"/>
      <c r="AA497" s="186" t="s">
        <v>1084</v>
      </c>
      <c r="AB497" s="186" t="s">
        <v>292</v>
      </c>
      <c r="AC497" s="186" t="s">
        <v>122</v>
      </c>
      <c r="AD497" s="268" t="s">
        <v>1087</v>
      </c>
      <c r="AE497" s="268"/>
      <c r="AF497" s="144" t="str">
        <f t="shared" si="31"/>
        <v/>
      </c>
      <c r="AG497" s="144" t="str">
        <f t="shared" si="35"/>
        <v/>
      </c>
      <c r="AH497" s="146">
        <f t="shared" si="33"/>
        <v>3.73</v>
      </c>
      <c r="AI497" s="146">
        <f t="shared" si="34"/>
        <v>4.4000000000000004</v>
      </c>
      <c r="AJ497" s="303"/>
      <c r="AK497" s="303"/>
      <c r="AL497" s="303"/>
      <c r="AM497" s="303"/>
      <c r="AN497" s="303"/>
      <c r="AO497" s="303"/>
      <c r="AP497" s="303"/>
      <c r="AQ497" s="303"/>
      <c r="AR497" s="303"/>
      <c r="AS497" s="170"/>
      <c r="AT497" s="170"/>
      <c r="AU497" s="310"/>
      <c r="AW497" s="294">
        <v>3.73</v>
      </c>
      <c r="AX497" s="294">
        <v>0.22</v>
      </c>
      <c r="AY497" s="294">
        <v>0.45</v>
      </c>
      <c r="AZ497" s="294">
        <v>0.12</v>
      </c>
      <c r="BA497" s="294">
        <v>0.68</v>
      </c>
      <c r="BB497" s="294"/>
      <c r="BC497" s="294"/>
      <c r="BD497" s="294"/>
      <c r="BE497" s="294"/>
      <c r="BF497" s="388">
        <v>3.73</v>
      </c>
      <c r="BG497" s="383">
        <v>5.3</v>
      </c>
      <c r="BH497" s="278"/>
      <c r="BI497" s="365" t="s">
        <v>733</v>
      </c>
      <c r="BJ497" s="409"/>
    </row>
    <row r="498" spans="1:62" ht="15.75" customHeight="1" thickBot="1" x14ac:dyDescent="0.25">
      <c r="A498" s="154">
        <v>497</v>
      </c>
      <c r="B498" s="155">
        <v>1</v>
      </c>
      <c r="C498" s="148" t="s">
        <v>975</v>
      </c>
      <c r="D498" s="149" t="s">
        <v>3056</v>
      </c>
      <c r="E498" s="148" t="s">
        <v>1088</v>
      </c>
      <c r="F498" s="149" t="s">
        <v>2386</v>
      </c>
      <c r="G498" s="148" t="s">
        <v>292</v>
      </c>
      <c r="H498" s="148" t="s">
        <v>1064</v>
      </c>
      <c r="I498" s="161">
        <v>2011</v>
      </c>
      <c r="J498" s="161" t="s">
        <v>1082</v>
      </c>
      <c r="K498" s="161" t="s">
        <v>1083</v>
      </c>
      <c r="L498" s="161" t="s">
        <v>104</v>
      </c>
      <c r="M498" s="453" t="s">
        <v>4193</v>
      </c>
      <c r="N498" s="186" t="s">
        <v>20</v>
      </c>
      <c r="O498" s="186" t="s">
        <v>15</v>
      </c>
      <c r="P498" s="186" t="s">
        <v>20</v>
      </c>
      <c r="Q498" s="186" t="s">
        <v>20</v>
      </c>
      <c r="R498" s="186" t="s">
        <v>20</v>
      </c>
      <c r="S498" s="186" t="s">
        <v>20</v>
      </c>
      <c r="T498" s="186" t="s">
        <v>20</v>
      </c>
      <c r="U498" s="186" t="s">
        <v>15</v>
      </c>
      <c r="V498" s="186" t="s">
        <v>15</v>
      </c>
      <c r="W498" s="186" t="s">
        <v>15</v>
      </c>
      <c r="X498" s="186" t="s">
        <v>15</v>
      </c>
      <c r="Y498" s="186" t="s">
        <v>15</v>
      </c>
      <c r="Z498" s="186"/>
      <c r="AA498" s="265" t="s">
        <v>1089</v>
      </c>
      <c r="AB498" s="186" t="s">
        <v>292</v>
      </c>
      <c r="AC498" s="186" t="s">
        <v>122</v>
      </c>
      <c r="AD498" s="268" t="s">
        <v>1090</v>
      </c>
      <c r="AE498" s="268"/>
      <c r="AF498" s="144" t="str">
        <f t="shared" si="31"/>
        <v/>
      </c>
      <c r="AG498" s="144" t="str">
        <f t="shared" si="35"/>
        <v/>
      </c>
      <c r="AH498" s="146">
        <f t="shared" si="33"/>
        <v>4.5</v>
      </c>
      <c r="AI498" s="146">
        <f t="shared" si="34"/>
        <v>5.0600000000000005</v>
      </c>
      <c r="AJ498" s="303"/>
      <c r="AK498" s="303"/>
      <c r="AL498" s="303"/>
      <c r="AM498" s="303"/>
      <c r="AN498" s="303"/>
      <c r="AO498" s="303"/>
      <c r="AP498" s="303"/>
      <c r="AQ498" s="303"/>
      <c r="AR498" s="303"/>
      <c r="AS498" s="170"/>
      <c r="AT498" s="170"/>
      <c r="AU498" s="310"/>
      <c r="AW498" s="294">
        <v>4.5</v>
      </c>
      <c r="AX498" s="294">
        <v>0.48</v>
      </c>
      <c r="AY498" s="294">
        <v>0.08</v>
      </c>
      <c r="AZ498" s="294">
        <v>0.45</v>
      </c>
      <c r="BA498" s="294">
        <v>1.0900000000000001</v>
      </c>
      <c r="BB498" s="294"/>
      <c r="BC498" s="294"/>
      <c r="BD498" s="294"/>
      <c r="BE498" s="294"/>
      <c r="BF498" s="388">
        <v>4.5</v>
      </c>
      <c r="BG498" s="383">
        <v>6.6</v>
      </c>
      <c r="BH498" s="278"/>
      <c r="BI498" s="365" t="s">
        <v>733</v>
      </c>
      <c r="BJ498" s="409"/>
    </row>
    <row r="499" spans="1:62" ht="15.75" customHeight="1" thickBot="1" x14ac:dyDescent="0.25">
      <c r="A499" s="156">
        <v>498</v>
      </c>
      <c r="B499" s="155">
        <v>1</v>
      </c>
      <c r="C499" s="148" t="s">
        <v>975</v>
      </c>
      <c r="D499" s="149" t="s">
        <v>3056</v>
      </c>
      <c r="E499" s="148" t="s">
        <v>1063</v>
      </c>
      <c r="F499" s="149" t="s">
        <v>2387</v>
      </c>
      <c r="G499" s="148" t="s">
        <v>122</v>
      </c>
      <c r="H499" s="148" t="s">
        <v>165</v>
      </c>
      <c r="I499" s="161">
        <v>2009</v>
      </c>
      <c r="J499" s="161" t="s">
        <v>1091</v>
      </c>
      <c r="K499" s="161" t="s">
        <v>1092</v>
      </c>
      <c r="L499" s="161" t="s">
        <v>19</v>
      </c>
      <c r="M499" s="453" t="s">
        <v>4194</v>
      </c>
      <c r="N499" s="186" t="s">
        <v>20</v>
      </c>
      <c r="O499" s="186" t="s">
        <v>15</v>
      </c>
      <c r="P499" s="186" t="s">
        <v>15</v>
      </c>
      <c r="Q499" s="186" t="s">
        <v>15</v>
      </c>
      <c r="R499" s="186" t="s">
        <v>15</v>
      </c>
      <c r="S499" s="186" t="s">
        <v>15</v>
      </c>
      <c r="T499" s="186" t="s">
        <v>15</v>
      </c>
      <c r="U499" s="186" t="s">
        <v>15</v>
      </c>
      <c r="V499" s="186" t="s">
        <v>15</v>
      </c>
      <c r="W499" s="186" t="s">
        <v>15</v>
      </c>
      <c r="X499" s="186" t="s">
        <v>15</v>
      </c>
      <c r="Y499" s="186" t="s">
        <v>20</v>
      </c>
      <c r="Z499" s="186"/>
      <c r="AA499" s="186" t="s">
        <v>1093</v>
      </c>
      <c r="AB499" s="186" t="s">
        <v>292</v>
      </c>
      <c r="AC499" s="186" t="s">
        <v>122</v>
      </c>
      <c r="AD499" s="272" t="s">
        <v>1094</v>
      </c>
      <c r="AE499" s="268" t="s">
        <v>2439</v>
      </c>
      <c r="AF499" s="144">
        <f t="shared" si="31"/>
        <v>120.35230769230769</v>
      </c>
      <c r="AG499" s="144" t="str">
        <f t="shared" si="35"/>
        <v/>
      </c>
      <c r="AH499" s="146">
        <f t="shared" si="33"/>
        <v>4.2353846153846151</v>
      </c>
      <c r="AI499" s="146" t="str">
        <f t="shared" si="34"/>
        <v/>
      </c>
      <c r="AJ499" s="303">
        <v>120.35230769230769</v>
      </c>
      <c r="AK499" s="303"/>
      <c r="AL499" s="303"/>
      <c r="AM499" s="303"/>
      <c r="AN499" s="303"/>
      <c r="AO499" s="303"/>
      <c r="AP499" s="303"/>
      <c r="AQ499" s="303"/>
      <c r="AR499" s="303">
        <f>(1354+3470)/1000/0.65</f>
        <v>7.4215384615384608</v>
      </c>
      <c r="AS499" s="170">
        <v>120.35230769230769</v>
      </c>
      <c r="AT499" s="170"/>
      <c r="AU499" s="310"/>
      <c r="AV499" s="330" t="s">
        <v>3097</v>
      </c>
      <c r="AW499" s="350">
        <v>4.2353846153846151</v>
      </c>
      <c r="AX499" s="294"/>
      <c r="AY499" s="294"/>
      <c r="AZ499" s="294"/>
      <c r="BA499" s="294"/>
      <c r="BB499" s="294"/>
      <c r="BC499" s="294"/>
      <c r="BD499" s="294"/>
      <c r="BE499" s="294">
        <f>(33+211)/1000/0.65</f>
        <v>0.37538461538461537</v>
      </c>
      <c r="BF499" s="388">
        <v>4.2353846153846151</v>
      </c>
      <c r="BG499" s="383"/>
      <c r="BH499" s="278"/>
      <c r="BI499" s="365"/>
      <c r="BJ499" s="410" t="s">
        <v>3097</v>
      </c>
    </row>
    <row r="500" spans="1:62" ht="15.75" customHeight="1" thickBot="1" x14ac:dyDescent="0.25">
      <c r="A500" s="154">
        <v>499</v>
      </c>
      <c r="B500" s="155">
        <v>1</v>
      </c>
      <c r="C500" s="148" t="s">
        <v>975</v>
      </c>
      <c r="D500" s="149" t="s">
        <v>3057</v>
      </c>
      <c r="E500" s="148" t="s">
        <v>1063</v>
      </c>
      <c r="F500" s="149" t="s">
        <v>2388</v>
      </c>
      <c r="G500" s="148" t="s">
        <v>122</v>
      </c>
      <c r="H500" s="148" t="s">
        <v>633</v>
      </c>
      <c r="I500" s="161">
        <v>2009</v>
      </c>
      <c r="J500" s="161" t="s">
        <v>1091</v>
      </c>
      <c r="K500" s="161" t="s">
        <v>1092</v>
      </c>
      <c r="L500" s="161" t="s">
        <v>19</v>
      </c>
      <c r="M500" s="453" t="s">
        <v>4194</v>
      </c>
      <c r="N500" s="186" t="s">
        <v>20</v>
      </c>
      <c r="O500" s="186" t="s">
        <v>15</v>
      </c>
      <c r="P500" s="186" t="s">
        <v>15</v>
      </c>
      <c r="Q500" s="186" t="s">
        <v>15</v>
      </c>
      <c r="R500" s="186" t="s">
        <v>15</v>
      </c>
      <c r="S500" s="186" t="s">
        <v>15</v>
      </c>
      <c r="T500" s="186" t="s">
        <v>15</v>
      </c>
      <c r="U500" s="186" t="s">
        <v>15</v>
      </c>
      <c r="V500" s="186" t="s">
        <v>15</v>
      </c>
      <c r="W500" s="186" t="s">
        <v>15</v>
      </c>
      <c r="X500" s="186" t="s">
        <v>15</v>
      </c>
      <c r="Y500" s="186" t="s">
        <v>20</v>
      </c>
      <c r="Z500" s="186"/>
      <c r="AA500" s="186" t="s">
        <v>1093</v>
      </c>
      <c r="AB500" s="186" t="s">
        <v>292</v>
      </c>
      <c r="AC500" s="186" t="s">
        <v>122</v>
      </c>
      <c r="AD500" s="272" t="s">
        <v>1094</v>
      </c>
      <c r="AE500" s="268" t="s">
        <v>2440</v>
      </c>
      <c r="AF500" s="144">
        <f t="shared" si="31"/>
        <v>124.21818181818182</v>
      </c>
      <c r="AG500" s="144" t="str">
        <f t="shared" si="35"/>
        <v/>
      </c>
      <c r="AH500" s="146">
        <f t="shared" si="33"/>
        <v>8.1840909090909086</v>
      </c>
      <c r="AI500" s="146" t="str">
        <f t="shared" si="34"/>
        <v/>
      </c>
      <c r="AJ500" s="303">
        <v>124.21818181818182</v>
      </c>
      <c r="AK500" s="303"/>
      <c r="AL500" s="303"/>
      <c r="AM500" s="303"/>
      <c r="AN500" s="303"/>
      <c r="AO500" s="303"/>
      <c r="AP500" s="303"/>
      <c r="AQ500" s="303"/>
      <c r="AR500" s="303">
        <f>(325+5184)/1000/0.44</f>
        <v>12.520454545454546</v>
      </c>
      <c r="AS500" s="170">
        <v>124.21818181818182</v>
      </c>
      <c r="AT500" s="170"/>
      <c r="AU500" s="310"/>
      <c r="AV500" s="330" t="s">
        <v>3097</v>
      </c>
      <c r="AW500" s="350">
        <v>8.1840909090909086</v>
      </c>
      <c r="AX500" s="294"/>
      <c r="AY500" s="294"/>
      <c r="AZ500" s="294"/>
      <c r="BA500" s="294"/>
      <c r="BB500" s="294"/>
      <c r="BC500" s="294"/>
      <c r="BD500" s="294"/>
      <c r="BE500" s="294">
        <f>(22+286)/1000/0.44</f>
        <v>0.7</v>
      </c>
      <c r="BF500" s="383">
        <v>8.1840909090909086</v>
      </c>
      <c r="BG500" s="383"/>
      <c r="BH500" s="278"/>
      <c r="BI500" s="365"/>
      <c r="BJ500" s="410" t="s">
        <v>3097</v>
      </c>
    </row>
    <row r="501" spans="1:62" ht="15.75" customHeight="1" thickBot="1" x14ac:dyDescent="0.25">
      <c r="A501" s="156">
        <v>500</v>
      </c>
      <c r="B501" s="155">
        <v>1</v>
      </c>
      <c r="C501" s="148" t="s">
        <v>975</v>
      </c>
      <c r="D501" s="149" t="s">
        <v>3057</v>
      </c>
      <c r="E501" s="148" t="s">
        <v>1063</v>
      </c>
      <c r="F501" s="149" t="s">
        <v>2389</v>
      </c>
      <c r="G501" s="148" t="s">
        <v>122</v>
      </c>
      <c r="H501" s="148" t="s">
        <v>165</v>
      </c>
      <c r="I501" s="161">
        <v>2009</v>
      </c>
      <c r="J501" s="161" t="s">
        <v>1091</v>
      </c>
      <c r="K501" s="161" t="s">
        <v>1092</v>
      </c>
      <c r="L501" s="161" t="s">
        <v>19</v>
      </c>
      <c r="M501" s="453" t="s">
        <v>4194</v>
      </c>
      <c r="N501" s="186" t="s">
        <v>20</v>
      </c>
      <c r="O501" s="186" t="s">
        <v>15</v>
      </c>
      <c r="P501" s="186" t="s">
        <v>15</v>
      </c>
      <c r="Q501" s="186" t="s">
        <v>15</v>
      </c>
      <c r="R501" s="186" t="s">
        <v>15</v>
      </c>
      <c r="S501" s="186" t="s">
        <v>15</v>
      </c>
      <c r="T501" s="186" t="s">
        <v>15</v>
      </c>
      <c r="U501" s="186" t="s">
        <v>15</v>
      </c>
      <c r="V501" s="186" t="s">
        <v>15</v>
      </c>
      <c r="W501" s="186" t="s">
        <v>15</v>
      </c>
      <c r="X501" s="186" t="s">
        <v>15</v>
      </c>
      <c r="Y501" s="186" t="s">
        <v>20</v>
      </c>
      <c r="Z501" s="186"/>
      <c r="AA501" s="186" t="s">
        <v>1093</v>
      </c>
      <c r="AB501" s="186" t="s">
        <v>292</v>
      </c>
      <c r="AC501" s="186" t="s">
        <v>122</v>
      </c>
      <c r="AD501" s="272" t="s">
        <v>1094</v>
      </c>
      <c r="AE501" s="268" t="s">
        <v>2441</v>
      </c>
      <c r="AF501" s="144">
        <f t="shared" si="31"/>
        <v>606.2208333333333</v>
      </c>
      <c r="AG501" s="144" t="str">
        <f t="shared" si="35"/>
        <v/>
      </c>
      <c r="AH501" s="146">
        <f t="shared" si="33"/>
        <v>12.535416666666668</v>
      </c>
      <c r="AI501" s="146" t="str">
        <f t="shared" si="34"/>
        <v/>
      </c>
      <c r="AJ501" s="303">
        <v>606.2208333333333</v>
      </c>
      <c r="AK501" s="303"/>
      <c r="AL501" s="303"/>
      <c r="AM501" s="303"/>
      <c r="AN501" s="303"/>
      <c r="AO501" s="303"/>
      <c r="AP501" s="303"/>
      <c r="AQ501" s="303"/>
      <c r="AR501" s="303">
        <f>(3120+4100)/1000/0.48</f>
        <v>15.041666666666666</v>
      </c>
      <c r="AS501" s="170">
        <v>606.2208333333333</v>
      </c>
      <c r="AT501" s="170"/>
      <c r="AU501" s="310"/>
      <c r="AV501" s="330" t="s">
        <v>3097</v>
      </c>
      <c r="AW501" s="350">
        <v>12.535416666666668</v>
      </c>
      <c r="AX501" s="294"/>
      <c r="AY501" s="294"/>
      <c r="AZ501" s="294"/>
      <c r="BA501" s="294"/>
      <c r="BB501" s="294"/>
      <c r="BC501" s="294"/>
      <c r="BD501" s="294"/>
      <c r="BE501" s="294">
        <f>(163+232)/1000/0.48</f>
        <v>0.82291666666666674</v>
      </c>
      <c r="BF501" s="383">
        <v>12.535416666666668</v>
      </c>
      <c r="BG501" s="383"/>
      <c r="BH501" s="278"/>
      <c r="BI501" s="365"/>
      <c r="BJ501" s="410" t="s">
        <v>3097</v>
      </c>
    </row>
    <row r="502" spans="1:62" ht="15.75" customHeight="1" thickBot="1" x14ac:dyDescent="0.25">
      <c r="A502" s="154">
        <v>501</v>
      </c>
      <c r="B502" s="155">
        <v>1</v>
      </c>
      <c r="C502" s="148" t="s">
        <v>975</v>
      </c>
      <c r="D502" s="149" t="s">
        <v>3056</v>
      </c>
      <c r="E502" s="148" t="s">
        <v>1063</v>
      </c>
      <c r="F502" s="148" t="s">
        <v>1095</v>
      </c>
      <c r="G502" s="148" t="s">
        <v>122</v>
      </c>
      <c r="H502" s="148" t="s">
        <v>1064</v>
      </c>
      <c r="I502" s="161">
        <v>2009</v>
      </c>
      <c r="J502" s="161" t="s">
        <v>1096</v>
      </c>
      <c r="K502" s="161" t="s">
        <v>1097</v>
      </c>
      <c r="L502" s="161" t="s">
        <v>19</v>
      </c>
      <c r="M502" s="453" t="s">
        <v>4195</v>
      </c>
      <c r="N502" s="186" t="s">
        <v>20</v>
      </c>
      <c r="O502" s="186" t="s">
        <v>15</v>
      </c>
      <c r="P502" s="186" t="s">
        <v>15</v>
      </c>
      <c r="Q502" s="186" t="s">
        <v>15</v>
      </c>
      <c r="R502" s="186" t="s">
        <v>15</v>
      </c>
      <c r="S502" s="186" t="s">
        <v>15</v>
      </c>
      <c r="T502" s="186" t="s">
        <v>15</v>
      </c>
      <c r="U502" s="186" t="s">
        <v>15</v>
      </c>
      <c r="V502" s="186" t="s">
        <v>15</v>
      </c>
      <c r="W502" s="186" t="s">
        <v>15</v>
      </c>
      <c r="X502" s="186" t="s">
        <v>15</v>
      </c>
      <c r="Y502" s="186" t="s">
        <v>15</v>
      </c>
      <c r="Z502" s="186"/>
      <c r="AA502" s="186" t="s">
        <v>1093</v>
      </c>
      <c r="AB502" s="186" t="s">
        <v>292</v>
      </c>
      <c r="AC502" s="186" t="s">
        <v>292</v>
      </c>
      <c r="AD502" s="271" t="s">
        <v>1098</v>
      </c>
      <c r="AE502" s="271" t="s">
        <v>2435</v>
      </c>
      <c r="AF502" s="144">
        <f t="shared" si="31"/>
        <v>36.388888888888886</v>
      </c>
      <c r="AG502" s="144" t="str">
        <f t="shared" si="35"/>
        <v/>
      </c>
      <c r="AH502" s="146">
        <f t="shared" si="33"/>
        <v>2.4861111111111112</v>
      </c>
      <c r="AI502" s="146" t="str">
        <f t="shared" si="34"/>
        <v/>
      </c>
      <c r="AJ502" s="303"/>
      <c r="AK502" s="303"/>
      <c r="AL502" s="303"/>
      <c r="AM502" s="303"/>
      <c r="AN502" s="303"/>
      <c r="AO502" s="303"/>
      <c r="AP502" s="303"/>
      <c r="AQ502" s="303"/>
      <c r="AR502" s="303"/>
      <c r="AS502" s="169">
        <f>26.2/0.72</f>
        <v>36.388888888888886</v>
      </c>
      <c r="AT502" s="170"/>
      <c r="AU502" s="310"/>
      <c r="AW502" s="350"/>
      <c r="AX502" s="294"/>
      <c r="AY502" s="294"/>
      <c r="AZ502" s="294"/>
      <c r="BA502" s="294"/>
      <c r="BB502" s="294"/>
      <c r="BC502" s="294"/>
      <c r="BD502" s="294"/>
      <c r="BE502" s="294"/>
      <c r="BF502" s="382">
        <f>1.79/0.72</f>
        <v>2.4861111111111112</v>
      </c>
      <c r="BG502" s="383"/>
      <c r="BH502" s="278"/>
      <c r="BI502" s="365"/>
      <c r="BJ502" s="409"/>
    </row>
    <row r="503" spans="1:62" ht="15.75" customHeight="1" thickBot="1" x14ac:dyDescent="0.25">
      <c r="A503" s="156">
        <v>502</v>
      </c>
      <c r="B503" s="155">
        <v>1</v>
      </c>
      <c r="C503" s="148" t="s">
        <v>975</v>
      </c>
      <c r="D503" s="149" t="s">
        <v>3056</v>
      </c>
      <c r="E503" s="148" t="s">
        <v>1063</v>
      </c>
      <c r="F503" s="148" t="s">
        <v>1095</v>
      </c>
      <c r="G503" s="148" t="s">
        <v>122</v>
      </c>
      <c r="H503" s="148" t="s">
        <v>108</v>
      </c>
      <c r="I503" s="161">
        <v>2009</v>
      </c>
      <c r="J503" s="161" t="s">
        <v>1096</v>
      </c>
      <c r="K503" s="161" t="s">
        <v>1097</v>
      </c>
      <c r="L503" s="161" t="s">
        <v>19</v>
      </c>
      <c r="M503" s="453" t="s">
        <v>4195</v>
      </c>
      <c r="N503" s="186" t="s">
        <v>20</v>
      </c>
      <c r="O503" s="186" t="s">
        <v>15</v>
      </c>
      <c r="P503" s="186" t="s">
        <v>15</v>
      </c>
      <c r="Q503" s="186" t="s">
        <v>15</v>
      </c>
      <c r="R503" s="186" t="s">
        <v>15</v>
      </c>
      <c r="S503" s="186" t="s">
        <v>15</v>
      </c>
      <c r="T503" s="186" t="s">
        <v>15</v>
      </c>
      <c r="U503" s="186" t="s">
        <v>15</v>
      </c>
      <c r="V503" s="186" t="s">
        <v>15</v>
      </c>
      <c r="W503" s="186" t="s">
        <v>15</v>
      </c>
      <c r="X503" s="186" t="s">
        <v>15</v>
      </c>
      <c r="Y503" s="186" t="s">
        <v>15</v>
      </c>
      <c r="Z503" s="186"/>
      <c r="AA503" s="186" t="s">
        <v>1093</v>
      </c>
      <c r="AB503" s="186" t="s">
        <v>292</v>
      </c>
      <c r="AC503" s="186" t="s">
        <v>292</v>
      </c>
      <c r="AD503" s="271" t="s">
        <v>1098</v>
      </c>
      <c r="AE503" s="271" t="s">
        <v>2435</v>
      </c>
      <c r="AF503" s="144">
        <f t="shared" si="31"/>
        <v>66.527777777777771</v>
      </c>
      <c r="AG503" s="144" t="str">
        <f t="shared" si="35"/>
        <v/>
      </c>
      <c r="AH503" s="146">
        <f t="shared" si="33"/>
        <v>4.541666666666667</v>
      </c>
      <c r="AI503" s="146" t="str">
        <f t="shared" si="34"/>
        <v/>
      </c>
      <c r="AJ503" s="303"/>
      <c r="AK503" s="303"/>
      <c r="AL503" s="303"/>
      <c r="AM503" s="303"/>
      <c r="AN503" s="303"/>
      <c r="AO503" s="303"/>
      <c r="AP503" s="303"/>
      <c r="AQ503" s="303"/>
      <c r="AR503" s="303"/>
      <c r="AS503" s="169">
        <f>47.9/0.72</f>
        <v>66.527777777777771</v>
      </c>
      <c r="AT503" s="170"/>
      <c r="AU503" s="310"/>
      <c r="AW503" s="350"/>
      <c r="AX503" s="294"/>
      <c r="AY503" s="294"/>
      <c r="AZ503" s="294"/>
      <c r="BA503" s="294"/>
      <c r="BB503" s="294"/>
      <c r="BC503" s="294"/>
      <c r="BD503" s="294"/>
      <c r="BE503" s="294"/>
      <c r="BF503" s="382">
        <f>3.27/0.72</f>
        <v>4.541666666666667</v>
      </c>
      <c r="BG503" s="383"/>
      <c r="BH503" s="278"/>
      <c r="BI503" s="365"/>
      <c r="BJ503" s="409"/>
    </row>
    <row r="504" spans="1:62" ht="15.75" customHeight="1" thickBot="1" x14ac:dyDescent="0.25">
      <c r="A504" s="154">
        <v>503</v>
      </c>
      <c r="B504" s="155">
        <v>1</v>
      </c>
      <c r="C504" s="148" t="s">
        <v>975</v>
      </c>
      <c r="D504" s="149" t="s">
        <v>3056</v>
      </c>
      <c r="E504" s="148" t="s">
        <v>1063</v>
      </c>
      <c r="F504" s="148" t="s">
        <v>1095</v>
      </c>
      <c r="G504" s="148" t="s">
        <v>122</v>
      </c>
      <c r="H504" s="148" t="s">
        <v>1099</v>
      </c>
      <c r="I504" s="161">
        <v>2009</v>
      </c>
      <c r="J504" s="161" t="s">
        <v>1096</v>
      </c>
      <c r="K504" s="161" t="s">
        <v>1097</v>
      </c>
      <c r="L504" s="161" t="s">
        <v>19</v>
      </c>
      <c r="M504" s="453" t="s">
        <v>4195</v>
      </c>
      <c r="N504" s="186" t="s">
        <v>20</v>
      </c>
      <c r="O504" s="186" t="s">
        <v>15</v>
      </c>
      <c r="P504" s="186" t="s">
        <v>15</v>
      </c>
      <c r="Q504" s="186" t="s">
        <v>15</v>
      </c>
      <c r="R504" s="186" t="s">
        <v>15</v>
      </c>
      <c r="S504" s="186" t="s">
        <v>15</v>
      </c>
      <c r="T504" s="186" t="s">
        <v>15</v>
      </c>
      <c r="U504" s="186" t="s">
        <v>15</v>
      </c>
      <c r="V504" s="186" t="s">
        <v>15</v>
      </c>
      <c r="W504" s="186" t="s">
        <v>15</v>
      </c>
      <c r="X504" s="186" t="s">
        <v>15</v>
      </c>
      <c r="Y504" s="186" t="s">
        <v>15</v>
      </c>
      <c r="Z504" s="186"/>
      <c r="AA504" s="186" t="s">
        <v>1093</v>
      </c>
      <c r="AB504" s="186" t="s">
        <v>292</v>
      </c>
      <c r="AC504" s="186" t="s">
        <v>292</v>
      </c>
      <c r="AD504" s="271" t="s">
        <v>1098</v>
      </c>
      <c r="AE504" s="271" t="s">
        <v>2435</v>
      </c>
      <c r="AF504" s="144">
        <f t="shared" si="31"/>
        <v>46.111111111111114</v>
      </c>
      <c r="AG504" s="144" t="str">
        <f t="shared" si="35"/>
        <v/>
      </c>
      <c r="AH504" s="146">
        <f t="shared" si="33"/>
        <v>3.1944444444444442</v>
      </c>
      <c r="AI504" s="146" t="str">
        <f t="shared" si="34"/>
        <v/>
      </c>
      <c r="AJ504" s="303"/>
      <c r="AK504" s="303"/>
      <c r="AL504" s="303"/>
      <c r="AM504" s="303"/>
      <c r="AN504" s="303"/>
      <c r="AO504" s="303"/>
      <c r="AP504" s="303"/>
      <c r="AQ504" s="303"/>
      <c r="AR504" s="303"/>
      <c r="AS504" s="169">
        <f>33.2/0.72</f>
        <v>46.111111111111114</v>
      </c>
      <c r="AT504" s="170"/>
      <c r="AU504" s="310"/>
      <c r="AW504" s="350"/>
      <c r="AX504" s="294"/>
      <c r="AY504" s="294"/>
      <c r="AZ504" s="294"/>
      <c r="BA504" s="294"/>
      <c r="BB504" s="294"/>
      <c r="BC504" s="294"/>
      <c r="BD504" s="294"/>
      <c r="BE504" s="294"/>
      <c r="BF504" s="382">
        <f>2.3/0.72</f>
        <v>3.1944444444444442</v>
      </c>
      <c r="BG504" s="383"/>
      <c r="BH504" s="278"/>
      <c r="BI504" s="365"/>
      <c r="BJ504" s="409"/>
    </row>
    <row r="505" spans="1:62" ht="15.75" customHeight="1" thickBot="1" x14ac:dyDescent="0.25">
      <c r="A505" s="156">
        <v>504</v>
      </c>
      <c r="B505" s="155">
        <v>1</v>
      </c>
      <c r="C505" s="148" t="s">
        <v>975</v>
      </c>
      <c r="D505" s="149" t="s">
        <v>3056</v>
      </c>
      <c r="E505" s="148" t="s">
        <v>1063</v>
      </c>
      <c r="F505" s="149" t="s">
        <v>1095</v>
      </c>
      <c r="G505" s="148" t="s">
        <v>122</v>
      </c>
      <c r="H505" s="148" t="s">
        <v>1100</v>
      </c>
      <c r="I505" s="161">
        <v>2009</v>
      </c>
      <c r="J505" s="161" t="s">
        <v>1096</v>
      </c>
      <c r="K505" s="161" t="s">
        <v>1097</v>
      </c>
      <c r="L505" s="161" t="s">
        <v>19</v>
      </c>
      <c r="M505" s="453" t="s">
        <v>4195</v>
      </c>
      <c r="N505" s="186" t="s">
        <v>20</v>
      </c>
      <c r="O505" s="186" t="s">
        <v>15</v>
      </c>
      <c r="P505" s="186" t="s">
        <v>15</v>
      </c>
      <c r="Q505" s="186" t="s">
        <v>15</v>
      </c>
      <c r="R505" s="186" t="s">
        <v>15</v>
      </c>
      <c r="S505" s="186" t="s">
        <v>15</v>
      </c>
      <c r="T505" s="186" t="s">
        <v>15</v>
      </c>
      <c r="U505" s="186" t="s">
        <v>15</v>
      </c>
      <c r="V505" s="186" t="s">
        <v>15</v>
      </c>
      <c r="W505" s="186" t="s">
        <v>15</v>
      </c>
      <c r="X505" s="186" t="s">
        <v>15</v>
      </c>
      <c r="Y505" s="186" t="s">
        <v>15</v>
      </c>
      <c r="Z505" s="186"/>
      <c r="AA505" s="186" t="s">
        <v>1093</v>
      </c>
      <c r="AB505" s="186" t="s">
        <v>292</v>
      </c>
      <c r="AC505" s="186" t="s">
        <v>292</v>
      </c>
      <c r="AD505" s="271" t="s">
        <v>1098</v>
      </c>
      <c r="AE505" s="271" t="s">
        <v>2435</v>
      </c>
      <c r="AF505" s="144">
        <f t="shared" si="31"/>
        <v>43.333333333333336</v>
      </c>
      <c r="AG505" s="144" t="str">
        <f t="shared" si="35"/>
        <v/>
      </c>
      <c r="AH505" s="146">
        <f t="shared" si="33"/>
        <v>3.291666666666667</v>
      </c>
      <c r="AI505" s="146" t="str">
        <f t="shared" si="34"/>
        <v/>
      </c>
      <c r="AJ505" s="303"/>
      <c r="AK505" s="303"/>
      <c r="AL505" s="303"/>
      <c r="AM505" s="303"/>
      <c r="AN505" s="303"/>
      <c r="AO505" s="303"/>
      <c r="AP505" s="303"/>
      <c r="AQ505" s="303"/>
      <c r="AR505" s="303"/>
      <c r="AS505" s="169">
        <f>31.2/0.72</f>
        <v>43.333333333333336</v>
      </c>
      <c r="AT505" s="170"/>
      <c r="AU505" s="310"/>
      <c r="AW505" s="350"/>
      <c r="AX505" s="294"/>
      <c r="AY505" s="294"/>
      <c r="AZ505" s="294"/>
      <c r="BA505" s="294"/>
      <c r="BB505" s="294"/>
      <c r="BC505" s="294"/>
      <c r="BD505" s="294"/>
      <c r="BE505" s="294"/>
      <c r="BF505" s="382">
        <f>2.37/0.72</f>
        <v>3.291666666666667</v>
      </c>
      <c r="BG505" s="383"/>
      <c r="BH505" s="278"/>
      <c r="BI505" s="365"/>
      <c r="BJ505" s="409"/>
    </row>
    <row r="506" spans="1:62" ht="15.75" customHeight="1" thickBot="1" x14ac:dyDescent="0.25">
      <c r="A506" s="154">
        <v>505</v>
      </c>
      <c r="B506" s="155">
        <v>1</v>
      </c>
      <c r="C506" s="148" t="s">
        <v>975</v>
      </c>
      <c r="D506" s="149" t="s">
        <v>3056</v>
      </c>
      <c r="E506" s="148" t="s">
        <v>1063</v>
      </c>
      <c r="F506" s="149" t="s">
        <v>2390</v>
      </c>
      <c r="G506" s="148" t="s">
        <v>122</v>
      </c>
      <c r="H506" s="148" t="s">
        <v>1100</v>
      </c>
      <c r="I506" s="161">
        <v>2009</v>
      </c>
      <c r="J506" s="161" t="s">
        <v>1101</v>
      </c>
      <c r="K506" s="161" t="s">
        <v>1102</v>
      </c>
      <c r="L506" s="161" t="s">
        <v>19</v>
      </c>
      <c r="M506" s="453" t="s">
        <v>4196</v>
      </c>
      <c r="N506" s="186" t="s">
        <v>20</v>
      </c>
      <c r="O506" s="186" t="s">
        <v>15</v>
      </c>
      <c r="P506" s="186" t="s">
        <v>15</v>
      </c>
      <c r="Q506" s="186" t="s">
        <v>15</v>
      </c>
      <c r="R506" s="186" t="s">
        <v>15</v>
      </c>
      <c r="S506" s="186" t="s">
        <v>15</v>
      </c>
      <c r="T506" s="186" t="s">
        <v>15</v>
      </c>
      <c r="U506" s="186" t="s">
        <v>15</v>
      </c>
      <c r="V506" s="186" t="s">
        <v>15</v>
      </c>
      <c r="W506" s="186" t="s">
        <v>15</v>
      </c>
      <c r="X506" s="186" t="s">
        <v>15</v>
      </c>
      <c r="Y506" s="186" t="s">
        <v>15</v>
      </c>
      <c r="Z506" s="186"/>
      <c r="AA506" s="186" t="s">
        <v>1093</v>
      </c>
      <c r="AB506" s="186" t="s">
        <v>292</v>
      </c>
      <c r="AC506" s="186" t="s">
        <v>122</v>
      </c>
      <c r="AD506" s="271" t="s">
        <v>1103</v>
      </c>
      <c r="AE506" s="271" t="s">
        <v>2445</v>
      </c>
      <c r="AF506" s="144">
        <f t="shared" si="31"/>
        <v>37.361111111111107</v>
      </c>
      <c r="AG506" s="144" t="str">
        <f t="shared" si="35"/>
        <v/>
      </c>
      <c r="AH506" s="146">
        <f t="shared" si="33"/>
        <v>2.8791666666666669</v>
      </c>
      <c r="AI506" s="146" t="str">
        <f t="shared" si="34"/>
        <v/>
      </c>
      <c r="AJ506" s="303"/>
      <c r="AK506" s="303"/>
      <c r="AL506" s="303"/>
      <c r="AM506" s="303"/>
      <c r="AN506" s="303"/>
      <c r="AO506" s="303"/>
      <c r="AP506" s="303"/>
      <c r="AQ506" s="303"/>
      <c r="AR506" s="303"/>
      <c r="AS506" s="169">
        <f>26900/1000/0.72</f>
        <v>37.361111111111107</v>
      </c>
      <c r="AT506" s="170"/>
      <c r="AU506" s="310"/>
      <c r="AW506" s="350"/>
      <c r="AX506" s="294"/>
      <c r="AY506" s="294"/>
      <c r="AZ506" s="294"/>
      <c r="BA506" s="294"/>
      <c r="BB506" s="294"/>
      <c r="BC506" s="294"/>
      <c r="BD506" s="294"/>
      <c r="BE506" s="294"/>
      <c r="BF506" s="382">
        <f>2073/1000/0.72</f>
        <v>2.8791666666666669</v>
      </c>
      <c r="BG506" s="383"/>
      <c r="BH506" s="278"/>
      <c r="BI506" s="365"/>
      <c r="BJ506" s="409"/>
    </row>
    <row r="507" spans="1:62" ht="15.75" customHeight="1" thickBot="1" x14ac:dyDescent="0.25">
      <c r="A507" s="156">
        <v>506</v>
      </c>
      <c r="B507" s="155">
        <v>1</v>
      </c>
      <c r="C507" s="148" t="s">
        <v>975</v>
      </c>
      <c r="D507" s="149" t="s">
        <v>3056</v>
      </c>
      <c r="E507" s="148" t="s">
        <v>1063</v>
      </c>
      <c r="F507" s="149" t="s">
        <v>2391</v>
      </c>
      <c r="G507" s="148" t="s">
        <v>122</v>
      </c>
      <c r="H507" s="148" t="s">
        <v>1100</v>
      </c>
      <c r="I507" s="161">
        <v>2009</v>
      </c>
      <c r="J507" s="161" t="s">
        <v>1101</v>
      </c>
      <c r="K507" s="161" t="s">
        <v>1102</v>
      </c>
      <c r="L507" s="161" t="s">
        <v>19</v>
      </c>
      <c r="M507" s="453" t="s">
        <v>4196</v>
      </c>
      <c r="N507" s="186" t="s">
        <v>20</v>
      </c>
      <c r="O507" s="186" t="s">
        <v>15</v>
      </c>
      <c r="P507" s="186" t="s">
        <v>15</v>
      </c>
      <c r="Q507" s="186" t="s">
        <v>15</v>
      </c>
      <c r="R507" s="186" t="s">
        <v>15</v>
      </c>
      <c r="S507" s="186" t="s">
        <v>15</v>
      </c>
      <c r="T507" s="186" t="s">
        <v>15</v>
      </c>
      <c r="U507" s="186" t="s">
        <v>15</v>
      </c>
      <c r="V507" s="186" t="s">
        <v>15</v>
      </c>
      <c r="W507" s="186" t="s">
        <v>15</v>
      </c>
      <c r="X507" s="186" t="s">
        <v>15</v>
      </c>
      <c r="Y507" s="186" t="s">
        <v>15</v>
      </c>
      <c r="Z507" s="186"/>
      <c r="AA507" s="186" t="s">
        <v>1093</v>
      </c>
      <c r="AB507" s="186" t="s">
        <v>292</v>
      </c>
      <c r="AC507" s="186" t="s">
        <v>122</v>
      </c>
      <c r="AD507" s="271" t="s">
        <v>1103</v>
      </c>
      <c r="AE507" s="271" t="s">
        <v>2445</v>
      </c>
      <c r="AF507" s="144">
        <f t="shared" si="31"/>
        <v>45.55555555555555</v>
      </c>
      <c r="AG507" s="144" t="str">
        <f t="shared" si="35"/>
        <v/>
      </c>
      <c r="AH507" s="146">
        <f t="shared" si="33"/>
        <v>2.6388888888888888</v>
      </c>
      <c r="AI507" s="146" t="str">
        <f t="shared" si="34"/>
        <v/>
      </c>
      <c r="AJ507" s="303"/>
      <c r="AK507" s="303"/>
      <c r="AL507" s="303"/>
      <c r="AM507" s="303"/>
      <c r="AN507" s="303"/>
      <c r="AO507" s="303"/>
      <c r="AP507" s="303"/>
      <c r="AQ507" s="303"/>
      <c r="AR507" s="303"/>
      <c r="AS507" s="169">
        <f>32800/1000/0.72</f>
        <v>45.55555555555555</v>
      </c>
      <c r="AT507" s="170"/>
      <c r="AU507" s="310"/>
      <c r="AW507" s="350"/>
      <c r="AX507" s="294"/>
      <c r="AY507" s="294"/>
      <c r="AZ507" s="294"/>
      <c r="BA507" s="294"/>
      <c r="BB507" s="294"/>
      <c r="BC507" s="294"/>
      <c r="BD507" s="294"/>
      <c r="BE507" s="294"/>
      <c r="BF507" s="382">
        <f>1900/1000/0.72</f>
        <v>2.6388888888888888</v>
      </c>
      <c r="BG507" s="383"/>
      <c r="BH507" s="278"/>
      <c r="BI507" s="365"/>
      <c r="BJ507" s="409"/>
    </row>
    <row r="508" spans="1:62" ht="15.75" customHeight="1" thickBot="1" x14ac:dyDescent="0.25">
      <c r="A508" s="154">
        <v>507</v>
      </c>
      <c r="B508" s="155">
        <v>1</v>
      </c>
      <c r="C508" s="148" t="s">
        <v>975</v>
      </c>
      <c r="D508" s="149" t="s">
        <v>3056</v>
      </c>
      <c r="E508" s="148" t="s">
        <v>1063</v>
      </c>
      <c r="F508" s="149" t="s">
        <v>2392</v>
      </c>
      <c r="G508" s="148" t="s">
        <v>122</v>
      </c>
      <c r="H508" s="148" t="s">
        <v>1100</v>
      </c>
      <c r="I508" s="161">
        <v>2009</v>
      </c>
      <c r="J508" s="161" t="s">
        <v>1101</v>
      </c>
      <c r="K508" s="161" t="s">
        <v>1102</v>
      </c>
      <c r="L508" s="161" t="s">
        <v>19</v>
      </c>
      <c r="M508" s="453" t="s">
        <v>4196</v>
      </c>
      <c r="N508" s="186" t="s">
        <v>20</v>
      </c>
      <c r="O508" s="186" t="s">
        <v>15</v>
      </c>
      <c r="P508" s="186" t="s">
        <v>15</v>
      </c>
      <c r="Q508" s="186" t="s">
        <v>15</v>
      </c>
      <c r="R508" s="186" t="s">
        <v>15</v>
      </c>
      <c r="S508" s="186" t="s">
        <v>15</v>
      </c>
      <c r="T508" s="186" t="s">
        <v>15</v>
      </c>
      <c r="U508" s="186" t="s">
        <v>15</v>
      </c>
      <c r="V508" s="186" t="s">
        <v>15</v>
      </c>
      <c r="W508" s="186" t="s">
        <v>15</v>
      </c>
      <c r="X508" s="186" t="s">
        <v>15</v>
      </c>
      <c r="Y508" s="186" t="s">
        <v>15</v>
      </c>
      <c r="Z508" s="186"/>
      <c r="AA508" s="186" t="s">
        <v>1093</v>
      </c>
      <c r="AB508" s="186" t="s">
        <v>292</v>
      </c>
      <c r="AC508" s="186" t="s">
        <v>122</v>
      </c>
      <c r="AD508" s="271" t="s">
        <v>1103</v>
      </c>
      <c r="AE508" s="271" t="s">
        <v>2445</v>
      </c>
      <c r="AF508" s="144">
        <f t="shared" si="31"/>
        <v>135.97222222222223</v>
      </c>
      <c r="AG508" s="144" t="str">
        <f t="shared" si="35"/>
        <v/>
      </c>
      <c r="AH508" s="146">
        <f t="shared" si="33"/>
        <v>3.8472222222222223</v>
      </c>
      <c r="AI508" s="146" t="str">
        <f t="shared" si="34"/>
        <v/>
      </c>
      <c r="AJ508" s="303"/>
      <c r="AK508" s="303"/>
      <c r="AL508" s="303"/>
      <c r="AM508" s="303"/>
      <c r="AN508" s="303"/>
      <c r="AO508" s="303"/>
      <c r="AP508" s="303"/>
      <c r="AQ508" s="303"/>
      <c r="AR508" s="303"/>
      <c r="AS508" s="169">
        <f>97900/1000/0.72</f>
        <v>135.97222222222223</v>
      </c>
      <c r="AT508" s="170"/>
      <c r="AU508" s="310"/>
      <c r="AW508" s="350"/>
      <c r="AX508" s="294"/>
      <c r="AY508" s="294"/>
      <c r="AZ508" s="294"/>
      <c r="BA508" s="294"/>
      <c r="BB508" s="294"/>
      <c r="BC508" s="294"/>
      <c r="BD508" s="294"/>
      <c r="BE508" s="294"/>
      <c r="BF508" s="382">
        <f>2770/1000/0.72</f>
        <v>3.8472222222222223</v>
      </c>
      <c r="BG508" s="383"/>
      <c r="BH508" s="278"/>
      <c r="BI508" s="365"/>
      <c r="BJ508" s="409"/>
    </row>
    <row r="509" spans="1:62" ht="15.75" customHeight="1" thickBot="1" x14ac:dyDescent="0.25">
      <c r="A509" s="156">
        <v>508</v>
      </c>
      <c r="B509" s="155">
        <v>1</v>
      </c>
      <c r="C509" s="148" t="s">
        <v>975</v>
      </c>
      <c r="D509" s="149" t="s">
        <v>3056</v>
      </c>
      <c r="E509" s="148" t="s">
        <v>1063</v>
      </c>
      <c r="F509" s="149" t="s">
        <v>2393</v>
      </c>
      <c r="G509" s="148" t="s">
        <v>122</v>
      </c>
      <c r="H509" s="148" t="s">
        <v>1079</v>
      </c>
      <c r="I509" s="161">
        <v>2009</v>
      </c>
      <c r="J509" s="161" t="s">
        <v>1101</v>
      </c>
      <c r="K509" s="161" t="s">
        <v>1102</v>
      </c>
      <c r="L509" s="161" t="s">
        <v>19</v>
      </c>
      <c r="M509" s="453" t="s">
        <v>4196</v>
      </c>
      <c r="N509" s="186" t="s">
        <v>20</v>
      </c>
      <c r="O509" s="186" t="s">
        <v>15</v>
      </c>
      <c r="P509" s="186" t="s">
        <v>15</v>
      </c>
      <c r="Q509" s="186" t="s">
        <v>15</v>
      </c>
      <c r="R509" s="186" t="s">
        <v>15</v>
      </c>
      <c r="S509" s="186" t="s">
        <v>15</v>
      </c>
      <c r="T509" s="186" t="s">
        <v>15</v>
      </c>
      <c r="U509" s="186" t="s">
        <v>15</v>
      </c>
      <c r="V509" s="186" t="s">
        <v>15</v>
      </c>
      <c r="W509" s="186" t="s">
        <v>15</v>
      </c>
      <c r="X509" s="186" t="s">
        <v>15</v>
      </c>
      <c r="Y509" s="186" t="s">
        <v>15</v>
      </c>
      <c r="Z509" s="186"/>
      <c r="AA509" s="186" t="s">
        <v>1093</v>
      </c>
      <c r="AB509" s="186" t="s">
        <v>292</v>
      </c>
      <c r="AC509" s="186" t="s">
        <v>122</v>
      </c>
      <c r="AD509" s="271" t="s">
        <v>1103</v>
      </c>
      <c r="AE509" s="271" t="s">
        <v>2445</v>
      </c>
      <c r="AF509" s="144">
        <f t="shared" si="31"/>
        <v>490.27777777777777</v>
      </c>
      <c r="AG509" s="144" t="str">
        <f t="shared" si="35"/>
        <v/>
      </c>
      <c r="AH509" s="146">
        <f t="shared" si="33"/>
        <v>39.166666666666664</v>
      </c>
      <c r="AI509" s="146" t="str">
        <f t="shared" si="34"/>
        <v/>
      </c>
      <c r="AJ509" s="303"/>
      <c r="AK509" s="303"/>
      <c r="AL509" s="303"/>
      <c r="AM509" s="303"/>
      <c r="AN509" s="303"/>
      <c r="AO509" s="303"/>
      <c r="AP509" s="303"/>
      <c r="AQ509" s="303"/>
      <c r="AR509" s="303"/>
      <c r="AS509" s="169">
        <f>353000/1000/0.72</f>
        <v>490.27777777777777</v>
      </c>
      <c r="AT509" s="170"/>
      <c r="AU509" s="310"/>
      <c r="AW509" s="350"/>
      <c r="AX509" s="294"/>
      <c r="AY509" s="294"/>
      <c r="AZ509" s="294"/>
      <c r="BA509" s="294"/>
      <c r="BB509" s="294"/>
      <c r="BC509" s="294"/>
      <c r="BD509" s="294"/>
      <c r="BE509" s="294"/>
      <c r="BF509" s="382">
        <f>28200/1000/0.72</f>
        <v>39.166666666666664</v>
      </c>
      <c r="BG509" s="383"/>
      <c r="BH509" s="278"/>
      <c r="BI509" s="365"/>
      <c r="BJ509" s="409"/>
    </row>
    <row r="510" spans="1:62" ht="15.75" customHeight="1" thickBot="1" x14ac:dyDescent="0.25">
      <c r="A510" s="154">
        <v>509</v>
      </c>
      <c r="B510" s="155">
        <v>1</v>
      </c>
      <c r="C510" s="148" t="s">
        <v>975</v>
      </c>
      <c r="D510" s="149" t="s">
        <v>3055</v>
      </c>
      <c r="E510" s="148" t="s">
        <v>1068</v>
      </c>
      <c r="F510" s="149" t="s">
        <v>2394</v>
      </c>
      <c r="G510" s="148"/>
      <c r="H510" s="148" t="s">
        <v>1104</v>
      </c>
      <c r="I510" s="161">
        <v>2010</v>
      </c>
      <c r="J510" s="161" t="s">
        <v>1105</v>
      </c>
      <c r="K510" s="161" t="s">
        <v>1106</v>
      </c>
      <c r="L510" s="161" t="s">
        <v>19</v>
      </c>
      <c r="M510" s="453" t="s">
        <v>4197</v>
      </c>
      <c r="N510" s="186" t="s">
        <v>20</v>
      </c>
      <c r="O510" s="186" t="s">
        <v>15</v>
      </c>
      <c r="P510" s="186" t="s">
        <v>20</v>
      </c>
      <c r="Q510" s="186" t="s">
        <v>20</v>
      </c>
      <c r="R510" s="186" t="s">
        <v>20</v>
      </c>
      <c r="S510" s="186" t="s">
        <v>20</v>
      </c>
      <c r="T510" s="186" t="s">
        <v>15</v>
      </c>
      <c r="U510" s="186" t="s">
        <v>15</v>
      </c>
      <c r="V510" s="186" t="s">
        <v>15</v>
      </c>
      <c r="W510" s="186" t="s">
        <v>15</v>
      </c>
      <c r="X510" s="186" t="s">
        <v>15</v>
      </c>
      <c r="Y510" s="186" t="s">
        <v>15</v>
      </c>
      <c r="Z510" s="186"/>
      <c r="AA510" s="186" t="s">
        <v>1107</v>
      </c>
      <c r="AB510" s="186" t="s">
        <v>292</v>
      </c>
      <c r="AC510" s="186" t="s">
        <v>122</v>
      </c>
      <c r="AD510" s="268" t="s">
        <v>1108</v>
      </c>
      <c r="AE510" s="268" t="s">
        <v>485</v>
      </c>
      <c r="AF510" s="144">
        <f t="shared" si="31"/>
        <v>22.35</v>
      </c>
      <c r="AG510" s="144">
        <f t="shared" si="35"/>
        <v>26.700000000000003</v>
      </c>
      <c r="AH510" s="146">
        <f t="shared" si="33"/>
        <v>1.5708</v>
      </c>
      <c r="AI510" s="146">
        <f t="shared" si="34"/>
        <v>1.9788000000000001</v>
      </c>
      <c r="AJ510" s="303">
        <v>22.35</v>
      </c>
      <c r="AK510" s="303"/>
      <c r="AL510" s="303">
        <v>4.3499999999999996</v>
      </c>
      <c r="AM510" s="303">
        <v>0</v>
      </c>
      <c r="AN510" s="303">
        <v>3.5329999999999999</v>
      </c>
      <c r="AO510" s="303"/>
      <c r="AP510" s="303"/>
      <c r="AQ510" s="303"/>
      <c r="AR510" s="303"/>
      <c r="AS510" s="170">
        <f>(18.2+26.5)/2</f>
        <v>22.35</v>
      </c>
      <c r="AT510" s="170">
        <v>30.3</v>
      </c>
      <c r="AU510" s="310"/>
      <c r="AW510" s="294">
        <v>1.5708</v>
      </c>
      <c r="AX510" s="294"/>
      <c r="AY510" s="294">
        <v>0.40800000000000003</v>
      </c>
      <c r="AZ510" s="294">
        <v>6.1199999999999997E-2</v>
      </c>
      <c r="BA510" s="294">
        <v>0.25190000000000001</v>
      </c>
      <c r="BB510" s="294"/>
      <c r="BC510" s="294"/>
      <c r="BD510" s="294"/>
      <c r="BE510" s="294"/>
      <c r="BF510" s="383">
        <f>AW510</f>
        <v>1.5708</v>
      </c>
      <c r="BG510" s="383">
        <v>2.29</v>
      </c>
      <c r="BH510" s="278"/>
      <c r="BI510" s="365"/>
      <c r="BJ510" s="409"/>
    </row>
    <row r="511" spans="1:62" ht="15.75" customHeight="1" thickBot="1" x14ac:dyDescent="0.25">
      <c r="A511" s="156">
        <v>510</v>
      </c>
      <c r="B511" s="155">
        <v>1</v>
      </c>
      <c r="C511" s="148" t="s">
        <v>975</v>
      </c>
      <c r="D511" s="149" t="s">
        <v>3055</v>
      </c>
      <c r="E511" s="148" t="s">
        <v>1068</v>
      </c>
      <c r="F511" s="149" t="s">
        <v>2395</v>
      </c>
      <c r="G511" s="148"/>
      <c r="H511" s="148" t="s">
        <v>1104</v>
      </c>
      <c r="I511" s="161">
        <v>2010</v>
      </c>
      <c r="J511" s="161" t="s">
        <v>1105</v>
      </c>
      <c r="K511" s="161" t="s">
        <v>1106</v>
      </c>
      <c r="L511" s="161" t="s">
        <v>19</v>
      </c>
      <c r="M511" s="453" t="s">
        <v>4197</v>
      </c>
      <c r="N511" s="186" t="s">
        <v>20</v>
      </c>
      <c r="O511" s="186" t="s">
        <v>15</v>
      </c>
      <c r="P511" s="186" t="s">
        <v>20</v>
      </c>
      <c r="Q511" s="186" t="s">
        <v>20</v>
      </c>
      <c r="R511" s="186" t="s">
        <v>20</v>
      </c>
      <c r="S511" s="186" t="s">
        <v>20</v>
      </c>
      <c r="T511" s="186" t="s">
        <v>15</v>
      </c>
      <c r="U511" s="186" t="s">
        <v>15</v>
      </c>
      <c r="V511" s="186" t="s">
        <v>15</v>
      </c>
      <c r="W511" s="186" t="s">
        <v>15</v>
      </c>
      <c r="X511" s="186" t="s">
        <v>15</v>
      </c>
      <c r="Y511" s="186" t="s">
        <v>15</v>
      </c>
      <c r="Z511" s="186"/>
      <c r="AA511" s="186" t="s">
        <v>1107</v>
      </c>
      <c r="AB511" s="186" t="s">
        <v>292</v>
      </c>
      <c r="AC511" s="186" t="s">
        <v>122</v>
      </c>
      <c r="AD511" s="268" t="s">
        <v>1109</v>
      </c>
      <c r="AE511" s="268" t="s">
        <v>485</v>
      </c>
      <c r="AF511" s="144">
        <f t="shared" si="31"/>
        <v>22.35</v>
      </c>
      <c r="AG511" s="144">
        <f t="shared" si="35"/>
        <v>23.878999999999998</v>
      </c>
      <c r="AH511" s="146">
        <f t="shared" si="33"/>
        <v>1.5708</v>
      </c>
      <c r="AI511" s="146">
        <f t="shared" si="34"/>
        <v>1.9788000000000001</v>
      </c>
      <c r="AJ511" s="303">
        <v>22.15</v>
      </c>
      <c r="AK511" s="303"/>
      <c r="AL511" s="303">
        <v>1.7290000000000001</v>
      </c>
      <c r="AM511" s="303">
        <v>2.1210000000000004</v>
      </c>
      <c r="AN511" s="303">
        <v>3.2230000000000003</v>
      </c>
      <c r="AO511" s="303"/>
      <c r="AP511" s="303"/>
      <c r="AQ511" s="303"/>
      <c r="AR511" s="303"/>
      <c r="AS511" s="170">
        <f>(18.2+26.5)/2</f>
        <v>22.35</v>
      </c>
      <c r="AT511" s="170">
        <v>29.3</v>
      </c>
      <c r="AU511" s="310"/>
      <c r="AW511" s="294">
        <v>1.5708</v>
      </c>
      <c r="AX511" s="294"/>
      <c r="AY511" s="294">
        <v>0.40800000000000003</v>
      </c>
      <c r="AZ511" s="294">
        <v>6.1199999999999997E-2</v>
      </c>
      <c r="BA511" s="294">
        <v>0.17982000000000004</v>
      </c>
      <c r="BB511" s="294"/>
      <c r="BC511" s="294"/>
      <c r="BD511" s="294"/>
      <c r="BE511" s="294"/>
      <c r="BF511" s="383">
        <f>AW511</f>
        <v>1.5708</v>
      </c>
      <c r="BG511" s="383">
        <v>2.2200000000000002</v>
      </c>
      <c r="BH511" s="278"/>
      <c r="BI511" s="365"/>
      <c r="BJ511" s="409"/>
    </row>
    <row r="512" spans="1:62" ht="15.75" customHeight="1" thickBot="1" x14ac:dyDescent="0.25">
      <c r="A512" s="154">
        <v>511</v>
      </c>
      <c r="B512" s="155">
        <v>1</v>
      </c>
      <c r="C512" s="148" t="s">
        <v>1110</v>
      </c>
      <c r="D512" s="148" t="s">
        <v>2198</v>
      </c>
      <c r="E512" s="148" t="s">
        <v>13</v>
      </c>
      <c r="F512" s="148" t="s">
        <v>1111</v>
      </c>
      <c r="G512" s="148" t="s">
        <v>15</v>
      </c>
      <c r="H512" s="148" t="s">
        <v>80</v>
      </c>
      <c r="I512" s="161">
        <v>2011</v>
      </c>
      <c r="J512" s="161" t="s">
        <v>1112</v>
      </c>
      <c r="K512" s="161" t="s">
        <v>1113</v>
      </c>
      <c r="L512" s="161" t="s">
        <v>274</v>
      </c>
      <c r="M512" s="453" t="s">
        <v>4198</v>
      </c>
      <c r="N512" s="186" t="s">
        <v>20</v>
      </c>
      <c r="O512" s="186" t="s">
        <v>15</v>
      </c>
      <c r="P512" s="186" t="s">
        <v>20</v>
      </c>
      <c r="Q512" s="186" t="s">
        <v>20</v>
      </c>
      <c r="R512" s="186" t="s">
        <v>20</v>
      </c>
      <c r="S512" s="186" t="s">
        <v>20</v>
      </c>
      <c r="T512" s="186" t="s">
        <v>15</v>
      </c>
      <c r="U512" s="186" t="s">
        <v>15</v>
      </c>
      <c r="V512" s="186" t="s">
        <v>15</v>
      </c>
      <c r="W512" s="186" t="s">
        <v>15</v>
      </c>
      <c r="X512" s="186" t="s">
        <v>15</v>
      </c>
      <c r="Y512" s="186" t="s">
        <v>15</v>
      </c>
      <c r="Z512" s="186"/>
      <c r="AA512" s="186" t="s">
        <v>1114</v>
      </c>
      <c r="AB512" s="186" t="s">
        <v>292</v>
      </c>
      <c r="AC512" s="186" t="s">
        <v>292</v>
      </c>
      <c r="AD512" s="268" t="s">
        <v>1115</v>
      </c>
      <c r="AE512" s="268" t="s">
        <v>1116</v>
      </c>
      <c r="AF512" s="144">
        <f t="shared" si="31"/>
        <v>5.5</v>
      </c>
      <c r="AG512" s="144">
        <f t="shared" si="35"/>
        <v>19.75</v>
      </c>
      <c r="AH512" s="146">
        <f t="shared" si="33"/>
        <v>1</v>
      </c>
      <c r="AI512" s="146">
        <f t="shared" si="34"/>
        <v>1.9849999999999999</v>
      </c>
      <c r="AJ512" s="303">
        <f>1.1/0.2</f>
        <v>5.5</v>
      </c>
      <c r="AK512" s="303">
        <f>0.45/0.2</f>
        <v>2.25</v>
      </c>
      <c r="AL512" s="303">
        <f>2.4/0.2</f>
        <v>11.999999999999998</v>
      </c>
      <c r="AM512" s="303">
        <f>0.6/0.2</f>
        <v>2.9999999999999996</v>
      </c>
      <c r="AN512" s="303"/>
      <c r="AO512" s="303"/>
      <c r="AP512" s="303"/>
      <c r="AQ512" s="303"/>
      <c r="AR512" s="303"/>
      <c r="AS512" s="170">
        <f>AJ512</f>
        <v>5.5</v>
      </c>
      <c r="AT512" s="169">
        <f>SUM(AJ512:AR512)</f>
        <v>22.75</v>
      </c>
      <c r="AU512" s="310"/>
      <c r="AV512" s="313" t="s">
        <v>3308</v>
      </c>
      <c r="AW512" s="294">
        <f>0.2/0.2</f>
        <v>1</v>
      </c>
      <c r="AX512" s="294">
        <f>0.027/0.2</f>
        <v>0.13499999999999998</v>
      </c>
      <c r="AY512" s="294">
        <f>0.17/0.2</f>
        <v>0.85</v>
      </c>
      <c r="AZ512" s="294">
        <f>0.034/0.2</f>
        <v>0.17</v>
      </c>
      <c r="BA512" s="294"/>
      <c r="BB512" s="294"/>
      <c r="BC512" s="294"/>
      <c r="BD512" s="294"/>
      <c r="BE512" s="294"/>
      <c r="BF512" s="383">
        <f>AW512</f>
        <v>1</v>
      </c>
      <c r="BG512" s="382">
        <f>SUM(AW512:BE512)</f>
        <v>2.1549999999999998</v>
      </c>
      <c r="BH512" s="278"/>
      <c r="BI512" s="365"/>
      <c r="BJ512" s="409"/>
    </row>
    <row r="513" spans="1:62" ht="15.75" customHeight="1" thickBot="1" x14ac:dyDescent="0.25">
      <c r="A513" s="156">
        <v>512</v>
      </c>
      <c r="B513" s="155">
        <v>1</v>
      </c>
      <c r="C513" s="148" t="s">
        <v>1110</v>
      </c>
      <c r="D513" s="148" t="s">
        <v>1117</v>
      </c>
      <c r="E513" s="148" t="s">
        <v>13</v>
      </c>
      <c r="F513" s="148" t="s">
        <v>1118</v>
      </c>
      <c r="G513" s="148" t="s">
        <v>15</v>
      </c>
      <c r="H513" s="148" t="s">
        <v>80</v>
      </c>
      <c r="I513" s="161">
        <v>2011</v>
      </c>
      <c r="J513" s="161" t="s">
        <v>1112</v>
      </c>
      <c r="K513" s="161" t="s">
        <v>1113</v>
      </c>
      <c r="L513" s="161" t="s">
        <v>274</v>
      </c>
      <c r="M513" s="453" t="s">
        <v>4198</v>
      </c>
      <c r="N513" s="186" t="s">
        <v>20</v>
      </c>
      <c r="O513" s="186" t="s">
        <v>15</v>
      </c>
      <c r="P513" s="186" t="s">
        <v>20</v>
      </c>
      <c r="Q513" s="186" t="s">
        <v>20</v>
      </c>
      <c r="R513" s="186" t="s">
        <v>20</v>
      </c>
      <c r="S513" s="186" t="s">
        <v>20</v>
      </c>
      <c r="T513" s="186" t="s">
        <v>15</v>
      </c>
      <c r="U513" s="186" t="s">
        <v>15</v>
      </c>
      <c r="V513" s="186" t="s">
        <v>15</v>
      </c>
      <c r="W513" s="186" t="s">
        <v>15</v>
      </c>
      <c r="X513" s="186" t="s">
        <v>15</v>
      </c>
      <c r="Y513" s="186" t="s">
        <v>15</v>
      </c>
      <c r="Z513" s="186"/>
      <c r="AA513" s="186" t="s">
        <v>1114</v>
      </c>
      <c r="AB513" s="186" t="s">
        <v>292</v>
      </c>
      <c r="AC513" s="186" t="s">
        <v>292</v>
      </c>
      <c r="AD513" s="268" t="s">
        <v>1119</v>
      </c>
      <c r="AE513" s="268" t="s">
        <v>1120</v>
      </c>
      <c r="AF513" s="144" t="str">
        <f t="shared" si="31"/>
        <v/>
      </c>
      <c r="AG513" s="144" t="str">
        <f t="shared" si="35"/>
        <v/>
      </c>
      <c r="AH513" s="146" t="str">
        <f t="shared" si="33"/>
        <v/>
      </c>
      <c r="AI513" s="146" t="str">
        <f t="shared" si="34"/>
        <v/>
      </c>
      <c r="AJ513" s="303"/>
      <c r="AK513" s="303"/>
      <c r="AL513" s="303"/>
      <c r="AM513" s="303"/>
      <c r="AN513" s="303"/>
      <c r="AO513" s="303"/>
      <c r="AP513" s="303"/>
      <c r="AQ513" s="303"/>
      <c r="AR513" s="303"/>
      <c r="AS513" s="170"/>
      <c r="AT513" s="169">
        <f>7.3*8</f>
        <v>58.4</v>
      </c>
      <c r="AU513" s="310"/>
      <c r="AW513" s="294"/>
      <c r="AX513" s="294"/>
      <c r="AY513" s="294"/>
      <c r="AZ513" s="294"/>
      <c r="BA513" s="294"/>
      <c r="BB513" s="294"/>
      <c r="BC513" s="294"/>
      <c r="BD513" s="294"/>
      <c r="BE513" s="294"/>
      <c r="BF513" s="383"/>
      <c r="BG513" s="382">
        <f>0.48*8</f>
        <v>3.84</v>
      </c>
      <c r="BH513" s="278"/>
      <c r="BI513" s="365"/>
      <c r="BJ513" s="409"/>
    </row>
    <row r="514" spans="1:62" ht="15.75" customHeight="1" thickBot="1" x14ac:dyDescent="0.25">
      <c r="A514" s="154">
        <v>513</v>
      </c>
      <c r="B514" s="155">
        <v>1</v>
      </c>
      <c r="C514" s="148" t="s">
        <v>1110</v>
      </c>
      <c r="D514" s="148" t="s">
        <v>1117</v>
      </c>
      <c r="E514" s="148" t="s">
        <v>13</v>
      </c>
      <c r="F514" s="148" t="s">
        <v>1121</v>
      </c>
      <c r="G514" s="148" t="s">
        <v>15</v>
      </c>
      <c r="H514" s="148" t="s">
        <v>80</v>
      </c>
      <c r="I514" s="161">
        <v>2011</v>
      </c>
      <c r="J514" s="161" t="s">
        <v>1112</v>
      </c>
      <c r="K514" s="161" t="s">
        <v>1113</v>
      </c>
      <c r="L514" s="161" t="s">
        <v>274</v>
      </c>
      <c r="M514" s="453" t="s">
        <v>4198</v>
      </c>
      <c r="N514" s="186" t="s">
        <v>20</v>
      </c>
      <c r="O514" s="186" t="s">
        <v>15</v>
      </c>
      <c r="P514" s="186" t="s">
        <v>20</v>
      </c>
      <c r="Q514" s="186" t="s">
        <v>20</v>
      </c>
      <c r="R514" s="186" t="s">
        <v>20</v>
      </c>
      <c r="S514" s="186" t="s">
        <v>20</v>
      </c>
      <c r="T514" s="186" t="s">
        <v>15</v>
      </c>
      <c r="U514" s="186" t="s">
        <v>15</v>
      </c>
      <c r="V514" s="186" t="s">
        <v>15</v>
      </c>
      <c r="W514" s="186" t="s">
        <v>15</v>
      </c>
      <c r="X514" s="186" t="s">
        <v>15</v>
      </c>
      <c r="Y514" s="186" t="s">
        <v>15</v>
      </c>
      <c r="Z514" s="186"/>
      <c r="AA514" s="186" t="s">
        <v>1122</v>
      </c>
      <c r="AB514" s="186" t="s">
        <v>292</v>
      </c>
      <c r="AC514" s="186" t="s">
        <v>292</v>
      </c>
      <c r="AD514" s="268" t="s">
        <v>1123</v>
      </c>
      <c r="AE514" s="268" t="s">
        <v>1124</v>
      </c>
      <c r="AF514" s="144" t="str">
        <f t="shared" ref="AF514:AF577" si="36">IF(AS514&lt;&gt;0,AS514,"")</f>
        <v/>
      </c>
      <c r="AG514" s="144" t="str">
        <f t="shared" si="35"/>
        <v/>
      </c>
      <c r="AH514" s="146" t="str">
        <f t="shared" ref="AH514:AH577" si="37">IF(BF514&lt;&gt;0,BF514,"")</f>
        <v/>
      </c>
      <c r="AI514" s="146" t="str">
        <f t="shared" ref="AI514:AI577" si="38">IF(AND(SUM(AW514:AY514)&lt;&gt;0,SUM(AW514:AY514)&lt;&gt;AW514),SUM(AW514:AY514),"")</f>
        <v/>
      </c>
      <c r="AJ514" s="303"/>
      <c r="AK514" s="303"/>
      <c r="AL514" s="303"/>
      <c r="AM514" s="303"/>
      <c r="AN514" s="303"/>
      <c r="AO514" s="303"/>
      <c r="AP514" s="303"/>
      <c r="AQ514" s="303"/>
      <c r="AR514" s="303"/>
      <c r="AS514" s="170"/>
      <c r="AT514" s="169">
        <f>68/2</f>
        <v>34</v>
      </c>
      <c r="AU514" s="310"/>
      <c r="AW514" s="294"/>
      <c r="AX514" s="294"/>
      <c r="AY514" s="294"/>
      <c r="AZ514" s="294"/>
      <c r="BA514" s="294"/>
      <c r="BB514" s="294"/>
      <c r="BC514" s="294"/>
      <c r="BD514" s="294"/>
      <c r="BE514" s="294"/>
      <c r="BF514" s="383"/>
      <c r="BG514" s="382">
        <f>4.8/2</f>
        <v>2.4</v>
      </c>
      <c r="BH514" s="278"/>
      <c r="BI514" s="365"/>
      <c r="BJ514" s="409"/>
    </row>
    <row r="515" spans="1:62" ht="15.75" customHeight="1" thickBot="1" x14ac:dyDescent="0.25">
      <c r="A515" s="156">
        <v>514</v>
      </c>
      <c r="B515" s="155">
        <v>1</v>
      </c>
      <c r="C515" s="148" t="s">
        <v>596</v>
      </c>
      <c r="D515" s="148" t="s">
        <v>1043</v>
      </c>
      <c r="E515" s="148" t="s">
        <v>13</v>
      </c>
      <c r="F515" s="148" t="s">
        <v>1125</v>
      </c>
      <c r="G515" s="148" t="s">
        <v>15</v>
      </c>
      <c r="H515" s="148" t="s">
        <v>80</v>
      </c>
      <c r="I515" s="161">
        <v>2011</v>
      </c>
      <c r="J515" s="161" t="s">
        <v>1112</v>
      </c>
      <c r="K515" s="161" t="s">
        <v>1113</v>
      </c>
      <c r="L515" s="161" t="s">
        <v>274</v>
      </c>
      <c r="M515" s="453" t="s">
        <v>4198</v>
      </c>
      <c r="N515" s="186" t="s">
        <v>20</v>
      </c>
      <c r="O515" s="186" t="s">
        <v>15</v>
      </c>
      <c r="P515" s="186" t="s">
        <v>20</v>
      </c>
      <c r="Q515" s="186" t="s">
        <v>20</v>
      </c>
      <c r="R515" s="186" t="s">
        <v>20</v>
      </c>
      <c r="S515" s="186" t="s">
        <v>20</v>
      </c>
      <c r="T515" s="186" t="s">
        <v>15</v>
      </c>
      <c r="U515" s="186" t="s">
        <v>15</v>
      </c>
      <c r="V515" s="186" t="s">
        <v>15</v>
      </c>
      <c r="W515" s="186" t="s">
        <v>15</v>
      </c>
      <c r="X515" s="186" t="s">
        <v>15</v>
      </c>
      <c r="Y515" s="186" t="s">
        <v>15</v>
      </c>
      <c r="Z515" s="186"/>
      <c r="AA515" s="186" t="s">
        <v>1114</v>
      </c>
      <c r="AB515" s="186" t="s">
        <v>292</v>
      </c>
      <c r="AC515" s="186" t="s">
        <v>292</v>
      </c>
      <c r="AD515" s="268" t="s">
        <v>1126</v>
      </c>
      <c r="AE515" s="268" t="s">
        <v>1127</v>
      </c>
      <c r="AF515" s="144" t="str">
        <f t="shared" si="36"/>
        <v/>
      </c>
      <c r="AG515" s="144" t="str">
        <f t="shared" si="35"/>
        <v/>
      </c>
      <c r="AH515" s="146" t="str">
        <f t="shared" si="37"/>
        <v/>
      </c>
      <c r="AI515" s="146" t="str">
        <f t="shared" si="38"/>
        <v/>
      </c>
      <c r="AJ515" s="303"/>
      <c r="AK515" s="303"/>
      <c r="AL515" s="303"/>
      <c r="AM515" s="303"/>
      <c r="AN515" s="303"/>
      <c r="AO515" s="303"/>
      <c r="AP515" s="303"/>
      <c r="AQ515" s="303"/>
      <c r="AR515" s="303"/>
      <c r="AS515" s="170"/>
      <c r="AT515" s="169">
        <f>0.59/33*100/1.042</f>
        <v>1.7158145756994125</v>
      </c>
      <c r="AU515" s="310"/>
      <c r="AW515" s="294"/>
      <c r="AX515" s="294"/>
      <c r="AY515" s="294"/>
      <c r="AZ515" s="294"/>
      <c r="BA515" s="294"/>
      <c r="BB515" s="294"/>
      <c r="BC515" s="294"/>
      <c r="BD515" s="294"/>
      <c r="BE515" s="294"/>
      <c r="BF515" s="383"/>
      <c r="BG515" s="382">
        <f>0.04/33*100/1.042</f>
        <v>0.11632641191182458</v>
      </c>
      <c r="BH515" s="278"/>
      <c r="BI515" s="365"/>
      <c r="BJ515" s="409"/>
    </row>
    <row r="516" spans="1:62" ht="15.75" customHeight="1" x14ac:dyDescent="0.2">
      <c r="A516" s="154">
        <v>515</v>
      </c>
      <c r="B516" s="155">
        <v>1</v>
      </c>
      <c r="C516" s="148" t="s">
        <v>1110</v>
      </c>
      <c r="D516" s="148" t="s">
        <v>3051</v>
      </c>
      <c r="E516" s="148" t="s">
        <v>13</v>
      </c>
      <c r="F516" s="148" t="s">
        <v>1128</v>
      </c>
      <c r="G516" s="148" t="s">
        <v>20</v>
      </c>
      <c r="H516" s="148" t="s">
        <v>1104</v>
      </c>
      <c r="I516" s="161">
        <v>2015</v>
      </c>
      <c r="J516" s="161" t="s">
        <v>1129</v>
      </c>
      <c r="K516" s="161" t="s">
        <v>1130</v>
      </c>
      <c r="L516" s="161" t="s">
        <v>19</v>
      </c>
      <c r="M516" s="454" t="s">
        <v>4416</v>
      </c>
      <c r="N516" s="186" t="s">
        <v>20</v>
      </c>
      <c r="O516" s="186" t="s">
        <v>15</v>
      </c>
      <c r="P516" s="186" t="s">
        <v>20</v>
      </c>
      <c r="Q516" s="186" t="s">
        <v>20</v>
      </c>
      <c r="R516" s="186" t="s">
        <v>15</v>
      </c>
      <c r="S516" s="186" t="s">
        <v>15</v>
      </c>
      <c r="T516" s="186" t="s">
        <v>15</v>
      </c>
      <c r="U516" s="186" t="s">
        <v>15</v>
      </c>
      <c r="V516" s="186" t="s">
        <v>15</v>
      </c>
      <c r="W516" s="186" t="s">
        <v>15</v>
      </c>
      <c r="X516" s="186" t="s">
        <v>15</v>
      </c>
      <c r="Y516" s="186" t="s">
        <v>15</v>
      </c>
      <c r="Z516" s="186"/>
      <c r="AA516" s="186" t="s">
        <v>1131</v>
      </c>
      <c r="AB516" s="186" t="s">
        <v>15</v>
      </c>
      <c r="AC516" s="186" t="s">
        <v>15</v>
      </c>
      <c r="AD516" s="268" t="s">
        <v>1132</v>
      </c>
      <c r="AE516" s="268" t="s">
        <v>604</v>
      </c>
      <c r="AF516" s="144" t="str">
        <f t="shared" si="36"/>
        <v/>
      </c>
      <c r="AG516" s="144" t="str">
        <f t="shared" si="35"/>
        <v/>
      </c>
      <c r="AH516" s="146">
        <f t="shared" si="37"/>
        <v>7.0599999999999996E-2</v>
      </c>
      <c r="AI516" s="146" t="str">
        <f t="shared" si="38"/>
        <v/>
      </c>
      <c r="AJ516" s="303"/>
      <c r="AK516" s="303"/>
      <c r="AL516" s="303"/>
      <c r="AM516" s="303"/>
      <c r="AN516" s="303"/>
      <c r="AO516" s="303"/>
      <c r="AP516" s="303"/>
      <c r="AQ516" s="303"/>
      <c r="AR516" s="303"/>
      <c r="AS516" s="170"/>
      <c r="AT516" s="170"/>
      <c r="AU516" s="310"/>
      <c r="AW516" s="294"/>
      <c r="AX516" s="294"/>
      <c r="AY516" s="294"/>
      <c r="AZ516" s="294"/>
      <c r="BA516" s="294"/>
      <c r="BB516" s="294"/>
      <c r="BC516" s="294"/>
      <c r="BD516" s="294"/>
      <c r="BE516" s="294"/>
      <c r="BF516" s="382">
        <f>70.6/1000</f>
        <v>7.0599999999999996E-2</v>
      </c>
      <c r="BG516" s="383"/>
      <c r="BH516" s="278"/>
      <c r="BI516" s="365"/>
      <c r="BJ516" s="409"/>
    </row>
    <row r="517" spans="1:62" ht="15.75" customHeight="1" x14ac:dyDescent="0.2">
      <c r="A517" s="156">
        <v>516</v>
      </c>
      <c r="B517" s="155">
        <v>1</v>
      </c>
      <c r="C517" s="148" t="s">
        <v>1110</v>
      </c>
      <c r="D517" s="148" t="s">
        <v>3051</v>
      </c>
      <c r="E517" s="148" t="s">
        <v>13</v>
      </c>
      <c r="F517" s="148" t="s">
        <v>1133</v>
      </c>
      <c r="G517" s="148" t="s">
        <v>20</v>
      </c>
      <c r="H517" s="148" t="s">
        <v>1104</v>
      </c>
      <c r="I517" s="161">
        <v>2015</v>
      </c>
      <c r="J517" s="161" t="s">
        <v>1129</v>
      </c>
      <c r="K517" s="161" t="s">
        <v>1130</v>
      </c>
      <c r="L517" s="161" t="s">
        <v>19</v>
      </c>
      <c r="M517" s="454" t="s">
        <v>4416</v>
      </c>
      <c r="N517" s="186" t="s">
        <v>20</v>
      </c>
      <c r="O517" s="186" t="s">
        <v>15</v>
      </c>
      <c r="P517" s="186" t="s">
        <v>20</v>
      </c>
      <c r="Q517" s="186" t="s">
        <v>20</v>
      </c>
      <c r="R517" s="186" t="s">
        <v>15</v>
      </c>
      <c r="S517" s="186" t="s">
        <v>15</v>
      </c>
      <c r="T517" s="186" t="s">
        <v>15</v>
      </c>
      <c r="U517" s="186" t="s">
        <v>15</v>
      </c>
      <c r="V517" s="186" t="s">
        <v>15</v>
      </c>
      <c r="W517" s="186" t="s">
        <v>15</v>
      </c>
      <c r="X517" s="186" t="s">
        <v>15</v>
      </c>
      <c r="Y517" s="186" t="s">
        <v>15</v>
      </c>
      <c r="Z517" s="186"/>
      <c r="AA517" s="186" t="s">
        <v>1131</v>
      </c>
      <c r="AB517" s="186" t="s">
        <v>15</v>
      </c>
      <c r="AC517" s="186" t="s">
        <v>15</v>
      </c>
      <c r="AD517" s="268" t="s">
        <v>1132</v>
      </c>
      <c r="AE517" s="268" t="s">
        <v>604</v>
      </c>
      <c r="AF517" s="144" t="str">
        <f t="shared" si="36"/>
        <v/>
      </c>
      <c r="AG517" s="144" t="str">
        <f t="shared" si="35"/>
        <v/>
      </c>
      <c r="AH517" s="146">
        <f t="shared" si="37"/>
        <v>7.6499999999999999E-2</v>
      </c>
      <c r="AI517" s="146" t="str">
        <f t="shared" si="38"/>
        <v/>
      </c>
      <c r="AJ517" s="303"/>
      <c r="AK517" s="303"/>
      <c r="AL517" s="303"/>
      <c r="AM517" s="303"/>
      <c r="AN517" s="303"/>
      <c r="AO517" s="303"/>
      <c r="AP517" s="303"/>
      <c r="AQ517" s="303"/>
      <c r="AR517" s="303"/>
      <c r="AS517" s="170"/>
      <c r="AT517" s="170"/>
      <c r="AU517" s="310"/>
      <c r="AW517" s="294"/>
      <c r="AX517" s="294"/>
      <c r="AY517" s="294"/>
      <c r="AZ517" s="294"/>
      <c r="BA517" s="294"/>
      <c r="BB517" s="294"/>
      <c r="BC517" s="294"/>
      <c r="BD517" s="294"/>
      <c r="BE517" s="294"/>
      <c r="BF517" s="382">
        <f>76.5/1000</f>
        <v>7.6499999999999999E-2</v>
      </c>
      <c r="BG517" s="383"/>
      <c r="BH517" s="278"/>
      <c r="BI517" s="365"/>
      <c r="BJ517" s="409"/>
    </row>
    <row r="518" spans="1:62" ht="15.75" customHeight="1" x14ac:dyDescent="0.2">
      <c r="A518" s="154">
        <v>517</v>
      </c>
      <c r="B518" s="155">
        <v>1</v>
      </c>
      <c r="C518" s="148" t="s">
        <v>1110</v>
      </c>
      <c r="D518" s="148" t="s">
        <v>3051</v>
      </c>
      <c r="E518" s="148" t="s">
        <v>13</v>
      </c>
      <c r="F518" s="148" t="s">
        <v>1134</v>
      </c>
      <c r="G518" s="148" t="s">
        <v>20</v>
      </c>
      <c r="H518" s="148" t="s">
        <v>1104</v>
      </c>
      <c r="I518" s="161">
        <v>2015</v>
      </c>
      <c r="J518" s="161" t="s">
        <v>1129</v>
      </c>
      <c r="K518" s="161" t="s">
        <v>1130</v>
      </c>
      <c r="L518" s="161" t="s">
        <v>19</v>
      </c>
      <c r="M518" s="454" t="s">
        <v>4416</v>
      </c>
      <c r="N518" s="186" t="s">
        <v>20</v>
      </c>
      <c r="O518" s="186" t="s">
        <v>15</v>
      </c>
      <c r="P518" s="186" t="s">
        <v>20</v>
      </c>
      <c r="Q518" s="186" t="s">
        <v>20</v>
      </c>
      <c r="R518" s="186" t="s">
        <v>15</v>
      </c>
      <c r="S518" s="186" t="s">
        <v>15</v>
      </c>
      <c r="T518" s="186" t="s">
        <v>15</v>
      </c>
      <c r="U518" s="186" t="s">
        <v>15</v>
      </c>
      <c r="V518" s="186" t="s">
        <v>15</v>
      </c>
      <c r="W518" s="186" t="s">
        <v>15</v>
      </c>
      <c r="X518" s="186" t="s">
        <v>15</v>
      </c>
      <c r="Y518" s="186" t="s">
        <v>15</v>
      </c>
      <c r="Z518" s="186"/>
      <c r="AA518" s="186" t="s">
        <v>1131</v>
      </c>
      <c r="AB518" s="186" t="s">
        <v>15</v>
      </c>
      <c r="AC518" s="186" t="s">
        <v>15</v>
      </c>
      <c r="AD518" s="268" t="s">
        <v>1132</v>
      </c>
      <c r="AE518" s="268" t="s">
        <v>604</v>
      </c>
      <c r="AF518" s="144" t="str">
        <f t="shared" si="36"/>
        <v/>
      </c>
      <c r="AG518" s="144" t="str">
        <f t="shared" si="35"/>
        <v/>
      </c>
      <c r="AH518" s="146">
        <f t="shared" si="37"/>
        <v>3.6700000000000003E-2</v>
      </c>
      <c r="AI518" s="146" t="str">
        <f t="shared" si="38"/>
        <v/>
      </c>
      <c r="AJ518" s="303"/>
      <c r="AK518" s="303"/>
      <c r="AL518" s="303"/>
      <c r="AM518" s="303"/>
      <c r="AN518" s="303"/>
      <c r="AO518" s="303"/>
      <c r="AP518" s="303"/>
      <c r="AQ518" s="303"/>
      <c r="AR518" s="303"/>
      <c r="AS518" s="170"/>
      <c r="AT518" s="170"/>
      <c r="AU518" s="310"/>
      <c r="AW518" s="294"/>
      <c r="AX518" s="294"/>
      <c r="AY518" s="294"/>
      <c r="AZ518" s="294"/>
      <c r="BA518" s="294"/>
      <c r="BB518" s="294"/>
      <c r="BC518" s="294"/>
      <c r="BD518" s="294"/>
      <c r="BE518" s="294"/>
      <c r="BF518" s="382">
        <f>36.7/1000</f>
        <v>3.6700000000000003E-2</v>
      </c>
      <c r="BG518" s="383"/>
      <c r="BH518" s="278"/>
      <c r="BI518" s="365"/>
      <c r="BJ518" s="409"/>
    </row>
    <row r="519" spans="1:62" ht="15.75" customHeight="1" thickBot="1" x14ac:dyDescent="0.25">
      <c r="A519" s="156">
        <v>518</v>
      </c>
      <c r="B519" s="155">
        <v>1</v>
      </c>
      <c r="C519" s="148" t="s">
        <v>975</v>
      </c>
      <c r="D519" s="149" t="s">
        <v>3057</v>
      </c>
      <c r="E519" s="148" t="s">
        <v>1068</v>
      </c>
      <c r="F519" s="149" t="s">
        <v>2396</v>
      </c>
      <c r="G519" s="148" t="s">
        <v>292</v>
      </c>
      <c r="H519" s="148" t="s">
        <v>1135</v>
      </c>
      <c r="I519" s="161">
        <v>2010</v>
      </c>
      <c r="J519" s="161" t="s">
        <v>1136</v>
      </c>
      <c r="K519" s="161" t="s">
        <v>718</v>
      </c>
      <c r="L519" s="161" t="s">
        <v>9</v>
      </c>
      <c r="M519" s="453" t="s">
        <v>4199</v>
      </c>
      <c r="N519" s="186" t="s">
        <v>20</v>
      </c>
      <c r="O519" s="186" t="s">
        <v>15</v>
      </c>
      <c r="P519" s="186" t="s">
        <v>20</v>
      </c>
      <c r="Q519" s="186" t="s">
        <v>20</v>
      </c>
      <c r="R519" s="186" t="s">
        <v>20</v>
      </c>
      <c r="S519" s="186" t="s">
        <v>20</v>
      </c>
      <c r="T519" s="186" t="s">
        <v>15</v>
      </c>
      <c r="U519" s="186" t="s">
        <v>15</v>
      </c>
      <c r="V519" s="186" t="s">
        <v>15</v>
      </c>
      <c r="W519" s="186" t="s">
        <v>15</v>
      </c>
      <c r="X519" s="186" t="s">
        <v>15</v>
      </c>
      <c r="Y519" s="186" t="s">
        <v>15</v>
      </c>
      <c r="Z519" s="186"/>
      <c r="AA519" s="186" t="s">
        <v>1137</v>
      </c>
      <c r="AB519" s="186" t="s">
        <v>292</v>
      </c>
      <c r="AC519" s="186" t="s">
        <v>122</v>
      </c>
      <c r="AD519" s="268" t="s">
        <v>1138</v>
      </c>
      <c r="AE519" s="268"/>
      <c r="AF519" s="144">
        <f t="shared" si="36"/>
        <v>8.15</v>
      </c>
      <c r="AG519" s="144">
        <f t="shared" si="35"/>
        <v>9.83</v>
      </c>
      <c r="AH519" s="146">
        <f t="shared" si="37"/>
        <v>0.56799999999999995</v>
      </c>
      <c r="AI519" s="146" t="str">
        <f t="shared" si="38"/>
        <v/>
      </c>
      <c r="AJ519" s="303">
        <v>8.25</v>
      </c>
      <c r="AK519" s="303"/>
      <c r="AL519" s="303">
        <v>1.58</v>
      </c>
      <c r="AM519" s="303">
        <v>1.1599999999999999</v>
      </c>
      <c r="AN519" s="303">
        <f>1.65+0.29</f>
        <v>1.94</v>
      </c>
      <c r="AO519" s="303"/>
      <c r="AP519" s="303"/>
      <c r="AQ519" s="303"/>
      <c r="AR519" s="303"/>
      <c r="AS519" s="170">
        <v>8.15</v>
      </c>
      <c r="AT519" s="170">
        <v>13</v>
      </c>
      <c r="AU519" s="310" t="s">
        <v>1139</v>
      </c>
      <c r="AV519" s="329"/>
      <c r="AW519" s="294">
        <v>0.56799999999999995</v>
      </c>
      <c r="AX519" s="294"/>
      <c r="AY519" s="294"/>
      <c r="AZ519" s="294">
        <v>2.7E-2</v>
      </c>
      <c r="BA519" s="294">
        <f>0.092+0.018</f>
        <v>0.11</v>
      </c>
      <c r="BB519" s="294"/>
      <c r="BC519" s="294"/>
      <c r="BD519" s="294"/>
      <c r="BE519" s="294"/>
      <c r="BF519" s="383">
        <v>0.56799999999999995</v>
      </c>
      <c r="BG519" s="383">
        <v>0.7</v>
      </c>
      <c r="BH519" s="278"/>
      <c r="BI519" s="365" t="s">
        <v>733</v>
      </c>
      <c r="BJ519" s="409"/>
    </row>
    <row r="520" spans="1:62" ht="15.75" customHeight="1" thickBot="1" x14ac:dyDescent="0.25">
      <c r="A520" s="154">
        <v>519</v>
      </c>
      <c r="B520" s="155">
        <v>1</v>
      </c>
      <c r="C520" s="148" t="s">
        <v>975</v>
      </c>
      <c r="D520" s="148" t="s">
        <v>3057</v>
      </c>
      <c r="E520" s="148" t="s">
        <v>13</v>
      </c>
      <c r="F520" s="149" t="s">
        <v>2397</v>
      </c>
      <c r="G520" s="148" t="s">
        <v>292</v>
      </c>
      <c r="H520" s="148" t="s">
        <v>1135</v>
      </c>
      <c r="I520" s="161">
        <v>2010</v>
      </c>
      <c r="J520" s="161" t="s">
        <v>1136</v>
      </c>
      <c r="K520" s="161" t="s">
        <v>718</v>
      </c>
      <c r="L520" s="161" t="s">
        <v>9</v>
      </c>
      <c r="M520" s="453" t="s">
        <v>4199</v>
      </c>
      <c r="N520" s="186" t="s">
        <v>20</v>
      </c>
      <c r="O520" s="186" t="s">
        <v>15</v>
      </c>
      <c r="P520" s="186" t="s">
        <v>20</v>
      </c>
      <c r="Q520" s="186" t="s">
        <v>20</v>
      </c>
      <c r="R520" s="186" t="s">
        <v>20</v>
      </c>
      <c r="S520" s="186" t="s">
        <v>20</v>
      </c>
      <c r="T520" s="186" t="s">
        <v>15</v>
      </c>
      <c r="U520" s="186" t="s">
        <v>15</v>
      </c>
      <c r="V520" s="186" t="s">
        <v>15</v>
      </c>
      <c r="W520" s="186" t="s">
        <v>15</v>
      </c>
      <c r="X520" s="186" t="s">
        <v>15</v>
      </c>
      <c r="Y520" s="186" t="s">
        <v>15</v>
      </c>
      <c r="Z520" s="186"/>
      <c r="AA520" s="186" t="s">
        <v>1137</v>
      </c>
      <c r="AB520" s="186" t="s">
        <v>292</v>
      </c>
      <c r="AC520" s="186" t="s">
        <v>122</v>
      </c>
      <c r="AD520" s="268" t="s">
        <v>1138</v>
      </c>
      <c r="AE520" s="268"/>
      <c r="AF520" s="144">
        <f t="shared" si="36"/>
        <v>8.15</v>
      </c>
      <c r="AG520" s="144">
        <f t="shared" si="35"/>
        <v>9.5</v>
      </c>
      <c r="AH520" s="146">
        <f t="shared" si="37"/>
        <v>0.56799999999999995</v>
      </c>
      <c r="AI520" s="146" t="str">
        <f t="shared" si="38"/>
        <v/>
      </c>
      <c r="AJ520" s="303">
        <v>8.0500000000000007</v>
      </c>
      <c r="AK520" s="303"/>
      <c r="AL520" s="303">
        <v>1.45</v>
      </c>
      <c r="AM520" s="303">
        <v>1.05</v>
      </c>
      <c r="AN520" s="303">
        <v>31.51</v>
      </c>
      <c r="AO520" s="303"/>
      <c r="AP520" s="303"/>
      <c r="AQ520" s="303"/>
      <c r="AR520" s="303"/>
      <c r="AS520" s="170">
        <v>8.15</v>
      </c>
      <c r="AT520" s="170">
        <v>42</v>
      </c>
      <c r="AU520" s="310" t="s">
        <v>1139</v>
      </c>
      <c r="AV520" s="329"/>
      <c r="AW520" s="294">
        <v>0.56799999999999995</v>
      </c>
      <c r="AX520" s="294"/>
      <c r="AY520" s="294"/>
      <c r="AZ520" s="294">
        <v>2.7E-2</v>
      </c>
      <c r="BA520" s="294">
        <f>0.092+1.9</f>
        <v>1.992</v>
      </c>
      <c r="BB520" s="294"/>
      <c r="BC520" s="294"/>
      <c r="BD520" s="294"/>
      <c r="BE520" s="294"/>
      <c r="BF520" s="388">
        <v>0.56799999999999995</v>
      </c>
      <c r="BG520" s="383">
        <v>2.6</v>
      </c>
      <c r="BH520" s="278"/>
      <c r="BI520" s="365" t="s">
        <v>733</v>
      </c>
      <c r="BJ520" s="409"/>
    </row>
    <row r="521" spans="1:62" ht="15.75" customHeight="1" thickBot="1" x14ac:dyDescent="0.25">
      <c r="A521" s="156">
        <v>520</v>
      </c>
      <c r="B521" s="155">
        <v>1</v>
      </c>
      <c r="C521" s="148" t="s">
        <v>975</v>
      </c>
      <c r="D521" s="149" t="s">
        <v>3057</v>
      </c>
      <c r="E521" s="148" t="s">
        <v>1068</v>
      </c>
      <c r="F521" s="149" t="s">
        <v>2398</v>
      </c>
      <c r="G521" s="148" t="s">
        <v>122</v>
      </c>
      <c r="H521" s="148" t="s">
        <v>1140</v>
      </c>
      <c r="I521" s="161">
        <v>2010</v>
      </c>
      <c r="J521" s="161" t="s">
        <v>1136</v>
      </c>
      <c r="K521" s="161" t="s">
        <v>718</v>
      </c>
      <c r="L521" s="161" t="s">
        <v>9</v>
      </c>
      <c r="M521" s="453" t="s">
        <v>4199</v>
      </c>
      <c r="N521" s="186" t="s">
        <v>20</v>
      </c>
      <c r="O521" s="186" t="s">
        <v>15</v>
      </c>
      <c r="P521" s="186" t="s">
        <v>20</v>
      </c>
      <c r="Q521" s="186" t="s">
        <v>20</v>
      </c>
      <c r="R521" s="186" t="s">
        <v>20</v>
      </c>
      <c r="S521" s="186" t="s">
        <v>20</v>
      </c>
      <c r="T521" s="186" t="s">
        <v>15</v>
      </c>
      <c r="U521" s="186" t="s">
        <v>15</v>
      </c>
      <c r="V521" s="186" t="s">
        <v>15</v>
      </c>
      <c r="W521" s="186" t="s">
        <v>15</v>
      </c>
      <c r="X521" s="186" t="s">
        <v>15</v>
      </c>
      <c r="Y521" s="186" t="s">
        <v>15</v>
      </c>
      <c r="Z521" s="186"/>
      <c r="AA521" s="186" t="s">
        <v>1137</v>
      </c>
      <c r="AB521" s="186" t="s">
        <v>292</v>
      </c>
      <c r="AC521" s="186" t="s">
        <v>122</v>
      </c>
      <c r="AD521" s="268" t="s">
        <v>1138</v>
      </c>
      <c r="AE521" s="268"/>
      <c r="AF521" s="144">
        <f t="shared" si="36"/>
        <v>7.64</v>
      </c>
      <c r="AG521" s="144">
        <f t="shared" si="35"/>
        <v>11.27</v>
      </c>
      <c r="AH521" s="146">
        <f t="shared" si="37"/>
        <v>0.5</v>
      </c>
      <c r="AI521" s="146">
        <f t="shared" si="38"/>
        <v>0.76800000000000002</v>
      </c>
      <c r="AJ521" s="303">
        <v>7.84</v>
      </c>
      <c r="AK521" s="303">
        <v>1.35</v>
      </c>
      <c r="AL521" s="303">
        <v>2.08</v>
      </c>
      <c r="AM521" s="303">
        <v>1.1000000000000001</v>
      </c>
      <c r="AN521" s="303">
        <v>4.0999999999999996</v>
      </c>
      <c r="AO521" s="303"/>
      <c r="AP521" s="303"/>
      <c r="AQ521" s="303"/>
      <c r="AR521" s="303"/>
      <c r="AS521" s="170">
        <v>7.64</v>
      </c>
      <c r="AT521" s="170">
        <v>16.5</v>
      </c>
      <c r="AU521" s="310" t="s">
        <v>1139</v>
      </c>
      <c r="AV521" s="329"/>
      <c r="AW521" s="294">
        <v>0.5</v>
      </c>
      <c r="AX521" s="294">
        <v>8.7999999999999995E-2</v>
      </c>
      <c r="AY521" s="294">
        <v>0.18</v>
      </c>
      <c r="AZ521" s="294">
        <v>2.7E-2</v>
      </c>
      <c r="BA521" s="294">
        <f>0.18+0.092</f>
        <v>0.27200000000000002</v>
      </c>
      <c r="BB521" s="294"/>
      <c r="BC521" s="294"/>
      <c r="BD521" s="294"/>
      <c r="BE521" s="294"/>
      <c r="BF521" s="383">
        <v>0.5</v>
      </c>
      <c r="BG521" s="383">
        <v>1.1000000000000001</v>
      </c>
      <c r="BH521" s="278"/>
      <c r="BI521" s="365" t="s">
        <v>733</v>
      </c>
      <c r="BJ521" s="409"/>
    </row>
    <row r="522" spans="1:62" ht="15.75" customHeight="1" thickBot="1" x14ac:dyDescent="0.25">
      <c r="A522" s="154">
        <v>521</v>
      </c>
      <c r="B522" s="155">
        <v>1</v>
      </c>
      <c r="C522" s="148" t="s">
        <v>975</v>
      </c>
      <c r="D522" s="149" t="s">
        <v>3057</v>
      </c>
      <c r="E522" s="148" t="s">
        <v>1068</v>
      </c>
      <c r="F522" s="149" t="s">
        <v>2399</v>
      </c>
      <c r="G522" s="148" t="s">
        <v>122</v>
      </c>
      <c r="H522" s="148" t="s">
        <v>1140</v>
      </c>
      <c r="I522" s="161">
        <v>2010</v>
      </c>
      <c r="J522" s="161" t="s">
        <v>1136</v>
      </c>
      <c r="K522" s="161" t="s">
        <v>718</v>
      </c>
      <c r="L522" s="161" t="s">
        <v>9</v>
      </c>
      <c r="M522" s="453" t="s">
        <v>4199</v>
      </c>
      <c r="N522" s="186" t="s">
        <v>20</v>
      </c>
      <c r="O522" s="186" t="s">
        <v>15</v>
      </c>
      <c r="P522" s="186" t="s">
        <v>20</v>
      </c>
      <c r="Q522" s="186" t="s">
        <v>20</v>
      </c>
      <c r="R522" s="186" t="s">
        <v>20</v>
      </c>
      <c r="S522" s="186" t="s">
        <v>20</v>
      </c>
      <c r="T522" s="186" t="s">
        <v>15</v>
      </c>
      <c r="U522" s="186" t="s">
        <v>15</v>
      </c>
      <c r="V522" s="186" t="s">
        <v>15</v>
      </c>
      <c r="W522" s="186" t="s">
        <v>15</v>
      </c>
      <c r="X522" s="186" t="s">
        <v>15</v>
      </c>
      <c r="Y522" s="186" t="s">
        <v>15</v>
      </c>
      <c r="Z522" s="186"/>
      <c r="AA522" s="186" t="s">
        <v>1137</v>
      </c>
      <c r="AB522" s="186" t="s">
        <v>292</v>
      </c>
      <c r="AC522" s="186" t="s">
        <v>122</v>
      </c>
      <c r="AD522" s="268" t="s">
        <v>1138</v>
      </c>
      <c r="AE522" s="268"/>
      <c r="AF522" s="144">
        <f t="shared" si="36"/>
        <v>5.46</v>
      </c>
      <c r="AG522" s="144" t="str">
        <f t="shared" si="35"/>
        <v/>
      </c>
      <c r="AH522" s="146">
        <f t="shared" si="37"/>
        <v>0.31</v>
      </c>
      <c r="AI522" s="146" t="str">
        <f t="shared" si="38"/>
        <v/>
      </c>
      <c r="AJ522" s="303">
        <v>5.16</v>
      </c>
      <c r="AK522" s="303"/>
      <c r="AL522" s="303"/>
      <c r="AM522" s="303">
        <v>0.8</v>
      </c>
      <c r="AN522" s="303">
        <v>3.7</v>
      </c>
      <c r="AO522" s="303"/>
      <c r="AP522" s="303"/>
      <c r="AQ522" s="303"/>
      <c r="AR522" s="303"/>
      <c r="AS522" s="170">
        <v>5.46</v>
      </c>
      <c r="AT522" s="170">
        <v>9.6</v>
      </c>
      <c r="AU522" s="310" t="s">
        <v>1139</v>
      </c>
      <c r="AV522" s="329"/>
      <c r="AW522" s="294">
        <v>0.31</v>
      </c>
      <c r="AX522" s="294"/>
      <c r="AY522" s="294"/>
      <c r="AZ522" s="294">
        <v>2.7E-2</v>
      </c>
      <c r="BA522" s="294">
        <f>0.16+0.092</f>
        <v>0.252</v>
      </c>
      <c r="BB522" s="294"/>
      <c r="BC522" s="294"/>
      <c r="BD522" s="294"/>
      <c r="BE522" s="294"/>
      <c r="BF522" s="383">
        <v>0.31</v>
      </c>
      <c r="BG522" s="383">
        <v>0.59</v>
      </c>
      <c r="BH522" s="278"/>
      <c r="BI522" s="365" t="s">
        <v>733</v>
      </c>
      <c r="BJ522" s="409"/>
    </row>
    <row r="523" spans="1:62" ht="15.75" customHeight="1" thickBot="1" x14ac:dyDescent="0.25">
      <c r="A523" s="156">
        <v>522</v>
      </c>
      <c r="B523" s="155">
        <v>1</v>
      </c>
      <c r="C523" s="148" t="s">
        <v>975</v>
      </c>
      <c r="D523" s="149" t="s">
        <v>3057</v>
      </c>
      <c r="E523" s="148" t="s">
        <v>1068</v>
      </c>
      <c r="F523" s="149" t="s">
        <v>2400</v>
      </c>
      <c r="G523" s="148" t="s">
        <v>122</v>
      </c>
      <c r="H523" s="148" t="s">
        <v>1140</v>
      </c>
      <c r="I523" s="161">
        <v>2010</v>
      </c>
      <c r="J523" s="161" t="s">
        <v>1136</v>
      </c>
      <c r="K523" s="161" t="s">
        <v>718</v>
      </c>
      <c r="L523" s="161" t="s">
        <v>9</v>
      </c>
      <c r="M523" s="453" t="s">
        <v>4199</v>
      </c>
      <c r="N523" s="186" t="s">
        <v>20</v>
      </c>
      <c r="O523" s="186" t="s">
        <v>15</v>
      </c>
      <c r="P523" s="186" t="s">
        <v>20</v>
      </c>
      <c r="Q523" s="186" t="s">
        <v>20</v>
      </c>
      <c r="R523" s="186" t="s">
        <v>20</v>
      </c>
      <c r="S523" s="186" t="s">
        <v>20</v>
      </c>
      <c r="T523" s="186" t="s">
        <v>15</v>
      </c>
      <c r="U523" s="186" t="s">
        <v>15</v>
      </c>
      <c r="V523" s="186" t="s">
        <v>15</v>
      </c>
      <c r="W523" s="186" t="s">
        <v>15</v>
      </c>
      <c r="X523" s="186" t="s">
        <v>15</v>
      </c>
      <c r="Y523" s="186" t="s">
        <v>15</v>
      </c>
      <c r="Z523" s="186"/>
      <c r="AA523" s="186" t="s">
        <v>1137</v>
      </c>
      <c r="AB523" s="186" t="s">
        <v>292</v>
      </c>
      <c r="AC523" s="186" t="s">
        <v>122</v>
      </c>
      <c r="AD523" s="268" t="s">
        <v>1138</v>
      </c>
      <c r="AE523" s="268"/>
      <c r="AF523" s="144">
        <f t="shared" si="36"/>
        <v>2.5299999999999998</v>
      </c>
      <c r="AG523" s="144">
        <f t="shared" si="35"/>
        <v>4.2799999999999994</v>
      </c>
      <c r="AH523" s="146">
        <f t="shared" si="37"/>
        <v>0.182</v>
      </c>
      <c r="AI523" s="146">
        <f t="shared" si="38"/>
        <v>0.28259999999999996</v>
      </c>
      <c r="AJ523" s="303">
        <v>2.5299999999999998</v>
      </c>
      <c r="AK523" s="303"/>
      <c r="AL523" s="303">
        <v>1.75</v>
      </c>
      <c r="AM523" s="303">
        <v>1.1000000000000001</v>
      </c>
      <c r="AN523" s="303">
        <v>2.86</v>
      </c>
      <c r="AO523" s="303"/>
      <c r="AP523" s="303"/>
      <c r="AQ523" s="303"/>
      <c r="AR523" s="303"/>
      <c r="AS523" s="170">
        <v>2.5299999999999998</v>
      </c>
      <c r="AT523" s="170">
        <v>8.1999999999999993</v>
      </c>
      <c r="AU523" s="310" t="s">
        <v>1139</v>
      </c>
      <c r="AV523" s="331"/>
      <c r="AW523" s="294">
        <v>0.182</v>
      </c>
      <c r="AX523" s="294"/>
      <c r="AY523" s="294">
        <f>0.092+0.0086</f>
        <v>0.10059999999999999</v>
      </c>
      <c r="AZ523" s="294">
        <v>2.7E-2</v>
      </c>
      <c r="BA523" s="294">
        <v>0.17499999999999999</v>
      </c>
      <c r="BB523" s="294"/>
      <c r="BC523" s="294"/>
      <c r="BD523" s="294"/>
      <c r="BE523" s="294"/>
      <c r="BF523" s="383">
        <v>0.182</v>
      </c>
      <c r="BG523" s="383">
        <v>0.48</v>
      </c>
      <c r="BH523" s="278"/>
      <c r="BI523" s="365" t="s">
        <v>733</v>
      </c>
      <c r="BJ523" s="409"/>
    </row>
    <row r="524" spans="1:62" ht="15.75" customHeight="1" thickBot="1" x14ac:dyDescent="0.25">
      <c r="A524" s="154">
        <v>523</v>
      </c>
      <c r="B524" s="155">
        <v>1</v>
      </c>
      <c r="C524" s="148" t="s">
        <v>975</v>
      </c>
      <c r="D524" s="149" t="s">
        <v>3057</v>
      </c>
      <c r="E524" s="148" t="s">
        <v>1068</v>
      </c>
      <c r="F524" s="149" t="s">
        <v>2401</v>
      </c>
      <c r="G524" s="148" t="s">
        <v>122</v>
      </c>
      <c r="H524" s="148" t="s">
        <v>1140</v>
      </c>
      <c r="I524" s="161">
        <v>2010</v>
      </c>
      <c r="J524" s="161" t="s">
        <v>1136</v>
      </c>
      <c r="K524" s="161" t="s">
        <v>718</v>
      </c>
      <c r="L524" s="161" t="s">
        <v>9</v>
      </c>
      <c r="M524" s="453" t="s">
        <v>4199</v>
      </c>
      <c r="N524" s="186" t="s">
        <v>20</v>
      </c>
      <c r="O524" s="186" t="s">
        <v>15</v>
      </c>
      <c r="P524" s="186" t="s">
        <v>20</v>
      </c>
      <c r="Q524" s="186" t="s">
        <v>20</v>
      </c>
      <c r="R524" s="186" t="s">
        <v>20</v>
      </c>
      <c r="S524" s="186" t="s">
        <v>20</v>
      </c>
      <c r="T524" s="186" t="s">
        <v>15</v>
      </c>
      <c r="U524" s="186" t="s">
        <v>15</v>
      </c>
      <c r="V524" s="186" t="s">
        <v>15</v>
      </c>
      <c r="W524" s="186" t="s">
        <v>15</v>
      </c>
      <c r="X524" s="186" t="s">
        <v>15</v>
      </c>
      <c r="Y524" s="186" t="s">
        <v>15</v>
      </c>
      <c r="Z524" s="186"/>
      <c r="AA524" s="186" t="s">
        <v>1137</v>
      </c>
      <c r="AB524" s="186" t="s">
        <v>292</v>
      </c>
      <c r="AC524" s="186" t="s">
        <v>122</v>
      </c>
      <c r="AD524" s="268" t="s">
        <v>1138</v>
      </c>
      <c r="AE524" s="268"/>
      <c r="AF524" s="144">
        <f t="shared" si="36"/>
        <v>2.5299999999999998</v>
      </c>
      <c r="AG524" s="144">
        <f t="shared" si="35"/>
        <v>4.66</v>
      </c>
      <c r="AH524" s="146">
        <f t="shared" si="37"/>
        <v>0.182</v>
      </c>
      <c r="AI524" s="146">
        <f t="shared" si="38"/>
        <v>0.374</v>
      </c>
      <c r="AJ524" s="303">
        <v>2.5299999999999998</v>
      </c>
      <c r="AK524" s="303"/>
      <c r="AL524" s="303">
        <v>2.13</v>
      </c>
      <c r="AM524" s="303">
        <v>1.1000000000000001</v>
      </c>
      <c r="AN524" s="303">
        <f>0.58+1.6+3</f>
        <v>5.18</v>
      </c>
      <c r="AO524" s="303"/>
      <c r="AP524" s="303"/>
      <c r="AQ524" s="303"/>
      <c r="AR524" s="303"/>
      <c r="AS524" s="170">
        <v>2.5299999999999998</v>
      </c>
      <c r="AT524" s="170">
        <v>11</v>
      </c>
      <c r="AU524" s="310" t="s">
        <v>1139</v>
      </c>
      <c r="AV524" s="331"/>
      <c r="AW524" s="294">
        <v>0.182</v>
      </c>
      <c r="AX524" s="294"/>
      <c r="AY524" s="294">
        <v>0.192</v>
      </c>
      <c r="AZ524" s="294">
        <v>2.7E-2</v>
      </c>
      <c r="BA524" s="294">
        <f>0.036+0.092+0.19</f>
        <v>0.318</v>
      </c>
      <c r="BB524" s="294"/>
      <c r="BC524" s="294"/>
      <c r="BD524" s="294"/>
      <c r="BE524" s="294"/>
      <c r="BF524" s="383">
        <v>0.182</v>
      </c>
      <c r="BG524" s="383">
        <v>0.72</v>
      </c>
      <c r="BH524" s="278"/>
      <c r="BI524" s="365" t="s">
        <v>733</v>
      </c>
      <c r="BJ524" s="409"/>
    </row>
    <row r="525" spans="1:62" ht="15.75" customHeight="1" thickBot="1" x14ac:dyDescent="0.25">
      <c r="A525" s="156">
        <v>524</v>
      </c>
      <c r="B525" s="155">
        <v>1</v>
      </c>
      <c r="C525" s="148" t="s">
        <v>975</v>
      </c>
      <c r="D525" s="149" t="s">
        <v>3059</v>
      </c>
      <c r="E525" s="148" t="s">
        <v>1063</v>
      </c>
      <c r="F525" s="149" t="s">
        <v>2402</v>
      </c>
      <c r="G525" s="148" t="s">
        <v>122</v>
      </c>
      <c r="H525" s="148" t="s">
        <v>1141</v>
      </c>
      <c r="I525" s="161">
        <v>2011</v>
      </c>
      <c r="J525" s="161" t="s">
        <v>1142</v>
      </c>
      <c r="K525" s="161" t="s">
        <v>1143</v>
      </c>
      <c r="L525" s="161" t="s">
        <v>19</v>
      </c>
      <c r="M525" s="453" t="s">
        <v>4200</v>
      </c>
      <c r="N525" s="186" t="s">
        <v>20</v>
      </c>
      <c r="O525" s="186" t="s">
        <v>15</v>
      </c>
      <c r="P525" s="186" t="s">
        <v>15</v>
      </c>
      <c r="Q525" s="186" t="s">
        <v>15</v>
      </c>
      <c r="R525" s="186" t="s">
        <v>15</v>
      </c>
      <c r="S525" s="186" t="s">
        <v>15</v>
      </c>
      <c r="T525" s="186" t="s">
        <v>15</v>
      </c>
      <c r="U525" s="186" t="s">
        <v>15</v>
      </c>
      <c r="V525" s="186" t="s">
        <v>15</v>
      </c>
      <c r="W525" s="186" t="s">
        <v>15</v>
      </c>
      <c r="X525" s="186" t="s">
        <v>15</v>
      </c>
      <c r="Y525" s="186" t="s">
        <v>15</v>
      </c>
      <c r="Z525" s="186"/>
      <c r="AA525" s="186" t="s">
        <v>1144</v>
      </c>
      <c r="AB525" s="186" t="s">
        <v>292</v>
      </c>
      <c r="AC525" s="186" t="s">
        <v>122</v>
      </c>
      <c r="AD525" s="271" t="s">
        <v>1145</v>
      </c>
      <c r="AE525" s="268" t="s">
        <v>2438</v>
      </c>
      <c r="AF525" s="144">
        <f t="shared" si="36"/>
        <v>107.89473684210527</v>
      </c>
      <c r="AG525" s="144" t="str">
        <f t="shared" si="35"/>
        <v/>
      </c>
      <c r="AH525" s="146">
        <f t="shared" si="37"/>
        <v>9.2631578947368425</v>
      </c>
      <c r="AI525" s="146" t="str">
        <f t="shared" si="38"/>
        <v/>
      </c>
      <c r="AJ525" s="303"/>
      <c r="AK525" s="303"/>
      <c r="AL525" s="303"/>
      <c r="AM525" s="303"/>
      <c r="AN525" s="303"/>
      <c r="AO525" s="303"/>
      <c r="AP525" s="303"/>
      <c r="AQ525" s="303"/>
      <c r="AR525" s="303"/>
      <c r="AS525" s="170">
        <f>61.5/0.57</f>
        <v>107.89473684210527</v>
      </c>
      <c r="AT525" s="170"/>
      <c r="AU525" s="310" t="s">
        <v>1139</v>
      </c>
      <c r="AW525" s="294"/>
      <c r="AX525" s="294"/>
      <c r="AY525" s="294"/>
      <c r="AZ525" s="294"/>
      <c r="BA525" s="294"/>
      <c r="BB525" s="294"/>
      <c r="BC525" s="294"/>
      <c r="BD525" s="294"/>
      <c r="BE525" s="294"/>
      <c r="BF525" s="383">
        <f>5.28/0.57</f>
        <v>9.2631578947368425</v>
      </c>
      <c r="BG525" s="383"/>
      <c r="BH525" s="278"/>
      <c r="BI525" s="365"/>
      <c r="BJ525" s="409"/>
    </row>
    <row r="526" spans="1:62" ht="15.75" customHeight="1" thickBot="1" x14ac:dyDescent="0.25">
      <c r="A526" s="154">
        <v>525</v>
      </c>
      <c r="B526" s="155">
        <v>1</v>
      </c>
      <c r="C526" s="148" t="s">
        <v>975</v>
      </c>
      <c r="D526" s="149" t="s">
        <v>3059</v>
      </c>
      <c r="E526" s="148" t="s">
        <v>1063</v>
      </c>
      <c r="F526" s="149" t="s">
        <v>2403</v>
      </c>
      <c r="G526" s="148" t="s">
        <v>122</v>
      </c>
      <c r="H526" s="148" t="s">
        <v>1141</v>
      </c>
      <c r="I526" s="161">
        <v>2011</v>
      </c>
      <c r="J526" s="161" t="s">
        <v>1142</v>
      </c>
      <c r="K526" s="161" t="s">
        <v>1143</v>
      </c>
      <c r="L526" s="161" t="s">
        <v>19</v>
      </c>
      <c r="M526" s="453" t="s">
        <v>4200</v>
      </c>
      <c r="N526" s="186" t="s">
        <v>20</v>
      </c>
      <c r="O526" s="186" t="s">
        <v>15</v>
      </c>
      <c r="P526" s="186" t="s">
        <v>15</v>
      </c>
      <c r="Q526" s="186" t="s">
        <v>15</v>
      </c>
      <c r="R526" s="186" t="s">
        <v>15</v>
      </c>
      <c r="S526" s="186" t="s">
        <v>15</v>
      </c>
      <c r="T526" s="186" t="s">
        <v>15</v>
      </c>
      <c r="U526" s="186" t="s">
        <v>15</v>
      </c>
      <c r="V526" s="186" t="s">
        <v>15</v>
      </c>
      <c r="W526" s="186" t="s">
        <v>15</v>
      </c>
      <c r="X526" s="186" t="s">
        <v>15</v>
      </c>
      <c r="Y526" s="186" t="s">
        <v>15</v>
      </c>
      <c r="Z526" s="186"/>
      <c r="AA526" s="186" t="s">
        <v>1144</v>
      </c>
      <c r="AB526" s="186" t="s">
        <v>292</v>
      </c>
      <c r="AC526" s="186" t="s">
        <v>122</v>
      </c>
      <c r="AD526" s="271" t="s">
        <v>1145</v>
      </c>
      <c r="AE526" s="268" t="s">
        <v>2438</v>
      </c>
      <c r="AF526" s="144">
        <f t="shared" si="36"/>
        <v>60.000000000000007</v>
      </c>
      <c r="AG526" s="144" t="str">
        <f t="shared" si="35"/>
        <v/>
      </c>
      <c r="AH526" s="146">
        <f t="shared" si="37"/>
        <v>4.8245614035087723</v>
      </c>
      <c r="AI526" s="146" t="str">
        <f t="shared" si="38"/>
        <v/>
      </c>
      <c r="AJ526" s="303"/>
      <c r="AK526" s="303"/>
      <c r="AL526" s="303"/>
      <c r="AM526" s="303"/>
      <c r="AN526" s="303"/>
      <c r="AO526" s="303"/>
      <c r="AP526" s="303"/>
      <c r="AQ526" s="303"/>
      <c r="AR526" s="303"/>
      <c r="AS526" s="169">
        <f>34.2/0.57</f>
        <v>60.000000000000007</v>
      </c>
      <c r="AT526" s="170"/>
      <c r="AU526" s="310" t="s">
        <v>1139</v>
      </c>
      <c r="AW526" s="294"/>
      <c r="AX526" s="294"/>
      <c r="AY526" s="294"/>
      <c r="AZ526" s="294"/>
      <c r="BA526" s="294"/>
      <c r="BB526" s="294"/>
      <c r="BC526" s="294"/>
      <c r="BD526" s="294"/>
      <c r="BE526" s="294"/>
      <c r="BF526" s="382">
        <f>2.75/0.57</f>
        <v>4.8245614035087723</v>
      </c>
      <c r="BG526" s="383"/>
      <c r="BH526" s="278"/>
      <c r="BI526" s="365"/>
      <c r="BJ526" s="409"/>
    </row>
    <row r="527" spans="1:62" ht="15.75" customHeight="1" thickBot="1" x14ac:dyDescent="0.25">
      <c r="A527" s="156">
        <v>526</v>
      </c>
      <c r="B527" s="155">
        <v>1</v>
      </c>
      <c r="C527" s="148" t="s">
        <v>975</v>
      </c>
      <c r="D527" s="149" t="s">
        <v>3057</v>
      </c>
      <c r="E527" s="148" t="s">
        <v>1068</v>
      </c>
      <c r="F527" s="149" t="s">
        <v>2404</v>
      </c>
      <c r="G527" s="148" t="s">
        <v>292</v>
      </c>
      <c r="H527" s="148" t="s">
        <v>1064</v>
      </c>
      <c r="I527" s="161">
        <v>2011</v>
      </c>
      <c r="J527" s="161" t="s">
        <v>1146</v>
      </c>
      <c r="K527" s="161" t="s">
        <v>1147</v>
      </c>
      <c r="L527" s="161" t="s">
        <v>19</v>
      </c>
      <c r="M527" s="453" t="s">
        <v>4201</v>
      </c>
      <c r="N527" s="186" t="s">
        <v>20</v>
      </c>
      <c r="O527" s="186" t="s">
        <v>15</v>
      </c>
      <c r="P527" s="186" t="s">
        <v>20</v>
      </c>
      <c r="Q527" s="186" t="s">
        <v>20</v>
      </c>
      <c r="R527" s="186" t="s">
        <v>20</v>
      </c>
      <c r="S527" s="186" t="s">
        <v>20</v>
      </c>
      <c r="T527" s="186" t="s">
        <v>15</v>
      </c>
      <c r="U527" s="186" t="s">
        <v>15</v>
      </c>
      <c r="V527" s="186" t="s">
        <v>15</v>
      </c>
      <c r="W527" s="186" t="s">
        <v>15</v>
      </c>
      <c r="X527" s="186" t="s">
        <v>15</v>
      </c>
      <c r="Y527" s="186" t="s">
        <v>15</v>
      </c>
      <c r="Z527" s="186"/>
      <c r="AA527" s="186" t="s">
        <v>1148</v>
      </c>
      <c r="AB527" s="186" t="s">
        <v>292</v>
      </c>
      <c r="AC527" s="186" t="s">
        <v>122</v>
      </c>
      <c r="AD527" s="268" t="s">
        <v>1149</v>
      </c>
      <c r="AE527" s="268"/>
      <c r="AF527" s="144">
        <f t="shared" si="36"/>
        <v>20.100000000000001</v>
      </c>
      <c r="AG527" s="144">
        <f t="shared" si="35"/>
        <v>22.540000000000003</v>
      </c>
      <c r="AH527" s="146">
        <f t="shared" si="37"/>
        <v>1.43</v>
      </c>
      <c r="AI527" s="146">
        <f t="shared" si="38"/>
        <v>1.49</v>
      </c>
      <c r="AJ527" s="303">
        <f>18.5+1.5+0.1</f>
        <v>20.100000000000001</v>
      </c>
      <c r="AK527" s="303"/>
      <c r="AL527" s="303">
        <f>2.44</f>
        <v>2.44</v>
      </c>
      <c r="AM527" s="303">
        <f>2.4</f>
        <v>2.4</v>
      </c>
      <c r="AN527" s="303">
        <v>7</v>
      </c>
      <c r="AO527" s="303">
        <v>7</v>
      </c>
      <c r="AP527" s="303"/>
      <c r="AQ527" s="303"/>
      <c r="AR527" s="303"/>
      <c r="AS527" s="170">
        <f>AJ527</f>
        <v>20.100000000000001</v>
      </c>
      <c r="AT527" s="170">
        <v>39</v>
      </c>
      <c r="AU527" s="310" t="s">
        <v>1139</v>
      </c>
      <c r="AW527" s="294">
        <v>1.43</v>
      </c>
      <c r="AX527" s="294"/>
      <c r="AY527" s="294">
        <v>0.06</v>
      </c>
      <c r="AZ527" s="294">
        <v>0.12</v>
      </c>
      <c r="BA527" s="294">
        <v>0.53</v>
      </c>
      <c r="BB527" s="294"/>
      <c r="BC527" s="294"/>
      <c r="BD527" s="294"/>
      <c r="BE527" s="294"/>
      <c r="BF527" s="393">
        <v>1.43</v>
      </c>
      <c r="BG527" s="383">
        <v>2.2000000000000002</v>
      </c>
      <c r="BH527" s="278"/>
      <c r="BI527" s="365" t="s">
        <v>1150</v>
      </c>
      <c r="BJ527" s="409"/>
    </row>
    <row r="528" spans="1:62" ht="15.75" customHeight="1" thickBot="1" x14ac:dyDescent="0.25">
      <c r="A528" s="154">
        <v>527</v>
      </c>
      <c r="B528" s="155">
        <v>1</v>
      </c>
      <c r="C528" s="148" t="s">
        <v>975</v>
      </c>
      <c r="D528" s="149" t="s">
        <v>3057</v>
      </c>
      <c r="E528" s="148" t="s">
        <v>1068</v>
      </c>
      <c r="F528" s="149" t="s">
        <v>2405</v>
      </c>
      <c r="G528" s="148" t="s">
        <v>292</v>
      </c>
      <c r="H528" s="148" t="s">
        <v>1064</v>
      </c>
      <c r="I528" s="161">
        <v>2011</v>
      </c>
      <c r="J528" s="161" t="s">
        <v>1146</v>
      </c>
      <c r="K528" s="161" t="s">
        <v>1147</v>
      </c>
      <c r="L528" s="161" t="s">
        <v>19</v>
      </c>
      <c r="M528" s="453" t="s">
        <v>4201</v>
      </c>
      <c r="N528" s="186" t="s">
        <v>20</v>
      </c>
      <c r="O528" s="186" t="s">
        <v>15</v>
      </c>
      <c r="P528" s="186" t="s">
        <v>20</v>
      </c>
      <c r="Q528" s="186" t="s">
        <v>20</v>
      </c>
      <c r="R528" s="186" t="s">
        <v>20</v>
      </c>
      <c r="S528" s="186" t="s">
        <v>20</v>
      </c>
      <c r="T528" s="186" t="s">
        <v>15</v>
      </c>
      <c r="U528" s="186" t="s">
        <v>15</v>
      </c>
      <c r="V528" s="186" t="s">
        <v>15</v>
      </c>
      <c r="W528" s="186" t="s">
        <v>15</v>
      </c>
      <c r="X528" s="186" t="s">
        <v>15</v>
      </c>
      <c r="Y528" s="186" t="s">
        <v>15</v>
      </c>
      <c r="Z528" s="186"/>
      <c r="AA528" s="186" t="s">
        <v>1151</v>
      </c>
      <c r="AB528" s="186" t="s">
        <v>292</v>
      </c>
      <c r="AC528" s="186" t="s">
        <v>122</v>
      </c>
      <c r="AD528" s="268" t="s">
        <v>1152</v>
      </c>
      <c r="AE528" s="268"/>
      <c r="AF528" s="144" t="str">
        <f t="shared" si="36"/>
        <v/>
      </c>
      <c r="AG528" s="144" t="str">
        <f t="shared" si="35"/>
        <v/>
      </c>
      <c r="AH528" s="146">
        <f t="shared" si="37"/>
        <v>0.98699999999999999</v>
      </c>
      <c r="AI528" s="146">
        <f t="shared" si="38"/>
        <v>1.347</v>
      </c>
      <c r="AJ528" s="303"/>
      <c r="AK528" s="303"/>
      <c r="AL528" s="303"/>
      <c r="AM528" s="303"/>
      <c r="AN528" s="303"/>
      <c r="AO528" s="303"/>
      <c r="AP528" s="303"/>
      <c r="AQ528" s="303"/>
      <c r="AR528" s="303"/>
      <c r="AS528" s="170"/>
      <c r="AT528" s="170">
        <v>27</v>
      </c>
      <c r="AU528" s="310" t="s">
        <v>1139</v>
      </c>
      <c r="AW528" s="294">
        <v>0.98699999999999999</v>
      </c>
      <c r="AX528" s="294"/>
      <c r="AY528" s="294">
        <f>0.06+0.3</f>
        <v>0.36</v>
      </c>
      <c r="AZ528" s="294">
        <v>0.12</v>
      </c>
      <c r="BA528" s="294">
        <v>0.38</v>
      </c>
      <c r="BB528" s="294"/>
      <c r="BC528" s="294"/>
      <c r="BD528" s="294"/>
      <c r="BE528" s="294"/>
      <c r="BF528" s="393">
        <v>0.98699999999999999</v>
      </c>
      <c r="BG528" s="383">
        <v>1.8</v>
      </c>
      <c r="BH528" s="278"/>
      <c r="BI528" s="365" t="s">
        <v>1150</v>
      </c>
      <c r="BJ528" s="409"/>
    </row>
    <row r="529" spans="1:62" ht="15.75" customHeight="1" thickBot="1" x14ac:dyDescent="0.25">
      <c r="A529" s="156">
        <v>528</v>
      </c>
      <c r="B529" s="155">
        <v>1</v>
      </c>
      <c r="C529" s="148" t="s">
        <v>975</v>
      </c>
      <c r="D529" s="149" t="s">
        <v>3057</v>
      </c>
      <c r="E529" s="148" t="s">
        <v>13</v>
      </c>
      <c r="F529" s="149" t="s">
        <v>2406</v>
      </c>
      <c r="G529" s="148" t="s">
        <v>292</v>
      </c>
      <c r="H529" s="148" t="s">
        <v>1064</v>
      </c>
      <c r="I529" s="161">
        <v>2011</v>
      </c>
      <c r="J529" s="161" t="s">
        <v>1146</v>
      </c>
      <c r="K529" s="161" t="s">
        <v>1147</v>
      </c>
      <c r="L529" s="161" t="s">
        <v>19</v>
      </c>
      <c r="M529" s="453" t="s">
        <v>4201</v>
      </c>
      <c r="N529" s="186" t="s">
        <v>20</v>
      </c>
      <c r="O529" s="186" t="s">
        <v>15</v>
      </c>
      <c r="P529" s="186" t="s">
        <v>20</v>
      </c>
      <c r="Q529" s="186" t="s">
        <v>20</v>
      </c>
      <c r="R529" s="186" t="s">
        <v>20</v>
      </c>
      <c r="S529" s="186" t="s">
        <v>20</v>
      </c>
      <c r="T529" s="186" t="s">
        <v>15</v>
      </c>
      <c r="U529" s="186" t="s">
        <v>15</v>
      </c>
      <c r="V529" s="186" t="s">
        <v>15</v>
      </c>
      <c r="W529" s="186" t="s">
        <v>15</v>
      </c>
      <c r="X529" s="186" t="s">
        <v>15</v>
      </c>
      <c r="Y529" s="186" t="s">
        <v>15</v>
      </c>
      <c r="Z529" s="186"/>
      <c r="AA529" s="186" t="s">
        <v>1153</v>
      </c>
      <c r="AB529" s="186" t="s">
        <v>292</v>
      </c>
      <c r="AC529" s="186" t="s">
        <v>122</v>
      </c>
      <c r="AD529" s="268" t="s">
        <v>1154</v>
      </c>
      <c r="AE529" s="268"/>
      <c r="AF529" s="144" t="str">
        <f t="shared" si="36"/>
        <v/>
      </c>
      <c r="AG529" s="144" t="str">
        <f t="shared" si="35"/>
        <v/>
      </c>
      <c r="AH529" s="146">
        <f t="shared" si="37"/>
        <v>1.43</v>
      </c>
      <c r="AI529" s="146">
        <f t="shared" si="38"/>
        <v>4.03</v>
      </c>
      <c r="AJ529" s="303"/>
      <c r="AK529" s="303"/>
      <c r="AL529" s="303"/>
      <c r="AM529" s="303"/>
      <c r="AN529" s="303"/>
      <c r="AO529" s="303"/>
      <c r="AP529" s="303"/>
      <c r="AQ529" s="303"/>
      <c r="AR529" s="303"/>
      <c r="AS529" s="170"/>
      <c r="AT529" s="170">
        <v>68</v>
      </c>
      <c r="AU529" s="310" t="s">
        <v>1139</v>
      </c>
      <c r="AW529" s="294">
        <v>1.43</v>
      </c>
      <c r="AX529" s="294">
        <v>1.56</v>
      </c>
      <c r="AY529" s="294">
        <v>1.04</v>
      </c>
      <c r="AZ529" s="294">
        <v>0.19</v>
      </c>
      <c r="BA529" s="294">
        <v>0.08</v>
      </c>
      <c r="BB529" s="294"/>
      <c r="BC529" s="294"/>
      <c r="BD529" s="294"/>
      <c r="BE529" s="294"/>
      <c r="BF529" s="393">
        <v>1.43</v>
      </c>
      <c r="BG529" s="383">
        <v>4.4000000000000004</v>
      </c>
      <c r="BH529" s="278"/>
      <c r="BI529" s="365" t="s">
        <v>1150</v>
      </c>
      <c r="BJ529" s="409"/>
    </row>
    <row r="530" spans="1:62" ht="15.75" customHeight="1" thickBot="1" x14ac:dyDescent="0.25">
      <c r="A530" s="154">
        <v>529</v>
      </c>
      <c r="B530" s="155">
        <v>1</v>
      </c>
      <c r="C530" s="148" t="s">
        <v>975</v>
      </c>
      <c r="D530" s="149" t="s">
        <v>3057</v>
      </c>
      <c r="E530" s="148" t="s">
        <v>1063</v>
      </c>
      <c r="F530" s="149" t="s">
        <v>2407</v>
      </c>
      <c r="G530" s="148" t="s">
        <v>122</v>
      </c>
      <c r="H530" s="148" t="s">
        <v>1155</v>
      </c>
      <c r="I530" s="161">
        <v>2012</v>
      </c>
      <c r="J530" s="161" t="s">
        <v>1156</v>
      </c>
      <c r="K530" s="161" t="s">
        <v>1157</v>
      </c>
      <c r="L530" s="161" t="s">
        <v>19</v>
      </c>
      <c r="M530" s="453" t="s">
        <v>4202</v>
      </c>
      <c r="N530" s="186" t="s">
        <v>20</v>
      </c>
      <c r="O530" s="186" t="s">
        <v>15</v>
      </c>
      <c r="P530" s="186" t="s">
        <v>15</v>
      </c>
      <c r="Q530" s="186" t="s">
        <v>15</v>
      </c>
      <c r="R530" s="186" t="s">
        <v>15</v>
      </c>
      <c r="S530" s="186" t="s">
        <v>15</v>
      </c>
      <c r="T530" s="186" t="s">
        <v>15</v>
      </c>
      <c r="U530" s="186" t="s">
        <v>15</v>
      </c>
      <c r="V530" s="186" t="s">
        <v>15</v>
      </c>
      <c r="W530" s="186" t="s">
        <v>15</v>
      </c>
      <c r="X530" s="186" t="s">
        <v>15</v>
      </c>
      <c r="Y530" s="186" t="s">
        <v>15</v>
      </c>
      <c r="Z530" s="186"/>
      <c r="AA530" s="186"/>
      <c r="AB530" s="186" t="s">
        <v>292</v>
      </c>
      <c r="AC530" s="186" t="s">
        <v>122</v>
      </c>
      <c r="AD530" s="271" t="s">
        <v>1158</v>
      </c>
      <c r="AE530" s="268" t="s">
        <v>2440</v>
      </c>
      <c r="AF530" s="144">
        <f t="shared" si="36"/>
        <v>397.72727272727275</v>
      </c>
      <c r="AG530" s="144" t="str">
        <f t="shared" si="35"/>
        <v/>
      </c>
      <c r="AH530" s="146">
        <f t="shared" si="37"/>
        <v>25.197727272727271</v>
      </c>
      <c r="AI530" s="146" t="str">
        <f t="shared" si="38"/>
        <v/>
      </c>
      <c r="AJ530" s="303"/>
      <c r="AK530" s="303"/>
      <c r="AL530" s="303"/>
      <c r="AM530" s="303"/>
      <c r="AN530" s="303"/>
      <c r="AO530" s="303"/>
      <c r="AP530" s="303"/>
      <c r="AQ530" s="303"/>
      <c r="AR530" s="303"/>
      <c r="AS530" s="169">
        <f>175/0.44</f>
        <v>397.72727272727275</v>
      </c>
      <c r="AT530" s="170"/>
      <c r="AU530" s="310"/>
      <c r="AW530" s="294"/>
      <c r="AX530" s="294"/>
      <c r="AY530" s="294"/>
      <c r="AZ530" s="294"/>
      <c r="BA530" s="294"/>
      <c r="BB530" s="294"/>
      <c r="BC530" s="294"/>
      <c r="BD530" s="294"/>
      <c r="BE530" s="294"/>
      <c r="BF530" s="382">
        <f>11087/1000/0.44</f>
        <v>25.197727272727271</v>
      </c>
      <c r="BG530" s="383"/>
      <c r="BH530" s="278"/>
      <c r="BI530" s="365" t="s">
        <v>1150</v>
      </c>
      <c r="BJ530" s="409"/>
    </row>
    <row r="531" spans="1:62" ht="15.75" customHeight="1" thickBot="1" x14ac:dyDescent="0.25">
      <c r="A531" s="156">
        <v>530</v>
      </c>
      <c r="B531" s="155">
        <v>1</v>
      </c>
      <c r="C531" s="148" t="s">
        <v>975</v>
      </c>
      <c r="D531" s="149" t="s">
        <v>3057</v>
      </c>
      <c r="E531" s="148" t="s">
        <v>1063</v>
      </c>
      <c r="F531" s="149" t="s">
        <v>2408</v>
      </c>
      <c r="G531" s="148" t="s">
        <v>122</v>
      </c>
      <c r="H531" s="148" t="s">
        <v>1155</v>
      </c>
      <c r="I531" s="161">
        <v>2012</v>
      </c>
      <c r="J531" s="161" t="s">
        <v>1156</v>
      </c>
      <c r="K531" s="161" t="s">
        <v>1157</v>
      </c>
      <c r="L531" s="161" t="s">
        <v>19</v>
      </c>
      <c r="M531" s="453" t="s">
        <v>4202</v>
      </c>
      <c r="N531" s="186" t="s">
        <v>20</v>
      </c>
      <c r="O531" s="186" t="s">
        <v>15</v>
      </c>
      <c r="P531" s="186" t="s">
        <v>15</v>
      </c>
      <c r="Q531" s="186" t="s">
        <v>15</v>
      </c>
      <c r="R531" s="186" t="s">
        <v>15</v>
      </c>
      <c r="S531" s="186" t="s">
        <v>15</v>
      </c>
      <c r="T531" s="186" t="s">
        <v>15</v>
      </c>
      <c r="U531" s="186" t="s">
        <v>15</v>
      </c>
      <c r="V531" s="186" t="s">
        <v>15</v>
      </c>
      <c r="W531" s="186" t="s">
        <v>15</v>
      </c>
      <c r="X531" s="186" t="s">
        <v>15</v>
      </c>
      <c r="Y531" s="186" t="s">
        <v>15</v>
      </c>
      <c r="Z531" s="186"/>
      <c r="AA531" s="186"/>
      <c r="AB531" s="186" t="s">
        <v>292</v>
      </c>
      <c r="AC531" s="186" t="s">
        <v>122</v>
      </c>
      <c r="AD531" s="271" t="s">
        <v>1158</v>
      </c>
      <c r="AE531" s="268" t="s">
        <v>2440</v>
      </c>
      <c r="AF531" s="144">
        <f t="shared" si="36"/>
        <v>636.36363636363637</v>
      </c>
      <c r="AG531" s="144" t="str">
        <f t="shared" ref="AG531:AG594" si="39">IF(AND(SUM(AJ531:AL531)&lt;&gt;0,SUM(AJ531:AL531)&lt;&gt;AJ531),SUM(AJ531:AL531),"")</f>
        <v/>
      </c>
      <c r="AH531" s="146">
        <f t="shared" si="37"/>
        <v>39.656818181818188</v>
      </c>
      <c r="AI531" s="146" t="str">
        <f t="shared" si="38"/>
        <v/>
      </c>
      <c r="AJ531" s="303"/>
      <c r="AK531" s="303"/>
      <c r="AL531" s="303"/>
      <c r="AM531" s="303"/>
      <c r="AN531" s="303"/>
      <c r="AO531" s="303"/>
      <c r="AP531" s="303"/>
      <c r="AQ531" s="303"/>
      <c r="AR531" s="303"/>
      <c r="AS531" s="169">
        <f>280/0.44</f>
        <v>636.36363636363637</v>
      </c>
      <c r="AT531" s="170"/>
      <c r="AU531" s="310"/>
      <c r="AW531" s="294"/>
      <c r="AX531" s="294"/>
      <c r="AY531" s="294"/>
      <c r="AZ531" s="294"/>
      <c r="BA531" s="294"/>
      <c r="BB531" s="294"/>
      <c r="BC531" s="294"/>
      <c r="BD531" s="294"/>
      <c r="BE531" s="294"/>
      <c r="BF531" s="382">
        <f>17449/1000/0.44</f>
        <v>39.656818181818188</v>
      </c>
      <c r="BG531" s="383"/>
      <c r="BH531" s="278"/>
      <c r="BI531" s="365" t="s">
        <v>1150</v>
      </c>
      <c r="BJ531" s="409"/>
    </row>
    <row r="532" spans="1:62" ht="15.75" customHeight="1" thickBot="1" x14ac:dyDescent="0.25">
      <c r="A532" s="154">
        <v>531</v>
      </c>
      <c r="B532" s="155">
        <v>1</v>
      </c>
      <c r="C532" s="148" t="s">
        <v>760</v>
      </c>
      <c r="D532" s="148" t="s">
        <v>2140</v>
      </c>
      <c r="E532" s="148" t="s">
        <v>13</v>
      </c>
      <c r="F532" s="148" t="s">
        <v>1160</v>
      </c>
      <c r="G532" s="148" t="s">
        <v>15</v>
      </c>
      <c r="H532" s="148" t="s">
        <v>1161</v>
      </c>
      <c r="I532" s="161">
        <v>2014</v>
      </c>
      <c r="J532" s="161" t="s">
        <v>1162</v>
      </c>
      <c r="K532" s="161" t="s">
        <v>1163</v>
      </c>
      <c r="L532" s="161" t="s">
        <v>19</v>
      </c>
      <c r="M532" s="453" t="s">
        <v>4203</v>
      </c>
      <c r="N532" s="186" t="s">
        <v>20</v>
      </c>
      <c r="O532" s="186" t="s">
        <v>15</v>
      </c>
      <c r="P532" s="186" t="s">
        <v>15</v>
      </c>
      <c r="Q532" s="186" t="s">
        <v>15</v>
      </c>
      <c r="R532" s="186" t="s">
        <v>15</v>
      </c>
      <c r="S532" s="186" t="s">
        <v>15</v>
      </c>
      <c r="T532" s="186" t="s">
        <v>15</v>
      </c>
      <c r="U532" s="186" t="s">
        <v>15</v>
      </c>
      <c r="V532" s="186" t="s">
        <v>15</v>
      </c>
      <c r="W532" s="186" t="s">
        <v>15</v>
      </c>
      <c r="X532" s="186" t="s">
        <v>15</v>
      </c>
      <c r="Y532" s="186" t="s">
        <v>15</v>
      </c>
      <c r="Z532" s="186"/>
      <c r="AA532" s="186" t="s">
        <v>1164</v>
      </c>
      <c r="AB532" s="186" t="s">
        <v>15</v>
      </c>
      <c r="AC532" s="186" t="s">
        <v>15</v>
      </c>
      <c r="AD532" s="271" t="s">
        <v>1165</v>
      </c>
      <c r="AE532" s="268" t="s">
        <v>485</v>
      </c>
      <c r="AF532" s="144" t="str">
        <f t="shared" si="36"/>
        <v/>
      </c>
      <c r="AG532" s="144" t="str">
        <f t="shared" si="39"/>
        <v/>
      </c>
      <c r="AH532" s="146">
        <f t="shared" si="37"/>
        <v>0.32700000000000001</v>
      </c>
      <c r="AI532" s="146" t="str">
        <f t="shared" si="38"/>
        <v/>
      </c>
      <c r="AJ532" s="303"/>
      <c r="AK532" s="303"/>
      <c r="AL532" s="303"/>
      <c r="AM532" s="303"/>
      <c r="AN532" s="303"/>
      <c r="AO532" s="303"/>
      <c r="AP532" s="303"/>
      <c r="AQ532" s="303"/>
      <c r="AR532" s="303"/>
      <c r="AS532" s="170"/>
      <c r="AT532" s="170"/>
      <c r="AU532" s="310"/>
      <c r="AW532" s="294"/>
      <c r="AX532" s="294"/>
      <c r="AY532" s="294"/>
      <c r="AZ532" s="294"/>
      <c r="BA532" s="294"/>
      <c r="BB532" s="294"/>
      <c r="BC532" s="294"/>
      <c r="BD532" s="294"/>
      <c r="BE532" s="294"/>
      <c r="BF532" s="382">
        <v>0.32700000000000001</v>
      </c>
      <c r="BG532" s="383"/>
      <c r="BH532" s="278"/>
      <c r="BI532" s="365"/>
      <c r="BJ532" s="409"/>
    </row>
    <row r="533" spans="1:62" ht="15.75" customHeight="1" thickBot="1" x14ac:dyDescent="0.25">
      <c r="A533" s="156">
        <v>532</v>
      </c>
      <c r="B533" s="155">
        <v>1</v>
      </c>
      <c r="C533" s="148" t="s">
        <v>760</v>
      </c>
      <c r="D533" s="148" t="s">
        <v>2140</v>
      </c>
      <c r="E533" s="148" t="s">
        <v>13</v>
      </c>
      <c r="F533" s="148" t="s">
        <v>1166</v>
      </c>
      <c r="G533" s="148" t="s">
        <v>15</v>
      </c>
      <c r="H533" s="148" t="s">
        <v>1161</v>
      </c>
      <c r="I533" s="161">
        <v>2014</v>
      </c>
      <c r="J533" s="161" t="s">
        <v>1162</v>
      </c>
      <c r="K533" s="161" t="s">
        <v>1163</v>
      </c>
      <c r="L533" s="161" t="s">
        <v>19</v>
      </c>
      <c r="M533" s="453" t="s">
        <v>4203</v>
      </c>
      <c r="N533" s="186" t="s">
        <v>20</v>
      </c>
      <c r="O533" s="186" t="s">
        <v>15</v>
      </c>
      <c r="P533" s="186" t="s">
        <v>15</v>
      </c>
      <c r="Q533" s="186" t="s">
        <v>15</v>
      </c>
      <c r="R533" s="186" t="s">
        <v>15</v>
      </c>
      <c r="S533" s="186" t="s">
        <v>15</v>
      </c>
      <c r="T533" s="186" t="s">
        <v>15</v>
      </c>
      <c r="U533" s="186" t="s">
        <v>15</v>
      </c>
      <c r="V533" s="186" t="s">
        <v>15</v>
      </c>
      <c r="W533" s="186" t="s">
        <v>15</v>
      </c>
      <c r="X533" s="186" t="s">
        <v>15</v>
      </c>
      <c r="Y533" s="186" t="s">
        <v>15</v>
      </c>
      <c r="Z533" s="186"/>
      <c r="AA533" s="186" t="s">
        <v>1164</v>
      </c>
      <c r="AB533" s="186" t="s">
        <v>15</v>
      </c>
      <c r="AC533" s="186" t="s">
        <v>15</v>
      </c>
      <c r="AD533" s="271" t="s">
        <v>1165</v>
      </c>
      <c r="AE533" s="268" t="s">
        <v>485</v>
      </c>
      <c r="AF533" s="144" t="str">
        <f t="shared" si="36"/>
        <v/>
      </c>
      <c r="AG533" s="144" t="str">
        <f t="shared" si="39"/>
        <v/>
      </c>
      <c r="AH533" s="146">
        <f t="shared" si="37"/>
        <v>0.30099999999999999</v>
      </c>
      <c r="AI533" s="146" t="str">
        <f t="shared" si="38"/>
        <v/>
      </c>
      <c r="AJ533" s="303"/>
      <c r="AK533" s="303"/>
      <c r="AL533" s="303"/>
      <c r="AM533" s="303"/>
      <c r="AN533" s="303"/>
      <c r="AO533" s="303"/>
      <c r="AP533" s="303"/>
      <c r="AQ533" s="303"/>
      <c r="AR533" s="303"/>
      <c r="AS533" s="170"/>
      <c r="AT533" s="170"/>
      <c r="AU533" s="310"/>
      <c r="AW533" s="294"/>
      <c r="AX533" s="294"/>
      <c r="AY533" s="294"/>
      <c r="AZ533" s="294"/>
      <c r="BA533" s="294"/>
      <c r="BB533" s="294"/>
      <c r="BC533" s="294"/>
      <c r="BD533" s="294"/>
      <c r="BE533" s="294"/>
      <c r="BF533" s="382">
        <v>0.30099999999999999</v>
      </c>
      <c r="BG533" s="383"/>
      <c r="BH533" s="278"/>
      <c r="BI533" s="365"/>
      <c r="BJ533" s="409"/>
    </row>
    <row r="534" spans="1:62" ht="15.75" customHeight="1" thickBot="1" x14ac:dyDescent="0.25">
      <c r="A534" s="154">
        <v>533</v>
      </c>
      <c r="B534" s="155">
        <v>1</v>
      </c>
      <c r="C534" s="148" t="s">
        <v>760</v>
      </c>
      <c r="D534" s="148" t="s">
        <v>2140</v>
      </c>
      <c r="E534" s="148" t="s">
        <v>13</v>
      </c>
      <c r="F534" s="148" t="s">
        <v>1167</v>
      </c>
      <c r="G534" s="148" t="s">
        <v>15</v>
      </c>
      <c r="H534" s="148" t="s">
        <v>1161</v>
      </c>
      <c r="I534" s="161">
        <v>2014</v>
      </c>
      <c r="J534" s="161" t="s">
        <v>1162</v>
      </c>
      <c r="K534" s="161" t="s">
        <v>1163</v>
      </c>
      <c r="L534" s="161" t="s">
        <v>19</v>
      </c>
      <c r="M534" s="453" t="s">
        <v>4203</v>
      </c>
      <c r="N534" s="186" t="s">
        <v>20</v>
      </c>
      <c r="O534" s="186" t="s">
        <v>15</v>
      </c>
      <c r="P534" s="186" t="s">
        <v>15</v>
      </c>
      <c r="Q534" s="186" t="s">
        <v>15</v>
      </c>
      <c r="R534" s="186" t="s">
        <v>15</v>
      </c>
      <c r="S534" s="186" t="s">
        <v>15</v>
      </c>
      <c r="T534" s="186" t="s">
        <v>15</v>
      </c>
      <c r="U534" s="186" t="s">
        <v>15</v>
      </c>
      <c r="V534" s="186" t="s">
        <v>15</v>
      </c>
      <c r="W534" s="186" t="s">
        <v>15</v>
      </c>
      <c r="X534" s="186" t="s">
        <v>15</v>
      </c>
      <c r="Y534" s="186" t="s">
        <v>15</v>
      </c>
      <c r="Z534" s="186"/>
      <c r="AA534" s="186" t="s">
        <v>1164</v>
      </c>
      <c r="AB534" s="186" t="s">
        <v>15</v>
      </c>
      <c r="AC534" s="186" t="s">
        <v>15</v>
      </c>
      <c r="AD534" s="271" t="s">
        <v>1165</v>
      </c>
      <c r="AE534" s="268" t="s">
        <v>485</v>
      </c>
      <c r="AF534" s="144" t="str">
        <f t="shared" si="36"/>
        <v/>
      </c>
      <c r="AG534" s="144" t="str">
        <f t="shared" si="39"/>
        <v/>
      </c>
      <c r="AH534" s="146">
        <f t="shared" si="37"/>
        <v>0.30199999999999999</v>
      </c>
      <c r="AI534" s="146" t="str">
        <f t="shared" si="38"/>
        <v/>
      </c>
      <c r="AJ534" s="303"/>
      <c r="AK534" s="303"/>
      <c r="AL534" s="303"/>
      <c r="AM534" s="303"/>
      <c r="AN534" s="303"/>
      <c r="AO534" s="303"/>
      <c r="AP534" s="303"/>
      <c r="AQ534" s="303"/>
      <c r="AR534" s="303"/>
      <c r="AS534" s="170"/>
      <c r="AT534" s="170"/>
      <c r="AU534" s="310"/>
      <c r="AW534" s="294"/>
      <c r="AX534" s="294"/>
      <c r="AY534" s="294"/>
      <c r="AZ534" s="294"/>
      <c r="BA534" s="294"/>
      <c r="BB534" s="294"/>
      <c r="BC534" s="294"/>
      <c r="BD534" s="294"/>
      <c r="BE534" s="294"/>
      <c r="BF534" s="382">
        <v>0.30199999999999999</v>
      </c>
      <c r="BG534" s="383"/>
      <c r="BH534" s="278"/>
      <c r="BI534" s="365"/>
      <c r="BJ534" s="409"/>
    </row>
    <row r="535" spans="1:62" ht="15.75" customHeight="1" thickBot="1" x14ac:dyDescent="0.25">
      <c r="A535" s="156">
        <v>534</v>
      </c>
      <c r="B535" s="155">
        <v>1</v>
      </c>
      <c r="C535" s="148" t="s">
        <v>760</v>
      </c>
      <c r="D535" s="148" t="s">
        <v>1867</v>
      </c>
      <c r="E535" s="148" t="s">
        <v>13</v>
      </c>
      <c r="F535" s="148" t="s">
        <v>1168</v>
      </c>
      <c r="G535" s="148" t="s">
        <v>20</v>
      </c>
      <c r="H535" s="148" t="s">
        <v>375</v>
      </c>
      <c r="I535" s="161">
        <v>2015</v>
      </c>
      <c r="J535" s="161" t="s">
        <v>1169</v>
      </c>
      <c r="K535" s="161" t="s">
        <v>1170</v>
      </c>
      <c r="L535" s="161" t="s">
        <v>19</v>
      </c>
      <c r="M535" s="453" t="s">
        <v>4204</v>
      </c>
      <c r="N535" s="186" t="s">
        <v>20</v>
      </c>
      <c r="O535" s="186" t="s">
        <v>15</v>
      </c>
      <c r="P535" s="186" t="s">
        <v>15</v>
      </c>
      <c r="Q535" s="186" t="s">
        <v>15</v>
      </c>
      <c r="R535" s="186" t="s">
        <v>15</v>
      </c>
      <c r="S535" s="186" t="s">
        <v>15</v>
      </c>
      <c r="T535" s="186" t="s">
        <v>15</v>
      </c>
      <c r="U535" s="186" t="s">
        <v>15</v>
      </c>
      <c r="V535" s="186" t="s">
        <v>15</v>
      </c>
      <c r="W535" s="186" t="s">
        <v>15</v>
      </c>
      <c r="X535" s="186" t="s">
        <v>15</v>
      </c>
      <c r="Y535" s="186" t="s">
        <v>15</v>
      </c>
      <c r="Z535" s="186"/>
      <c r="AA535" s="186" t="s">
        <v>1171</v>
      </c>
      <c r="AB535" s="186" t="s">
        <v>15</v>
      </c>
      <c r="AC535" s="186" t="s">
        <v>15</v>
      </c>
      <c r="AD535" s="268" t="s">
        <v>837</v>
      </c>
      <c r="AE535" s="268"/>
      <c r="AF535" s="144" t="str">
        <f t="shared" si="36"/>
        <v/>
      </c>
      <c r="AG535" s="144" t="str">
        <f t="shared" si="39"/>
        <v/>
      </c>
      <c r="AH535" s="146">
        <f t="shared" si="37"/>
        <v>4.1900000000000004</v>
      </c>
      <c r="AI535" s="146" t="str">
        <f t="shared" si="38"/>
        <v/>
      </c>
      <c r="AJ535" s="303"/>
      <c r="AK535" s="303"/>
      <c r="AL535" s="303"/>
      <c r="AM535" s="303"/>
      <c r="AN535" s="303"/>
      <c r="AO535" s="303"/>
      <c r="AP535" s="303"/>
      <c r="AQ535" s="303"/>
      <c r="AR535" s="303"/>
      <c r="AS535" s="170"/>
      <c r="AT535" s="170"/>
      <c r="AU535" s="310"/>
      <c r="AW535" s="294"/>
      <c r="AX535" s="294"/>
      <c r="AY535" s="294"/>
      <c r="AZ535" s="294"/>
      <c r="BA535" s="294"/>
      <c r="BB535" s="294"/>
      <c r="BC535" s="294"/>
      <c r="BD535" s="294"/>
      <c r="BE535" s="294"/>
      <c r="BF535" s="382">
        <v>4.1900000000000004</v>
      </c>
      <c r="BG535" s="383"/>
      <c r="BH535" s="278"/>
      <c r="BI535" s="365" t="s">
        <v>1172</v>
      </c>
      <c r="BJ535" s="409"/>
    </row>
    <row r="536" spans="1:62" ht="15.75" customHeight="1" thickBot="1" x14ac:dyDescent="0.25">
      <c r="A536" s="154">
        <v>535</v>
      </c>
      <c r="B536" s="155">
        <v>1</v>
      </c>
      <c r="C536" s="148" t="s">
        <v>760</v>
      </c>
      <c r="D536" s="148" t="s">
        <v>1867</v>
      </c>
      <c r="E536" s="148" t="s">
        <v>13</v>
      </c>
      <c r="F536" s="148" t="s">
        <v>1173</v>
      </c>
      <c r="G536" s="148" t="s">
        <v>20</v>
      </c>
      <c r="H536" s="148" t="s">
        <v>375</v>
      </c>
      <c r="I536" s="161">
        <v>2015</v>
      </c>
      <c r="J536" s="161" t="s">
        <v>1169</v>
      </c>
      <c r="K536" s="161" t="s">
        <v>1170</v>
      </c>
      <c r="L536" s="161" t="s">
        <v>19</v>
      </c>
      <c r="M536" s="453" t="s">
        <v>4204</v>
      </c>
      <c r="N536" s="186" t="s">
        <v>20</v>
      </c>
      <c r="O536" s="186" t="s">
        <v>15</v>
      </c>
      <c r="P536" s="186" t="s">
        <v>15</v>
      </c>
      <c r="Q536" s="186" t="s">
        <v>15</v>
      </c>
      <c r="R536" s="186" t="s">
        <v>15</v>
      </c>
      <c r="S536" s="186" t="s">
        <v>15</v>
      </c>
      <c r="T536" s="186" t="s">
        <v>15</v>
      </c>
      <c r="U536" s="186" t="s">
        <v>15</v>
      </c>
      <c r="V536" s="186" t="s">
        <v>15</v>
      </c>
      <c r="W536" s="186" t="s">
        <v>15</v>
      </c>
      <c r="X536" s="186" t="s">
        <v>15</v>
      </c>
      <c r="Y536" s="186" t="s">
        <v>15</v>
      </c>
      <c r="Z536" s="186"/>
      <c r="AA536" s="186" t="s">
        <v>1171</v>
      </c>
      <c r="AB536" s="186" t="s">
        <v>15</v>
      </c>
      <c r="AC536" s="186" t="s">
        <v>15</v>
      </c>
      <c r="AD536" s="268" t="s">
        <v>837</v>
      </c>
      <c r="AE536" s="268"/>
      <c r="AF536" s="144" t="str">
        <f t="shared" si="36"/>
        <v/>
      </c>
      <c r="AG536" s="144" t="str">
        <f t="shared" si="39"/>
        <v/>
      </c>
      <c r="AH536" s="146">
        <f t="shared" si="37"/>
        <v>8.94</v>
      </c>
      <c r="AI536" s="146" t="str">
        <f t="shared" si="38"/>
        <v/>
      </c>
      <c r="AJ536" s="303"/>
      <c r="AK536" s="303"/>
      <c r="AL536" s="303"/>
      <c r="AM536" s="303"/>
      <c r="AN536" s="303"/>
      <c r="AO536" s="303"/>
      <c r="AP536" s="303"/>
      <c r="AQ536" s="303"/>
      <c r="AR536" s="303"/>
      <c r="AS536" s="170"/>
      <c r="AT536" s="170"/>
      <c r="AU536" s="310"/>
      <c r="AW536" s="294"/>
      <c r="AX536" s="294"/>
      <c r="AY536" s="294"/>
      <c r="AZ536" s="294"/>
      <c r="BA536" s="294"/>
      <c r="BB536" s="294"/>
      <c r="BC536" s="294"/>
      <c r="BD536" s="294"/>
      <c r="BE536" s="294"/>
      <c r="BF536" s="382">
        <v>8.94</v>
      </c>
      <c r="BG536" s="383"/>
      <c r="BH536" s="278"/>
      <c r="BI536" s="365" t="s">
        <v>1172</v>
      </c>
      <c r="BJ536" s="409"/>
    </row>
    <row r="537" spans="1:62" ht="15.75" customHeight="1" thickBot="1" x14ac:dyDescent="0.25">
      <c r="A537" s="156">
        <v>536</v>
      </c>
      <c r="B537" s="155">
        <v>1</v>
      </c>
      <c r="C537" s="148" t="s">
        <v>236</v>
      </c>
      <c r="D537" s="148" t="s">
        <v>2452</v>
      </c>
      <c r="E537" s="148" t="s">
        <v>13</v>
      </c>
      <c r="F537" s="148" t="s">
        <v>1174</v>
      </c>
      <c r="G537" s="148" t="s">
        <v>20</v>
      </c>
      <c r="H537" s="148" t="s">
        <v>375</v>
      </c>
      <c r="I537" s="161">
        <v>2015</v>
      </c>
      <c r="J537" s="161" t="s">
        <v>1169</v>
      </c>
      <c r="K537" s="161" t="s">
        <v>1170</v>
      </c>
      <c r="L537" s="161" t="s">
        <v>19</v>
      </c>
      <c r="M537" s="453" t="s">
        <v>4204</v>
      </c>
      <c r="N537" s="186" t="s">
        <v>20</v>
      </c>
      <c r="O537" s="186" t="s">
        <v>15</v>
      </c>
      <c r="P537" s="186" t="s">
        <v>15</v>
      </c>
      <c r="Q537" s="186" t="s">
        <v>15</v>
      </c>
      <c r="R537" s="186" t="s">
        <v>15</v>
      </c>
      <c r="S537" s="186" t="s">
        <v>15</v>
      </c>
      <c r="T537" s="186" t="s">
        <v>15</v>
      </c>
      <c r="U537" s="186" t="s">
        <v>15</v>
      </c>
      <c r="V537" s="186" t="s">
        <v>15</v>
      </c>
      <c r="W537" s="186" t="s">
        <v>15</v>
      </c>
      <c r="X537" s="186" t="s">
        <v>15</v>
      </c>
      <c r="Y537" s="186" t="s">
        <v>15</v>
      </c>
      <c r="Z537" s="186"/>
      <c r="AA537" s="186" t="s">
        <v>1171</v>
      </c>
      <c r="AB537" s="186" t="s">
        <v>15</v>
      </c>
      <c r="AC537" s="186" t="s">
        <v>15</v>
      </c>
      <c r="AD537" s="268" t="s">
        <v>837</v>
      </c>
      <c r="AE537" s="268"/>
      <c r="AF537" s="144" t="str">
        <f t="shared" si="36"/>
        <v/>
      </c>
      <c r="AG537" s="144" t="str">
        <f t="shared" si="39"/>
        <v/>
      </c>
      <c r="AH537" s="146">
        <f t="shared" si="37"/>
        <v>2.09</v>
      </c>
      <c r="AI537" s="146" t="str">
        <f t="shared" si="38"/>
        <v/>
      </c>
      <c r="AJ537" s="303"/>
      <c r="AK537" s="303"/>
      <c r="AL537" s="303"/>
      <c r="AM537" s="303"/>
      <c r="AN537" s="303"/>
      <c r="AO537" s="303"/>
      <c r="AP537" s="303"/>
      <c r="AQ537" s="303"/>
      <c r="AR537" s="303"/>
      <c r="AS537" s="170"/>
      <c r="AT537" s="170"/>
      <c r="AU537" s="310"/>
      <c r="AW537" s="294"/>
      <c r="AX537" s="294"/>
      <c r="AY537" s="294"/>
      <c r="AZ537" s="294"/>
      <c r="BA537" s="294"/>
      <c r="BB537" s="294"/>
      <c r="BC537" s="294"/>
      <c r="BD537" s="294"/>
      <c r="BE537" s="294"/>
      <c r="BF537" s="382">
        <v>2.09</v>
      </c>
      <c r="BG537" s="383"/>
      <c r="BH537" s="278"/>
      <c r="BI537" s="365" t="s">
        <v>1172</v>
      </c>
      <c r="BJ537" s="409"/>
    </row>
    <row r="538" spans="1:62" ht="15.75" customHeight="1" thickBot="1" x14ac:dyDescent="0.25">
      <c r="A538" s="154">
        <v>537</v>
      </c>
      <c r="B538" s="155">
        <v>1</v>
      </c>
      <c r="C538" s="148" t="s">
        <v>236</v>
      </c>
      <c r="D538" s="148" t="s">
        <v>2452</v>
      </c>
      <c r="E538" s="148" t="s">
        <v>13</v>
      </c>
      <c r="F538" s="148" t="s">
        <v>1175</v>
      </c>
      <c r="G538" s="148" t="s">
        <v>20</v>
      </c>
      <c r="H538" s="148" t="s">
        <v>375</v>
      </c>
      <c r="I538" s="161">
        <v>2015</v>
      </c>
      <c r="J538" s="161" t="s">
        <v>1169</v>
      </c>
      <c r="K538" s="161" t="s">
        <v>1170</v>
      </c>
      <c r="L538" s="161" t="s">
        <v>19</v>
      </c>
      <c r="M538" s="453" t="s">
        <v>4204</v>
      </c>
      <c r="N538" s="186" t="s">
        <v>20</v>
      </c>
      <c r="O538" s="186" t="s">
        <v>15</v>
      </c>
      <c r="P538" s="186" t="s">
        <v>15</v>
      </c>
      <c r="Q538" s="186" t="s">
        <v>15</v>
      </c>
      <c r="R538" s="186" t="s">
        <v>15</v>
      </c>
      <c r="S538" s="186" t="s">
        <v>15</v>
      </c>
      <c r="T538" s="186" t="s">
        <v>15</v>
      </c>
      <c r="U538" s="186" t="s">
        <v>15</v>
      </c>
      <c r="V538" s="186" t="s">
        <v>15</v>
      </c>
      <c r="W538" s="186" t="s">
        <v>15</v>
      </c>
      <c r="X538" s="186" t="s">
        <v>15</v>
      </c>
      <c r="Y538" s="186" t="s">
        <v>15</v>
      </c>
      <c r="Z538" s="186"/>
      <c r="AA538" s="186" t="s">
        <v>1171</v>
      </c>
      <c r="AB538" s="186" t="s">
        <v>15</v>
      </c>
      <c r="AC538" s="186" t="s">
        <v>15</v>
      </c>
      <c r="AD538" s="268" t="s">
        <v>837</v>
      </c>
      <c r="AE538" s="268"/>
      <c r="AF538" s="144" t="str">
        <f t="shared" si="36"/>
        <v/>
      </c>
      <c r="AG538" s="144" t="str">
        <f t="shared" si="39"/>
        <v/>
      </c>
      <c r="AH538" s="146">
        <f t="shared" si="37"/>
        <v>4.47</v>
      </c>
      <c r="AI538" s="146" t="str">
        <f t="shared" si="38"/>
        <v/>
      </c>
      <c r="AJ538" s="303"/>
      <c r="AK538" s="303"/>
      <c r="AL538" s="303"/>
      <c r="AM538" s="303"/>
      <c r="AN538" s="303"/>
      <c r="AO538" s="303"/>
      <c r="AP538" s="303"/>
      <c r="AQ538" s="303"/>
      <c r="AR538" s="303"/>
      <c r="AS538" s="170"/>
      <c r="AT538" s="170"/>
      <c r="AU538" s="310"/>
      <c r="AW538" s="294"/>
      <c r="AX538" s="294"/>
      <c r="AY538" s="294"/>
      <c r="AZ538" s="294"/>
      <c r="BA538" s="294"/>
      <c r="BB538" s="294"/>
      <c r="BC538" s="294"/>
      <c r="BD538" s="294"/>
      <c r="BE538" s="294"/>
      <c r="BF538" s="382">
        <v>4.47</v>
      </c>
      <c r="BG538" s="383"/>
      <c r="BH538" s="278"/>
      <c r="BI538" s="365" t="s">
        <v>1172</v>
      </c>
      <c r="BJ538" s="409"/>
    </row>
    <row r="539" spans="1:62" ht="15.75" customHeight="1" thickBot="1" x14ac:dyDescent="0.25">
      <c r="A539" s="156">
        <v>538</v>
      </c>
      <c r="B539" s="155">
        <v>1</v>
      </c>
      <c r="C539" s="148" t="s">
        <v>760</v>
      </c>
      <c r="D539" s="148" t="s">
        <v>1728</v>
      </c>
      <c r="E539" s="148" t="s">
        <v>13</v>
      </c>
      <c r="F539" s="148" t="s">
        <v>817</v>
      </c>
      <c r="G539" s="148" t="s">
        <v>15</v>
      </c>
      <c r="H539" s="148" t="s">
        <v>1176</v>
      </c>
      <c r="I539" s="161">
        <v>2015</v>
      </c>
      <c r="J539" s="161" t="s">
        <v>1177</v>
      </c>
      <c r="K539" s="161" t="s">
        <v>1178</v>
      </c>
      <c r="L539" s="161" t="s">
        <v>19</v>
      </c>
      <c r="M539" s="453" t="s">
        <v>4205</v>
      </c>
      <c r="N539" s="186" t="s">
        <v>20</v>
      </c>
      <c r="O539" s="186" t="s">
        <v>15</v>
      </c>
      <c r="P539" s="186" t="s">
        <v>20</v>
      </c>
      <c r="Q539" s="186" t="s">
        <v>20</v>
      </c>
      <c r="R539" s="186" t="s">
        <v>15</v>
      </c>
      <c r="S539" s="186" t="s">
        <v>15</v>
      </c>
      <c r="T539" s="186" t="s">
        <v>15</v>
      </c>
      <c r="U539" s="186" t="s">
        <v>15</v>
      </c>
      <c r="V539" s="186" t="s">
        <v>15</v>
      </c>
      <c r="W539" s="186" t="s">
        <v>15</v>
      </c>
      <c r="X539" s="186" t="s">
        <v>15</v>
      </c>
      <c r="Y539" s="186" t="s">
        <v>15</v>
      </c>
      <c r="Z539" s="186" t="s">
        <v>1179</v>
      </c>
      <c r="AA539" s="186" t="s">
        <v>1180</v>
      </c>
      <c r="AB539" s="186" t="s">
        <v>15</v>
      </c>
      <c r="AC539" s="186" t="s">
        <v>20</v>
      </c>
      <c r="AD539" s="268" t="s">
        <v>1181</v>
      </c>
      <c r="AE539" s="268"/>
      <c r="AF539" s="144">
        <f t="shared" si="36"/>
        <v>24</v>
      </c>
      <c r="AG539" s="144">
        <f t="shared" si="39"/>
        <v>29</v>
      </c>
      <c r="AH539" s="146">
        <f t="shared" si="37"/>
        <v>0.79625000000000001</v>
      </c>
      <c r="AI539" s="146">
        <f t="shared" si="38"/>
        <v>0.91</v>
      </c>
      <c r="AJ539" s="303">
        <f>29.5-((1-((35-29.5)/35))*6)</f>
        <v>24.442857142857143</v>
      </c>
      <c r="AK539" s="303"/>
      <c r="AL539" s="303">
        <f>5.5-((1-((35-5.5)/35))*6)</f>
        <v>4.5571428571428569</v>
      </c>
      <c r="AM539" s="303"/>
      <c r="AN539" s="303"/>
      <c r="AO539" s="303"/>
      <c r="AP539" s="303"/>
      <c r="AQ539" s="303"/>
      <c r="AR539" s="303"/>
      <c r="AS539" s="170">
        <v>24</v>
      </c>
      <c r="AT539" s="170">
        <v>29</v>
      </c>
      <c r="AU539" s="310"/>
      <c r="AW539" s="294">
        <f>1.4-((1-((1.6-1.4)/1.6))*0.69)</f>
        <v>0.79625000000000001</v>
      </c>
      <c r="AX539" s="294"/>
      <c r="AY539" s="294">
        <f>0.2-((1-((1.6-0.2)/1.6))*0.69)</f>
        <v>0.11375000000000002</v>
      </c>
      <c r="AZ539" s="294"/>
      <c r="BA539" s="294"/>
      <c r="BB539" s="294"/>
      <c r="BC539" s="294"/>
      <c r="BD539" s="294"/>
      <c r="BE539" s="294"/>
      <c r="BF539" s="388">
        <f>AW539</f>
        <v>0.79625000000000001</v>
      </c>
      <c r="BG539" s="383">
        <f>SUM(AW539:BE539)</f>
        <v>0.91</v>
      </c>
      <c r="BH539" s="278"/>
      <c r="BI539" s="365" t="s">
        <v>638</v>
      </c>
      <c r="BJ539" s="409"/>
    </row>
    <row r="540" spans="1:62" ht="15.75" customHeight="1" thickBot="1" x14ac:dyDescent="0.25">
      <c r="A540" s="154">
        <v>539</v>
      </c>
      <c r="B540" s="155">
        <v>1</v>
      </c>
      <c r="C540" s="148" t="s">
        <v>1110</v>
      </c>
      <c r="D540" s="148" t="s">
        <v>3051</v>
      </c>
      <c r="E540" s="148" t="s">
        <v>13</v>
      </c>
      <c r="F540" s="148" t="s">
        <v>1182</v>
      </c>
      <c r="G540" s="148" t="s">
        <v>15</v>
      </c>
      <c r="H540" s="148" t="s">
        <v>708</v>
      </c>
      <c r="I540" s="163">
        <v>2009</v>
      </c>
      <c r="J540" s="161" t="s">
        <v>1020</v>
      </c>
      <c r="K540" s="161" t="s">
        <v>1183</v>
      </c>
      <c r="L540" s="161" t="s">
        <v>9</v>
      </c>
      <c r="M540" s="453" t="s">
        <v>4206</v>
      </c>
      <c r="N540" s="186" t="s">
        <v>20</v>
      </c>
      <c r="O540" s="186" t="s">
        <v>15</v>
      </c>
      <c r="P540" s="186" t="s">
        <v>20</v>
      </c>
      <c r="Q540" s="186" t="s">
        <v>20</v>
      </c>
      <c r="R540" s="186" t="s">
        <v>20</v>
      </c>
      <c r="S540" s="186" t="s">
        <v>20</v>
      </c>
      <c r="T540" s="186" t="s">
        <v>20</v>
      </c>
      <c r="U540" s="186" t="s">
        <v>20</v>
      </c>
      <c r="V540" s="186" t="s">
        <v>15</v>
      </c>
      <c r="W540" s="186" t="s">
        <v>15</v>
      </c>
      <c r="X540" s="186" t="s">
        <v>15</v>
      </c>
      <c r="Y540" s="186" t="s">
        <v>15</v>
      </c>
      <c r="Z540" s="186"/>
      <c r="AA540" s="186" t="s">
        <v>243</v>
      </c>
      <c r="AB540" s="186" t="s">
        <v>15</v>
      </c>
      <c r="AC540" s="186" t="s">
        <v>15</v>
      </c>
      <c r="AD540" s="268" t="s">
        <v>1184</v>
      </c>
      <c r="AE540" s="268" t="s">
        <v>92</v>
      </c>
      <c r="AF540" s="144" t="str">
        <f t="shared" si="36"/>
        <v/>
      </c>
      <c r="AG540" s="144" t="str">
        <f t="shared" si="39"/>
        <v/>
      </c>
      <c r="AH540" s="146" t="str">
        <f t="shared" si="37"/>
        <v/>
      </c>
      <c r="AI540" s="146" t="str">
        <f t="shared" si="38"/>
        <v/>
      </c>
      <c r="AJ540" s="303"/>
      <c r="AK540" s="303"/>
      <c r="AL540" s="303"/>
      <c r="AM540" s="303"/>
      <c r="AN540" s="303"/>
      <c r="AO540" s="303"/>
      <c r="AP540" s="303"/>
      <c r="AQ540" s="303"/>
      <c r="AR540" s="303"/>
      <c r="AS540" s="170"/>
      <c r="AT540" s="170"/>
      <c r="AU540" s="310"/>
      <c r="AW540" s="294"/>
      <c r="AX540" s="294"/>
      <c r="AY540" s="294"/>
      <c r="AZ540" s="294"/>
      <c r="BA540" s="294"/>
      <c r="BB540" s="294"/>
      <c r="BC540" s="294"/>
      <c r="BD540" s="294"/>
      <c r="BE540" s="294"/>
      <c r="BF540" s="391"/>
      <c r="BG540" s="385">
        <v>3.6</v>
      </c>
      <c r="BH540" s="278"/>
      <c r="BI540" s="365"/>
      <c r="BJ540" s="409"/>
    </row>
    <row r="541" spans="1:62" ht="15.75" customHeight="1" thickBot="1" x14ac:dyDescent="0.25">
      <c r="A541" s="156">
        <v>540</v>
      </c>
      <c r="B541" s="155">
        <v>1</v>
      </c>
      <c r="C541" s="148" t="s">
        <v>1110</v>
      </c>
      <c r="D541" s="148" t="s">
        <v>3051</v>
      </c>
      <c r="E541" s="148" t="s">
        <v>13</v>
      </c>
      <c r="F541" s="148" t="s">
        <v>1185</v>
      </c>
      <c r="G541" s="148" t="s">
        <v>15</v>
      </c>
      <c r="H541" s="148" t="s">
        <v>708</v>
      </c>
      <c r="I541" s="163">
        <v>2009</v>
      </c>
      <c r="J541" s="161" t="s">
        <v>1020</v>
      </c>
      <c r="K541" s="161" t="s">
        <v>1183</v>
      </c>
      <c r="L541" s="161" t="s">
        <v>9</v>
      </c>
      <c r="M541" s="453" t="s">
        <v>4206</v>
      </c>
      <c r="N541" s="186" t="s">
        <v>20</v>
      </c>
      <c r="O541" s="186" t="s">
        <v>15</v>
      </c>
      <c r="P541" s="186" t="s">
        <v>20</v>
      </c>
      <c r="Q541" s="186" t="s">
        <v>20</v>
      </c>
      <c r="R541" s="186" t="s">
        <v>20</v>
      </c>
      <c r="S541" s="186" t="s">
        <v>20</v>
      </c>
      <c r="T541" s="186" t="s">
        <v>20</v>
      </c>
      <c r="U541" s="186" t="s">
        <v>20</v>
      </c>
      <c r="V541" s="186" t="s">
        <v>15</v>
      </c>
      <c r="W541" s="186" t="s">
        <v>15</v>
      </c>
      <c r="X541" s="186" t="s">
        <v>15</v>
      </c>
      <c r="Y541" s="186" t="s">
        <v>15</v>
      </c>
      <c r="Z541" s="186"/>
      <c r="AA541" s="186" t="s">
        <v>243</v>
      </c>
      <c r="AB541" s="186" t="s">
        <v>15</v>
      </c>
      <c r="AC541" s="186" t="s">
        <v>15</v>
      </c>
      <c r="AD541" s="268" t="s">
        <v>1184</v>
      </c>
      <c r="AE541" s="268" t="s">
        <v>92</v>
      </c>
      <c r="AF541" s="144" t="str">
        <f t="shared" si="36"/>
        <v/>
      </c>
      <c r="AG541" s="144" t="str">
        <f t="shared" si="39"/>
        <v/>
      </c>
      <c r="AH541" s="146" t="str">
        <f t="shared" si="37"/>
        <v/>
      </c>
      <c r="AI541" s="146" t="str">
        <f t="shared" si="38"/>
        <v/>
      </c>
      <c r="AJ541" s="303"/>
      <c r="AK541" s="303"/>
      <c r="AL541" s="303"/>
      <c r="AM541" s="303"/>
      <c r="AN541" s="303"/>
      <c r="AO541" s="303"/>
      <c r="AP541" s="303"/>
      <c r="AQ541" s="303"/>
      <c r="AR541" s="303"/>
      <c r="AS541" s="170"/>
      <c r="AT541" s="170"/>
      <c r="AU541" s="310"/>
      <c r="AW541" s="294"/>
      <c r="AX541" s="294"/>
      <c r="AY541" s="294"/>
      <c r="AZ541" s="294"/>
      <c r="BA541" s="294"/>
      <c r="BB541" s="294"/>
      <c r="BC541" s="294"/>
      <c r="BD541" s="294"/>
      <c r="BE541" s="294"/>
      <c r="BF541" s="391"/>
      <c r="BG541" s="385">
        <v>2.1</v>
      </c>
      <c r="BH541" s="278"/>
      <c r="BI541" s="365"/>
      <c r="BJ541" s="409"/>
    </row>
    <row r="542" spans="1:62" ht="15.75" customHeight="1" thickBot="1" x14ac:dyDescent="0.25">
      <c r="A542" s="154">
        <v>541</v>
      </c>
      <c r="B542" s="155">
        <v>1</v>
      </c>
      <c r="C542" s="148" t="s">
        <v>1110</v>
      </c>
      <c r="D542" s="148" t="s">
        <v>3051</v>
      </c>
      <c r="E542" s="148" t="s">
        <v>13</v>
      </c>
      <c r="F542" s="148" t="s">
        <v>1186</v>
      </c>
      <c r="G542" s="148" t="s">
        <v>15</v>
      </c>
      <c r="H542" s="148" t="s">
        <v>708</v>
      </c>
      <c r="I542" s="163">
        <v>2009</v>
      </c>
      <c r="J542" s="161" t="s">
        <v>1020</v>
      </c>
      <c r="K542" s="161" t="s">
        <v>1183</v>
      </c>
      <c r="L542" s="161" t="s">
        <v>9</v>
      </c>
      <c r="M542" s="453" t="s">
        <v>4206</v>
      </c>
      <c r="N542" s="186" t="s">
        <v>20</v>
      </c>
      <c r="O542" s="186" t="s">
        <v>15</v>
      </c>
      <c r="P542" s="186" t="s">
        <v>20</v>
      </c>
      <c r="Q542" s="186" t="s">
        <v>20</v>
      </c>
      <c r="R542" s="186" t="s">
        <v>20</v>
      </c>
      <c r="S542" s="186" t="s">
        <v>20</v>
      </c>
      <c r="T542" s="186" t="s">
        <v>20</v>
      </c>
      <c r="U542" s="186" t="s">
        <v>20</v>
      </c>
      <c r="V542" s="186" t="s">
        <v>15</v>
      </c>
      <c r="W542" s="186" t="s">
        <v>15</v>
      </c>
      <c r="X542" s="186" t="s">
        <v>15</v>
      </c>
      <c r="Y542" s="186" t="s">
        <v>15</v>
      </c>
      <c r="Z542" s="186"/>
      <c r="AA542" s="186" t="s">
        <v>243</v>
      </c>
      <c r="AB542" s="186" t="s">
        <v>15</v>
      </c>
      <c r="AC542" s="186" t="s">
        <v>15</v>
      </c>
      <c r="AD542" s="268" t="s">
        <v>1184</v>
      </c>
      <c r="AE542" s="268" t="s">
        <v>92</v>
      </c>
      <c r="AF542" s="144" t="str">
        <f t="shared" si="36"/>
        <v/>
      </c>
      <c r="AG542" s="144" t="str">
        <f t="shared" si="39"/>
        <v/>
      </c>
      <c r="AH542" s="146" t="str">
        <f t="shared" si="37"/>
        <v/>
      </c>
      <c r="AI542" s="146" t="str">
        <f t="shared" si="38"/>
        <v/>
      </c>
      <c r="AJ542" s="303"/>
      <c r="AK542" s="303"/>
      <c r="AL542" s="303"/>
      <c r="AM542" s="303"/>
      <c r="AN542" s="303"/>
      <c r="AO542" s="303"/>
      <c r="AP542" s="303"/>
      <c r="AQ542" s="303"/>
      <c r="AR542" s="303"/>
      <c r="AS542" s="170"/>
      <c r="AT542" s="170"/>
      <c r="AU542" s="310"/>
      <c r="AW542" s="294"/>
      <c r="AX542" s="294"/>
      <c r="AY542" s="294"/>
      <c r="AZ542" s="294"/>
      <c r="BA542" s="294"/>
      <c r="BB542" s="294"/>
      <c r="BC542" s="294"/>
      <c r="BD542" s="294"/>
      <c r="BE542" s="294"/>
      <c r="BF542" s="391"/>
      <c r="BG542" s="385">
        <v>4.0999999999999996</v>
      </c>
      <c r="BH542" s="278"/>
      <c r="BI542" s="365"/>
      <c r="BJ542" s="409"/>
    </row>
    <row r="543" spans="1:62" ht="15.75" customHeight="1" thickBot="1" x14ac:dyDescent="0.25">
      <c r="A543" s="156">
        <v>542</v>
      </c>
      <c r="B543" s="155">
        <v>1</v>
      </c>
      <c r="C543" s="148" t="s">
        <v>1110</v>
      </c>
      <c r="D543" s="148" t="s">
        <v>3051</v>
      </c>
      <c r="E543" s="148" t="s">
        <v>13</v>
      </c>
      <c r="F543" s="148" t="s">
        <v>1187</v>
      </c>
      <c r="G543" s="148" t="s">
        <v>15</v>
      </c>
      <c r="H543" s="148" t="s">
        <v>708</v>
      </c>
      <c r="I543" s="163">
        <v>2009</v>
      </c>
      <c r="J543" s="161" t="s">
        <v>1020</v>
      </c>
      <c r="K543" s="161" t="s">
        <v>1183</v>
      </c>
      <c r="L543" s="161" t="s">
        <v>9</v>
      </c>
      <c r="M543" s="453" t="s">
        <v>4206</v>
      </c>
      <c r="N543" s="186" t="s">
        <v>20</v>
      </c>
      <c r="O543" s="186" t="s">
        <v>15</v>
      </c>
      <c r="P543" s="186" t="s">
        <v>20</v>
      </c>
      <c r="Q543" s="186" t="s">
        <v>20</v>
      </c>
      <c r="R543" s="186" t="s">
        <v>20</v>
      </c>
      <c r="S543" s="186" t="s">
        <v>20</v>
      </c>
      <c r="T543" s="186" t="s">
        <v>20</v>
      </c>
      <c r="U543" s="186" t="s">
        <v>20</v>
      </c>
      <c r="V543" s="186" t="s">
        <v>15</v>
      </c>
      <c r="W543" s="186" t="s">
        <v>15</v>
      </c>
      <c r="X543" s="186" t="s">
        <v>15</v>
      </c>
      <c r="Y543" s="186" t="s">
        <v>15</v>
      </c>
      <c r="Z543" s="186"/>
      <c r="AA543" s="186" t="s">
        <v>243</v>
      </c>
      <c r="AB543" s="186" t="s">
        <v>15</v>
      </c>
      <c r="AC543" s="186" t="s">
        <v>15</v>
      </c>
      <c r="AD543" s="268" t="s">
        <v>1184</v>
      </c>
      <c r="AE543" s="268" t="s">
        <v>92</v>
      </c>
      <c r="AF543" s="144" t="str">
        <f t="shared" si="36"/>
        <v/>
      </c>
      <c r="AG543" s="144" t="str">
        <f t="shared" si="39"/>
        <v/>
      </c>
      <c r="AH543" s="146" t="str">
        <f t="shared" si="37"/>
        <v/>
      </c>
      <c r="AI543" s="146" t="str">
        <f t="shared" si="38"/>
        <v/>
      </c>
      <c r="AJ543" s="303"/>
      <c r="AK543" s="303"/>
      <c r="AL543" s="303"/>
      <c r="AM543" s="303"/>
      <c r="AN543" s="303"/>
      <c r="AO543" s="303"/>
      <c r="AP543" s="303"/>
      <c r="AQ543" s="303"/>
      <c r="AR543" s="303"/>
      <c r="AS543" s="170"/>
      <c r="AT543" s="170"/>
      <c r="AU543" s="310"/>
      <c r="AW543" s="294"/>
      <c r="AX543" s="294"/>
      <c r="AY543" s="294"/>
      <c r="AZ543" s="294"/>
      <c r="BA543" s="294"/>
      <c r="BB543" s="294"/>
      <c r="BC543" s="294"/>
      <c r="BD543" s="294"/>
      <c r="BE543" s="294"/>
      <c r="BF543" s="391"/>
      <c r="BG543" s="385">
        <v>2.5</v>
      </c>
      <c r="BH543" s="278"/>
      <c r="BI543" s="365"/>
      <c r="BJ543" s="409"/>
    </row>
    <row r="544" spans="1:62" ht="15.75" customHeight="1" thickBot="1" x14ac:dyDescent="0.25">
      <c r="A544" s="154">
        <v>543</v>
      </c>
      <c r="B544" s="155">
        <v>1</v>
      </c>
      <c r="C544" s="148" t="s">
        <v>1110</v>
      </c>
      <c r="D544" s="148" t="s">
        <v>1188</v>
      </c>
      <c r="E544" s="148" t="s">
        <v>13</v>
      </c>
      <c r="F544" s="148" t="s">
        <v>1189</v>
      </c>
      <c r="G544" s="148" t="s">
        <v>15</v>
      </c>
      <c r="H544" s="148" t="s">
        <v>55</v>
      </c>
      <c r="I544" s="163">
        <v>2006</v>
      </c>
      <c r="J544" s="161" t="s">
        <v>1190</v>
      </c>
      <c r="K544" s="161" t="s">
        <v>1191</v>
      </c>
      <c r="L544" s="161" t="s">
        <v>168</v>
      </c>
      <c r="M544" s="453" t="s">
        <v>4207</v>
      </c>
      <c r="N544" s="186" t="s">
        <v>20</v>
      </c>
      <c r="O544" s="186" t="s">
        <v>15</v>
      </c>
      <c r="P544" s="186" t="s">
        <v>20</v>
      </c>
      <c r="Q544" s="186" t="s">
        <v>122</v>
      </c>
      <c r="R544" s="186" t="s">
        <v>122</v>
      </c>
      <c r="S544" s="186" t="s">
        <v>20</v>
      </c>
      <c r="T544" s="186" t="s">
        <v>15</v>
      </c>
      <c r="U544" s="186" t="s">
        <v>15</v>
      </c>
      <c r="V544" s="186" t="s">
        <v>15</v>
      </c>
      <c r="W544" s="186" t="s">
        <v>15</v>
      </c>
      <c r="X544" s="186" t="s">
        <v>15</v>
      </c>
      <c r="Y544" s="186" t="s">
        <v>15</v>
      </c>
      <c r="Z544" s="186"/>
      <c r="AA544" s="186" t="s">
        <v>243</v>
      </c>
      <c r="AB544" s="186" t="s">
        <v>15</v>
      </c>
      <c r="AC544" s="186" t="s">
        <v>15</v>
      </c>
      <c r="AD544" s="268" t="s">
        <v>1192</v>
      </c>
      <c r="AE544" s="268" t="s">
        <v>1193</v>
      </c>
      <c r="AF544" s="144" t="str">
        <f t="shared" si="36"/>
        <v/>
      </c>
      <c r="AG544" s="144" t="str">
        <f t="shared" si="39"/>
        <v/>
      </c>
      <c r="AH544" s="146" t="str">
        <f t="shared" si="37"/>
        <v/>
      </c>
      <c r="AI544" s="146" t="str">
        <f t="shared" si="38"/>
        <v/>
      </c>
      <c r="AJ544" s="303"/>
      <c r="AK544" s="303"/>
      <c r="AL544" s="303"/>
      <c r="AM544" s="303"/>
      <c r="AN544" s="303"/>
      <c r="AO544" s="303"/>
      <c r="AP544" s="303"/>
      <c r="AQ544" s="303"/>
      <c r="AR544" s="303"/>
      <c r="AS544" s="170"/>
      <c r="AT544" s="170"/>
      <c r="AU544" s="310"/>
      <c r="AW544" s="294"/>
      <c r="AX544" s="294"/>
      <c r="AY544" s="294"/>
      <c r="AZ544" s="294"/>
      <c r="BA544" s="294"/>
      <c r="BB544" s="294"/>
      <c r="BC544" s="294"/>
      <c r="BD544" s="294"/>
      <c r="BE544" s="294"/>
      <c r="BF544" s="391"/>
      <c r="BG544" s="385">
        <v>1.325</v>
      </c>
      <c r="BH544" s="278"/>
      <c r="BI544" s="365"/>
      <c r="BJ544" s="409"/>
    </row>
    <row r="545" spans="1:62" ht="15.75" customHeight="1" thickBot="1" x14ac:dyDescent="0.25">
      <c r="A545" s="156">
        <v>544</v>
      </c>
      <c r="B545" s="155">
        <v>1</v>
      </c>
      <c r="C545" s="148" t="s">
        <v>1110</v>
      </c>
      <c r="D545" s="148" t="s">
        <v>1194</v>
      </c>
      <c r="E545" s="148" t="s">
        <v>13</v>
      </c>
      <c r="F545" s="148" t="s">
        <v>1195</v>
      </c>
      <c r="G545" s="148" t="s">
        <v>15</v>
      </c>
      <c r="H545" s="148" t="s">
        <v>239</v>
      </c>
      <c r="I545" s="163">
        <v>2015</v>
      </c>
      <c r="J545" s="161" t="s">
        <v>1196</v>
      </c>
      <c r="K545" s="161" t="s">
        <v>1197</v>
      </c>
      <c r="L545" s="161" t="s">
        <v>19</v>
      </c>
      <c r="M545" s="453" t="s">
        <v>4208</v>
      </c>
      <c r="N545" s="186" t="s">
        <v>20</v>
      </c>
      <c r="O545" s="186" t="s">
        <v>15</v>
      </c>
      <c r="P545" s="186" t="s">
        <v>20</v>
      </c>
      <c r="Q545" s="186" t="s">
        <v>122</v>
      </c>
      <c r="R545" s="186" t="s">
        <v>20</v>
      </c>
      <c r="S545" s="186" t="s">
        <v>122</v>
      </c>
      <c r="T545" s="186" t="s">
        <v>15</v>
      </c>
      <c r="U545" s="186" t="s">
        <v>15</v>
      </c>
      <c r="V545" s="186" t="s">
        <v>15</v>
      </c>
      <c r="W545" s="186" t="s">
        <v>15</v>
      </c>
      <c r="X545" s="186" t="s">
        <v>15</v>
      </c>
      <c r="Y545" s="186" t="s">
        <v>15</v>
      </c>
      <c r="Z545" s="186"/>
      <c r="AA545" s="186" t="s">
        <v>626</v>
      </c>
      <c r="AB545" s="186" t="s">
        <v>15</v>
      </c>
      <c r="AC545" s="186" t="s">
        <v>15</v>
      </c>
      <c r="AD545" s="268" t="s">
        <v>1198</v>
      </c>
      <c r="AE545" s="268" t="s">
        <v>92</v>
      </c>
      <c r="AF545" s="144">
        <f t="shared" si="36"/>
        <v>22.9</v>
      </c>
      <c r="AG545" s="144" t="str">
        <f t="shared" si="39"/>
        <v/>
      </c>
      <c r="AH545" s="146" t="str">
        <f t="shared" si="37"/>
        <v/>
      </c>
      <c r="AI545" s="146" t="str">
        <f t="shared" si="38"/>
        <v/>
      </c>
      <c r="AJ545" s="303"/>
      <c r="AK545" s="303"/>
      <c r="AL545" s="303"/>
      <c r="AM545" s="303"/>
      <c r="AN545" s="303"/>
      <c r="AO545" s="303"/>
      <c r="AP545" s="303"/>
      <c r="AQ545" s="303"/>
      <c r="AR545" s="303"/>
      <c r="AS545" s="169">
        <v>22.9</v>
      </c>
      <c r="AT545" s="172">
        <v>36.700000000000003</v>
      </c>
      <c r="AU545" s="310"/>
      <c r="AW545" s="294"/>
      <c r="AX545" s="294"/>
      <c r="AY545" s="294"/>
      <c r="AZ545" s="294"/>
      <c r="BA545" s="294"/>
      <c r="BB545" s="294"/>
      <c r="BC545" s="294"/>
      <c r="BD545" s="294"/>
      <c r="BE545" s="294"/>
      <c r="BF545" s="391"/>
      <c r="BG545" s="385">
        <v>2.4900000000000002</v>
      </c>
      <c r="BH545" s="278"/>
      <c r="BI545" s="365" t="s">
        <v>47</v>
      </c>
      <c r="BJ545" s="409"/>
    </row>
    <row r="546" spans="1:62" ht="15.75" customHeight="1" thickBot="1" x14ac:dyDescent="0.25">
      <c r="A546" s="154">
        <v>545</v>
      </c>
      <c r="B546" s="155">
        <v>1</v>
      </c>
      <c r="C546" s="148" t="s">
        <v>1110</v>
      </c>
      <c r="D546" s="148" t="s">
        <v>1194</v>
      </c>
      <c r="E546" s="148" t="s">
        <v>13</v>
      </c>
      <c r="F546" s="148" t="s">
        <v>1199</v>
      </c>
      <c r="G546" s="148" t="s">
        <v>15</v>
      </c>
      <c r="H546" s="148" t="s">
        <v>239</v>
      </c>
      <c r="I546" s="163">
        <v>2015</v>
      </c>
      <c r="J546" s="161" t="s">
        <v>1196</v>
      </c>
      <c r="K546" s="161" t="s">
        <v>1197</v>
      </c>
      <c r="L546" s="161" t="s">
        <v>19</v>
      </c>
      <c r="M546" s="453" t="s">
        <v>4208</v>
      </c>
      <c r="N546" s="186" t="s">
        <v>20</v>
      </c>
      <c r="O546" s="186" t="s">
        <v>15</v>
      </c>
      <c r="P546" s="186" t="s">
        <v>20</v>
      </c>
      <c r="Q546" s="186" t="s">
        <v>122</v>
      </c>
      <c r="R546" s="186" t="s">
        <v>20</v>
      </c>
      <c r="S546" s="186" t="s">
        <v>122</v>
      </c>
      <c r="T546" s="186" t="s">
        <v>15</v>
      </c>
      <c r="U546" s="186" t="s">
        <v>15</v>
      </c>
      <c r="V546" s="186" t="s">
        <v>15</v>
      </c>
      <c r="W546" s="186" t="s">
        <v>15</v>
      </c>
      <c r="X546" s="186" t="s">
        <v>15</v>
      </c>
      <c r="Y546" s="186" t="s">
        <v>15</v>
      </c>
      <c r="Z546" s="186"/>
      <c r="AA546" s="186" t="s">
        <v>626</v>
      </c>
      <c r="AB546" s="186" t="s">
        <v>15</v>
      </c>
      <c r="AC546" s="186" t="s">
        <v>15</v>
      </c>
      <c r="AD546" s="268" t="s">
        <v>1198</v>
      </c>
      <c r="AE546" s="268" t="s">
        <v>92</v>
      </c>
      <c r="AF546" s="144" t="str">
        <f t="shared" si="36"/>
        <v/>
      </c>
      <c r="AG546" s="144" t="str">
        <f t="shared" si="39"/>
        <v/>
      </c>
      <c r="AH546" s="146" t="str">
        <f t="shared" si="37"/>
        <v/>
      </c>
      <c r="AI546" s="146" t="str">
        <f t="shared" si="38"/>
        <v/>
      </c>
      <c r="AJ546" s="303"/>
      <c r="AK546" s="303"/>
      <c r="AL546" s="303"/>
      <c r="AM546" s="303"/>
      <c r="AN546" s="303"/>
      <c r="AO546" s="303"/>
      <c r="AP546" s="303"/>
      <c r="AQ546" s="303"/>
      <c r="AR546" s="303"/>
      <c r="AS546" s="170"/>
      <c r="AT546" s="172">
        <v>40.700000000000003</v>
      </c>
      <c r="AU546" s="310"/>
      <c r="AW546" s="294"/>
      <c r="AX546" s="294"/>
      <c r="AY546" s="294"/>
      <c r="AZ546" s="294"/>
      <c r="BA546" s="294"/>
      <c r="BB546" s="294"/>
      <c r="BC546" s="294"/>
      <c r="BD546" s="294"/>
      <c r="BE546" s="294"/>
      <c r="BF546" s="391"/>
      <c r="BG546" s="385">
        <v>2.82</v>
      </c>
      <c r="BH546" s="278"/>
      <c r="BI546" s="365" t="s">
        <v>47</v>
      </c>
      <c r="BJ546" s="409"/>
    </row>
    <row r="547" spans="1:62" ht="15.75" customHeight="1" thickBot="1" x14ac:dyDescent="0.25">
      <c r="A547" s="156">
        <v>546</v>
      </c>
      <c r="B547" s="155">
        <v>1</v>
      </c>
      <c r="C547" s="148" t="s">
        <v>259</v>
      </c>
      <c r="D547" s="148" t="s">
        <v>1200</v>
      </c>
      <c r="E547" s="148" t="s">
        <v>13</v>
      </c>
      <c r="F547" s="148" t="s">
        <v>1201</v>
      </c>
      <c r="G547" s="148"/>
      <c r="H547" s="148" t="s">
        <v>108</v>
      </c>
      <c r="I547" s="163">
        <v>2015</v>
      </c>
      <c r="J547" s="161" t="s">
        <v>1202</v>
      </c>
      <c r="K547" s="161" t="s">
        <v>1203</v>
      </c>
      <c r="L547" s="161" t="s">
        <v>19</v>
      </c>
      <c r="M547" s="453" t="s">
        <v>4209</v>
      </c>
      <c r="N547" s="186" t="s">
        <v>20</v>
      </c>
      <c r="O547" s="186" t="s">
        <v>20</v>
      </c>
      <c r="P547" s="186" t="s">
        <v>20</v>
      </c>
      <c r="Q547" s="186" t="s">
        <v>20</v>
      </c>
      <c r="R547" s="186" t="s">
        <v>20</v>
      </c>
      <c r="S547" s="186" t="s">
        <v>20</v>
      </c>
      <c r="T547" s="186" t="s">
        <v>15</v>
      </c>
      <c r="U547" s="186" t="s">
        <v>15</v>
      </c>
      <c r="V547" s="186" t="s">
        <v>15</v>
      </c>
      <c r="W547" s="186" t="s">
        <v>15</v>
      </c>
      <c r="X547" s="186" t="s">
        <v>15</v>
      </c>
      <c r="Y547" s="186" t="s">
        <v>15</v>
      </c>
      <c r="Z547" s="186"/>
      <c r="AA547" s="186" t="s">
        <v>626</v>
      </c>
      <c r="AB547" s="186" t="s">
        <v>20</v>
      </c>
      <c r="AC547" s="186" t="s">
        <v>15</v>
      </c>
      <c r="AD547" s="268" t="s">
        <v>1204</v>
      </c>
      <c r="AE547" s="268" t="s">
        <v>92</v>
      </c>
      <c r="AF547" s="144" t="str">
        <f t="shared" si="36"/>
        <v/>
      </c>
      <c r="AG547" s="144" t="str">
        <f t="shared" si="39"/>
        <v/>
      </c>
      <c r="AH547" s="146" t="str">
        <f t="shared" si="37"/>
        <v/>
      </c>
      <c r="AI547" s="146" t="str">
        <f t="shared" si="38"/>
        <v/>
      </c>
      <c r="AJ547" s="303"/>
      <c r="AK547" s="303"/>
      <c r="AL547" s="303"/>
      <c r="AM547" s="303"/>
      <c r="AN547" s="303"/>
      <c r="AO547" s="303"/>
      <c r="AP547" s="303"/>
      <c r="AQ547" s="303"/>
      <c r="AR547" s="303"/>
      <c r="AS547" s="170"/>
      <c r="AT547" s="172">
        <v>32.39</v>
      </c>
      <c r="AU547" s="310" t="s">
        <v>1205</v>
      </c>
      <c r="AW547" s="294"/>
      <c r="AX547" s="294"/>
      <c r="AY547" s="294"/>
      <c r="AZ547" s="294"/>
      <c r="BA547" s="294"/>
      <c r="BB547" s="294"/>
      <c r="BC547" s="294"/>
      <c r="BD547" s="294"/>
      <c r="BE547" s="294"/>
      <c r="BF547" s="391"/>
      <c r="BG547" s="385">
        <v>2.64</v>
      </c>
      <c r="BH547" s="278"/>
      <c r="BI547" s="365" t="s">
        <v>1205</v>
      </c>
      <c r="BJ547" s="409"/>
    </row>
    <row r="548" spans="1:62" ht="15.75" customHeight="1" thickBot="1" x14ac:dyDescent="0.25">
      <c r="A548" s="154">
        <v>547</v>
      </c>
      <c r="B548" s="155">
        <v>1</v>
      </c>
      <c r="C548" s="148" t="s">
        <v>259</v>
      </c>
      <c r="D548" s="148" t="s">
        <v>1200</v>
      </c>
      <c r="E548" s="148" t="s">
        <v>13</v>
      </c>
      <c r="F548" s="148" t="s">
        <v>1206</v>
      </c>
      <c r="G548" s="148"/>
      <c r="H548" s="148" t="s">
        <v>108</v>
      </c>
      <c r="I548" s="163">
        <v>2015</v>
      </c>
      <c r="J548" s="161" t="s">
        <v>1202</v>
      </c>
      <c r="K548" s="161" t="s">
        <v>1203</v>
      </c>
      <c r="L548" s="161" t="s">
        <v>19</v>
      </c>
      <c r="M548" s="453" t="s">
        <v>4209</v>
      </c>
      <c r="N548" s="186" t="s">
        <v>20</v>
      </c>
      <c r="O548" s="186" t="s">
        <v>20</v>
      </c>
      <c r="P548" s="186" t="s">
        <v>20</v>
      </c>
      <c r="Q548" s="186" t="s">
        <v>20</v>
      </c>
      <c r="R548" s="186" t="s">
        <v>20</v>
      </c>
      <c r="S548" s="186" t="s">
        <v>20</v>
      </c>
      <c r="T548" s="186" t="s">
        <v>20</v>
      </c>
      <c r="U548" s="186" t="s">
        <v>20</v>
      </c>
      <c r="V548" s="186" t="s">
        <v>15</v>
      </c>
      <c r="W548" s="186" t="s">
        <v>15</v>
      </c>
      <c r="X548" s="186" t="s">
        <v>20</v>
      </c>
      <c r="Y548" s="186" t="s">
        <v>15</v>
      </c>
      <c r="Z548" s="186"/>
      <c r="AA548" s="186" t="s">
        <v>243</v>
      </c>
      <c r="AB548" s="186" t="s">
        <v>20</v>
      </c>
      <c r="AC548" s="186" t="s">
        <v>15</v>
      </c>
      <c r="AD548" s="268" t="s">
        <v>1204</v>
      </c>
      <c r="AE548" s="268" t="s">
        <v>92</v>
      </c>
      <c r="AF548" s="144" t="str">
        <f t="shared" si="36"/>
        <v/>
      </c>
      <c r="AG548" s="144" t="str">
        <f t="shared" si="39"/>
        <v/>
      </c>
      <c r="AH548" s="146" t="str">
        <f t="shared" si="37"/>
        <v/>
      </c>
      <c r="AI548" s="146" t="str">
        <f t="shared" si="38"/>
        <v/>
      </c>
      <c r="AJ548" s="303"/>
      <c r="AK548" s="303"/>
      <c r="AL548" s="303"/>
      <c r="AM548" s="303"/>
      <c r="AN548" s="303"/>
      <c r="AO548" s="303"/>
      <c r="AP548" s="303"/>
      <c r="AQ548" s="303"/>
      <c r="AR548" s="303"/>
      <c r="AS548" s="170"/>
      <c r="AT548" s="172">
        <v>77.489999999999995</v>
      </c>
      <c r="AU548" s="310" t="s">
        <v>1205</v>
      </c>
      <c r="AW548" s="294"/>
      <c r="AX548" s="294"/>
      <c r="AY548" s="294"/>
      <c r="AZ548" s="294"/>
      <c r="BA548" s="294"/>
      <c r="BB548" s="294"/>
      <c r="BC548" s="294"/>
      <c r="BD548" s="294"/>
      <c r="BE548" s="294"/>
      <c r="BF548" s="391"/>
      <c r="BG548" s="385">
        <v>8.84</v>
      </c>
      <c r="BH548" s="278"/>
      <c r="BI548" s="365" t="s">
        <v>1205</v>
      </c>
      <c r="BJ548" s="409"/>
    </row>
    <row r="549" spans="1:62" ht="15.75" customHeight="1" thickBot="1" x14ac:dyDescent="0.25">
      <c r="A549" s="156">
        <v>548</v>
      </c>
      <c r="B549" s="155">
        <v>1</v>
      </c>
      <c r="C549" s="148" t="s">
        <v>398</v>
      </c>
      <c r="D549" s="148" t="s">
        <v>406</v>
      </c>
      <c r="E549" s="148" t="s">
        <v>13</v>
      </c>
      <c r="F549" s="148" t="s">
        <v>406</v>
      </c>
      <c r="G549" s="148" t="s">
        <v>15</v>
      </c>
      <c r="H549" s="148" t="s">
        <v>1104</v>
      </c>
      <c r="I549" s="163">
        <v>2014</v>
      </c>
      <c r="J549" s="161" t="s">
        <v>1207</v>
      </c>
      <c r="K549" s="161" t="s">
        <v>1208</v>
      </c>
      <c r="L549" s="161" t="s">
        <v>168</v>
      </c>
      <c r="M549" s="453" t="s">
        <v>4210</v>
      </c>
      <c r="N549" s="186" t="s">
        <v>20</v>
      </c>
      <c r="O549" s="186" t="s">
        <v>15</v>
      </c>
      <c r="P549" s="186" t="s">
        <v>20</v>
      </c>
      <c r="Q549" s="186" t="s">
        <v>20</v>
      </c>
      <c r="R549" s="186" t="s">
        <v>15</v>
      </c>
      <c r="S549" s="186" t="s">
        <v>15</v>
      </c>
      <c r="T549" s="186" t="s">
        <v>15</v>
      </c>
      <c r="U549" s="186" t="s">
        <v>15</v>
      </c>
      <c r="V549" s="186" t="s">
        <v>15</v>
      </c>
      <c r="W549" s="186" t="s">
        <v>15</v>
      </c>
      <c r="X549" s="186" t="s">
        <v>15</v>
      </c>
      <c r="Y549" s="186" t="s">
        <v>15</v>
      </c>
      <c r="Z549" s="186"/>
      <c r="AA549" s="186" t="s">
        <v>1209</v>
      </c>
      <c r="AB549" s="186" t="s">
        <v>15</v>
      </c>
      <c r="AC549" s="186" t="s">
        <v>15</v>
      </c>
      <c r="AD549" s="268" t="s">
        <v>1210</v>
      </c>
      <c r="AE549" s="268" t="s">
        <v>92</v>
      </c>
      <c r="AF549" s="144" t="str">
        <f t="shared" si="36"/>
        <v/>
      </c>
      <c r="AG549" s="144" t="str">
        <f t="shared" si="39"/>
        <v/>
      </c>
      <c r="AH549" s="146" t="str">
        <f t="shared" si="37"/>
        <v/>
      </c>
      <c r="AI549" s="146" t="str">
        <f t="shared" si="38"/>
        <v/>
      </c>
      <c r="AJ549" s="303"/>
      <c r="AK549" s="303"/>
      <c r="AL549" s="303"/>
      <c r="AM549" s="303"/>
      <c r="AN549" s="303"/>
      <c r="AO549" s="303"/>
      <c r="AP549" s="303"/>
      <c r="AQ549" s="303"/>
      <c r="AR549" s="303"/>
      <c r="AS549" s="170"/>
      <c r="AT549" s="172">
        <v>11.44</v>
      </c>
      <c r="AU549" s="310"/>
      <c r="AW549" s="294"/>
      <c r="AX549" s="294"/>
      <c r="AY549" s="294"/>
      <c r="AZ549" s="294"/>
      <c r="BA549" s="294"/>
      <c r="BB549" s="294"/>
      <c r="BC549" s="294"/>
      <c r="BD549" s="294"/>
      <c r="BE549" s="294"/>
      <c r="BF549" s="391"/>
      <c r="BG549" s="385">
        <v>1.6995199999999999</v>
      </c>
      <c r="BH549" s="278"/>
      <c r="BI549" s="365" t="s">
        <v>47</v>
      </c>
      <c r="BJ549" s="409"/>
    </row>
    <row r="550" spans="1:62" ht="15.75" customHeight="1" thickBot="1" x14ac:dyDescent="0.25">
      <c r="A550" s="154">
        <v>549</v>
      </c>
      <c r="B550" s="155">
        <v>1</v>
      </c>
      <c r="C550" s="148" t="s">
        <v>398</v>
      </c>
      <c r="D550" s="148" t="s">
        <v>1211</v>
      </c>
      <c r="E550" s="148" t="s">
        <v>13</v>
      </c>
      <c r="F550" s="148" t="s">
        <v>1211</v>
      </c>
      <c r="G550" s="148" t="s">
        <v>15</v>
      </c>
      <c r="H550" s="148" t="s">
        <v>42</v>
      </c>
      <c r="I550" s="163">
        <v>2011</v>
      </c>
      <c r="J550" s="161" t="s">
        <v>1212</v>
      </c>
      <c r="K550" s="161" t="s">
        <v>1213</v>
      </c>
      <c r="L550" s="161" t="s">
        <v>19</v>
      </c>
      <c r="M550" s="453" t="s">
        <v>4211</v>
      </c>
      <c r="N550" s="186" t="s">
        <v>20</v>
      </c>
      <c r="O550" s="186" t="s">
        <v>15</v>
      </c>
      <c r="P550" s="186" t="s">
        <v>20</v>
      </c>
      <c r="Q550" s="186" t="s">
        <v>20</v>
      </c>
      <c r="R550" s="186" t="s">
        <v>20</v>
      </c>
      <c r="S550" s="186" t="s">
        <v>15</v>
      </c>
      <c r="T550" s="186" t="s">
        <v>15</v>
      </c>
      <c r="U550" s="186" t="s">
        <v>15</v>
      </c>
      <c r="V550" s="186" t="s">
        <v>15</v>
      </c>
      <c r="W550" s="186" t="s">
        <v>15</v>
      </c>
      <c r="X550" s="186" t="s">
        <v>15</v>
      </c>
      <c r="Y550" s="186" t="s">
        <v>15</v>
      </c>
      <c r="Z550" s="186"/>
      <c r="AA550" s="186" t="s">
        <v>1209</v>
      </c>
      <c r="AB550" s="186" t="s">
        <v>15</v>
      </c>
      <c r="AC550" s="186" t="s">
        <v>15</v>
      </c>
      <c r="AD550" s="268" t="s">
        <v>1214</v>
      </c>
      <c r="AE550" s="268" t="s">
        <v>1215</v>
      </c>
      <c r="AF550" s="144" t="str">
        <f t="shared" si="36"/>
        <v/>
      </c>
      <c r="AG550" s="144" t="str">
        <f t="shared" si="39"/>
        <v/>
      </c>
      <c r="AH550" s="146" t="str">
        <f t="shared" si="37"/>
        <v/>
      </c>
      <c r="AI550" s="146" t="str">
        <f t="shared" si="38"/>
        <v/>
      </c>
      <c r="AJ550" s="303"/>
      <c r="AK550" s="303"/>
      <c r="AL550" s="303"/>
      <c r="AM550" s="303"/>
      <c r="AN550" s="303"/>
      <c r="AO550" s="303"/>
      <c r="AP550" s="303"/>
      <c r="AQ550" s="303"/>
      <c r="AR550" s="303"/>
      <c r="AS550" s="170"/>
      <c r="AT550" s="170"/>
      <c r="AU550" s="310"/>
      <c r="AW550" s="294"/>
      <c r="AX550" s="294"/>
      <c r="AY550" s="294"/>
      <c r="AZ550" s="294"/>
      <c r="BA550" s="294"/>
      <c r="BB550" s="294"/>
      <c r="BC550" s="294"/>
      <c r="BD550" s="294"/>
      <c r="BE550" s="294"/>
      <c r="BF550" s="391"/>
      <c r="BG550" s="383"/>
      <c r="BH550" s="278"/>
      <c r="BI550" s="365"/>
      <c r="BJ550" s="409"/>
    </row>
    <row r="551" spans="1:62" ht="15.75" customHeight="1" thickBot="1" x14ac:dyDescent="0.25">
      <c r="A551" s="156">
        <v>550</v>
      </c>
      <c r="B551" s="155">
        <v>1</v>
      </c>
      <c r="C551" s="148" t="s">
        <v>596</v>
      </c>
      <c r="D551" s="141" t="s">
        <v>2272</v>
      </c>
      <c r="E551" s="148" t="s">
        <v>13</v>
      </c>
      <c r="F551" s="148" t="s">
        <v>1216</v>
      </c>
      <c r="G551" s="148" t="s">
        <v>15</v>
      </c>
      <c r="H551" s="148" t="s">
        <v>42</v>
      </c>
      <c r="I551" s="163">
        <v>2011</v>
      </c>
      <c r="J551" s="161" t="s">
        <v>1212</v>
      </c>
      <c r="K551" s="161" t="s">
        <v>1213</v>
      </c>
      <c r="L551" s="161" t="s">
        <v>19</v>
      </c>
      <c r="M551" s="453" t="s">
        <v>4211</v>
      </c>
      <c r="N551" s="186" t="s">
        <v>20</v>
      </c>
      <c r="O551" s="186" t="s">
        <v>15</v>
      </c>
      <c r="P551" s="186" t="s">
        <v>20</v>
      </c>
      <c r="Q551" s="186" t="s">
        <v>20</v>
      </c>
      <c r="R551" s="186" t="s">
        <v>20</v>
      </c>
      <c r="S551" s="186" t="s">
        <v>15</v>
      </c>
      <c r="T551" s="186" t="s">
        <v>15</v>
      </c>
      <c r="U551" s="186" t="s">
        <v>15</v>
      </c>
      <c r="V551" s="186" t="s">
        <v>15</v>
      </c>
      <c r="W551" s="186" t="s">
        <v>15</v>
      </c>
      <c r="X551" s="186" t="s">
        <v>15</v>
      </c>
      <c r="Y551" s="186" t="s">
        <v>15</v>
      </c>
      <c r="Z551" s="186"/>
      <c r="AA551" s="186" t="s">
        <v>1209</v>
      </c>
      <c r="AB551" s="186" t="s">
        <v>15</v>
      </c>
      <c r="AC551" s="186" t="s">
        <v>15</v>
      </c>
      <c r="AD551" s="268" t="s">
        <v>1217</v>
      </c>
      <c r="AE551" s="268" t="s">
        <v>1218</v>
      </c>
      <c r="AF551" s="144" t="str">
        <f t="shared" si="36"/>
        <v/>
      </c>
      <c r="AG551" s="144" t="str">
        <f t="shared" si="39"/>
        <v/>
      </c>
      <c r="AH551" s="146" t="str">
        <f t="shared" si="37"/>
        <v/>
      </c>
      <c r="AI551" s="146" t="str">
        <f t="shared" si="38"/>
        <v/>
      </c>
      <c r="AJ551" s="303"/>
      <c r="AK551" s="303"/>
      <c r="AL551" s="303"/>
      <c r="AM551" s="303"/>
      <c r="AN551" s="303"/>
      <c r="AO551" s="303"/>
      <c r="AP551" s="303"/>
      <c r="AQ551" s="303"/>
      <c r="AR551" s="303"/>
      <c r="AS551" s="170"/>
      <c r="AT551" s="170"/>
      <c r="AU551" s="310"/>
      <c r="AW551" s="294"/>
      <c r="AX551" s="294"/>
      <c r="AY551" s="294"/>
      <c r="AZ551" s="294"/>
      <c r="BA551" s="294"/>
      <c r="BB551" s="294"/>
      <c r="BC551" s="294"/>
      <c r="BD551" s="294"/>
      <c r="BE551" s="294"/>
      <c r="BF551" s="391"/>
      <c r="BG551" s="383"/>
      <c r="BH551" s="278"/>
      <c r="BI551" s="365"/>
      <c r="BJ551" s="409"/>
    </row>
    <row r="552" spans="1:62" ht="15.75" customHeight="1" thickBot="1" x14ac:dyDescent="0.25">
      <c r="A552" s="154">
        <v>551</v>
      </c>
      <c r="B552" s="155">
        <v>1</v>
      </c>
      <c r="C552" s="148" t="s">
        <v>259</v>
      </c>
      <c r="D552" s="148" t="s">
        <v>2351</v>
      </c>
      <c r="E552" s="148" t="s">
        <v>13</v>
      </c>
      <c r="F552" s="148" t="s">
        <v>1219</v>
      </c>
      <c r="G552" s="148" t="s">
        <v>20</v>
      </c>
      <c r="H552" s="148" t="s">
        <v>1220</v>
      </c>
      <c r="I552" s="163">
        <v>2015</v>
      </c>
      <c r="J552" s="161" t="s">
        <v>1221</v>
      </c>
      <c r="K552" s="161" t="s">
        <v>1222</v>
      </c>
      <c r="L552" s="161" t="s">
        <v>168</v>
      </c>
      <c r="M552" s="453" t="s">
        <v>4212</v>
      </c>
      <c r="N552" s="186" t="s">
        <v>20</v>
      </c>
      <c r="O552" s="186" t="s">
        <v>20</v>
      </c>
      <c r="P552" s="186" t="s">
        <v>15</v>
      </c>
      <c r="Q552" s="186" t="s">
        <v>15</v>
      </c>
      <c r="R552" s="186" t="s">
        <v>15</v>
      </c>
      <c r="S552" s="186" t="s">
        <v>15</v>
      </c>
      <c r="T552" s="186" t="s">
        <v>15</v>
      </c>
      <c r="U552" s="186" t="s">
        <v>15</v>
      </c>
      <c r="V552" s="186" t="s">
        <v>15</v>
      </c>
      <c r="W552" s="186" t="s">
        <v>15</v>
      </c>
      <c r="X552" s="186" t="s">
        <v>15</v>
      </c>
      <c r="Y552" s="186" t="s">
        <v>15</v>
      </c>
      <c r="Z552" s="186"/>
      <c r="AA552" s="186" t="s">
        <v>1131</v>
      </c>
      <c r="AB552" s="186" t="s">
        <v>15</v>
      </c>
      <c r="AC552" s="186" t="s">
        <v>15</v>
      </c>
      <c r="AD552" s="268" t="s">
        <v>1223</v>
      </c>
      <c r="AE552" s="268" t="s">
        <v>604</v>
      </c>
      <c r="AF552" s="144" t="str">
        <f t="shared" si="36"/>
        <v/>
      </c>
      <c r="AG552" s="144" t="str">
        <f t="shared" si="39"/>
        <v/>
      </c>
      <c r="AH552" s="146">
        <f t="shared" si="37"/>
        <v>0.20499999999999999</v>
      </c>
      <c r="AI552" s="146" t="str">
        <f t="shared" si="38"/>
        <v/>
      </c>
      <c r="AJ552" s="303"/>
      <c r="AK552" s="303"/>
      <c r="AL552" s="303"/>
      <c r="AM552" s="303"/>
      <c r="AN552" s="303"/>
      <c r="AO552" s="303"/>
      <c r="AP552" s="303"/>
      <c r="AQ552" s="303"/>
      <c r="AR552" s="303"/>
      <c r="AS552" s="170"/>
      <c r="AT552" s="170"/>
      <c r="AU552" s="310"/>
      <c r="AW552" s="294"/>
      <c r="AX552" s="294"/>
      <c r="AY552" s="294"/>
      <c r="AZ552" s="294"/>
      <c r="BA552" s="294"/>
      <c r="BB552" s="294"/>
      <c r="BC552" s="294"/>
      <c r="BD552" s="294"/>
      <c r="BE552" s="294"/>
      <c r="BF552" s="385">
        <v>0.20499999999999999</v>
      </c>
      <c r="BG552" s="383"/>
      <c r="BH552" s="278"/>
      <c r="BI552" s="365" t="s">
        <v>733</v>
      </c>
      <c r="BJ552" s="409"/>
    </row>
    <row r="553" spans="1:62" ht="15.75" customHeight="1" thickBot="1" x14ac:dyDescent="0.25">
      <c r="A553" s="156">
        <v>552</v>
      </c>
      <c r="B553" s="155">
        <v>1</v>
      </c>
      <c r="C553" s="148" t="s">
        <v>259</v>
      </c>
      <c r="D553" s="148" t="s">
        <v>2351</v>
      </c>
      <c r="E553" s="148" t="s">
        <v>13</v>
      </c>
      <c r="F553" s="148" t="s">
        <v>1224</v>
      </c>
      <c r="G553" s="148" t="s">
        <v>20</v>
      </c>
      <c r="H553" s="148" t="s">
        <v>1220</v>
      </c>
      <c r="I553" s="163">
        <v>2015</v>
      </c>
      <c r="J553" s="161" t="s">
        <v>1221</v>
      </c>
      <c r="K553" s="161" t="s">
        <v>1222</v>
      </c>
      <c r="L553" s="161" t="s">
        <v>168</v>
      </c>
      <c r="M553" s="453" t="s">
        <v>4212</v>
      </c>
      <c r="N553" s="186" t="s">
        <v>20</v>
      </c>
      <c r="O553" s="186" t="s">
        <v>20</v>
      </c>
      <c r="P553" s="186" t="s">
        <v>15</v>
      </c>
      <c r="Q553" s="186" t="s">
        <v>15</v>
      </c>
      <c r="R553" s="186" t="s">
        <v>15</v>
      </c>
      <c r="S553" s="186" t="s">
        <v>15</v>
      </c>
      <c r="T553" s="186" t="s">
        <v>15</v>
      </c>
      <c r="U553" s="186" t="s">
        <v>15</v>
      </c>
      <c r="V553" s="186" t="s">
        <v>15</v>
      </c>
      <c r="W553" s="186" t="s">
        <v>15</v>
      </c>
      <c r="X553" s="186" t="s">
        <v>15</v>
      </c>
      <c r="Y553" s="186" t="s">
        <v>15</v>
      </c>
      <c r="Z553" s="186"/>
      <c r="AA553" s="186" t="s">
        <v>1131</v>
      </c>
      <c r="AB553" s="186" t="s">
        <v>15</v>
      </c>
      <c r="AC553" s="186" t="s">
        <v>15</v>
      </c>
      <c r="AD553" s="268" t="s">
        <v>1223</v>
      </c>
      <c r="AE553" s="268" t="s">
        <v>604</v>
      </c>
      <c r="AF553" s="144" t="str">
        <f t="shared" si="36"/>
        <v/>
      </c>
      <c r="AG553" s="144" t="str">
        <f t="shared" si="39"/>
        <v/>
      </c>
      <c r="AH553" s="146">
        <f t="shared" si="37"/>
        <v>0.17899999999999999</v>
      </c>
      <c r="AI553" s="146" t="str">
        <f t="shared" si="38"/>
        <v/>
      </c>
      <c r="AJ553" s="303"/>
      <c r="AK553" s="303"/>
      <c r="AL553" s="303"/>
      <c r="AM553" s="303"/>
      <c r="AN553" s="303"/>
      <c r="AO553" s="303"/>
      <c r="AP553" s="303"/>
      <c r="AQ553" s="303"/>
      <c r="AR553" s="303"/>
      <c r="AS553" s="170"/>
      <c r="AT553" s="170"/>
      <c r="AU553" s="310"/>
      <c r="AW553" s="294"/>
      <c r="AX553" s="294"/>
      <c r="AY553" s="294"/>
      <c r="AZ553" s="294"/>
      <c r="BA553" s="294"/>
      <c r="BB553" s="294"/>
      <c r="BC553" s="294"/>
      <c r="BD553" s="294"/>
      <c r="BE553" s="294"/>
      <c r="BF553" s="385">
        <v>0.17899999999999999</v>
      </c>
      <c r="BG553" s="383"/>
      <c r="BH553" s="278"/>
      <c r="BI553" s="365" t="s">
        <v>733</v>
      </c>
      <c r="BJ553" s="409"/>
    </row>
    <row r="554" spans="1:62" ht="15.75" customHeight="1" thickBot="1" x14ac:dyDescent="0.25">
      <c r="A554" s="154">
        <v>553</v>
      </c>
      <c r="B554" s="155">
        <v>1</v>
      </c>
      <c r="C554" s="148" t="s">
        <v>259</v>
      </c>
      <c r="D554" s="148" t="s">
        <v>2351</v>
      </c>
      <c r="E554" s="148" t="s">
        <v>13</v>
      </c>
      <c r="F554" s="148" t="s">
        <v>1225</v>
      </c>
      <c r="G554" s="148" t="s">
        <v>20</v>
      </c>
      <c r="H554" s="148" t="s">
        <v>1220</v>
      </c>
      <c r="I554" s="163">
        <v>2015</v>
      </c>
      <c r="J554" s="161" t="s">
        <v>1221</v>
      </c>
      <c r="K554" s="161" t="s">
        <v>1222</v>
      </c>
      <c r="L554" s="161" t="s">
        <v>168</v>
      </c>
      <c r="M554" s="453" t="s">
        <v>4212</v>
      </c>
      <c r="N554" s="186" t="s">
        <v>20</v>
      </c>
      <c r="O554" s="186" t="s">
        <v>20</v>
      </c>
      <c r="P554" s="186" t="s">
        <v>15</v>
      </c>
      <c r="Q554" s="186" t="s">
        <v>15</v>
      </c>
      <c r="R554" s="186" t="s">
        <v>15</v>
      </c>
      <c r="S554" s="186" t="s">
        <v>15</v>
      </c>
      <c r="T554" s="186" t="s">
        <v>15</v>
      </c>
      <c r="U554" s="186" t="s">
        <v>15</v>
      </c>
      <c r="V554" s="186" t="s">
        <v>15</v>
      </c>
      <c r="W554" s="186" t="s">
        <v>15</v>
      </c>
      <c r="X554" s="186" t="s">
        <v>15</v>
      </c>
      <c r="Y554" s="186" t="s">
        <v>15</v>
      </c>
      <c r="Z554" s="186"/>
      <c r="AA554" s="186" t="s">
        <v>1131</v>
      </c>
      <c r="AB554" s="186" t="s">
        <v>15</v>
      </c>
      <c r="AC554" s="186" t="s">
        <v>15</v>
      </c>
      <c r="AD554" s="268" t="s">
        <v>1223</v>
      </c>
      <c r="AE554" s="268" t="s">
        <v>604</v>
      </c>
      <c r="AF554" s="144" t="str">
        <f t="shared" si="36"/>
        <v/>
      </c>
      <c r="AG554" s="144" t="str">
        <f t="shared" si="39"/>
        <v/>
      </c>
      <c r="AH554" s="146">
        <f t="shared" si="37"/>
        <v>0.154</v>
      </c>
      <c r="AI554" s="146" t="str">
        <f t="shared" si="38"/>
        <v/>
      </c>
      <c r="AJ554" s="303"/>
      <c r="AK554" s="303"/>
      <c r="AL554" s="303"/>
      <c r="AM554" s="303"/>
      <c r="AN554" s="303"/>
      <c r="AO554" s="303"/>
      <c r="AP554" s="303"/>
      <c r="AQ554" s="303"/>
      <c r="AR554" s="303"/>
      <c r="AS554" s="170"/>
      <c r="AT554" s="170"/>
      <c r="AU554" s="310"/>
      <c r="AW554" s="294"/>
      <c r="AX554" s="294"/>
      <c r="AY554" s="294"/>
      <c r="AZ554" s="294"/>
      <c r="BA554" s="294"/>
      <c r="BB554" s="294"/>
      <c r="BC554" s="294"/>
      <c r="BD554" s="294"/>
      <c r="BE554" s="294"/>
      <c r="BF554" s="385">
        <v>0.154</v>
      </c>
      <c r="BG554" s="383"/>
      <c r="BH554" s="278"/>
      <c r="BI554" s="365" t="s">
        <v>733</v>
      </c>
      <c r="BJ554" s="409"/>
    </row>
    <row r="555" spans="1:62" ht="15.75" customHeight="1" thickBot="1" x14ac:dyDescent="0.25">
      <c r="A555" s="156">
        <v>554</v>
      </c>
      <c r="B555" s="155">
        <v>1</v>
      </c>
      <c r="C555" s="148" t="s">
        <v>259</v>
      </c>
      <c r="D555" s="148" t="s">
        <v>2351</v>
      </c>
      <c r="E555" s="148" t="s">
        <v>13</v>
      </c>
      <c r="F555" s="148" t="s">
        <v>1219</v>
      </c>
      <c r="G555" s="148" t="s">
        <v>20</v>
      </c>
      <c r="H555" s="148" t="s">
        <v>1226</v>
      </c>
      <c r="I555" s="163">
        <v>2015</v>
      </c>
      <c r="J555" s="161" t="s">
        <v>1221</v>
      </c>
      <c r="K555" s="161" t="s">
        <v>1222</v>
      </c>
      <c r="L555" s="161" t="s">
        <v>168</v>
      </c>
      <c r="M555" s="453" t="s">
        <v>4212</v>
      </c>
      <c r="N555" s="186" t="s">
        <v>20</v>
      </c>
      <c r="O555" s="186" t="s">
        <v>20</v>
      </c>
      <c r="P555" s="186" t="s">
        <v>15</v>
      </c>
      <c r="Q555" s="186" t="s">
        <v>15</v>
      </c>
      <c r="R555" s="186" t="s">
        <v>15</v>
      </c>
      <c r="S555" s="186" t="s">
        <v>15</v>
      </c>
      <c r="T555" s="186" t="s">
        <v>15</v>
      </c>
      <c r="U555" s="186" t="s">
        <v>15</v>
      </c>
      <c r="V555" s="186" t="s">
        <v>15</v>
      </c>
      <c r="W555" s="186" t="s">
        <v>15</v>
      </c>
      <c r="X555" s="186" t="s">
        <v>15</v>
      </c>
      <c r="Y555" s="186" t="s">
        <v>15</v>
      </c>
      <c r="Z555" s="186"/>
      <c r="AA555" s="186" t="s">
        <v>1131</v>
      </c>
      <c r="AB555" s="186" t="s">
        <v>15</v>
      </c>
      <c r="AC555" s="186" t="s">
        <v>15</v>
      </c>
      <c r="AD555" s="268" t="s">
        <v>1223</v>
      </c>
      <c r="AE555" s="268" t="s">
        <v>604</v>
      </c>
      <c r="AF555" s="144" t="str">
        <f t="shared" si="36"/>
        <v/>
      </c>
      <c r="AG555" s="144" t="str">
        <f t="shared" si="39"/>
        <v/>
      </c>
      <c r="AH555" s="146">
        <f t="shared" si="37"/>
        <v>0.2404</v>
      </c>
      <c r="AI555" s="146" t="str">
        <f t="shared" si="38"/>
        <v/>
      </c>
      <c r="AJ555" s="303"/>
      <c r="AK555" s="303"/>
      <c r="AL555" s="303"/>
      <c r="AM555" s="303"/>
      <c r="AN555" s="303"/>
      <c r="AO555" s="303"/>
      <c r="AP555" s="303"/>
      <c r="AQ555" s="303"/>
      <c r="AR555" s="303"/>
      <c r="AS555" s="170"/>
      <c r="AT555" s="170"/>
      <c r="AU555" s="310"/>
      <c r="AW555" s="294"/>
      <c r="AX555" s="294"/>
      <c r="AY555" s="294"/>
      <c r="AZ555" s="294"/>
      <c r="BA555" s="294"/>
      <c r="BB555" s="294"/>
      <c r="BC555" s="294"/>
      <c r="BD555" s="294"/>
      <c r="BE555" s="294"/>
      <c r="BF555" s="385">
        <v>0.2404</v>
      </c>
      <c r="BG555" s="383"/>
      <c r="BH555" s="278"/>
      <c r="BI555" s="365" t="s">
        <v>733</v>
      </c>
      <c r="BJ555" s="409"/>
    </row>
    <row r="556" spans="1:62" ht="15.75" customHeight="1" thickBot="1" x14ac:dyDescent="0.25">
      <c r="A556" s="154">
        <v>555</v>
      </c>
      <c r="B556" s="155">
        <v>1</v>
      </c>
      <c r="C556" s="148" t="s">
        <v>259</v>
      </c>
      <c r="D556" s="148" t="s">
        <v>2351</v>
      </c>
      <c r="E556" s="148" t="s">
        <v>13</v>
      </c>
      <c r="F556" s="148" t="s">
        <v>1224</v>
      </c>
      <c r="G556" s="148" t="s">
        <v>20</v>
      </c>
      <c r="H556" s="148" t="s">
        <v>1226</v>
      </c>
      <c r="I556" s="163">
        <v>2015</v>
      </c>
      <c r="J556" s="161" t="s">
        <v>1221</v>
      </c>
      <c r="K556" s="161" t="s">
        <v>1222</v>
      </c>
      <c r="L556" s="161" t="s">
        <v>168</v>
      </c>
      <c r="M556" s="453" t="s">
        <v>4212</v>
      </c>
      <c r="N556" s="186" t="s">
        <v>20</v>
      </c>
      <c r="O556" s="186" t="s">
        <v>20</v>
      </c>
      <c r="P556" s="186" t="s">
        <v>15</v>
      </c>
      <c r="Q556" s="186" t="s">
        <v>15</v>
      </c>
      <c r="R556" s="186" t="s">
        <v>15</v>
      </c>
      <c r="S556" s="186" t="s">
        <v>15</v>
      </c>
      <c r="T556" s="186" t="s">
        <v>15</v>
      </c>
      <c r="U556" s="186" t="s">
        <v>15</v>
      </c>
      <c r="V556" s="186" t="s">
        <v>15</v>
      </c>
      <c r="W556" s="186" t="s">
        <v>15</v>
      </c>
      <c r="X556" s="186" t="s">
        <v>15</v>
      </c>
      <c r="Y556" s="186" t="s">
        <v>15</v>
      </c>
      <c r="Z556" s="186"/>
      <c r="AA556" s="186" t="s">
        <v>1131</v>
      </c>
      <c r="AB556" s="186" t="s">
        <v>15</v>
      </c>
      <c r="AC556" s="186" t="s">
        <v>15</v>
      </c>
      <c r="AD556" s="268" t="s">
        <v>1223</v>
      </c>
      <c r="AE556" s="268" t="s">
        <v>604</v>
      </c>
      <c r="AF556" s="144" t="str">
        <f t="shared" si="36"/>
        <v/>
      </c>
      <c r="AG556" s="144" t="str">
        <f t="shared" si="39"/>
        <v/>
      </c>
      <c r="AH556" s="146">
        <f t="shared" si="37"/>
        <v>0.214</v>
      </c>
      <c r="AI556" s="146" t="str">
        <f t="shared" si="38"/>
        <v/>
      </c>
      <c r="AJ556" s="303"/>
      <c r="AK556" s="303"/>
      <c r="AL556" s="303"/>
      <c r="AM556" s="303"/>
      <c r="AN556" s="303"/>
      <c r="AO556" s="303"/>
      <c r="AP556" s="303"/>
      <c r="AQ556" s="303"/>
      <c r="AR556" s="303"/>
      <c r="AS556" s="170"/>
      <c r="AT556" s="170"/>
      <c r="AU556" s="310"/>
      <c r="AW556" s="294"/>
      <c r="AX556" s="294"/>
      <c r="AY556" s="294"/>
      <c r="AZ556" s="294"/>
      <c r="BA556" s="294"/>
      <c r="BB556" s="294"/>
      <c r="BC556" s="294"/>
      <c r="BD556" s="294"/>
      <c r="BE556" s="294"/>
      <c r="BF556" s="385">
        <v>0.214</v>
      </c>
      <c r="BG556" s="383"/>
      <c r="BH556" s="278"/>
      <c r="BI556" s="365" t="s">
        <v>733</v>
      </c>
      <c r="BJ556" s="409"/>
    </row>
    <row r="557" spans="1:62" ht="15.75" customHeight="1" thickBot="1" x14ac:dyDescent="0.25">
      <c r="A557" s="156">
        <v>556</v>
      </c>
      <c r="B557" s="155">
        <v>1</v>
      </c>
      <c r="C557" s="148" t="s">
        <v>259</v>
      </c>
      <c r="D557" s="148" t="s">
        <v>2351</v>
      </c>
      <c r="E557" s="148" t="s">
        <v>13</v>
      </c>
      <c r="F557" s="148" t="s">
        <v>1227</v>
      </c>
      <c r="G557" s="148" t="s">
        <v>20</v>
      </c>
      <c r="H557" s="148" t="s">
        <v>1226</v>
      </c>
      <c r="I557" s="163">
        <v>2015</v>
      </c>
      <c r="J557" s="161" t="s">
        <v>1221</v>
      </c>
      <c r="K557" s="161" t="s">
        <v>1222</v>
      </c>
      <c r="L557" s="161" t="s">
        <v>168</v>
      </c>
      <c r="M557" s="453" t="s">
        <v>4212</v>
      </c>
      <c r="N557" s="186" t="s">
        <v>20</v>
      </c>
      <c r="O557" s="186" t="s">
        <v>20</v>
      </c>
      <c r="P557" s="186" t="s">
        <v>15</v>
      </c>
      <c r="Q557" s="186" t="s">
        <v>15</v>
      </c>
      <c r="R557" s="186" t="s">
        <v>15</v>
      </c>
      <c r="S557" s="186" t="s">
        <v>15</v>
      </c>
      <c r="T557" s="186" t="s">
        <v>15</v>
      </c>
      <c r="U557" s="186" t="s">
        <v>15</v>
      </c>
      <c r="V557" s="186" t="s">
        <v>15</v>
      </c>
      <c r="W557" s="186" t="s">
        <v>15</v>
      </c>
      <c r="X557" s="186" t="s">
        <v>15</v>
      </c>
      <c r="Y557" s="186" t="s">
        <v>15</v>
      </c>
      <c r="Z557" s="186"/>
      <c r="AA557" s="186" t="s">
        <v>1131</v>
      </c>
      <c r="AB557" s="186" t="s">
        <v>15</v>
      </c>
      <c r="AC557" s="186" t="s">
        <v>15</v>
      </c>
      <c r="AD557" s="268" t="s">
        <v>1223</v>
      </c>
      <c r="AE557" s="268" t="s">
        <v>604</v>
      </c>
      <c r="AF557" s="144" t="str">
        <f t="shared" si="36"/>
        <v/>
      </c>
      <c r="AG557" s="144" t="str">
        <f t="shared" si="39"/>
        <v/>
      </c>
      <c r="AH557" s="146">
        <f t="shared" si="37"/>
        <v>0.17799999999999999</v>
      </c>
      <c r="AI557" s="146" t="str">
        <f t="shared" si="38"/>
        <v/>
      </c>
      <c r="AJ557" s="303"/>
      <c r="AK557" s="303"/>
      <c r="AL557" s="303"/>
      <c r="AM557" s="303"/>
      <c r="AN557" s="303"/>
      <c r="AO557" s="303"/>
      <c r="AP557" s="303"/>
      <c r="AQ557" s="303"/>
      <c r="AR557" s="303"/>
      <c r="AS557" s="170"/>
      <c r="AT557" s="170"/>
      <c r="AU557" s="310"/>
      <c r="AW557" s="294"/>
      <c r="AX557" s="294"/>
      <c r="AY557" s="294"/>
      <c r="AZ557" s="294"/>
      <c r="BA557" s="294"/>
      <c r="BB557" s="294"/>
      <c r="BC557" s="294"/>
      <c r="BD557" s="294"/>
      <c r="BE557" s="294"/>
      <c r="BF557" s="385">
        <v>0.17799999999999999</v>
      </c>
      <c r="BG557" s="383"/>
      <c r="BH557" s="278"/>
      <c r="BI557" s="365" t="s">
        <v>733</v>
      </c>
      <c r="BJ557" s="409"/>
    </row>
    <row r="558" spans="1:62" ht="15.75" customHeight="1" thickBot="1" x14ac:dyDescent="0.25">
      <c r="A558" s="154">
        <v>557</v>
      </c>
      <c r="B558" s="155">
        <v>1</v>
      </c>
      <c r="C558" s="148" t="s">
        <v>259</v>
      </c>
      <c r="D558" s="148" t="s">
        <v>2236</v>
      </c>
      <c r="E558" s="148" t="s">
        <v>13</v>
      </c>
      <c r="F558" s="148" t="s">
        <v>1229</v>
      </c>
      <c r="G558" s="148" t="s">
        <v>15</v>
      </c>
      <c r="H558" s="148" t="s">
        <v>1230</v>
      </c>
      <c r="I558" s="163">
        <v>2014</v>
      </c>
      <c r="J558" s="161" t="s">
        <v>1231</v>
      </c>
      <c r="K558" s="161" t="s">
        <v>1232</v>
      </c>
      <c r="L558" s="161" t="s">
        <v>19</v>
      </c>
      <c r="M558" s="453" t="s">
        <v>4213</v>
      </c>
      <c r="N558" s="186" t="s">
        <v>20</v>
      </c>
      <c r="O558" s="186" t="s">
        <v>15</v>
      </c>
      <c r="P558" s="186" t="s">
        <v>20</v>
      </c>
      <c r="Q558" s="186" t="s">
        <v>20</v>
      </c>
      <c r="R558" s="186" t="s">
        <v>15</v>
      </c>
      <c r="S558" s="186" t="s">
        <v>15</v>
      </c>
      <c r="T558" s="186" t="s">
        <v>15</v>
      </c>
      <c r="U558" s="186" t="s">
        <v>15</v>
      </c>
      <c r="V558" s="186" t="s">
        <v>15</v>
      </c>
      <c r="W558" s="186" t="s">
        <v>15</v>
      </c>
      <c r="X558" s="186" t="s">
        <v>15</v>
      </c>
      <c r="Y558" s="186" t="s">
        <v>15</v>
      </c>
      <c r="Z558" s="186"/>
      <c r="AA558" s="186" t="s">
        <v>1233</v>
      </c>
      <c r="AB558" s="186" t="s">
        <v>15</v>
      </c>
      <c r="AC558" s="186" t="s">
        <v>20</v>
      </c>
      <c r="AD558" s="268" t="s">
        <v>1234</v>
      </c>
      <c r="AE558" s="268" t="s">
        <v>92</v>
      </c>
      <c r="AF558" s="144" t="str">
        <f t="shared" si="36"/>
        <v/>
      </c>
      <c r="AG558" s="144">
        <f t="shared" si="39"/>
        <v>0.13930000000000001</v>
      </c>
      <c r="AH558" s="146">
        <f t="shared" si="37"/>
        <v>1.4993100000000001</v>
      </c>
      <c r="AI558" s="146" t="str">
        <f t="shared" si="38"/>
        <v/>
      </c>
      <c r="AJ558" s="303"/>
      <c r="AK558" s="303">
        <v>5.7700000000000001E-2</v>
      </c>
      <c r="AL558" s="303">
        <v>8.1600000000000006E-2</v>
      </c>
      <c r="AM558" s="303"/>
      <c r="AN558" s="303"/>
      <c r="AO558" s="303"/>
      <c r="AP558" s="303"/>
      <c r="AQ558" s="303"/>
      <c r="AR558" s="303"/>
      <c r="AS558" s="170"/>
      <c r="AT558" s="170"/>
      <c r="AU558" s="310"/>
      <c r="AV558" s="329" t="s">
        <v>3238</v>
      </c>
      <c r="AW558" s="294">
        <f>0.0624+0.284+0.0298+0.0161+0.00861+1.02+0.0784</f>
        <v>1.4993100000000001</v>
      </c>
      <c r="AX558" s="294"/>
      <c r="AY558" s="294"/>
      <c r="AZ558" s="294"/>
      <c r="BA558" s="294"/>
      <c r="BB558" s="294"/>
      <c r="BC558" s="294"/>
      <c r="BD558" s="294"/>
      <c r="BE558" s="294"/>
      <c r="BF558" s="386">
        <f>AW558</f>
        <v>1.4993100000000001</v>
      </c>
      <c r="BG558" s="386">
        <v>1.55</v>
      </c>
      <c r="BH558" s="278"/>
      <c r="BI558" s="365" t="s">
        <v>47</v>
      </c>
      <c r="BJ558" s="409"/>
    </row>
    <row r="559" spans="1:62" ht="15.75" customHeight="1" thickBot="1" x14ac:dyDescent="0.25">
      <c r="A559" s="154">
        <v>559</v>
      </c>
      <c r="B559" s="155">
        <v>1</v>
      </c>
      <c r="C559" s="148" t="s">
        <v>542</v>
      </c>
      <c r="D559" s="148" t="s">
        <v>1939</v>
      </c>
      <c r="E559" s="148"/>
      <c r="F559" s="148"/>
      <c r="G559" s="148" t="s">
        <v>292</v>
      </c>
      <c r="H559" s="148" t="s">
        <v>351</v>
      </c>
      <c r="I559" s="161">
        <v>2002</v>
      </c>
      <c r="J559" s="161" t="s">
        <v>1235</v>
      </c>
      <c r="K559" s="161" t="s">
        <v>1236</v>
      </c>
      <c r="L559" s="161" t="s">
        <v>19</v>
      </c>
      <c r="M559" s="453" t="s">
        <v>4214</v>
      </c>
      <c r="N559" s="186" t="s">
        <v>20</v>
      </c>
      <c r="O559" s="186" t="s">
        <v>15</v>
      </c>
      <c r="P559" s="186" t="s">
        <v>15</v>
      </c>
      <c r="Q559" s="186" t="s">
        <v>20</v>
      </c>
      <c r="R559" s="186" t="s">
        <v>15</v>
      </c>
      <c r="S559" s="186" t="s">
        <v>15</v>
      </c>
      <c r="T559" s="186" t="s">
        <v>15</v>
      </c>
      <c r="U559" s="186" t="s">
        <v>15</v>
      </c>
      <c r="V559" s="186" t="s">
        <v>15</v>
      </c>
      <c r="W559" s="186" t="s">
        <v>15</v>
      </c>
      <c r="X559" s="186" t="s">
        <v>15</v>
      </c>
      <c r="Y559" s="186" t="s">
        <v>15</v>
      </c>
      <c r="Z559" s="186"/>
      <c r="AA559" s="186" t="s">
        <v>1237</v>
      </c>
      <c r="AB559" s="186" t="s">
        <v>292</v>
      </c>
      <c r="AC559" s="186" t="s">
        <v>292</v>
      </c>
      <c r="AD559" s="268" t="s">
        <v>1238</v>
      </c>
      <c r="AE559" s="268"/>
      <c r="AF559" s="144" t="str">
        <f t="shared" si="36"/>
        <v/>
      </c>
      <c r="AG559" s="144" t="str">
        <f t="shared" si="39"/>
        <v/>
      </c>
      <c r="AH559" s="146" t="str">
        <f t="shared" si="37"/>
        <v/>
      </c>
      <c r="AI559" s="146" t="str">
        <f t="shared" si="38"/>
        <v/>
      </c>
      <c r="AJ559" s="303"/>
      <c r="AK559" s="303"/>
      <c r="AL559" s="303"/>
      <c r="AM559" s="303"/>
      <c r="AN559" s="303"/>
      <c r="AO559" s="303"/>
      <c r="AP559" s="303"/>
      <c r="AQ559" s="303"/>
      <c r="AR559" s="303"/>
      <c r="AS559" s="170"/>
      <c r="AT559" s="170">
        <v>12.5</v>
      </c>
      <c r="AU559" s="310" t="s">
        <v>1239</v>
      </c>
      <c r="AW559" s="294"/>
      <c r="AX559" s="294"/>
      <c r="AY559" s="294"/>
      <c r="AZ559" s="294"/>
      <c r="BA559" s="294"/>
      <c r="BB559" s="294"/>
      <c r="BC559" s="294"/>
      <c r="BD559" s="294"/>
      <c r="BE559" s="294"/>
      <c r="BF559" s="386"/>
      <c r="BG559" s="386"/>
      <c r="BH559" s="278"/>
      <c r="BI559" s="365"/>
      <c r="BJ559" s="409"/>
    </row>
    <row r="560" spans="1:62" ht="15.75" customHeight="1" thickBot="1" x14ac:dyDescent="0.25">
      <c r="A560" s="156">
        <v>560</v>
      </c>
      <c r="B560" s="155">
        <v>1</v>
      </c>
      <c r="C560" s="148" t="s">
        <v>259</v>
      </c>
      <c r="D560" s="148" t="s">
        <v>1936</v>
      </c>
      <c r="E560" s="148"/>
      <c r="F560" s="148"/>
      <c r="G560" s="148" t="s">
        <v>292</v>
      </c>
      <c r="H560" s="148" t="s">
        <v>351</v>
      </c>
      <c r="I560" s="161">
        <v>2002</v>
      </c>
      <c r="J560" s="161" t="s">
        <v>1235</v>
      </c>
      <c r="K560" s="161" t="s">
        <v>1236</v>
      </c>
      <c r="L560" s="161" t="s">
        <v>19</v>
      </c>
      <c r="M560" s="453" t="s">
        <v>4214</v>
      </c>
      <c r="N560" s="186" t="s">
        <v>20</v>
      </c>
      <c r="O560" s="186" t="s">
        <v>15</v>
      </c>
      <c r="P560" s="186" t="s">
        <v>15</v>
      </c>
      <c r="Q560" s="186" t="s">
        <v>20</v>
      </c>
      <c r="R560" s="186" t="s">
        <v>15</v>
      </c>
      <c r="S560" s="186" t="s">
        <v>15</v>
      </c>
      <c r="T560" s="186" t="s">
        <v>15</v>
      </c>
      <c r="U560" s="186" t="s">
        <v>15</v>
      </c>
      <c r="V560" s="186" t="s">
        <v>15</v>
      </c>
      <c r="W560" s="186" t="s">
        <v>15</v>
      </c>
      <c r="X560" s="186" t="s">
        <v>15</v>
      </c>
      <c r="Y560" s="186" t="s">
        <v>15</v>
      </c>
      <c r="Z560" s="186"/>
      <c r="AA560" s="186" t="s">
        <v>1237</v>
      </c>
      <c r="AB560" s="186" t="s">
        <v>292</v>
      </c>
      <c r="AC560" s="186" t="s">
        <v>292</v>
      </c>
      <c r="AD560" s="268" t="s">
        <v>1240</v>
      </c>
      <c r="AE560" s="268"/>
      <c r="AF560" s="144" t="str">
        <f t="shared" si="36"/>
        <v/>
      </c>
      <c r="AG560" s="144" t="str">
        <f t="shared" si="39"/>
        <v/>
      </c>
      <c r="AH560" s="146" t="str">
        <f t="shared" si="37"/>
        <v/>
      </c>
      <c r="AI560" s="146" t="str">
        <f t="shared" si="38"/>
        <v/>
      </c>
      <c r="AJ560" s="303"/>
      <c r="AK560" s="303"/>
      <c r="AL560" s="303"/>
      <c r="AM560" s="303"/>
      <c r="AN560" s="303"/>
      <c r="AO560" s="303"/>
      <c r="AP560" s="303"/>
      <c r="AQ560" s="303"/>
      <c r="AR560" s="303"/>
      <c r="AS560" s="170"/>
      <c r="AT560" s="169">
        <v>4.2</v>
      </c>
      <c r="AU560" s="310" t="s">
        <v>1239</v>
      </c>
      <c r="AW560" s="294"/>
      <c r="AX560" s="294"/>
      <c r="AY560" s="294"/>
      <c r="AZ560" s="294"/>
      <c r="BA560" s="294"/>
      <c r="BB560" s="294"/>
      <c r="BC560" s="294"/>
      <c r="BD560" s="294"/>
      <c r="BE560" s="294"/>
      <c r="BF560" s="386"/>
      <c r="BG560" s="386"/>
      <c r="BH560" s="278"/>
      <c r="BI560" s="365"/>
      <c r="BJ560" s="409"/>
    </row>
    <row r="561" spans="1:62" ht="15.75" customHeight="1" thickBot="1" x14ac:dyDescent="0.25">
      <c r="A561" s="154">
        <v>561</v>
      </c>
      <c r="B561" s="155">
        <v>1</v>
      </c>
      <c r="C561" s="148" t="s">
        <v>542</v>
      </c>
      <c r="D561" s="141" t="s">
        <v>2969</v>
      </c>
      <c r="E561" s="148" t="s">
        <v>13</v>
      </c>
      <c r="F561" s="148" t="s">
        <v>1241</v>
      </c>
      <c r="G561" s="148" t="s">
        <v>292</v>
      </c>
      <c r="H561" s="148" t="s">
        <v>351</v>
      </c>
      <c r="I561" s="161">
        <v>2009</v>
      </c>
      <c r="J561" s="161" t="s">
        <v>1242</v>
      </c>
      <c r="K561" s="161" t="s">
        <v>1236</v>
      </c>
      <c r="L561" s="161" t="s">
        <v>19</v>
      </c>
      <c r="M561" s="453" t="s">
        <v>4215</v>
      </c>
      <c r="N561" s="186" t="s">
        <v>20</v>
      </c>
      <c r="O561" s="186" t="s">
        <v>20</v>
      </c>
      <c r="P561" s="186" t="s">
        <v>15</v>
      </c>
      <c r="Q561" s="186" t="s">
        <v>20</v>
      </c>
      <c r="R561" s="186" t="s">
        <v>15</v>
      </c>
      <c r="S561" s="186" t="s">
        <v>15</v>
      </c>
      <c r="T561" s="186" t="s">
        <v>15</v>
      </c>
      <c r="U561" s="186" t="s">
        <v>15</v>
      </c>
      <c r="V561" s="186" t="s">
        <v>15</v>
      </c>
      <c r="W561" s="186" t="s">
        <v>15</v>
      </c>
      <c r="X561" s="186" t="s">
        <v>15</v>
      </c>
      <c r="Y561" s="186" t="s">
        <v>15</v>
      </c>
      <c r="Z561" s="186"/>
      <c r="AA561" s="186" t="s">
        <v>1243</v>
      </c>
      <c r="AB561" s="186" t="s">
        <v>292</v>
      </c>
      <c r="AC561" s="186" t="s">
        <v>292</v>
      </c>
      <c r="AD561" s="268" t="s">
        <v>1244</v>
      </c>
      <c r="AE561" s="268"/>
      <c r="AF561" s="144" t="str">
        <f t="shared" si="36"/>
        <v/>
      </c>
      <c r="AG561" s="144" t="str">
        <f t="shared" si="39"/>
        <v/>
      </c>
      <c r="AH561" s="146" t="str">
        <f t="shared" si="37"/>
        <v/>
      </c>
      <c r="AI561" s="146" t="str">
        <f t="shared" si="38"/>
        <v/>
      </c>
      <c r="AJ561" s="303"/>
      <c r="AK561" s="303"/>
      <c r="AL561" s="303"/>
      <c r="AM561" s="303"/>
      <c r="AN561" s="303"/>
      <c r="AO561" s="303"/>
      <c r="AP561" s="303"/>
      <c r="AQ561" s="303"/>
      <c r="AR561" s="303"/>
      <c r="AS561" s="170"/>
      <c r="AT561" s="169"/>
      <c r="AU561" s="310"/>
      <c r="AW561" s="294"/>
      <c r="AX561" s="294"/>
      <c r="AY561" s="294"/>
      <c r="AZ561" s="294"/>
      <c r="BA561" s="294"/>
      <c r="BB561" s="294"/>
      <c r="BC561" s="294"/>
      <c r="BD561" s="294"/>
      <c r="BE561" s="294"/>
      <c r="BF561" s="386"/>
      <c r="BG561" s="383">
        <v>1.2</v>
      </c>
      <c r="BH561" s="278" t="s">
        <v>1245</v>
      </c>
      <c r="BI561" s="365"/>
      <c r="BJ561" s="409"/>
    </row>
    <row r="562" spans="1:62" ht="15.75" customHeight="1" thickBot="1" x14ac:dyDescent="0.25">
      <c r="A562" s="156">
        <v>562</v>
      </c>
      <c r="B562" s="155">
        <v>1</v>
      </c>
      <c r="C562" s="148" t="s">
        <v>975</v>
      </c>
      <c r="D562" s="149" t="s">
        <v>3057</v>
      </c>
      <c r="E562" s="148" t="s">
        <v>1246</v>
      </c>
      <c r="F562" s="149" t="s">
        <v>2409</v>
      </c>
      <c r="G562" s="148" t="s">
        <v>292</v>
      </c>
      <c r="H562" s="148" t="s">
        <v>1247</v>
      </c>
      <c r="I562" s="161">
        <v>2015</v>
      </c>
      <c r="J562" s="161" t="s">
        <v>1248</v>
      </c>
      <c r="K562" s="161" t="s">
        <v>1249</v>
      </c>
      <c r="L562" s="161" t="s">
        <v>19</v>
      </c>
      <c r="M562" s="453" t="s">
        <v>4216</v>
      </c>
      <c r="N562" s="186" t="s">
        <v>122</v>
      </c>
      <c r="O562" s="186" t="s">
        <v>292</v>
      </c>
      <c r="P562" s="186" t="s">
        <v>122</v>
      </c>
      <c r="Q562" s="186" t="s">
        <v>122</v>
      </c>
      <c r="R562" s="186" t="s">
        <v>122</v>
      </c>
      <c r="S562" s="186" t="s">
        <v>122</v>
      </c>
      <c r="T562" s="186" t="s">
        <v>122</v>
      </c>
      <c r="U562" s="186" t="s">
        <v>292</v>
      </c>
      <c r="V562" s="186" t="s">
        <v>292</v>
      </c>
      <c r="W562" s="186" t="s">
        <v>292</v>
      </c>
      <c r="X562" s="186" t="s">
        <v>292</v>
      </c>
      <c r="Y562" s="186" t="s">
        <v>292</v>
      </c>
      <c r="Z562" s="186"/>
      <c r="AA562" s="186" t="s">
        <v>1250</v>
      </c>
      <c r="AB562" s="186" t="s">
        <v>122</v>
      </c>
      <c r="AC562" s="186" t="s">
        <v>122</v>
      </c>
      <c r="AD562" s="268" t="s">
        <v>1251</v>
      </c>
      <c r="AE562" s="268"/>
      <c r="AF562" s="144">
        <f t="shared" si="36"/>
        <v>8.76</v>
      </c>
      <c r="AG562" s="144" t="str">
        <f t="shared" si="39"/>
        <v/>
      </c>
      <c r="AH562" s="146">
        <f t="shared" si="37"/>
        <v>1.4169</v>
      </c>
      <c r="AI562" s="146">
        <f t="shared" si="38"/>
        <v>2.0179999999999998</v>
      </c>
      <c r="AJ562" s="303">
        <v>8.76</v>
      </c>
      <c r="AK562" s="303"/>
      <c r="AL562" s="303"/>
      <c r="AM562" s="303">
        <f>28.6+3.9+9.34</f>
        <v>41.84</v>
      </c>
      <c r="AN562" s="303">
        <v>0.34</v>
      </c>
      <c r="AO562" s="303"/>
      <c r="AP562" s="303"/>
      <c r="AQ562" s="303"/>
      <c r="AR562" s="303"/>
      <c r="AS562" s="170">
        <f>AJ562</f>
        <v>8.76</v>
      </c>
      <c r="AT562" s="170">
        <v>51</v>
      </c>
      <c r="AU562" s="310"/>
      <c r="AW562" s="294">
        <v>1.4169</v>
      </c>
      <c r="AX562" s="294"/>
      <c r="AY562" s="294">
        <v>0.60109999999999997</v>
      </c>
      <c r="AZ562" s="294">
        <v>5.5175000000000001</v>
      </c>
      <c r="BA562" s="294">
        <v>2.4E-2</v>
      </c>
      <c r="BB562" s="294"/>
      <c r="BC562" s="294"/>
      <c r="BD562" s="294"/>
      <c r="BE562" s="294"/>
      <c r="BF562" s="383">
        <f>AW562</f>
        <v>1.4169</v>
      </c>
      <c r="BG562" s="382">
        <v>7.6</v>
      </c>
      <c r="BH562" s="278"/>
      <c r="BI562" s="365" t="s">
        <v>1252</v>
      </c>
      <c r="BJ562" s="409"/>
    </row>
    <row r="563" spans="1:62" ht="15.75" customHeight="1" thickBot="1" x14ac:dyDescent="0.25">
      <c r="A563" s="154">
        <v>563</v>
      </c>
      <c r="B563" s="155">
        <v>1</v>
      </c>
      <c r="C563" s="148" t="s">
        <v>975</v>
      </c>
      <c r="D563" s="149" t="s">
        <v>3057</v>
      </c>
      <c r="E563" s="148" t="s">
        <v>13</v>
      </c>
      <c r="F563" s="149" t="s">
        <v>2410</v>
      </c>
      <c r="G563" s="148" t="s">
        <v>292</v>
      </c>
      <c r="H563" s="148" t="s">
        <v>1247</v>
      </c>
      <c r="I563" s="161">
        <v>2015</v>
      </c>
      <c r="J563" s="161" t="s">
        <v>1248</v>
      </c>
      <c r="K563" s="161" t="s">
        <v>1249</v>
      </c>
      <c r="L563" s="161" t="s">
        <v>19</v>
      </c>
      <c r="M563" s="453" t="s">
        <v>4216</v>
      </c>
      <c r="N563" s="186" t="s">
        <v>122</v>
      </c>
      <c r="O563" s="186" t="s">
        <v>292</v>
      </c>
      <c r="P563" s="186" t="s">
        <v>122</v>
      </c>
      <c r="Q563" s="186" t="s">
        <v>122</v>
      </c>
      <c r="R563" s="186" t="s">
        <v>122</v>
      </c>
      <c r="S563" s="186" t="s">
        <v>122</v>
      </c>
      <c r="T563" s="186" t="s">
        <v>122</v>
      </c>
      <c r="U563" s="186" t="s">
        <v>292</v>
      </c>
      <c r="V563" s="186" t="s">
        <v>292</v>
      </c>
      <c r="W563" s="186" t="s">
        <v>292</v>
      </c>
      <c r="X563" s="186" t="s">
        <v>292</v>
      </c>
      <c r="Y563" s="186" t="s">
        <v>292</v>
      </c>
      <c r="Z563" s="186"/>
      <c r="AA563" s="186" t="s">
        <v>1250</v>
      </c>
      <c r="AB563" s="186" t="s">
        <v>122</v>
      </c>
      <c r="AC563" s="186" t="s">
        <v>292</v>
      </c>
      <c r="AD563" s="268" t="s">
        <v>1251</v>
      </c>
      <c r="AE563" s="268"/>
      <c r="AF563" s="144" t="str">
        <f t="shared" si="36"/>
        <v/>
      </c>
      <c r="AG563" s="144" t="str">
        <f t="shared" si="39"/>
        <v/>
      </c>
      <c r="AH563" s="146" t="str">
        <f t="shared" si="37"/>
        <v/>
      </c>
      <c r="AI563" s="146" t="str">
        <f t="shared" si="38"/>
        <v/>
      </c>
      <c r="AJ563" s="303"/>
      <c r="AK563" s="303"/>
      <c r="AL563" s="303"/>
      <c r="AM563" s="303"/>
      <c r="AN563" s="303"/>
      <c r="AO563" s="303"/>
      <c r="AP563" s="303"/>
      <c r="AQ563" s="303"/>
      <c r="AR563" s="303"/>
      <c r="AS563" s="170"/>
      <c r="AT563" s="170">
        <v>13</v>
      </c>
      <c r="AU563" s="310"/>
      <c r="AW563" s="294"/>
      <c r="AX563" s="294"/>
      <c r="AY563" s="294"/>
      <c r="AZ563" s="294"/>
      <c r="BA563" s="294"/>
      <c r="BB563" s="294"/>
      <c r="BC563" s="294"/>
      <c r="BD563" s="294"/>
      <c r="BE563" s="294"/>
      <c r="BF563" s="383"/>
      <c r="BG563" s="383">
        <v>0.8</v>
      </c>
      <c r="BH563" s="278"/>
      <c r="BI563" s="365" t="s">
        <v>1252</v>
      </c>
      <c r="BJ563" s="409"/>
    </row>
    <row r="564" spans="1:62" ht="15.75" customHeight="1" thickBot="1" x14ac:dyDescent="0.25">
      <c r="A564" s="156">
        <v>564</v>
      </c>
      <c r="B564" s="155">
        <v>1</v>
      </c>
      <c r="C564" s="148" t="s">
        <v>975</v>
      </c>
      <c r="D564" s="149" t="s">
        <v>3057</v>
      </c>
      <c r="E564" s="148" t="s">
        <v>1068</v>
      </c>
      <c r="F564" s="149" t="s">
        <v>2411</v>
      </c>
      <c r="G564" s="148" t="s">
        <v>292</v>
      </c>
      <c r="H564" s="148" t="s">
        <v>1247</v>
      </c>
      <c r="I564" s="161">
        <v>2015</v>
      </c>
      <c r="J564" s="161" t="s">
        <v>1248</v>
      </c>
      <c r="K564" s="161" t="s">
        <v>1249</v>
      </c>
      <c r="L564" s="161" t="s">
        <v>19</v>
      </c>
      <c r="M564" s="453" t="s">
        <v>4216</v>
      </c>
      <c r="N564" s="186" t="s">
        <v>122</v>
      </c>
      <c r="O564" s="186" t="s">
        <v>292</v>
      </c>
      <c r="P564" s="186" t="s">
        <v>122</v>
      </c>
      <c r="Q564" s="186" t="s">
        <v>122</v>
      </c>
      <c r="R564" s="186" t="s">
        <v>122</v>
      </c>
      <c r="S564" s="186" t="s">
        <v>122</v>
      </c>
      <c r="T564" s="186" t="s">
        <v>122</v>
      </c>
      <c r="U564" s="186" t="s">
        <v>292</v>
      </c>
      <c r="V564" s="186" t="s">
        <v>292</v>
      </c>
      <c r="W564" s="186" t="s">
        <v>292</v>
      </c>
      <c r="X564" s="186" t="s">
        <v>292</v>
      </c>
      <c r="Y564" s="186" t="s">
        <v>292</v>
      </c>
      <c r="Z564" s="186"/>
      <c r="AA564" s="186" t="s">
        <v>1250</v>
      </c>
      <c r="AB564" s="186" t="s">
        <v>122</v>
      </c>
      <c r="AC564" s="186" t="s">
        <v>292</v>
      </c>
      <c r="AD564" s="268" t="s">
        <v>1251</v>
      </c>
      <c r="AE564" s="268"/>
      <c r="AF564" s="144" t="str">
        <f t="shared" si="36"/>
        <v/>
      </c>
      <c r="AG564" s="144" t="str">
        <f t="shared" si="39"/>
        <v/>
      </c>
      <c r="AH564" s="146" t="str">
        <f t="shared" si="37"/>
        <v/>
      </c>
      <c r="AI564" s="146" t="str">
        <f t="shared" si="38"/>
        <v/>
      </c>
      <c r="AJ564" s="303"/>
      <c r="AK564" s="303"/>
      <c r="AL564" s="303"/>
      <c r="AM564" s="303"/>
      <c r="AN564" s="303"/>
      <c r="AO564" s="303"/>
      <c r="AP564" s="303"/>
      <c r="AQ564" s="303"/>
      <c r="AR564" s="303"/>
      <c r="AS564" s="170"/>
      <c r="AT564" s="169">
        <v>17</v>
      </c>
      <c r="AU564" s="310"/>
      <c r="AW564" s="294"/>
      <c r="AX564" s="294"/>
      <c r="AY564" s="294"/>
      <c r="AZ564" s="294"/>
      <c r="BA564" s="294"/>
      <c r="BB564" s="294"/>
      <c r="BC564" s="294"/>
      <c r="BD564" s="294"/>
      <c r="BE564" s="294"/>
      <c r="BF564" s="383"/>
      <c r="BG564" s="382">
        <v>0.99</v>
      </c>
      <c r="BH564" s="278"/>
      <c r="BI564" s="365" t="s">
        <v>1252</v>
      </c>
      <c r="BJ564" s="409"/>
    </row>
    <row r="565" spans="1:62" ht="15.75" customHeight="1" thickBot="1" x14ac:dyDescent="0.25">
      <c r="A565" s="154">
        <v>565</v>
      </c>
      <c r="B565" s="155">
        <v>1</v>
      </c>
      <c r="C565" s="148" t="s">
        <v>975</v>
      </c>
      <c r="D565" s="148" t="s">
        <v>3056</v>
      </c>
      <c r="E565" s="148" t="s">
        <v>1069</v>
      </c>
      <c r="F565" s="149" t="s">
        <v>2412</v>
      </c>
      <c r="G565" s="148" t="s">
        <v>122</v>
      </c>
      <c r="H565" s="148" t="s">
        <v>1099</v>
      </c>
      <c r="I565" s="161">
        <v>2015</v>
      </c>
      <c r="J565" s="161" t="s">
        <v>1253</v>
      </c>
      <c r="K565" s="161" t="s">
        <v>1254</v>
      </c>
      <c r="L565" s="161" t="s">
        <v>19</v>
      </c>
      <c r="M565" s="453" t="s">
        <v>4217</v>
      </c>
      <c r="N565" s="186" t="s">
        <v>122</v>
      </c>
      <c r="O565" s="186" t="s">
        <v>292</v>
      </c>
      <c r="P565" s="186" t="s">
        <v>292</v>
      </c>
      <c r="Q565" s="186" t="s">
        <v>292</v>
      </c>
      <c r="R565" s="186" t="s">
        <v>292</v>
      </c>
      <c r="S565" s="186" t="s">
        <v>292</v>
      </c>
      <c r="T565" s="186" t="s">
        <v>292</v>
      </c>
      <c r="U565" s="186" t="s">
        <v>292</v>
      </c>
      <c r="V565" s="186" t="s">
        <v>292</v>
      </c>
      <c r="W565" s="186" t="s">
        <v>292</v>
      </c>
      <c r="X565" s="186" t="s">
        <v>292</v>
      </c>
      <c r="Y565" s="186" t="s">
        <v>292</v>
      </c>
      <c r="Z565" s="186"/>
      <c r="AA565" s="186"/>
      <c r="AB565" s="186" t="s">
        <v>292</v>
      </c>
      <c r="AC565" s="186" t="s">
        <v>122</v>
      </c>
      <c r="AD565" s="268" t="s">
        <v>1255</v>
      </c>
      <c r="AE565" s="271" t="s">
        <v>2435</v>
      </c>
      <c r="AF565" s="144">
        <f t="shared" si="36"/>
        <v>43.888888888888893</v>
      </c>
      <c r="AG565" s="144" t="str">
        <f t="shared" si="39"/>
        <v/>
      </c>
      <c r="AH565" s="146">
        <f t="shared" si="37"/>
        <v>3.0694444444444446</v>
      </c>
      <c r="AI565" s="146" t="str">
        <f t="shared" si="38"/>
        <v/>
      </c>
      <c r="AJ565" s="303"/>
      <c r="AK565" s="303"/>
      <c r="AL565" s="303"/>
      <c r="AM565" s="303"/>
      <c r="AN565" s="303"/>
      <c r="AO565" s="303"/>
      <c r="AP565" s="303"/>
      <c r="AQ565" s="303"/>
      <c r="AR565" s="303"/>
      <c r="AS565" s="170">
        <f>31.6/0.72</f>
        <v>43.888888888888893</v>
      </c>
      <c r="AT565" s="169"/>
      <c r="AU565" s="310"/>
      <c r="AW565" s="294"/>
      <c r="AX565" s="294"/>
      <c r="AY565" s="294"/>
      <c r="AZ565" s="294"/>
      <c r="BA565" s="294"/>
      <c r="BB565" s="294"/>
      <c r="BC565" s="294"/>
      <c r="BD565" s="294"/>
      <c r="BE565" s="294"/>
      <c r="BF565" s="383">
        <f>2.21/0.72</f>
        <v>3.0694444444444446</v>
      </c>
      <c r="BG565" s="382"/>
      <c r="BH565" s="278"/>
      <c r="BI565" s="365" t="s">
        <v>1256</v>
      </c>
      <c r="BJ565" s="409"/>
    </row>
    <row r="566" spans="1:62" ht="15.75" customHeight="1" thickBot="1" x14ac:dyDescent="0.25">
      <c r="A566" s="156">
        <v>566</v>
      </c>
      <c r="B566" s="155">
        <v>1</v>
      </c>
      <c r="C566" s="148" t="s">
        <v>975</v>
      </c>
      <c r="D566" s="148" t="s">
        <v>3056</v>
      </c>
      <c r="E566" s="148" t="s">
        <v>1069</v>
      </c>
      <c r="F566" s="149" t="s">
        <v>2413</v>
      </c>
      <c r="G566" s="148" t="s">
        <v>122</v>
      </c>
      <c r="H566" s="148" t="s">
        <v>1099</v>
      </c>
      <c r="I566" s="161">
        <v>2015</v>
      </c>
      <c r="J566" s="161" t="s">
        <v>1253</v>
      </c>
      <c r="K566" s="161" t="s">
        <v>1254</v>
      </c>
      <c r="L566" s="161" t="s">
        <v>19</v>
      </c>
      <c r="M566" s="453" t="s">
        <v>4217</v>
      </c>
      <c r="N566" s="186" t="s">
        <v>122</v>
      </c>
      <c r="O566" s="186" t="s">
        <v>292</v>
      </c>
      <c r="P566" s="186" t="s">
        <v>292</v>
      </c>
      <c r="Q566" s="186" t="s">
        <v>292</v>
      </c>
      <c r="R566" s="186" t="s">
        <v>292</v>
      </c>
      <c r="S566" s="186" t="s">
        <v>292</v>
      </c>
      <c r="T566" s="186" t="s">
        <v>292</v>
      </c>
      <c r="U566" s="186" t="s">
        <v>292</v>
      </c>
      <c r="V566" s="186" t="s">
        <v>292</v>
      </c>
      <c r="W566" s="186" t="s">
        <v>292</v>
      </c>
      <c r="X566" s="186" t="s">
        <v>292</v>
      </c>
      <c r="Y566" s="186" t="s">
        <v>292</v>
      </c>
      <c r="Z566" s="186"/>
      <c r="AA566" s="186"/>
      <c r="AB566" s="186" t="s">
        <v>292</v>
      </c>
      <c r="AC566" s="186" t="s">
        <v>122</v>
      </c>
      <c r="AD566" s="268" t="s">
        <v>1255</v>
      </c>
      <c r="AE566" s="271" t="s">
        <v>2435</v>
      </c>
      <c r="AF566" s="144">
        <f t="shared" si="36"/>
        <v>53.472222222222221</v>
      </c>
      <c r="AG566" s="144" t="str">
        <f t="shared" si="39"/>
        <v/>
      </c>
      <c r="AH566" s="146">
        <f t="shared" si="37"/>
        <v>3.6944444444444446</v>
      </c>
      <c r="AI566" s="146" t="str">
        <f t="shared" si="38"/>
        <v/>
      </c>
      <c r="AJ566" s="303"/>
      <c r="AK566" s="303"/>
      <c r="AL566" s="303"/>
      <c r="AM566" s="303"/>
      <c r="AN566" s="303"/>
      <c r="AO566" s="303"/>
      <c r="AP566" s="303"/>
      <c r="AQ566" s="303"/>
      <c r="AR566" s="303"/>
      <c r="AS566" s="169">
        <f>38.5/0.72</f>
        <v>53.472222222222221</v>
      </c>
      <c r="AT566" s="170"/>
      <c r="AU566" s="310"/>
      <c r="AW566" s="294"/>
      <c r="AX566" s="294"/>
      <c r="AY566" s="294"/>
      <c r="AZ566" s="294"/>
      <c r="BA566" s="294"/>
      <c r="BB566" s="294"/>
      <c r="BC566" s="294"/>
      <c r="BD566" s="294"/>
      <c r="BE566" s="294"/>
      <c r="BF566" s="382">
        <f>2.66/0.72</f>
        <v>3.6944444444444446</v>
      </c>
      <c r="BG566" s="383"/>
      <c r="BH566" s="278"/>
      <c r="BI566" s="365" t="s">
        <v>1256</v>
      </c>
      <c r="BJ566" s="409"/>
    </row>
    <row r="567" spans="1:62" ht="15.75" customHeight="1" thickBot="1" x14ac:dyDescent="0.25">
      <c r="A567" s="154">
        <v>567</v>
      </c>
      <c r="B567" s="155">
        <v>1</v>
      </c>
      <c r="C567" s="148" t="s">
        <v>975</v>
      </c>
      <c r="D567" s="149" t="s">
        <v>3059</v>
      </c>
      <c r="E567" s="148" t="s">
        <v>1068</v>
      </c>
      <c r="F567" s="149" t="s">
        <v>2414</v>
      </c>
      <c r="G567" s="148" t="s">
        <v>292</v>
      </c>
      <c r="H567" s="148" t="s">
        <v>55</v>
      </c>
      <c r="I567" s="161">
        <v>2016</v>
      </c>
      <c r="J567" s="161" t="s">
        <v>1257</v>
      </c>
      <c r="K567" s="161" t="s">
        <v>1258</v>
      </c>
      <c r="L567" s="161" t="s">
        <v>19</v>
      </c>
      <c r="M567" s="453" t="s">
        <v>4218</v>
      </c>
      <c r="N567" s="186" t="s">
        <v>20</v>
      </c>
      <c r="O567" s="186" t="s">
        <v>15</v>
      </c>
      <c r="P567" s="186" t="s">
        <v>20</v>
      </c>
      <c r="Q567" s="186" t="s">
        <v>20</v>
      </c>
      <c r="R567" s="186" t="s">
        <v>20</v>
      </c>
      <c r="S567" s="186" t="s">
        <v>20</v>
      </c>
      <c r="T567" s="186" t="s">
        <v>15</v>
      </c>
      <c r="U567" s="186" t="s">
        <v>15</v>
      </c>
      <c r="V567" s="186" t="s">
        <v>15</v>
      </c>
      <c r="W567" s="186" t="s">
        <v>15</v>
      </c>
      <c r="X567" s="186" t="s">
        <v>15</v>
      </c>
      <c r="Y567" s="186" t="s">
        <v>15</v>
      </c>
      <c r="Z567" s="186"/>
      <c r="AA567" s="186" t="s">
        <v>1259</v>
      </c>
      <c r="AB567" s="186" t="s">
        <v>292</v>
      </c>
      <c r="AC567" s="186" t="s">
        <v>122</v>
      </c>
      <c r="AD567" s="268" t="s">
        <v>1260</v>
      </c>
      <c r="AE567" s="268"/>
      <c r="AF567" s="144">
        <f t="shared" si="36"/>
        <v>244.72</v>
      </c>
      <c r="AG567" s="144">
        <f t="shared" si="39"/>
        <v>246.05</v>
      </c>
      <c r="AH567" s="146">
        <f t="shared" si="37"/>
        <v>18.308</v>
      </c>
      <c r="AI567" s="146">
        <f t="shared" si="38"/>
        <v>18.407499999999999</v>
      </c>
      <c r="AJ567" s="303">
        <f>0.92*AT567</f>
        <v>244.72</v>
      </c>
      <c r="AK567" s="303"/>
      <c r="AL567" s="303">
        <f>0.005*AT567</f>
        <v>1.33</v>
      </c>
      <c r="AM567" s="303">
        <f>0.005*AT567</f>
        <v>1.33</v>
      </c>
      <c r="AN567" s="303">
        <f>0.07*AT567</f>
        <v>18.62</v>
      </c>
      <c r="AO567" s="303"/>
      <c r="AP567" s="303"/>
      <c r="AQ567" s="303"/>
      <c r="AR567" s="303"/>
      <c r="AS567" s="169">
        <f>AJ567</f>
        <v>244.72</v>
      </c>
      <c r="AT567" s="170">
        <v>266</v>
      </c>
      <c r="AU567" s="310"/>
      <c r="AW567" s="294">
        <f>0.92*BG567</f>
        <v>18.308</v>
      </c>
      <c r="AX567" s="294"/>
      <c r="AY567" s="294">
        <f>0.005*BG567</f>
        <v>9.9499999999999991E-2</v>
      </c>
      <c r="AZ567" s="294">
        <f>0.005*BG567</f>
        <v>9.9499999999999991E-2</v>
      </c>
      <c r="BA567" s="294">
        <f>0.07*BG567</f>
        <v>1.393</v>
      </c>
      <c r="BB567" s="294"/>
      <c r="BC567" s="294"/>
      <c r="BD567" s="294"/>
      <c r="BE567" s="294"/>
      <c r="BF567" s="382">
        <v>18.308</v>
      </c>
      <c r="BG567" s="383">
        <v>19.899999999999999</v>
      </c>
      <c r="BH567" s="278"/>
      <c r="BI567" s="365" t="s">
        <v>1261</v>
      </c>
      <c r="BJ567" s="409"/>
    </row>
    <row r="568" spans="1:62" ht="15.75" customHeight="1" thickBot="1" x14ac:dyDescent="0.25">
      <c r="A568" s="156">
        <v>568</v>
      </c>
      <c r="B568" s="155">
        <v>1</v>
      </c>
      <c r="C568" s="148" t="s">
        <v>975</v>
      </c>
      <c r="D568" s="149" t="s">
        <v>3056</v>
      </c>
      <c r="E568" s="148" t="s">
        <v>1069</v>
      </c>
      <c r="F568" s="149" t="s">
        <v>2415</v>
      </c>
      <c r="G568" s="148" t="s">
        <v>122</v>
      </c>
      <c r="H568" s="148" t="s">
        <v>1161</v>
      </c>
      <c r="I568" s="161">
        <v>2015</v>
      </c>
      <c r="J568" s="161" t="s">
        <v>1262</v>
      </c>
      <c r="K568" s="161" t="s">
        <v>1263</v>
      </c>
      <c r="L568" s="161" t="s">
        <v>19</v>
      </c>
      <c r="M568" s="453" t="s">
        <v>4219</v>
      </c>
      <c r="N568" s="186" t="s">
        <v>20</v>
      </c>
      <c r="O568" s="186" t="s">
        <v>15</v>
      </c>
      <c r="P568" s="186" t="s">
        <v>15</v>
      </c>
      <c r="Q568" s="186" t="s">
        <v>15</v>
      </c>
      <c r="R568" s="186" t="s">
        <v>15</v>
      </c>
      <c r="S568" s="186" t="s">
        <v>15</v>
      </c>
      <c r="T568" s="186" t="s">
        <v>15</v>
      </c>
      <c r="U568" s="186" t="s">
        <v>15</v>
      </c>
      <c r="V568" s="186" t="s">
        <v>15</v>
      </c>
      <c r="W568" s="186" t="s">
        <v>15</v>
      </c>
      <c r="X568" s="186" t="s">
        <v>15</v>
      </c>
      <c r="Y568" s="186" t="s">
        <v>15</v>
      </c>
      <c r="Z568" s="186"/>
      <c r="AA568" s="186" t="s">
        <v>303</v>
      </c>
      <c r="AB568" s="186" t="s">
        <v>292</v>
      </c>
      <c r="AC568" s="186" t="s">
        <v>292</v>
      </c>
      <c r="AD568" s="268" t="s">
        <v>1264</v>
      </c>
      <c r="AE568" s="268" t="s">
        <v>2439</v>
      </c>
      <c r="AF568" s="144" t="str">
        <f t="shared" si="36"/>
        <v/>
      </c>
      <c r="AG568" s="144" t="str">
        <f t="shared" si="39"/>
        <v/>
      </c>
      <c r="AH568" s="146">
        <f t="shared" si="37"/>
        <v>1.7846153846153845</v>
      </c>
      <c r="AI568" s="146" t="str">
        <f t="shared" si="38"/>
        <v/>
      </c>
      <c r="AJ568" s="303"/>
      <c r="AK568" s="303"/>
      <c r="AL568" s="303"/>
      <c r="AM568" s="303"/>
      <c r="AN568" s="303"/>
      <c r="AO568" s="303"/>
      <c r="AP568" s="303"/>
      <c r="AQ568" s="303"/>
      <c r="AR568" s="303"/>
      <c r="AS568" s="170"/>
      <c r="AT568" s="170"/>
      <c r="AU568" s="310"/>
      <c r="AW568" s="294"/>
      <c r="AX568" s="294"/>
      <c r="AY568" s="294"/>
      <c r="AZ568" s="294"/>
      <c r="BA568" s="294"/>
      <c r="BB568" s="294"/>
      <c r="BC568" s="294"/>
      <c r="BD568" s="294"/>
      <c r="BE568" s="294"/>
      <c r="BF568" s="383">
        <f>1.16/0.65</f>
        <v>1.7846153846153845</v>
      </c>
      <c r="BG568" s="383"/>
      <c r="BH568" s="278"/>
      <c r="BI568" s="365" t="s">
        <v>1265</v>
      </c>
      <c r="BJ568" s="409"/>
    </row>
    <row r="569" spans="1:62" ht="15.75" customHeight="1" thickBot="1" x14ac:dyDescent="0.25">
      <c r="A569" s="154">
        <v>569</v>
      </c>
      <c r="B569" s="155">
        <v>1</v>
      </c>
      <c r="C569" s="148" t="s">
        <v>975</v>
      </c>
      <c r="D569" s="149" t="s">
        <v>3056</v>
      </c>
      <c r="E569" s="148" t="s">
        <v>1069</v>
      </c>
      <c r="F569" s="149" t="s">
        <v>2416</v>
      </c>
      <c r="G569" s="148" t="s">
        <v>122</v>
      </c>
      <c r="H569" s="148" t="s">
        <v>1161</v>
      </c>
      <c r="I569" s="161">
        <v>2015</v>
      </c>
      <c r="J569" s="161" t="s">
        <v>1262</v>
      </c>
      <c r="K569" s="161" t="s">
        <v>1263</v>
      </c>
      <c r="L569" s="161" t="s">
        <v>19</v>
      </c>
      <c r="M569" s="453" t="s">
        <v>4219</v>
      </c>
      <c r="N569" s="186" t="s">
        <v>20</v>
      </c>
      <c r="O569" s="186" t="s">
        <v>15</v>
      </c>
      <c r="P569" s="186" t="s">
        <v>15</v>
      </c>
      <c r="Q569" s="186" t="s">
        <v>15</v>
      </c>
      <c r="R569" s="186" t="s">
        <v>15</v>
      </c>
      <c r="S569" s="186" t="s">
        <v>15</v>
      </c>
      <c r="T569" s="186" t="s">
        <v>15</v>
      </c>
      <c r="U569" s="186" t="s">
        <v>15</v>
      </c>
      <c r="V569" s="186" t="s">
        <v>15</v>
      </c>
      <c r="W569" s="186" t="s">
        <v>15</v>
      </c>
      <c r="X569" s="186" t="s">
        <v>15</v>
      </c>
      <c r="Y569" s="186" t="s">
        <v>15</v>
      </c>
      <c r="Z569" s="186"/>
      <c r="AA569" s="186" t="s">
        <v>303</v>
      </c>
      <c r="AB569" s="186" t="s">
        <v>292</v>
      </c>
      <c r="AC569" s="186" t="s">
        <v>292</v>
      </c>
      <c r="AD569" s="268" t="s">
        <v>1264</v>
      </c>
      <c r="AE569" s="268" t="s">
        <v>2439</v>
      </c>
      <c r="AF569" s="144" t="str">
        <f t="shared" si="36"/>
        <v/>
      </c>
      <c r="AG569" s="144" t="str">
        <f t="shared" si="39"/>
        <v/>
      </c>
      <c r="AH569" s="146">
        <f t="shared" si="37"/>
        <v>9.8153846153846143</v>
      </c>
      <c r="AI569" s="146" t="str">
        <f t="shared" si="38"/>
        <v/>
      </c>
      <c r="AJ569" s="303"/>
      <c r="AK569" s="303"/>
      <c r="AL569" s="303"/>
      <c r="AM569" s="303"/>
      <c r="AN569" s="303"/>
      <c r="AO569" s="303"/>
      <c r="AP569" s="303"/>
      <c r="AQ569" s="303"/>
      <c r="AR569" s="303"/>
      <c r="AS569" s="170"/>
      <c r="AT569" s="170"/>
      <c r="AU569" s="310"/>
      <c r="AW569" s="294"/>
      <c r="AX569" s="294"/>
      <c r="AY569" s="294"/>
      <c r="AZ569" s="294"/>
      <c r="BA569" s="294"/>
      <c r="BB569" s="294"/>
      <c r="BC569" s="294"/>
      <c r="BD569" s="294"/>
      <c r="BE569" s="294"/>
      <c r="BF569" s="382">
        <f>6.38/0.65</f>
        <v>9.8153846153846143</v>
      </c>
      <c r="BG569" s="383"/>
      <c r="BH569" s="278"/>
      <c r="BI569" s="365" t="s">
        <v>1265</v>
      </c>
      <c r="BJ569" s="409"/>
    </row>
    <row r="570" spans="1:62" ht="15.75" customHeight="1" thickBot="1" x14ac:dyDescent="0.25">
      <c r="A570" s="156">
        <v>570</v>
      </c>
      <c r="B570" s="155">
        <v>1</v>
      </c>
      <c r="C570" s="148" t="s">
        <v>975</v>
      </c>
      <c r="D570" s="149" t="s">
        <v>3056</v>
      </c>
      <c r="E570" s="148" t="s">
        <v>1069</v>
      </c>
      <c r="F570" s="149" t="s">
        <v>2417</v>
      </c>
      <c r="G570" s="148" t="s">
        <v>122</v>
      </c>
      <c r="H570" s="148" t="s">
        <v>1161</v>
      </c>
      <c r="I570" s="161">
        <v>2015</v>
      </c>
      <c r="J570" s="161" t="s">
        <v>1262</v>
      </c>
      <c r="K570" s="161" t="s">
        <v>1263</v>
      </c>
      <c r="L570" s="161" t="s">
        <v>19</v>
      </c>
      <c r="M570" s="453" t="s">
        <v>4219</v>
      </c>
      <c r="N570" s="186" t="s">
        <v>20</v>
      </c>
      <c r="O570" s="186" t="s">
        <v>15</v>
      </c>
      <c r="P570" s="186" t="s">
        <v>15</v>
      </c>
      <c r="Q570" s="186" t="s">
        <v>15</v>
      </c>
      <c r="R570" s="186" t="s">
        <v>15</v>
      </c>
      <c r="S570" s="186" t="s">
        <v>15</v>
      </c>
      <c r="T570" s="186" t="s">
        <v>15</v>
      </c>
      <c r="U570" s="186" t="s">
        <v>15</v>
      </c>
      <c r="V570" s="186" t="s">
        <v>15</v>
      </c>
      <c r="W570" s="186" t="s">
        <v>15</v>
      </c>
      <c r="X570" s="186" t="s">
        <v>15</v>
      </c>
      <c r="Y570" s="186" t="s">
        <v>15</v>
      </c>
      <c r="Z570" s="186"/>
      <c r="AA570" s="186" t="s">
        <v>303</v>
      </c>
      <c r="AB570" s="186" t="s">
        <v>292</v>
      </c>
      <c r="AC570" s="186" t="s">
        <v>292</v>
      </c>
      <c r="AD570" s="268" t="s">
        <v>1264</v>
      </c>
      <c r="AE570" s="268" t="s">
        <v>2439</v>
      </c>
      <c r="AF570" s="144" t="str">
        <f t="shared" si="36"/>
        <v/>
      </c>
      <c r="AG570" s="144" t="str">
        <f t="shared" si="39"/>
        <v/>
      </c>
      <c r="AH570" s="146">
        <f t="shared" si="37"/>
        <v>9.3846153846153832</v>
      </c>
      <c r="AI570" s="146" t="str">
        <f t="shared" si="38"/>
        <v/>
      </c>
      <c r="AJ570" s="303"/>
      <c r="AK570" s="303"/>
      <c r="AL570" s="303"/>
      <c r="AM570" s="303"/>
      <c r="AN570" s="303"/>
      <c r="AO570" s="303"/>
      <c r="AP570" s="303"/>
      <c r="AQ570" s="303"/>
      <c r="AR570" s="303"/>
      <c r="AS570" s="170"/>
      <c r="AT570" s="170"/>
      <c r="AU570" s="310"/>
      <c r="AW570" s="294"/>
      <c r="AX570" s="294"/>
      <c r="AY570" s="294"/>
      <c r="AZ570" s="294"/>
      <c r="BA570" s="294"/>
      <c r="BB570" s="294"/>
      <c r="BC570" s="294"/>
      <c r="BD570" s="294"/>
      <c r="BE570" s="294"/>
      <c r="BF570" s="382">
        <f>6.1/0.65</f>
        <v>9.3846153846153832</v>
      </c>
      <c r="BG570" s="383"/>
      <c r="BH570" s="278"/>
      <c r="BI570" s="365" t="s">
        <v>1265</v>
      </c>
      <c r="BJ570" s="409"/>
    </row>
    <row r="571" spans="1:62" ht="15.75" customHeight="1" thickBot="1" x14ac:dyDescent="0.25">
      <c r="A571" s="154">
        <v>571</v>
      </c>
      <c r="B571" s="155">
        <v>1</v>
      </c>
      <c r="C571" s="148" t="s">
        <v>259</v>
      </c>
      <c r="D571" s="148" t="s">
        <v>2351</v>
      </c>
      <c r="E571" s="148" t="s">
        <v>1266</v>
      </c>
      <c r="F571" s="148" t="s">
        <v>1267</v>
      </c>
      <c r="G571" s="148" t="s">
        <v>292</v>
      </c>
      <c r="H571" s="148" t="s">
        <v>351</v>
      </c>
      <c r="I571" s="161">
        <v>2006</v>
      </c>
      <c r="J571" s="161" t="s">
        <v>1268</v>
      </c>
      <c r="K571" s="161" t="s">
        <v>1269</v>
      </c>
      <c r="L571" s="161" t="s">
        <v>19</v>
      </c>
      <c r="M571" s="453" t="s">
        <v>4220</v>
      </c>
      <c r="N571" s="186" t="s">
        <v>20</v>
      </c>
      <c r="O571" s="186" t="s">
        <v>15</v>
      </c>
      <c r="P571" s="186" t="s">
        <v>15</v>
      </c>
      <c r="Q571" s="186" t="s">
        <v>15</v>
      </c>
      <c r="R571" s="186" t="s">
        <v>15</v>
      </c>
      <c r="S571" s="186" t="s">
        <v>15</v>
      </c>
      <c r="T571" s="186" t="s">
        <v>15</v>
      </c>
      <c r="U571" s="186" t="s">
        <v>15</v>
      </c>
      <c r="V571" s="186" t="s">
        <v>15</v>
      </c>
      <c r="W571" s="186" t="s">
        <v>15</v>
      </c>
      <c r="X571" s="186" t="s">
        <v>15</v>
      </c>
      <c r="Y571" s="186" t="s">
        <v>15</v>
      </c>
      <c r="Z571" s="186"/>
      <c r="AA571" s="186" t="s">
        <v>303</v>
      </c>
      <c r="AB571" s="186" t="s">
        <v>292</v>
      </c>
      <c r="AC571" s="186" t="s">
        <v>292</v>
      </c>
      <c r="AD571" s="268" t="s">
        <v>1270</v>
      </c>
      <c r="AE571" s="268"/>
      <c r="AF571" s="144">
        <f t="shared" si="36"/>
        <v>3.8849999999999998</v>
      </c>
      <c r="AG571" s="144" t="str">
        <f t="shared" si="39"/>
        <v/>
      </c>
      <c r="AH571" s="146" t="str">
        <f t="shared" si="37"/>
        <v/>
      </c>
      <c r="AI571" s="146" t="str">
        <f t="shared" si="38"/>
        <v/>
      </c>
      <c r="AJ571" s="303"/>
      <c r="AK571" s="303"/>
      <c r="AL571" s="303"/>
      <c r="AM571" s="303"/>
      <c r="AN571" s="303"/>
      <c r="AO571" s="303"/>
      <c r="AP571" s="303"/>
      <c r="AQ571" s="303"/>
      <c r="AR571" s="303"/>
      <c r="AS571" s="170">
        <v>3.8849999999999998</v>
      </c>
      <c r="AT571" s="170"/>
      <c r="AU571" s="310"/>
      <c r="AW571" s="294"/>
      <c r="AX571" s="294"/>
      <c r="AY571" s="294"/>
      <c r="AZ571" s="294"/>
      <c r="BA571" s="294"/>
      <c r="BB571" s="294"/>
      <c r="BC571" s="294"/>
      <c r="BD571" s="294"/>
      <c r="BE571" s="294"/>
      <c r="BF571" s="382"/>
      <c r="BG571" s="383"/>
      <c r="BH571" s="278"/>
      <c r="BI571" s="365"/>
      <c r="BJ571" s="409"/>
    </row>
    <row r="572" spans="1:62" ht="15.75" customHeight="1" thickBot="1" x14ac:dyDescent="0.25">
      <c r="A572" s="156">
        <v>572</v>
      </c>
      <c r="B572" s="155">
        <v>1</v>
      </c>
      <c r="C572" s="148" t="s">
        <v>259</v>
      </c>
      <c r="D572" s="148" t="s">
        <v>1271</v>
      </c>
      <c r="E572" s="148" t="s">
        <v>1266</v>
      </c>
      <c r="F572" s="148" t="s">
        <v>378</v>
      </c>
      <c r="G572" s="148" t="s">
        <v>122</v>
      </c>
      <c r="H572" s="148" t="s">
        <v>183</v>
      </c>
      <c r="I572" s="161">
        <v>2008</v>
      </c>
      <c r="J572" s="161" t="s">
        <v>1272</v>
      </c>
      <c r="K572" s="161" t="s">
        <v>1273</v>
      </c>
      <c r="L572" s="161" t="s">
        <v>19</v>
      </c>
      <c r="M572" s="453" t="s">
        <v>4221</v>
      </c>
      <c r="N572" s="186" t="s">
        <v>20</v>
      </c>
      <c r="O572" s="186" t="s">
        <v>15</v>
      </c>
      <c r="P572" s="186" t="s">
        <v>15</v>
      </c>
      <c r="Q572" s="186" t="s">
        <v>15</v>
      </c>
      <c r="R572" s="186" t="s">
        <v>15</v>
      </c>
      <c r="S572" s="186" t="s">
        <v>15</v>
      </c>
      <c r="T572" s="186" t="s">
        <v>15</v>
      </c>
      <c r="U572" s="186" t="s">
        <v>15</v>
      </c>
      <c r="V572" s="186" t="s">
        <v>15</v>
      </c>
      <c r="W572" s="186" t="s">
        <v>15</v>
      </c>
      <c r="X572" s="186" t="s">
        <v>15</v>
      </c>
      <c r="Y572" s="186" t="s">
        <v>15</v>
      </c>
      <c r="Z572" s="186"/>
      <c r="AA572" s="186" t="s">
        <v>303</v>
      </c>
      <c r="AB572" s="186" t="s">
        <v>292</v>
      </c>
      <c r="AC572" s="186" t="s">
        <v>292</v>
      </c>
      <c r="AD572" s="268" t="s">
        <v>1274</v>
      </c>
      <c r="AE572" s="268"/>
      <c r="AF572" s="144">
        <f t="shared" si="36"/>
        <v>5.2</v>
      </c>
      <c r="AG572" s="144" t="str">
        <f t="shared" si="39"/>
        <v/>
      </c>
      <c r="AH572" s="146">
        <f t="shared" si="37"/>
        <v>0.69599999999999995</v>
      </c>
      <c r="AI572" s="146" t="str">
        <f t="shared" si="38"/>
        <v/>
      </c>
      <c r="AJ572" s="303"/>
      <c r="AK572" s="303"/>
      <c r="AL572" s="303"/>
      <c r="AM572" s="303"/>
      <c r="AN572" s="303"/>
      <c r="AO572" s="303"/>
      <c r="AP572" s="303"/>
      <c r="AQ572" s="303"/>
      <c r="AR572" s="303"/>
      <c r="AS572" s="169">
        <v>5.2</v>
      </c>
      <c r="AT572" s="170"/>
      <c r="AU572" s="310" t="s">
        <v>1275</v>
      </c>
      <c r="AW572" s="294"/>
      <c r="AX572" s="294"/>
      <c r="AY572" s="294"/>
      <c r="AZ572" s="294"/>
      <c r="BA572" s="294"/>
      <c r="BB572" s="294"/>
      <c r="BC572" s="294"/>
      <c r="BD572" s="294"/>
      <c r="BE572" s="294"/>
      <c r="BF572" s="382">
        <v>0.69599999999999995</v>
      </c>
      <c r="BG572" s="383"/>
      <c r="BH572" s="278"/>
      <c r="BI572" s="365" t="s">
        <v>1276</v>
      </c>
      <c r="BJ572" s="409"/>
    </row>
    <row r="573" spans="1:62" ht="15.75" customHeight="1" thickBot="1" x14ac:dyDescent="0.25">
      <c r="A573" s="154">
        <v>573</v>
      </c>
      <c r="B573" s="155">
        <v>1</v>
      </c>
      <c r="C573" s="148" t="s">
        <v>259</v>
      </c>
      <c r="D573" s="148" t="s">
        <v>1271</v>
      </c>
      <c r="E573" s="148" t="s">
        <v>1266</v>
      </c>
      <c r="F573" s="148" t="s">
        <v>379</v>
      </c>
      <c r="G573" s="148" t="s">
        <v>122</v>
      </c>
      <c r="H573" s="148" t="s">
        <v>183</v>
      </c>
      <c r="I573" s="161">
        <v>2008</v>
      </c>
      <c r="J573" s="161" t="s">
        <v>1272</v>
      </c>
      <c r="K573" s="161" t="s">
        <v>1273</v>
      </c>
      <c r="L573" s="161" t="s">
        <v>19</v>
      </c>
      <c r="M573" s="453" t="s">
        <v>4221</v>
      </c>
      <c r="N573" s="186" t="s">
        <v>20</v>
      </c>
      <c r="O573" s="186" t="s">
        <v>15</v>
      </c>
      <c r="P573" s="186" t="s">
        <v>15</v>
      </c>
      <c r="Q573" s="186" t="s">
        <v>15</v>
      </c>
      <c r="R573" s="186" t="s">
        <v>15</v>
      </c>
      <c r="S573" s="186" t="s">
        <v>15</v>
      </c>
      <c r="T573" s="186" t="s">
        <v>15</v>
      </c>
      <c r="U573" s="186" t="s">
        <v>15</v>
      </c>
      <c r="V573" s="186" t="s">
        <v>15</v>
      </c>
      <c r="W573" s="186" t="s">
        <v>15</v>
      </c>
      <c r="X573" s="186" t="s">
        <v>15</v>
      </c>
      <c r="Y573" s="186" t="s">
        <v>15</v>
      </c>
      <c r="Z573" s="186"/>
      <c r="AA573" s="186" t="s">
        <v>303</v>
      </c>
      <c r="AB573" s="186" t="s">
        <v>292</v>
      </c>
      <c r="AC573" s="186" t="s">
        <v>292</v>
      </c>
      <c r="AD573" s="268" t="s">
        <v>1274</v>
      </c>
      <c r="AE573" s="268"/>
      <c r="AF573" s="144">
        <f t="shared" si="36"/>
        <v>2.2000000000000002</v>
      </c>
      <c r="AG573" s="144" t="str">
        <f t="shared" si="39"/>
        <v/>
      </c>
      <c r="AH573" s="146">
        <f t="shared" si="37"/>
        <v>0.54100000000000004</v>
      </c>
      <c r="AI573" s="146" t="str">
        <f t="shared" si="38"/>
        <v/>
      </c>
      <c r="AJ573" s="303"/>
      <c r="AK573" s="303"/>
      <c r="AL573" s="303"/>
      <c r="AM573" s="303"/>
      <c r="AN573" s="303"/>
      <c r="AO573" s="303"/>
      <c r="AP573" s="303"/>
      <c r="AQ573" s="303"/>
      <c r="AR573" s="303"/>
      <c r="AS573" s="169">
        <v>2.2000000000000002</v>
      </c>
      <c r="AT573" s="170"/>
      <c r="AU573" s="310" t="s">
        <v>1275</v>
      </c>
      <c r="AW573" s="294"/>
      <c r="AX573" s="294"/>
      <c r="AY573" s="294"/>
      <c r="AZ573" s="294"/>
      <c r="BA573" s="294"/>
      <c r="BB573" s="294"/>
      <c r="BC573" s="294"/>
      <c r="BD573" s="294"/>
      <c r="BE573" s="294"/>
      <c r="BF573" s="382">
        <v>0.54100000000000004</v>
      </c>
      <c r="BG573" s="383"/>
      <c r="BH573" s="278"/>
      <c r="BI573" s="365" t="s">
        <v>1276</v>
      </c>
      <c r="BJ573" s="409"/>
    </row>
    <row r="574" spans="1:62" ht="15.75" customHeight="1" thickBot="1" x14ac:dyDescent="0.25">
      <c r="A574" s="156">
        <v>574</v>
      </c>
      <c r="B574" s="155">
        <v>1</v>
      </c>
      <c r="C574" s="148" t="s">
        <v>259</v>
      </c>
      <c r="D574" s="148" t="s">
        <v>2430</v>
      </c>
      <c r="E574" s="148" t="s">
        <v>1266</v>
      </c>
      <c r="F574" s="148" t="s">
        <v>2419</v>
      </c>
      <c r="G574" s="148" t="s">
        <v>122</v>
      </c>
      <c r="H574" s="148" t="s">
        <v>183</v>
      </c>
      <c r="I574" s="161">
        <v>2008</v>
      </c>
      <c r="J574" s="161" t="s">
        <v>1272</v>
      </c>
      <c r="K574" s="161" t="s">
        <v>1273</v>
      </c>
      <c r="L574" s="161" t="s">
        <v>19</v>
      </c>
      <c r="M574" s="453" t="s">
        <v>4221</v>
      </c>
      <c r="N574" s="186" t="s">
        <v>20</v>
      </c>
      <c r="O574" s="186" t="s">
        <v>15</v>
      </c>
      <c r="P574" s="186" t="s">
        <v>15</v>
      </c>
      <c r="Q574" s="186" t="s">
        <v>15</v>
      </c>
      <c r="R574" s="186" t="s">
        <v>15</v>
      </c>
      <c r="S574" s="186" t="s">
        <v>15</v>
      </c>
      <c r="T574" s="186" t="s">
        <v>15</v>
      </c>
      <c r="U574" s="186" t="s">
        <v>15</v>
      </c>
      <c r="V574" s="186" t="s">
        <v>15</v>
      </c>
      <c r="W574" s="186" t="s">
        <v>15</v>
      </c>
      <c r="X574" s="186" t="s">
        <v>15</v>
      </c>
      <c r="Y574" s="186" t="s">
        <v>15</v>
      </c>
      <c r="Z574" s="186"/>
      <c r="AA574" s="186" t="s">
        <v>303</v>
      </c>
      <c r="AB574" s="186" t="s">
        <v>292</v>
      </c>
      <c r="AC574" s="186" t="s">
        <v>292</v>
      </c>
      <c r="AD574" s="268" t="s">
        <v>1274</v>
      </c>
      <c r="AE574" s="268"/>
      <c r="AF574" s="144">
        <f t="shared" si="36"/>
        <v>2.4</v>
      </c>
      <c r="AG574" s="144" t="str">
        <f t="shared" si="39"/>
        <v/>
      </c>
      <c r="AH574" s="146">
        <f t="shared" si="37"/>
        <v>0.33</v>
      </c>
      <c r="AI574" s="146" t="str">
        <f t="shared" si="38"/>
        <v/>
      </c>
      <c r="AJ574" s="303"/>
      <c r="AK574" s="303"/>
      <c r="AL574" s="303"/>
      <c r="AM574" s="303"/>
      <c r="AN574" s="303"/>
      <c r="AO574" s="303"/>
      <c r="AP574" s="303"/>
      <c r="AQ574" s="303"/>
      <c r="AR574" s="303"/>
      <c r="AS574" s="169">
        <v>2.4</v>
      </c>
      <c r="AT574" s="170"/>
      <c r="AU574" s="310" t="s">
        <v>1275</v>
      </c>
      <c r="AW574" s="294"/>
      <c r="AX574" s="294"/>
      <c r="AY574" s="294"/>
      <c r="AZ574" s="294"/>
      <c r="BA574" s="294"/>
      <c r="BB574" s="294"/>
      <c r="BC574" s="294"/>
      <c r="BD574" s="294"/>
      <c r="BE574" s="294"/>
      <c r="BF574" s="382">
        <v>0.33</v>
      </c>
      <c r="BG574" s="383"/>
      <c r="BH574" s="278"/>
      <c r="BI574" s="365" t="s">
        <v>1276</v>
      </c>
      <c r="BJ574" s="409"/>
    </row>
    <row r="575" spans="1:62" ht="15.75" customHeight="1" thickBot="1" x14ac:dyDescent="0.25">
      <c r="A575" s="154">
        <v>575</v>
      </c>
      <c r="B575" s="155">
        <v>1</v>
      </c>
      <c r="C575" s="148" t="s">
        <v>259</v>
      </c>
      <c r="D575" s="148" t="s">
        <v>2430</v>
      </c>
      <c r="E575" s="148" t="s">
        <v>1266</v>
      </c>
      <c r="F575" s="148" t="s">
        <v>2420</v>
      </c>
      <c r="G575" s="148" t="s">
        <v>122</v>
      </c>
      <c r="H575" s="148" t="s">
        <v>183</v>
      </c>
      <c r="I575" s="161">
        <v>2008</v>
      </c>
      <c r="J575" s="161" t="s">
        <v>1272</v>
      </c>
      <c r="K575" s="161" t="s">
        <v>1273</v>
      </c>
      <c r="L575" s="161" t="s">
        <v>19</v>
      </c>
      <c r="M575" s="453" t="s">
        <v>4221</v>
      </c>
      <c r="N575" s="186" t="s">
        <v>20</v>
      </c>
      <c r="O575" s="186" t="s">
        <v>15</v>
      </c>
      <c r="P575" s="186" t="s">
        <v>15</v>
      </c>
      <c r="Q575" s="186" t="s">
        <v>15</v>
      </c>
      <c r="R575" s="186" t="s">
        <v>15</v>
      </c>
      <c r="S575" s="186" t="s">
        <v>15</v>
      </c>
      <c r="T575" s="186" t="s">
        <v>15</v>
      </c>
      <c r="U575" s="186" t="s">
        <v>15</v>
      </c>
      <c r="V575" s="186" t="s">
        <v>15</v>
      </c>
      <c r="W575" s="186" t="s">
        <v>15</v>
      </c>
      <c r="X575" s="186" t="s">
        <v>15</v>
      </c>
      <c r="Y575" s="186" t="s">
        <v>15</v>
      </c>
      <c r="Z575" s="186"/>
      <c r="AA575" s="186" t="s">
        <v>303</v>
      </c>
      <c r="AB575" s="186" t="s">
        <v>292</v>
      </c>
      <c r="AC575" s="186" t="s">
        <v>292</v>
      </c>
      <c r="AD575" s="268" t="s">
        <v>1274</v>
      </c>
      <c r="AE575" s="268"/>
      <c r="AF575" s="144">
        <f t="shared" si="36"/>
        <v>1.3</v>
      </c>
      <c r="AG575" s="144" t="str">
        <f t="shared" si="39"/>
        <v/>
      </c>
      <c r="AH575" s="146">
        <f t="shared" si="37"/>
        <v>0.25600000000000001</v>
      </c>
      <c r="AI575" s="146" t="str">
        <f t="shared" si="38"/>
        <v/>
      </c>
      <c r="AJ575" s="303"/>
      <c r="AK575" s="303"/>
      <c r="AL575" s="303"/>
      <c r="AM575" s="303"/>
      <c r="AN575" s="303"/>
      <c r="AO575" s="303"/>
      <c r="AP575" s="303"/>
      <c r="AQ575" s="303"/>
      <c r="AR575" s="303"/>
      <c r="AS575" s="169">
        <v>1.3</v>
      </c>
      <c r="AT575" s="170"/>
      <c r="AU575" s="310" t="s">
        <v>1275</v>
      </c>
      <c r="AW575" s="294"/>
      <c r="AX575" s="294"/>
      <c r="AY575" s="294"/>
      <c r="AZ575" s="294"/>
      <c r="BA575" s="294"/>
      <c r="BB575" s="294"/>
      <c r="BC575" s="294"/>
      <c r="BD575" s="294"/>
      <c r="BE575" s="294"/>
      <c r="BF575" s="382">
        <v>0.25600000000000001</v>
      </c>
      <c r="BG575" s="383"/>
      <c r="BH575" s="278"/>
      <c r="BI575" s="365" t="s">
        <v>1276</v>
      </c>
      <c r="BJ575" s="409"/>
    </row>
    <row r="576" spans="1:62" ht="15.75" customHeight="1" thickBot="1" x14ac:dyDescent="0.25">
      <c r="A576" s="156">
        <v>576</v>
      </c>
      <c r="B576" s="155">
        <v>1</v>
      </c>
      <c r="C576" s="148" t="s">
        <v>760</v>
      </c>
      <c r="D576" s="148" t="s">
        <v>2270</v>
      </c>
      <c r="E576" s="148" t="s">
        <v>1266</v>
      </c>
      <c r="F576" s="148" t="s">
        <v>378</v>
      </c>
      <c r="G576" s="148" t="s">
        <v>122</v>
      </c>
      <c r="H576" s="148" t="s">
        <v>183</v>
      </c>
      <c r="I576" s="161">
        <v>2008</v>
      </c>
      <c r="J576" s="161" t="s">
        <v>1272</v>
      </c>
      <c r="K576" s="161" t="s">
        <v>1273</v>
      </c>
      <c r="L576" s="161" t="s">
        <v>19</v>
      </c>
      <c r="M576" s="453" t="s">
        <v>4221</v>
      </c>
      <c r="N576" s="186" t="s">
        <v>20</v>
      </c>
      <c r="O576" s="186" t="s">
        <v>15</v>
      </c>
      <c r="P576" s="186" t="s">
        <v>15</v>
      </c>
      <c r="Q576" s="186" t="s">
        <v>15</v>
      </c>
      <c r="R576" s="186" t="s">
        <v>15</v>
      </c>
      <c r="S576" s="186" t="s">
        <v>15</v>
      </c>
      <c r="T576" s="186" t="s">
        <v>15</v>
      </c>
      <c r="U576" s="186" t="s">
        <v>15</v>
      </c>
      <c r="V576" s="186" t="s">
        <v>15</v>
      </c>
      <c r="W576" s="186" t="s">
        <v>15</v>
      </c>
      <c r="X576" s="186" t="s">
        <v>15</v>
      </c>
      <c r="Y576" s="186" t="s">
        <v>15</v>
      </c>
      <c r="Z576" s="186"/>
      <c r="AA576" s="186" t="s">
        <v>303</v>
      </c>
      <c r="AB576" s="186" t="s">
        <v>292</v>
      </c>
      <c r="AC576" s="186" t="s">
        <v>292</v>
      </c>
      <c r="AD576" s="268" t="s">
        <v>1274</v>
      </c>
      <c r="AE576" s="268"/>
      <c r="AF576" s="144">
        <f t="shared" si="36"/>
        <v>2.2999999999999998</v>
      </c>
      <c r="AG576" s="144" t="str">
        <f t="shared" si="39"/>
        <v/>
      </c>
      <c r="AH576" s="146">
        <f t="shared" si="37"/>
        <v>0.24759999999999999</v>
      </c>
      <c r="AI576" s="146" t="str">
        <f t="shared" si="38"/>
        <v/>
      </c>
      <c r="AJ576" s="303"/>
      <c r="AK576" s="303"/>
      <c r="AL576" s="303"/>
      <c r="AM576" s="303"/>
      <c r="AN576" s="303"/>
      <c r="AO576" s="303"/>
      <c r="AP576" s="303"/>
      <c r="AQ576" s="303"/>
      <c r="AR576" s="303"/>
      <c r="AS576" s="169">
        <v>2.2999999999999998</v>
      </c>
      <c r="AT576" s="170"/>
      <c r="AU576" s="310" t="s">
        <v>1275</v>
      </c>
      <c r="AW576" s="294"/>
      <c r="AX576" s="294"/>
      <c r="AY576" s="294"/>
      <c r="AZ576" s="294"/>
      <c r="BA576" s="294"/>
      <c r="BB576" s="294"/>
      <c r="BC576" s="294"/>
      <c r="BD576" s="294"/>
      <c r="BE576" s="294"/>
      <c r="BF576" s="382">
        <v>0.24759999999999999</v>
      </c>
      <c r="BG576" s="383"/>
      <c r="BH576" s="278"/>
      <c r="BI576" s="365" t="s">
        <v>1276</v>
      </c>
      <c r="BJ576" s="409"/>
    </row>
    <row r="577" spans="1:62" ht="15.75" customHeight="1" thickBot="1" x14ac:dyDescent="0.25">
      <c r="A577" s="154">
        <v>577</v>
      </c>
      <c r="B577" s="155">
        <v>1</v>
      </c>
      <c r="C577" s="148" t="s">
        <v>760</v>
      </c>
      <c r="D577" s="148" t="s">
        <v>2270</v>
      </c>
      <c r="E577" s="148" t="s">
        <v>1266</v>
      </c>
      <c r="F577" s="148" t="s">
        <v>379</v>
      </c>
      <c r="G577" s="148" t="s">
        <v>122</v>
      </c>
      <c r="H577" s="148" t="s">
        <v>183</v>
      </c>
      <c r="I577" s="161">
        <v>2008</v>
      </c>
      <c r="J577" s="161" t="s">
        <v>1272</v>
      </c>
      <c r="K577" s="161" t="s">
        <v>1273</v>
      </c>
      <c r="L577" s="161" t="s">
        <v>19</v>
      </c>
      <c r="M577" s="453" t="s">
        <v>4221</v>
      </c>
      <c r="N577" s="186" t="s">
        <v>20</v>
      </c>
      <c r="O577" s="186" t="s">
        <v>15</v>
      </c>
      <c r="P577" s="186" t="s">
        <v>15</v>
      </c>
      <c r="Q577" s="186" t="s">
        <v>15</v>
      </c>
      <c r="R577" s="186" t="s">
        <v>15</v>
      </c>
      <c r="S577" s="186" t="s">
        <v>15</v>
      </c>
      <c r="T577" s="186" t="s">
        <v>15</v>
      </c>
      <c r="U577" s="186" t="s">
        <v>15</v>
      </c>
      <c r="V577" s="186" t="s">
        <v>15</v>
      </c>
      <c r="W577" s="186" t="s">
        <v>15</v>
      </c>
      <c r="X577" s="186" t="s">
        <v>15</v>
      </c>
      <c r="Y577" s="186" t="s">
        <v>15</v>
      </c>
      <c r="Z577" s="186"/>
      <c r="AA577" s="186" t="s">
        <v>303</v>
      </c>
      <c r="AB577" s="186" t="s">
        <v>292</v>
      </c>
      <c r="AC577" s="186" t="s">
        <v>292</v>
      </c>
      <c r="AD577" s="268" t="s">
        <v>1274</v>
      </c>
      <c r="AE577" s="268"/>
      <c r="AF577" s="144">
        <f t="shared" si="36"/>
        <v>1.5</v>
      </c>
      <c r="AG577" s="144" t="str">
        <f t="shared" si="39"/>
        <v/>
      </c>
      <c r="AH577" s="146">
        <f t="shared" si="37"/>
        <v>0.19</v>
      </c>
      <c r="AI577" s="146" t="str">
        <f t="shared" si="38"/>
        <v/>
      </c>
      <c r="AJ577" s="303"/>
      <c r="AK577" s="303"/>
      <c r="AL577" s="303"/>
      <c r="AM577" s="303"/>
      <c r="AN577" s="303"/>
      <c r="AO577" s="303"/>
      <c r="AP577" s="303"/>
      <c r="AQ577" s="303"/>
      <c r="AR577" s="303"/>
      <c r="AS577" s="169">
        <v>1.5</v>
      </c>
      <c r="AT577" s="170"/>
      <c r="AU577" s="310" t="s">
        <v>1275</v>
      </c>
      <c r="AW577" s="294"/>
      <c r="AX577" s="294"/>
      <c r="AY577" s="294"/>
      <c r="AZ577" s="294"/>
      <c r="BA577" s="294"/>
      <c r="BB577" s="294"/>
      <c r="BC577" s="294"/>
      <c r="BD577" s="294"/>
      <c r="BE577" s="294"/>
      <c r="BF577" s="382">
        <v>0.19</v>
      </c>
      <c r="BG577" s="383"/>
      <c r="BH577" s="278"/>
      <c r="BI577" s="365" t="s">
        <v>1276</v>
      </c>
      <c r="BJ577" s="409"/>
    </row>
    <row r="578" spans="1:62" ht="15.75" customHeight="1" thickBot="1" x14ac:dyDescent="0.25">
      <c r="A578" s="156">
        <v>578</v>
      </c>
      <c r="B578" s="155">
        <v>1</v>
      </c>
      <c r="C578" s="148" t="s">
        <v>259</v>
      </c>
      <c r="D578" s="148" t="s">
        <v>2351</v>
      </c>
      <c r="E578" s="148" t="s">
        <v>1266</v>
      </c>
      <c r="F578" s="148" t="s">
        <v>378</v>
      </c>
      <c r="G578" s="148" t="s">
        <v>122</v>
      </c>
      <c r="H578" s="148" t="s">
        <v>183</v>
      </c>
      <c r="I578" s="161">
        <v>2008</v>
      </c>
      <c r="J578" s="161" t="s">
        <v>1272</v>
      </c>
      <c r="K578" s="161" t="s">
        <v>1273</v>
      </c>
      <c r="L578" s="161" t="s">
        <v>19</v>
      </c>
      <c r="M578" s="453" t="s">
        <v>4221</v>
      </c>
      <c r="N578" s="186" t="s">
        <v>20</v>
      </c>
      <c r="O578" s="186" t="s">
        <v>15</v>
      </c>
      <c r="P578" s="186" t="s">
        <v>15</v>
      </c>
      <c r="Q578" s="186" t="s">
        <v>15</v>
      </c>
      <c r="R578" s="186" t="s">
        <v>15</v>
      </c>
      <c r="S578" s="186" t="s">
        <v>15</v>
      </c>
      <c r="T578" s="186" t="s">
        <v>15</v>
      </c>
      <c r="U578" s="186" t="s">
        <v>15</v>
      </c>
      <c r="V578" s="186" t="s">
        <v>15</v>
      </c>
      <c r="W578" s="186" t="s">
        <v>15</v>
      </c>
      <c r="X578" s="186" t="s">
        <v>15</v>
      </c>
      <c r="Y578" s="186" t="s">
        <v>15</v>
      </c>
      <c r="Z578" s="186"/>
      <c r="AA578" s="186" t="s">
        <v>303</v>
      </c>
      <c r="AB578" s="186" t="s">
        <v>292</v>
      </c>
      <c r="AC578" s="186" t="s">
        <v>292</v>
      </c>
      <c r="AD578" s="268" t="s">
        <v>1274</v>
      </c>
      <c r="AE578" s="268"/>
      <c r="AF578" s="144">
        <f t="shared" ref="AF578:AF641" si="40">IF(AS578&lt;&gt;0,AS578,"")</f>
        <v>2.7</v>
      </c>
      <c r="AG578" s="144" t="str">
        <f t="shared" si="39"/>
        <v/>
      </c>
      <c r="AH578" s="146">
        <f t="shared" ref="AH578:AH641" si="41">IF(BF578&lt;&gt;0,BF578,"")</f>
        <v>0.38200000000000001</v>
      </c>
      <c r="AI578" s="146" t="str">
        <f t="shared" ref="AI578:AI641" si="42">IF(AND(SUM(AW578:AY578)&lt;&gt;0,SUM(AW578:AY578)&lt;&gt;AW578),SUM(AW578:AY578),"")</f>
        <v/>
      </c>
      <c r="AJ578" s="303"/>
      <c r="AK578" s="303"/>
      <c r="AL578" s="303"/>
      <c r="AM578" s="303"/>
      <c r="AN578" s="303"/>
      <c r="AO578" s="303"/>
      <c r="AP578" s="303"/>
      <c r="AQ578" s="303"/>
      <c r="AR578" s="303"/>
      <c r="AS578" s="169">
        <v>2.7</v>
      </c>
      <c r="AT578" s="170"/>
      <c r="AU578" s="310" t="s">
        <v>1275</v>
      </c>
      <c r="AW578" s="294"/>
      <c r="AX578" s="294"/>
      <c r="AY578" s="294"/>
      <c r="AZ578" s="294"/>
      <c r="BA578" s="294"/>
      <c r="BB578" s="294"/>
      <c r="BC578" s="294"/>
      <c r="BD578" s="294"/>
      <c r="BE578" s="294"/>
      <c r="BF578" s="382">
        <v>0.38200000000000001</v>
      </c>
      <c r="BG578" s="383"/>
      <c r="BH578" s="278"/>
      <c r="BI578" s="365" t="s">
        <v>1276</v>
      </c>
      <c r="BJ578" s="409"/>
    </row>
    <row r="579" spans="1:62" ht="15.75" customHeight="1" thickBot="1" x14ac:dyDescent="0.25">
      <c r="A579" s="154">
        <v>579</v>
      </c>
      <c r="B579" s="155">
        <v>1</v>
      </c>
      <c r="C579" s="148" t="s">
        <v>259</v>
      </c>
      <c r="D579" s="148" t="s">
        <v>2351</v>
      </c>
      <c r="E579" s="148" t="s">
        <v>1266</v>
      </c>
      <c r="F579" s="148" t="s">
        <v>379</v>
      </c>
      <c r="G579" s="148" t="s">
        <v>122</v>
      </c>
      <c r="H579" s="148" t="s">
        <v>183</v>
      </c>
      <c r="I579" s="161">
        <v>2008</v>
      </c>
      <c r="J579" s="161" t="s">
        <v>1272</v>
      </c>
      <c r="K579" s="161" t="s">
        <v>1273</v>
      </c>
      <c r="L579" s="161" t="s">
        <v>19</v>
      </c>
      <c r="M579" s="453" t="s">
        <v>4221</v>
      </c>
      <c r="N579" s="186" t="s">
        <v>20</v>
      </c>
      <c r="O579" s="186" t="s">
        <v>15</v>
      </c>
      <c r="P579" s="186" t="s">
        <v>15</v>
      </c>
      <c r="Q579" s="186" t="s">
        <v>15</v>
      </c>
      <c r="R579" s="186" t="s">
        <v>15</v>
      </c>
      <c r="S579" s="186" t="s">
        <v>15</v>
      </c>
      <c r="T579" s="186" t="s">
        <v>15</v>
      </c>
      <c r="U579" s="186" t="s">
        <v>15</v>
      </c>
      <c r="V579" s="186" t="s">
        <v>15</v>
      </c>
      <c r="W579" s="186" t="s">
        <v>15</v>
      </c>
      <c r="X579" s="186" t="s">
        <v>15</v>
      </c>
      <c r="Y579" s="186" t="s">
        <v>15</v>
      </c>
      <c r="Z579" s="186"/>
      <c r="AA579" s="186" t="s">
        <v>303</v>
      </c>
      <c r="AB579" s="186" t="s">
        <v>292</v>
      </c>
      <c r="AC579" s="186" t="s">
        <v>292</v>
      </c>
      <c r="AD579" s="268" t="s">
        <v>1274</v>
      </c>
      <c r="AE579" s="268"/>
      <c r="AF579" s="144">
        <f t="shared" si="40"/>
        <v>0.8</v>
      </c>
      <c r="AG579" s="144" t="str">
        <f t="shared" si="39"/>
        <v/>
      </c>
      <c r="AH579" s="146">
        <f t="shared" si="41"/>
        <v>0.29099999999999998</v>
      </c>
      <c r="AI579" s="146" t="str">
        <f t="shared" si="42"/>
        <v/>
      </c>
      <c r="AJ579" s="303"/>
      <c r="AK579" s="303"/>
      <c r="AL579" s="303"/>
      <c r="AM579" s="303"/>
      <c r="AN579" s="303"/>
      <c r="AO579" s="303"/>
      <c r="AP579" s="303"/>
      <c r="AQ579" s="303"/>
      <c r="AR579" s="303"/>
      <c r="AS579" s="169">
        <v>0.8</v>
      </c>
      <c r="AT579" s="170"/>
      <c r="AU579" s="310" t="s">
        <v>1275</v>
      </c>
      <c r="AW579" s="294"/>
      <c r="AX579" s="294"/>
      <c r="AY579" s="294"/>
      <c r="AZ579" s="294"/>
      <c r="BA579" s="294"/>
      <c r="BB579" s="294"/>
      <c r="BC579" s="294"/>
      <c r="BD579" s="294"/>
      <c r="BE579" s="294"/>
      <c r="BF579" s="382">
        <v>0.29099999999999998</v>
      </c>
      <c r="BG579" s="383"/>
      <c r="BH579" s="278"/>
      <c r="BI579" s="365" t="s">
        <v>1276</v>
      </c>
      <c r="BJ579" s="409"/>
    </row>
    <row r="580" spans="1:62" ht="15.75" customHeight="1" thickBot="1" x14ac:dyDescent="0.25">
      <c r="A580" s="156">
        <v>580</v>
      </c>
      <c r="B580" s="155">
        <v>1</v>
      </c>
      <c r="C580" s="148" t="s">
        <v>259</v>
      </c>
      <c r="D580" s="141" t="s">
        <v>2348</v>
      </c>
      <c r="E580" s="148"/>
      <c r="F580" s="148" t="s">
        <v>378</v>
      </c>
      <c r="G580" s="148" t="s">
        <v>122</v>
      </c>
      <c r="H580" s="148" t="s">
        <v>351</v>
      </c>
      <c r="I580" s="161">
        <v>2009</v>
      </c>
      <c r="J580" s="161" t="s">
        <v>1277</v>
      </c>
      <c r="K580" s="161" t="s">
        <v>1278</v>
      </c>
      <c r="L580" s="161" t="s">
        <v>19</v>
      </c>
      <c r="M580" s="453" t="s">
        <v>4222</v>
      </c>
      <c r="N580" s="186" t="s">
        <v>20</v>
      </c>
      <c r="O580" s="186" t="s">
        <v>15</v>
      </c>
      <c r="P580" s="186" t="s">
        <v>20</v>
      </c>
      <c r="Q580" s="186" t="s">
        <v>20</v>
      </c>
      <c r="R580" s="186" t="s">
        <v>15</v>
      </c>
      <c r="S580" s="186" t="s">
        <v>122</v>
      </c>
      <c r="T580" s="186" t="s">
        <v>15</v>
      </c>
      <c r="U580" s="186" t="s">
        <v>15</v>
      </c>
      <c r="V580" s="186" t="s">
        <v>15</v>
      </c>
      <c r="W580" s="186" t="s">
        <v>15</v>
      </c>
      <c r="X580" s="186" t="s">
        <v>15</v>
      </c>
      <c r="Y580" s="186" t="s">
        <v>15</v>
      </c>
      <c r="Z580" s="186"/>
      <c r="AA580" s="186"/>
      <c r="AB580" s="186" t="s">
        <v>292</v>
      </c>
      <c r="AC580" s="186" t="s">
        <v>292</v>
      </c>
      <c r="AD580" s="268" t="s">
        <v>1279</v>
      </c>
      <c r="AE580" s="268" t="s">
        <v>1280</v>
      </c>
      <c r="AF580" s="144" t="str">
        <f t="shared" si="40"/>
        <v/>
      </c>
      <c r="AG580" s="144" t="str">
        <f t="shared" si="39"/>
        <v/>
      </c>
      <c r="AH580" s="146">
        <f t="shared" si="41"/>
        <v>0.28358208955223879</v>
      </c>
      <c r="AI580" s="146" t="str">
        <f t="shared" si="42"/>
        <v/>
      </c>
      <c r="AJ580" s="303"/>
      <c r="AK580" s="303"/>
      <c r="AL580" s="303"/>
      <c r="AM580" s="303"/>
      <c r="AN580" s="303"/>
      <c r="AO580" s="303"/>
      <c r="AP580" s="303"/>
      <c r="AQ580" s="303"/>
      <c r="AR580" s="303"/>
      <c r="AS580" s="169"/>
      <c r="AT580" s="170">
        <f>0.0033/0.67</f>
        <v>4.9253731343283577E-3</v>
      </c>
      <c r="AU580" s="310"/>
      <c r="AW580" s="294"/>
      <c r="AX580" s="294"/>
      <c r="AY580" s="294"/>
      <c r="AZ580" s="294"/>
      <c r="BA580" s="294"/>
      <c r="BB580" s="294"/>
      <c r="BC580" s="294"/>
      <c r="BD580" s="294"/>
      <c r="BE580" s="294"/>
      <c r="BF580" s="382">
        <f>0.19/0.67</f>
        <v>0.28358208955223879</v>
      </c>
      <c r="BG580" s="383">
        <f>0.33/0.67</f>
        <v>0.4925373134328358</v>
      </c>
      <c r="BH580" s="278"/>
      <c r="BI580" s="365" t="s">
        <v>1281</v>
      </c>
      <c r="BJ580" s="409"/>
    </row>
    <row r="581" spans="1:62" ht="15.75" customHeight="1" thickBot="1" x14ac:dyDescent="0.25">
      <c r="A581" s="154">
        <v>581</v>
      </c>
      <c r="B581" s="155">
        <v>1</v>
      </c>
      <c r="C581" s="148" t="s">
        <v>259</v>
      </c>
      <c r="D581" s="141" t="s">
        <v>2348</v>
      </c>
      <c r="E581" s="148"/>
      <c r="F581" s="148" t="s">
        <v>379</v>
      </c>
      <c r="G581" s="148" t="s">
        <v>122</v>
      </c>
      <c r="H581" s="148" t="s">
        <v>351</v>
      </c>
      <c r="I581" s="161">
        <v>2009</v>
      </c>
      <c r="J581" s="161" t="s">
        <v>1277</v>
      </c>
      <c r="K581" s="161" t="s">
        <v>1278</v>
      </c>
      <c r="L581" s="161" t="s">
        <v>19</v>
      </c>
      <c r="M581" s="453" t="s">
        <v>4222</v>
      </c>
      <c r="N581" s="186" t="s">
        <v>20</v>
      </c>
      <c r="O581" s="186" t="s">
        <v>15</v>
      </c>
      <c r="P581" s="186" t="s">
        <v>20</v>
      </c>
      <c r="Q581" s="186" t="s">
        <v>20</v>
      </c>
      <c r="R581" s="186" t="s">
        <v>15</v>
      </c>
      <c r="S581" s="186" t="s">
        <v>122</v>
      </c>
      <c r="T581" s="186" t="s">
        <v>15</v>
      </c>
      <c r="U581" s="186" t="s">
        <v>15</v>
      </c>
      <c r="V581" s="186" t="s">
        <v>15</v>
      </c>
      <c r="W581" s="186" t="s">
        <v>15</v>
      </c>
      <c r="X581" s="186" t="s">
        <v>15</v>
      </c>
      <c r="Y581" s="186" t="s">
        <v>15</v>
      </c>
      <c r="Z581" s="186"/>
      <c r="AA581" s="186"/>
      <c r="AB581" s="186" t="s">
        <v>292</v>
      </c>
      <c r="AC581" s="186" t="s">
        <v>292</v>
      </c>
      <c r="AD581" s="268" t="s">
        <v>1279</v>
      </c>
      <c r="AE581" s="268" t="s">
        <v>1280</v>
      </c>
      <c r="AF581" s="144" t="str">
        <f t="shared" si="40"/>
        <v/>
      </c>
      <c r="AG581" s="144" t="str">
        <f t="shared" si="39"/>
        <v/>
      </c>
      <c r="AH581" s="146">
        <f t="shared" si="41"/>
        <v>0.23880597014925373</v>
      </c>
      <c r="AI581" s="146" t="str">
        <f t="shared" si="42"/>
        <v/>
      </c>
      <c r="AJ581" s="303"/>
      <c r="AK581" s="303"/>
      <c r="AL581" s="303"/>
      <c r="AM581" s="303"/>
      <c r="AN581" s="303"/>
      <c r="AO581" s="303"/>
      <c r="AP581" s="303"/>
      <c r="AQ581" s="303"/>
      <c r="AR581" s="303"/>
      <c r="AS581" s="170"/>
      <c r="AT581" s="169">
        <f>0.0027/0.67</f>
        <v>4.0298507462686569E-3</v>
      </c>
      <c r="AU581" s="310"/>
      <c r="AW581" s="294"/>
      <c r="AX581" s="294"/>
      <c r="AY581" s="294"/>
      <c r="AZ581" s="294"/>
      <c r="BA581" s="294"/>
      <c r="BB581" s="294"/>
      <c r="BC581" s="294"/>
      <c r="BD581" s="294"/>
      <c r="BE581" s="294"/>
      <c r="BF581" s="382">
        <f>0.16/0.67</f>
        <v>0.23880597014925373</v>
      </c>
      <c r="BG581" s="382">
        <f>0.3/0.67</f>
        <v>0.44776119402985071</v>
      </c>
      <c r="BH581" s="278"/>
      <c r="BI581" s="365" t="s">
        <v>1281</v>
      </c>
      <c r="BJ581" s="409"/>
    </row>
    <row r="582" spans="1:62" ht="15.75" customHeight="1" thickBot="1" x14ac:dyDescent="0.25">
      <c r="A582" s="156">
        <v>582</v>
      </c>
      <c r="B582" s="155">
        <v>1</v>
      </c>
      <c r="C582" s="148" t="s">
        <v>259</v>
      </c>
      <c r="D582" s="148" t="s">
        <v>2239</v>
      </c>
      <c r="E582" s="148" t="s">
        <v>1282</v>
      </c>
      <c r="F582" s="148" t="s">
        <v>1283</v>
      </c>
      <c r="G582" s="148" t="s">
        <v>292</v>
      </c>
      <c r="H582" s="148" t="s">
        <v>1284</v>
      </c>
      <c r="I582" s="161">
        <v>2009</v>
      </c>
      <c r="J582" s="161" t="s">
        <v>1285</v>
      </c>
      <c r="K582" s="161" t="s">
        <v>1286</v>
      </c>
      <c r="L582" s="161" t="s">
        <v>19</v>
      </c>
      <c r="M582" s="453" t="s">
        <v>4223</v>
      </c>
      <c r="N582" s="186" t="s">
        <v>20</v>
      </c>
      <c r="O582" s="186" t="s">
        <v>15</v>
      </c>
      <c r="P582" s="186" t="s">
        <v>20</v>
      </c>
      <c r="Q582" s="186" t="s">
        <v>20</v>
      </c>
      <c r="R582" s="186" t="s">
        <v>20</v>
      </c>
      <c r="S582" s="186" t="s">
        <v>20</v>
      </c>
      <c r="T582" s="186" t="s">
        <v>20</v>
      </c>
      <c r="U582" s="186" t="s">
        <v>20</v>
      </c>
      <c r="V582" s="186" t="s">
        <v>15</v>
      </c>
      <c r="W582" s="186" t="s">
        <v>20</v>
      </c>
      <c r="X582" s="186" t="s">
        <v>15</v>
      </c>
      <c r="Y582" s="186" t="s">
        <v>15</v>
      </c>
      <c r="Z582" s="186"/>
      <c r="AA582" s="186" t="s">
        <v>1287</v>
      </c>
      <c r="AB582" s="186" t="s">
        <v>122</v>
      </c>
      <c r="AC582" s="186" t="s">
        <v>122</v>
      </c>
      <c r="AD582" s="271" t="s">
        <v>1288</v>
      </c>
      <c r="AE582" s="268" t="s">
        <v>2847</v>
      </c>
      <c r="AF582" s="144" t="str">
        <f t="shared" si="40"/>
        <v/>
      </c>
      <c r="AG582" s="144" t="str">
        <f t="shared" si="39"/>
        <v/>
      </c>
      <c r="AH582" s="146">
        <f t="shared" si="41"/>
        <v>0.23066722408026757</v>
      </c>
      <c r="AI582" s="146">
        <f t="shared" si="42"/>
        <v>0.3213026755852843</v>
      </c>
      <c r="AJ582" s="303"/>
      <c r="AK582" s="303"/>
      <c r="AL582" s="303"/>
      <c r="AM582" s="303"/>
      <c r="AN582" s="303"/>
      <c r="AO582" s="303"/>
      <c r="AP582" s="303"/>
      <c r="AQ582" s="303"/>
      <c r="AR582" s="303"/>
      <c r="AS582" s="170"/>
      <c r="AT582" s="169"/>
      <c r="AU582" s="310"/>
      <c r="AW582" s="294">
        <v>0.23066722408026757</v>
      </c>
      <c r="AX582" s="294">
        <f t="shared" ref="AX582:AX587" si="43">0.2*BG582</f>
        <v>9.0635451505016729E-2</v>
      </c>
      <c r="AY582" s="294"/>
      <c r="AZ582" s="294">
        <f t="shared" ref="AZ582:AZ587" si="44">0.014*BG582</f>
        <v>6.344481605351171E-3</v>
      </c>
      <c r="BA582" s="294"/>
      <c r="BB582" s="294">
        <f t="shared" ref="BB582:BB587" si="45">0.055*BG582</f>
        <v>2.49247491638796E-2</v>
      </c>
      <c r="BC582" s="294">
        <f t="shared" ref="BC582:BC587" si="46">0.25*BG582</f>
        <v>0.11329431438127091</v>
      </c>
      <c r="BD582" s="294"/>
      <c r="BE582" s="294"/>
      <c r="BF582" s="382">
        <f t="shared" ref="BF582:BF587" si="47">BG582*0.509</f>
        <v>0.23066722408026757</v>
      </c>
      <c r="BG582" s="382">
        <f>0.271/0.598</f>
        <v>0.45317725752508364</v>
      </c>
      <c r="BH582" s="278"/>
      <c r="BI582" s="365"/>
      <c r="BJ582" s="409"/>
    </row>
    <row r="583" spans="1:62" ht="15.75" customHeight="1" thickBot="1" x14ac:dyDescent="0.25">
      <c r="A583" s="154">
        <v>583</v>
      </c>
      <c r="B583" s="155">
        <v>1</v>
      </c>
      <c r="C583" s="148" t="s">
        <v>259</v>
      </c>
      <c r="D583" s="148" t="s">
        <v>2239</v>
      </c>
      <c r="E583" s="148" t="s">
        <v>1282</v>
      </c>
      <c r="F583" s="148" t="s">
        <v>1289</v>
      </c>
      <c r="G583" s="148" t="s">
        <v>292</v>
      </c>
      <c r="H583" s="148" t="s">
        <v>1284</v>
      </c>
      <c r="I583" s="161">
        <v>2009</v>
      </c>
      <c r="J583" s="161" t="s">
        <v>1285</v>
      </c>
      <c r="K583" s="161" t="s">
        <v>1286</v>
      </c>
      <c r="L583" s="161" t="s">
        <v>19</v>
      </c>
      <c r="M583" s="453" t="s">
        <v>4223</v>
      </c>
      <c r="N583" s="186" t="s">
        <v>20</v>
      </c>
      <c r="O583" s="186" t="s">
        <v>15</v>
      </c>
      <c r="P583" s="186" t="s">
        <v>20</v>
      </c>
      <c r="Q583" s="186" t="s">
        <v>20</v>
      </c>
      <c r="R583" s="186" t="s">
        <v>20</v>
      </c>
      <c r="S583" s="186" t="s">
        <v>20</v>
      </c>
      <c r="T583" s="186" t="s">
        <v>20</v>
      </c>
      <c r="U583" s="186" t="s">
        <v>20</v>
      </c>
      <c r="V583" s="186" t="s">
        <v>15</v>
      </c>
      <c r="W583" s="186" t="s">
        <v>20</v>
      </c>
      <c r="X583" s="186" t="s">
        <v>15</v>
      </c>
      <c r="Y583" s="186" t="s">
        <v>15</v>
      </c>
      <c r="Z583" s="186"/>
      <c r="AA583" s="186" t="s">
        <v>1287</v>
      </c>
      <c r="AB583" s="186" t="s">
        <v>122</v>
      </c>
      <c r="AC583" s="186" t="s">
        <v>122</v>
      </c>
      <c r="AD583" s="271" t="s">
        <v>1288</v>
      </c>
      <c r="AE583" s="268" t="s">
        <v>2848</v>
      </c>
      <c r="AF583" s="144" t="str">
        <f t="shared" si="40"/>
        <v/>
      </c>
      <c r="AG583" s="144" t="str">
        <f t="shared" si="39"/>
        <v/>
      </c>
      <c r="AH583" s="146">
        <f t="shared" si="41"/>
        <v>0.17907765451664026</v>
      </c>
      <c r="AI583" s="146">
        <f t="shared" si="42"/>
        <v>0.2494421553090333</v>
      </c>
      <c r="AJ583" s="303"/>
      <c r="AK583" s="303"/>
      <c r="AL583" s="303"/>
      <c r="AM583" s="303"/>
      <c r="AN583" s="303"/>
      <c r="AO583" s="303"/>
      <c r="AP583" s="303"/>
      <c r="AQ583" s="303"/>
      <c r="AR583" s="303"/>
      <c r="AS583" s="170"/>
      <c r="AT583" s="170"/>
      <c r="AU583" s="310"/>
      <c r="AW583" s="294">
        <v>0.17907765451664026</v>
      </c>
      <c r="AX583" s="294">
        <f t="shared" si="43"/>
        <v>7.0364500792393023E-2</v>
      </c>
      <c r="AY583" s="294"/>
      <c r="AZ583" s="294">
        <f t="shared" si="44"/>
        <v>4.9255150554675118E-3</v>
      </c>
      <c r="BA583" s="294"/>
      <c r="BB583" s="294">
        <f t="shared" si="45"/>
        <v>1.9350237717908083E-2</v>
      </c>
      <c r="BC583" s="294">
        <f t="shared" si="46"/>
        <v>8.7955625990491282E-2</v>
      </c>
      <c r="BD583" s="294"/>
      <c r="BE583" s="294"/>
      <c r="BF583" s="383">
        <f t="shared" si="47"/>
        <v>0.17907765451664026</v>
      </c>
      <c r="BG583" s="383">
        <f>0.222/0.631</f>
        <v>0.35182250396196513</v>
      </c>
      <c r="BH583" s="278"/>
      <c r="BI583" s="365"/>
      <c r="BJ583" s="409"/>
    </row>
    <row r="584" spans="1:62" ht="15.75" customHeight="1" thickBot="1" x14ac:dyDescent="0.25">
      <c r="A584" s="156">
        <v>584</v>
      </c>
      <c r="B584" s="155">
        <v>1</v>
      </c>
      <c r="C584" s="148" t="s">
        <v>259</v>
      </c>
      <c r="D584" s="148" t="s">
        <v>2239</v>
      </c>
      <c r="E584" s="148" t="s">
        <v>1282</v>
      </c>
      <c r="F584" s="148" t="s">
        <v>1290</v>
      </c>
      <c r="G584" s="148" t="s">
        <v>292</v>
      </c>
      <c r="H584" s="148" t="s">
        <v>1284</v>
      </c>
      <c r="I584" s="161">
        <v>2009</v>
      </c>
      <c r="J584" s="161" t="s">
        <v>1285</v>
      </c>
      <c r="K584" s="161" t="s">
        <v>1286</v>
      </c>
      <c r="L584" s="161" t="s">
        <v>19</v>
      </c>
      <c r="M584" s="453" t="s">
        <v>4223</v>
      </c>
      <c r="N584" s="186" t="s">
        <v>20</v>
      </c>
      <c r="O584" s="186" t="s">
        <v>15</v>
      </c>
      <c r="P584" s="186" t="s">
        <v>20</v>
      </c>
      <c r="Q584" s="186" t="s">
        <v>20</v>
      </c>
      <c r="R584" s="186" t="s">
        <v>20</v>
      </c>
      <c r="S584" s="186" t="s">
        <v>20</v>
      </c>
      <c r="T584" s="186" t="s">
        <v>20</v>
      </c>
      <c r="U584" s="186" t="s">
        <v>20</v>
      </c>
      <c r="V584" s="186" t="s">
        <v>15</v>
      </c>
      <c r="W584" s="186" t="s">
        <v>20</v>
      </c>
      <c r="X584" s="186" t="s">
        <v>15</v>
      </c>
      <c r="Y584" s="186" t="s">
        <v>15</v>
      </c>
      <c r="Z584" s="186"/>
      <c r="AA584" s="186" t="s">
        <v>1287</v>
      </c>
      <c r="AB584" s="186" t="s">
        <v>122</v>
      </c>
      <c r="AC584" s="186" t="s">
        <v>122</v>
      </c>
      <c r="AD584" s="271" t="s">
        <v>1288</v>
      </c>
      <c r="AE584" s="268" t="s">
        <v>2849</v>
      </c>
      <c r="AF584" s="144" t="str">
        <f t="shared" si="40"/>
        <v/>
      </c>
      <c r="AG584" s="144" t="str">
        <f t="shared" si="39"/>
        <v/>
      </c>
      <c r="AH584" s="146">
        <f t="shared" si="41"/>
        <v>0.1889890795631825</v>
      </c>
      <c r="AI584" s="146">
        <f t="shared" si="42"/>
        <v>0.26324804992199685</v>
      </c>
      <c r="AJ584" s="303"/>
      <c r="AK584" s="303"/>
      <c r="AL584" s="303"/>
      <c r="AM584" s="303"/>
      <c r="AN584" s="303"/>
      <c r="AO584" s="303"/>
      <c r="AP584" s="303"/>
      <c r="AQ584" s="303"/>
      <c r="AR584" s="303"/>
      <c r="AS584" s="170"/>
      <c r="AT584" s="170"/>
      <c r="AU584" s="310"/>
      <c r="AW584" s="294">
        <v>0.1889890795631825</v>
      </c>
      <c r="AX584" s="294">
        <f t="shared" si="43"/>
        <v>7.4258970358814347E-2</v>
      </c>
      <c r="AY584" s="294"/>
      <c r="AZ584" s="294">
        <f t="shared" si="44"/>
        <v>5.1981279251170041E-3</v>
      </c>
      <c r="BA584" s="294"/>
      <c r="BB584" s="294">
        <f t="shared" si="45"/>
        <v>2.0421216848673946E-2</v>
      </c>
      <c r="BC584" s="294">
        <f t="shared" si="46"/>
        <v>9.2823712948517934E-2</v>
      </c>
      <c r="BD584" s="294"/>
      <c r="BE584" s="294"/>
      <c r="BF584" s="383">
        <f t="shared" si="47"/>
        <v>0.1889890795631825</v>
      </c>
      <c r="BG584" s="383">
        <f>0.238/0.641</f>
        <v>0.37129485179407173</v>
      </c>
      <c r="BH584" s="278"/>
      <c r="BI584" s="365"/>
      <c r="BJ584" s="409"/>
    </row>
    <row r="585" spans="1:62" ht="15.75" customHeight="1" thickBot="1" x14ac:dyDescent="0.25">
      <c r="A585" s="154">
        <v>585</v>
      </c>
      <c r="B585" s="155">
        <v>1</v>
      </c>
      <c r="C585" s="148" t="s">
        <v>259</v>
      </c>
      <c r="D585" s="148" t="s">
        <v>2747</v>
      </c>
      <c r="E585" s="148" t="s">
        <v>1282</v>
      </c>
      <c r="F585" s="148" t="s">
        <v>1291</v>
      </c>
      <c r="G585" s="148" t="s">
        <v>292</v>
      </c>
      <c r="H585" s="148" t="s">
        <v>1284</v>
      </c>
      <c r="I585" s="161">
        <v>2009</v>
      </c>
      <c r="J585" s="161" t="s">
        <v>1285</v>
      </c>
      <c r="K585" s="161" t="s">
        <v>1286</v>
      </c>
      <c r="L585" s="161" t="s">
        <v>19</v>
      </c>
      <c r="M585" s="453" t="s">
        <v>4223</v>
      </c>
      <c r="N585" s="186" t="s">
        <v>20</v>
      </c>
      <c r="O585" s="186" t="s">
        <v>15</v>
      </c>
      <c r="P585" s="186" t="s">
        <v>20</v>
      </c>
      <c r="Q585" s="186" t="s">
        <v>20</v>
      </c>
      <c r="R585" s="186" t="s">
        <v>20</v>
      </c>
      <c r="S585" s="186" t="s">
        <v>20</v>
      </c>
      <c r="T585" s="186" t="s">
        <v>20</v>
      </c>
      <c r="U585" s="186" t="s">
        <v>20</v>
      </c>
      <c r="V585" s="186" t="s">
        <v>15</v>
      </c>
      <c r="W585" s="186" t="s">
        <v>20</v>
      </c>
      <c r="X585" s="186" t="s">
        <v>15</v>
      </c>
      <c r="Y585" s="186" t="s">
        <v>15</v>
      </c>
      <c r="Z585" s="186"/>
      <c r="AA585" s="186" t="s">
        <v>1287</v>
      </c>
      <c r="AB585" s="186" t="s">
        <v>122</v>
      </c>
      <c r="AC585" s="186" t="s">
        <v>122</v>
      </c>
      <c r="AD585" s="271" t="s">
        <v>1288</v>
      </c>
      <c r="AE585" s="268" t="s">
        <v>2846</v>
      </c>
      <c r="AF585" s="144" t="str">
        <f t="shared" si="40"/>
        <v/>
      </c>
      <c r="AG585" s="144" t="str">
        <f t="shared" si="39"/>
        <v/>
      </c>
      <c r="AH585" s="146">
        <f t="shared" si="41"/>
        <v>0.15426615384615386</v>
      </c>
      <c r="AI585" s="146">
        <f t="shared" si="42"/>
        <v>0.21488153846153848</v>
      </c>
      <c r="AJ585" s="303"/>
      <c r="AK585" s="303"/>
      <c r="AL585" s="303"/>
      <c r="AM585" s="303"/>
      <c r="AN585" s="303"/>
      <c r="AO585" s="303"/>
      <c r="AP585" s="303"/>
      <c r="AQ585" s="303"/>
      <c r="AR585" s="303"/>
      <c r="AS585" s="170"/>
      <c r="AT585" s="170"/>
      <c r="AU585" s="310"/>
      <c r="AW585" s="294">
        <v>0.15426615384615386</v>
      </c>
      <c r="AX585" s="294">
        <f t="shared" si="43"/>
        <v>6.061538461538462E-2</v>
      </c>
      <c r="AY585" s="294"/>
      <c r="AZ585" s="294">
        <f t="shared" si="44"/>
        <v>4.2430769230769232E-3</v>
      </c>
      <c r="BA585" s="294"/>
      <c r="BB585" s="294">
        <f t="shared" si="45"/>
        <v>1.666923076923077E-2</v>
      </c>
      <c r="BC585" s="294">
        <f t="shared" si="46"/>
        <v>7.5769230769230769E-2</v>
      </c>
      <c r="BD585" s="294"/>
      <c r="BE585" s="294"/>
      <c r="BF585" s="383">
        <f t="shared" si="47"/>
        <v>0.15426615384615386</v>
      </c>
      <c r="BG585" s="383">
        <f>0.197/0.65</f>
        <v>0.30307692307692308</v>
      </c>
      <c r="BH585" s="278"/>
      <c r="BI585" s="365"/>
      <c r="BJ585" s="409"/>
    </row>
    <row r="586" spans="1:62" ht="15.75" customHeight="1" thickBot="1" x14ac:dyDescent="0.25">
      <c r="A586" s="156">
        <v>586</v>
      </c>
      <c r="B586" s="155">
        <v>1</v>
      </c>
      <c r="C586" s="148" t="s">
        <v>259</v>
      </c>
      <c r="D586" s="148" t="s">
        <v>3068</v>
      </c>
      <c r="E586" s="148" t="s">
        <v>1282</v>
      </c>
      <c r="F586" s="148" t="s">
        <v>1292</v>
      </c>
      <c r="G586" s="148" t="s">
        <v>292</v>
      </c>
      <c r="H586" s="148" t="s">
        <v>1284</v>
      </c>
      <c r="I586" s="161">
        <v>2009</v>
      </c>
      <c r="J586" s="161" t="s">
        <v>1285</v>
      </c>
      <c r="K586" s="161" t="s">
        <v>1286</v>
      </c>
      <c r="L586" s="161" t="s">
        <v>19</v>
      </c>
      <c r="M586" s="453" t="s">
        <v>4223</v>
      </c>
      <c r="N586" s="186" t="s">
        <v>20</v>
      </c>
      <c r="O586" s="186" t="s">
        <v>15</v>
      </c>
      <c r="P586" s="186" t="s">
        <v>20</v>
      </c>
      <c r="Q586" s="186" t="s">
        <v>20</v>
      </c>
      <c r="R586" s="186" t="s">
        <v>20</v>
      </c>
      <c r="S586" s="186" t="s">
        <v>20</v>
      </c>
      <c r="T586" s="186" t="s">
        <v>20</v>
      </c>
      <c r="U586" s="186" t="s">
        <v>20</v>
      </c>
      <c r="V586" s="186" t="s">
        <v>15</v>
      </c>
      <c r="W586" s="186" t="s">
        <v>20</v>
      </c>
      <c r="X586" s="186" t="s">
        <v>15</v>
      </c>
      <c r="Y586" s="186" t="s">
        <v>15</v>
      </c>
      <c r="Z586" s="186"/>
      <c r="AA586" s="186" t="s">
        <v>1287</v>
      </c>
      <c r="AB586" s="186" t="s">
        <v>122</v>
      </c>
      <c r="AC586" s="186" t="s">
        <v>122</v>
      </c>
      <c r="AD586" s="271" t="s">
        <v>1288</v>
      </c>
      <c r="AE586" s="268" t="s">
        <v>2850</v>
      </c>
      <c r="AF586" s="144" t="str">
        <f t="shared" si="40"/>
        <v/>
      </c>
      <c r="AG586" s="144" t="str">
        <f t="shared" si="39"/>
        <v/>
      </c>
      <c r="AH586" s="146">
        <f t="shared" si="41"/>
        <v>0.20129943502824862</v>
      </c>
      <c r="AI586" s="146">
        <f t="shared" si="42"/>
        <v>0.28039548022598876</v>
      </c>
      <c r="AJ586" s="303"/>
      <c r="AK586" s="303"/>
      <c r="AL586" s="303"/>
      <c r="AM586" s="303"/>
      <c r="AN586" s="303"/>
      <c r="AO586" s="303"/>
      <c r="AP586" s="303"/>
      <c r="AQ586" s="303"/>
      <c r="AR586" s="303"/>
      <c r="AS586" s="170"/>
      <c r="AT586" s="170"/>
      <c r="AU586" s="310"/>
      <c r="AW586" s="294">
        <v>0.20129943502824862</v>
      </c>
      <c r="AX586" s="294">
        <f t="shared" si="43"/>
        <v>7.9096045197740134E-2</v>
      </c>
      <c r="AY586" s="294"/>
      <c r="AZ586" s="294">
        <f t="shared" si="44"/>
        <v>5.5367231638418094E-3</v>
      </c>
      <c r="BA586" s="294"/>
      <c r="BB586" s="294">
        <f t="shared" si="45"/>
        <v>2.1751412429378534E-2</v>
      </c>
      <c r="BC586" s="294">
        <f t="shared" si="46"/>
        <v>9.887005649717516E-2</v>
      </c>
      <c r="BD586" s="294"/>
      <c r="BE586" s="294"/>
      <c r="BF586" s="383">
        <f t="shared" si="47"/>
        <v>0.20129943502824862</v>
      </c>
      <c r="BG586" s="383">
        <f>0.28/0.708</f>
        <v>0.39548022598870064</v>
      </c>
      <c r="BH586" s="278"/>
      <c r="BI586" s="365"/>
      <c r="BJ586" s="409"/>
    </row>
    <row r="587" spans="1:62" ht="15.75" customHeight="1" thickBot="1" x14ac:dyDescent="0.25">
      <c r="A587" s="154">
        <v>587</v>
      </c>
      <c r="B587" s="155">
        <v>1</v>
      </c>
      <c r="C587" s="148" t="s">
        <v>259</v>
      </c>
      <c r="D587" s="148" t="s">
        <v>2747</v>
      </c>
      <c r="E587" s="148" t="s">
        <v>1282</v>
      </c>
      <c r="F587" s="148" t="s">
        <v>1293</v>
      </c>
      <c r="G587" s="148" t="s">
        <v>292</v>
      </c>
      <c r="H587" s="148" t="s">
        <v>1284</v>
      </c>
      <c r="I587" s="161">
        <v>2009</v>
      </c>
      <c r="J587" s="161" t="s">
        <v>1285</v>
      </c>
      <c r="K587" s="161" t="s">
        <v>1286</v>
      </c>
      <c r="L587" s="161" t="s">
        <v>19</v>
      </c>
      <c r="M587" s="453" t="s">
        <v>4223</v>
      </c>
      <c r="N587" s="186" t="s">
        <v>20</v>
      </c>
      <c r="O587" s="186" t="s">
        <v>15</v>
      </c>
      <c r="P587" s="186" t="s">
        <v>20</v>
      </c>
      <c r="Q587" s="186" t="s">
        <v>20</v>
      </c>
      <c r="R587" s="186" t="s">
        <v>20</v>
      </c>
      <c r="S587" s="186" t="s">
        <v>20</v>
      </c>
      <c r="T587" s="186" t="s">
        <v>20</v>
      </c>
      <c r="U587" s="186" t="s">
        <v>20</v>
      </c>
      <c r="V587" s="186" t="s">
        <v>15</v>
      </c>
      <c r="W587" s="186" t="s">
        <v>20</v>
      </c>
      <c r="X587" s="186" t="s">
        <v>15</v>
      </c>
      <c r="Y587" s="186" t="s">
        <v>15</v>
      </c>
      <c r="Z587" s="186"/>
      <c r="AA587" s="186" t="s">
        <v>1287</v>
      </c>
      <c r="AB587" s="186" t="s">
        <v>122</v>
      </c>
      <c r="AC587" s="186" t="s">
        <v>122</v>
      </c>
      <c r="AD587" s="271" t="s">
        <v>1288</v>
      </c>
      <c r="AE587" s="268" t="s">
        <v>2848</v>
      </c>
      <c r="AF587" s="144" t="str">
        <f t="shared" si="40"/>
        <v/>
      </c>
      <c r="AG587" s="144" t="str">
        <f t="shared" si="39"/>
        <v/>
      </c>
      <c r="AH587" s="146">
        <f t="shared" si="41"/>
        <v>0.19763074484944534</v>
      </c>
      <c r="AI587" s="146">
        <f t="shared" si="42"/>
        <v>0.2752852614896989</v>
      </c>
      <c r="AJ587" s="303"/>
      <c r="AK587" s="303"/>
      <c r="AL587" s="303"/>
      <c r="AM587" s="303"/>
      <c r="AN587" s="303"/>
      <c r="AO587" s="303"/>
      <c r="AP587" s="303"/>
      <c r="AQ587" s="303"/>
      <c r="AR587" s="303"/>
      <c r="AS587" s="170"/>
      <c r="AT587" s="170"/>
      <c r="AU587" s="310"/>
      <c r="AW587" s="294">
        <v>0.19763074484944534</v>
      </c>
      <c r="AX587" s="294">
        <f t="shared" si="43"/>
        <v>7.7654516640253579E-2</v>
      </c>
      <c r="AY587" s="294"/>
      <c r="AZ587" s="294">
        <f t="shared" si="44"/>
        <v>5.4358161648177502E-3</v>
      </c>
      <c r="BA587" s="294"/>
      <c r="BB587" s="294">
        <f t="shared" si="45"/>
        <v>2.135499207606973E-2</v>
      </c>
      <c r="BC587" s="294">
        <f t="shared" si="46"/>
        <v>9.706814580031696E-2</v>
      </c>
      <c r="BD587" s="294"/>
      <c r="BE587" s="294"/>
      <c r="BF587" s="383">
        <f t="shared" si="47"/>
        <v>0.19763074484944534</v>
      </c>
      <c r="BG587" s="383">
        <f>0.245/0.631</f>
        <v>0.38827258320126784</v>
      </c>
      <c r="BH587" s="278"/>
      <c r="BI587" s="365"/>
      <c r="BJ587" s="409"/>
    </row>
    <row r="588" spans="1:62" ht="15.75" customHeight="1" thickBot="1" x14ac:dyDescent="0.25">
      <c r="A588" s="156">
        <v>588</v>
      </c>
      <c r="B588" s="155">
        <v>1</v>
      </c>
      <c r="C588" s="148" t="s">
        <v>11</v>
      </c>
      <c r="D588" s="150" t="s">
        <v>12</v>
      </c>
      <c r="E588" s="148" t="s">
        <v>13</v>
      </c>
      <c r="F588" s="148" t="s">
        <v>1294</v>
      </c>
      <c r="G588" s="148" t="s">
        <v>1295</v>
      </c>
      <c r="H588" s="148" t="s">
        <v>700</v>
      </c>
      <c r="I588" s="161">
        <v>2011</v>
      </c>
      <c r="J588" s="161" t="s">
        <v>1296</v>
      </c>
      <c r="K588" s="161"/>
      <c r="L588" s="161" t="s">
        <v>19</v>
      </c>
      <c r="M588" s="453" t="s">
        <v>4224</v>
      </c>
      <c r="N588" s="186" t="s">
        <v>20</v>
      </c>
      <c r="O588" s="186" t="s">
        <v>15</v>
      </c>
      <c r="P588" s="186" t="s">
        <v>15</v>
      </c>
      <c r="Q588" s="186" t="s">
        <v>15</v>
      </c>
      <c r="R588" s="186" t="s">
        <v>15</v>
      </c>
      <c r="S588" s="186" t="s">
        <v>15</v>
      </c>
      <c r="T588" s="186" t="s">
        <v>15</v>
      </c>
      <c r="U588" s="186" t="s">
        <v>15</v>
      </c>
      <c r="V588" s="186" t="s">
        <v>15</v>
      </c>
      <c r="W588" s="186" t="s">
        <v>15</v>
      </c>
      <c r="X588" s="186" t="s">
        <v>15</v>
      </c>
      <c r="Y588" s="186" t="s">
        <v>15</v>
      </c>
      <c r="Z588" s="186"/>
      <c r="AA588" s="186" t="s">
        <v>1131</v>
      </c>
      <c r="AB588" s="186" t="s">
        <v>15</v>
      </c>
      <c r="AC588" s="186" t="s">
        <v>15</v>
      </c>
      <c r="AD588" s="268" t="s">
        <v>1297</v>
      </c>
      <c r="AE588" s="268" t="s">
        <v>92</v>
      </c>
      <c r="AF588" s="144" t="str">
        <f t="shared" si="40"/>
        <v/>
      </c>
      <c r="AG588" s="144" t="str">
        <f t="shared" si="39"/>
        <v/>
      </c>
      <c r="AH588" s="146">
        <f t="shared" si="41"/>
        <v>1</v>
      </c>
      <c r="AI588" s="146" t="str">
        <f t="shared" si="42"/>
        <v/>
      </c>
      <c r="AJ588" s="303"/>
      <c r="AK588" s="303"/>
      <c r="AL588" s="303"/>
      <c r="AM588" s="303"/>
      <c r="AN588" s="303"/>
      <c r="AO588" s="303"/>
      <c r="AP588" s="303"/>
      <c r="AQ588" s="303"/>
      <c r="AR588" s="303"/>
      <c r="AS588" s="170"/>
      <c r="AT588" s="170"/>
      <c r="AU588" s="310"/>
      <c r="AW588" s="294"/>
      <c r="AX588" s="294"/>
      <c r="AY588" s="294"/>
      <c r="AZ588" s="294"/>
      <c r="BA588" s="294"/>
      <c r="BB588" s="294"/>
      <c r="BC588" s="294"/>
      <c r="BD588" s="294"/>
      <c r="BE588" s="294"/>
      <c r="BF588" s="383">
        <v>1</v>
      </c>
      <c r="BG588" s="383"/>
      <c r="BH588" s="278"/>
      <c r="BI588" s="365" t="s">
        <v>733</v>
      </c>
      <c r="BJ588" s="409"/>
    </row>
    <row r="589" spans="1:62" ht="15.75" customHeight="1" thickBot="1" x14ac:dyDescent="0.25">
      <c r="A589" s="154">
        <v>589</v>
      </c>
      <c r="B589" s="155">
        <v>1</v>
      </c>
      <c r="C589" s="148" t="s">
        <v>11</v>
      </c>
      <c r="D589" s="150" t="s">
        <v>12</v>
      </c>
      <c r="E589" s="148" t="s">
        <v>13</v>
      </c>
      <c r="F589" s="148" t="s">
        <v>1294</v>
      </c>
      <c r="G589" s="148" t="s">
        <v>1295</v>
      </c>
      <c r="H589" s="148" t="s">
        <v>101</v>
      </c>
      <c r="I589" s="161">
        <v>2011</v>
      </c>
      <c r="J589" s="161" t="s">
        <v>1296</v>
      </c>
      <c r="K589" s="161"/>
      <c r="L589" s="161" t="s">
        <v>19</v>
      </c>
      <c r="M589" s="453" t="s">
        <v>4224</v>
      </c>
      <c r="N589" s="186" t="s">
        <v>20</v>
      </c>
      <c r="O589" s="186" t="s">
        <v>15</v>
      </c>
      <c r="P589" s="186" t="s">
        <v>15</v>
      </c>
      <c r="Q589" s="186" t="s">
        <v>15</v>
      </c>
      <c r="R589" s="186" t="s">
        <v>15</v>
      </c>
      <c r="S589" s="186" t="s">
        <v>15</v>
      </c>
      <c r="T589" s="186" t="s">
        <v>15</v>
      </c>
      <c r="U589" s="186" t="s">
        <v>15</v>
      </c>
      <c r="V589" s="186" t="s">
        <v>15</v>
      </c>
      <c r="W589" s="186" t="s">
        <v>15</v>
      </c>
      <c r="X589" s="186" t="s">
        <v>15</v>
      </c>
      <c r="Y589" s="186" t="s">
        <v>15</v>
      </c>
      <c r="Z589" s="186"/>
      <c r="AA589" s="186" t="s">
        <v>1131</v>
      </c>
      <c r="AB589" s="186" t="s">
        <v>15</v>
      </c>
      <c r="AC589" s="186" t="s">
        <v>15</v>
      </c>
      <c r="AD589" s="268" t="s">
        <v>1297</v>
      </c>
      <c r="AE589" s="268" t="s">
        <v>92</v>
      </c>
      <c r="AF589" s="144" t="str">
        <f t="shared" si="40"/>
        <v/>
      </c>
      <c r="AG589" s="144" t="str">
        <f t="shared" si="39"/>
        <v/>
      </c>
      <c r="AH589" s="146">
        <f t="shared" si="41"/>
        <v>1.1599999999999999</v>
      </c>
      <c r="AI589" s="146" t="str">
        <f t="shared" si="42"/>
        <v/>
      </c>
      <c r="AJ589" s="303"/>
      <c r="AK589" s="303"/>
      <c r="AL589" s="303"/>
      <c r="AM589" s="303"/>
      <c r="AN589" s="303"/>
      <c r="AO589" s="303"/>
      <c r="AP589" s="303"/>
      <c r="AQ589" s="303"/>
      <c r="AR589" s="303"/>
      <c r="AS589" s="170"/>
      <c r="AT589" s="170"/>
      <c r="AU589" s="310"/>
      <c r="AW589" s="294"/>
      <c r="AX589" s="294"/>
      <c r="AY589" s="294"/>
      <c r="AZ589" s="294"/>
      <c r="BA589" s="294"/>
      <c r="BB589" s="294"/>
      <c r="BC589" s="294"/>
      <c r="BD589" s="294"/>
      <c r="BE589" s="294"/>
      <c r="BF589" s="382">
        <v>1.1599999999999999</v>
      </c>
      <c r="BG589" s="383"/>
      <c r="BH589" s="278"/>
      <c r="BI589" s="365" t="s">
        <v>733</v>
      </c>
      <c r="BJ589" s="409"/>
    </row>
    <row r="590" spans="1:62" ht="15.75" customHeight="1" thickBot="1" x14ac:dyDescent="0.25">
      <c r="A590" s="156">
        <v>590</v>
      </c>
      <c r="B590" s="155">
        <v>1</v>
      </c>
      <c r="C590" s="148" t="s">
        <v>11</v>
      </c>
      <c r="D590" s="150" t="s">
        <v>12</v>
      </c>
      <c r="E590" s="148" t="s">
        <v>13</v>
      </c>
      <c r="F590" s="148" t="s">
        <v>1294</v>
      </c>
      <c r="G590" s="148" t="s">
        <v>1298</v>
      </c>
      <c r="H590" s="148" t="s">
        <v>700</v>
      </c>
      <c r="I590" s="161">
        <v>2011</v>
      </c>
      <c r="J590" s="161" t="s">
        <v>1296</v>
      </c>
      <c r="K590" s="161"/>
      <c r="L590" s="161" t="s">
        <v>19</v>
      </c>
      <c r="M590" s="453" t="s">
        <v>4224</v>
      </c>
      <c r="N590" s="186" t="s">
        <v>20</v>
      </c>
      <c r="O590" s="186" t="s">
        <v>15</v>
      </c>
      <c r="P590" s="186" t="s">
        <v>15</v>
      </c>
      <c r="Q590" s="186" t="s">
        <v>15</v>
      </c>
      <c r="R590" s="186" t="s">
        <v>15</v>
      </c>
      <c r="S590" s="186" t="s">
        <v>15</v>
      </c>
      <c r="T590" s="186" t="s">
        <v>15</v>
      </c>
      <c r="U590" s="186" t="s">
        <v>15</v>
      </c>
      <c r="V590" s="186" t="s">
        <v>15</v>
      </c>
      <c r="W590" s="186" t="s">
        <v>15</v>
      </c>
      <c r="X590" s="186" t="s">
        <v>15</v>
      </c>
      <c r="Y590" s="186" t="s">
        <v>15</v>
      </c>
      <c r="Z590" s="186"/>
      <c r="AA590" s="186" t="s">
        <v>1131</v>
      </c>
      <c r="AB590" s="186" t="s">
        <v>15</v>
      </c>
      <c r="AC590" s="186" t="s">
        <v>15</v>
      </c>
      <c r="AD590" s="268" t="s">
        <v>1297</v>
      </c>
      <c r="AE590" s="268" t="s">
        <v>92</v>
      </c>
      <c r="AF590" s="144" t="str">
        <f t="shared" si="40"/>
        <v/>
      </c>
      <c r="AG590" s="144" t="str">
        <f t="shared" si="39"/>
        <v/>
      </c>
      <c r="AH590" s="146">
        <f t="shared" si="41"/>
        <v>0.63</v>
      </c>
      <c r="AI590" s="146" t="str">
        <f t="shared" si="42"/>
        <v/>
      </c>
      <c r="AJ590" s="303"/>
      <c r="AK590" s="303"/>
      <c r="AL590" s="303"/>
      <c r="AM590" s="303"/>
      <c r="AN590" s="303"/>
      <c r="AO590" s="303"/>
      <c r="AP590" s="303"/>
      <c r="AQ590" s="303"/>
      <c r="AR590" s="303"/>
      <c r="AS590" s="170"/>
      <c r="AT590" s="170"/>
      <c r="AU590" s="310"/>
      <c r="AW590" s="294"/>
      <c r="AX590" s="294"/>
      <c r="AY590" s="294"/>
      <c r="AZ590" s="294"/>
      <c r="BA590" s="294"/>
      <c r="BB590" s="294"/>
      <c r="BC590" s="294"/>
      <c r="BD590" s="294"/>
      <c r="BE590" s="294"/>
      <c r="BF590" s="382">
        <v>0.63</v>
      </c>
      <c r="BG590" s="383"/>
      <c r="BH590" s="278"/>
      <c r="BI590" s="365" t="s">
        <v>733</v>
      </c>
      <c r="BJ590" s="409"/>
    </row>
    <row r="591" spans="1:62" ht="15.75" customHeight="1" thickBot="1" x14ac:dyDescent="0.25">
      <c r="A591" s="154">
        <v>591</v>
      </c>
      <c r="B591" s="155">
        <v>1</v>
      </c>
      <c r="C591" s="148" t="s">
        <v>11</v>
      </c>
      <c r="D591" s="150" t="s">
        <v>12</v>
      </c>
      <c r="E591" s="148" t="s">
        <v>13</v>
      </c>
      <c r="F591" s="148" t="s">
        <v>1294</v>
      </c>
      <c r="G591" s="148" t="s">
        <v>1298</v>
      </c>
      <c r="H591" s="148" t="s">
        <v>101</v>
      </c>
      <c r="I591" s="161">
        <v>2011</v>
      </c>
      <c r="J591" s="161" t="s">
        <v>1296</v>
      </c>
      <c r="K591" s="161"/>
      <c r="L591" s="161" t="s">
        <v>19</v>
      </c>
      <c r="M591" s="453" t="s">
        <v>4224</v>
      </c>
      <c r="N591" s="186" t="s">
        <v>20</v>
      </c>
      <c r="O591" s="186" t="s">
        <v>15</v>
      </c>
      <c r="P591" s="186" t="s">
        <v>15</v>
      </c>
      <c r="Q591" s="186" t="s">
        <v>15</v>
      </c>
      <c r="R591" s="186" t="s">
        <v>15</v>
      </c>
      <c r="S591" s="186" t="s">
        <v>15</v>
      </c>
      <c r="T591" s="186" t="s">
        <v>15</v>
      </c>
      <c r="U591" s="186" t="s">
        <v>15</v>
      </c>
      <c r="V591" s="186" t="s">
        <v>15</v>
      </c>
      <c r="W591" s="186" t="s">
        <v>15</v>
      </c>
      <c r="X591" s="186" t="s">
        <v>15</v>
      </c>
      <c r="Y591" s="186" t="s">
        <v>15</v>
      </c>
      <c r="Z591" s="186"/>
      <c r="AA591" s="186" t="s">
        <v>1131</v>
      </c>
      <c r="AB591" s="186" t="s">
        <v>15</v>
      </c>
      <c r="AC591" s="186" t="s">
        <v>15</v>
      </c>
      <c r="AD591" s="268" t="s">
        <v>1297</v>
      </c>
      <c r="AE591" s="268" t="s">
        <v>92</v>
      </c>
      <c r="AF591" s="144" t="str">
        <f t="shared" si="40"/>
        <v/>
      </c>
      <c r="AG591" s="144" t="str">
        <f t="shared" si="39"/>
        <v/>
      </c>
      <c r="AH591" s="146">
        <f t="shared" si="41"/>
        <v>0.73</v>
      </c>
      <c r="AI591" s="146" t="str">
        <f t="shared" si="42"/>
        <v/>
      </c>
      <c r="AJ591" s="303"/>
      <c r="AK591" s="303"/>
      <c r="AL591" s="303"/>
      <c r="AM591" s="303"/>
      <c r="AN591" s="303"/>
      <c r="AO591" s="303"/>
      <c r="AP591" s="303"/>
      <c r="AQ591" s="303"/>
      <c r="AR591" s="303"/>
      <c r="AS591" s="170"/>
      <c r="AT591" s="170"/>
      <c r="AU591" s="310"/>
      <c r="AW591" s="294"/>
      <c r="AX591" s="294"/>
      <c r="AY591" s="294"/>
      <c r="AZ591" s="294"/>
      <c r="BA591" s="294"/>
      <c r="BB591" s="294"/>
      <c r="BC591" s="294"/>
      <c r="BD591" s="294"/>
      <c r="BE591" s="294"/>
      <c r="BF591" s="382">
        <v>0.73</v>
      </c>
      <c r="BG591" s="383"/>
      <c r="BH591" s="278"/>
      <c r="BI591" s="365" t="s">
        <v>733</v>
      </c>
      <c r="BJ591" s="409"/>
    </row>
    <row r="592" spans="1:62" ht="15.75" customHeight="1" thickBot="1" x14ac:dyDescent="0.25">
      <c r="A592" s="156">
        <v>592</v>
      </c>
      <c r="B592" s="155">
        <v>1</v>
      </c>
      <c r="C592" s="148" t="s">
        <v>11</v>
      </c>
      <c r="D592" s="150" t="s">
        <v>12</v>
      </c>
      <c r="E592" s="148" t="s">
        <v>13</v>
      </c>
      <c r="F592" s="148" t="s">
        <v>1294</v>
      </c>
      <c r="G592" s="148" t="s">
        <v>1299</v>
      </c>
      <c r="H592" s="148" t="s">
        <v>700</v>
      </c>
      <c r="I592" s="161">
        <v>2011</v>
      </c>
      <c r="J592" s="161" t="s">
        <v>1296</v>
      </c>
      <c r="K592" s="161"/>
      <c r="L592" s="161" t="s">
        <v>19</v>
      </c>
      <c r="M592" s="453" t="s">
        <v>4224</v>
      </c>
      <c r="N592" s="186" t="s">
        <v>20</v>
      </c>
      <c r="O592" s="186" t="s">
        <v>15</v>
      </c>
      <c r="P592" s="186" t="s">
        <v>15</v>
      </c>
      <c r="Q592" s="186" t="s">
        <v>15</v>
      </c>
      <c r="R592" s="186" t="s">
        <v>15</v>
      </c>
      <c r="S592" s="186" t="s">
        <v>15</v>
      </c>
      <c r="T592" s="186" t="s">
        <v>15</v>
      </c>
      <c r="U592" s="186" t="s">
        <v>15</v>
      </c>
      <c r="V592" s="186" t="s">
        <v>15</v>
      </c>
      <c r="W592" s="186" t="s">
        <v>15</v>
      </c>
      <c r="X592" s="186" t="s">
        <v>15</v>
      </c>
      <c r="Y592" s="186" t="s">
        <v>15</v>
      </c>
      <c r="Z592" s="186"/>
      <c r="AA592" s="186" t="s">
        <v>1131</v>
      </c>
      <c r="AB592" s="186" t="s">
        <v>15</v>
      </c>
      <c r="AC592" s="186" t="s">
        <v>15</v>
      </c>
      <c r="AD592" s="268" t="s">
        <v>1297</v>
      </c>
      <c r="AE592" s="268" t="s">
        <v>92</v>
      </c>
      <c r="AF592" s="144" t="str">
        <f t="shared" si="40"/>
        <v/>
      </c>
      <c r="AG592" s="144" t="str">
        <f t="shared" si="39"/>
        <v/>
      </c>
      <c r="AH592" s="146">
        <f t="shared" si="41"/>
        <v>0.76</v>
      </c>
      <c r="AI592" s="146" t="str">
        <f t="shared" si="42"/>
        <v/>
      </c>
      <c r="AJ592" s="303"/>
      <c r="AK592" s="303"/>
      <c r="AL592" s="303"/>
      <c r="AM592" s="303"/>
      <c r="AN592" s="303"/>
      <c r="AO592" s="303"/>
      <c r="AP592" s="303"/>
      <c r="AQ592" s="303"/>
      <c r="AR592" s="303"/>
      <c r="AS592" s="170"/>
      <c r="AT592" s="170"/>
      <c r="AU592" s="310"/>
      <c r="AW592" s="294"/>
      <c r="AX592" s="294"/>
      <c r="AY592" s="294"/>
      <c r="AZ592" s="294"/>
      <c r="BA592" s="294"/>
      <c r="BB592" s="294"/>
      <c r="BC592" s="294"/>
      <c r="BD592" s="294"/>
      <c r="BE592" s="294"/>
      <c r="BF592" s="382">
        <v>0.76</v>
      </c>
      <c r="BG592" s="383"/>
      <c r="BH592" s="278"/>
      <c r="BI592" s="365" t="s">
        <v>733</v>
      </c>
      <c r="BJ592" s="409"/>
    </row>
    <row r="593" spans="1:62" ht="15.75" customHeight="1" thickBot="1" x14ac:dyDescent="0.25">
      <c r="A593" s="154">
        <v>593</v>
      </c>
      <c r="B593" s="155">
        <v>1</v>
      </c>
      <c r="C593" s="148" t="s">
        <v>11</v>
      </c>
      <c r="D593" s="150" t="s">
        <v>12</v>
      </c>
      <c r="E593" s="148" t="s">
        <v>13</v>
      </c>
      <c r="F593" s="148" t="s">
        <v>1294</v>
      </c>
      <c r="G593" s="148" t="s">
        <v>1299</v>
      </c>
      <c r="H593" s="148" t="s">
        <v>101</v>
      </c>
      <c r="I593" s="161">
        <v>2011</v>
      </c>
      <c r="J593" s="161" t="s">
        <v>1296</v>
      </c>
      <c r="K593" s="161"/>
      <c r="L593" s="161" t="s">
        <v>19</v>
      </c>
      <c r="M593" s="453" t="s">
        <v>4224</v>
      </c>
      <c r="N593" s="186" t="s">
        <v>20</v>
      </c>
      <c r="O593" s="186" t="s">
        <v>15</v>
      </c>
      <c r="P593" s="186" t="s">
        <v>15</v>
      </c>
      <c r="Q593" s="186" t="s">
        <v>15</v>
      </c>
      <c r="R593" s="186" t="s">
        <v>15</v>
      </c>
      <c r="S593" s="186" t="s">
        <v>15</v>
      </c>
      <c r="T593" s="186" t="s">
        <v>15</v>
      </c>
      <c r="U593" s="186" t="s">
        <v>15</v>
      </c>
      <c r="V593" s="186" t="s">
        <v>15</v>
      </c>
      <c r="W593" s="186" t="s">
        <v>15</v>
      </c>
      <c r="X593" s="186" t="s">
        <v>15</v>
      </c>
      <c r="Y593" s="186" t="s">
        <v>15</v>
      </c>
      <c r="Z593" s="186"/>
      <c r="AA593" s="186" t="s">
        <v>1131</v>
      </c>
      <c r="AB593" s="186" t="s">
        <v>15</v>
      </c>
      <c r="AC593" s="186" t="s">
        <v>15</v>
      </c>
      <c r="AD593" s="268" t="s">
        <v>1297</v>
      </c>
      <c r="AE593" s="268" t="s">
        <v>92</v>
      </c>
      <c r="AF593" s="144" t="str">
        <f t="shared" si="40"/>
        <v/>
      </c>
      <c r="AG593" s="144" t="str">
        <f t="shared" si="39"/>
        <v/>
      </c>
      <c r="AH593" s="146">
        <f t="shared" si="41"/>
        <v>0.85</v>
      </c>
      <c r="AI593" s="146" t="str">
        <f t="shared" si="42"/>
        <v/>
      </c>
      <c r="AJ593" s="303"/>
      <c r="AK593" s="303"/>
      <c r="AL593" s="303"/>
      <c r="AM593" s="303"/>
      <c r="AN593" s="303"/>
      <c r="AO593" s="303"/>
      <c r="AP593" s="303"/>
      <c r="AQ593" s="303"/>
      <c r="AR593" s="303"/>
      <c r="AS593" s="170"/>
      <c r="AT593" s="170"/>
      <c r="AU593" s="310"/>
      <c r="AW593" s="294"/>
      <c r="AX593" s="294"/>
      <c r="AY593" s="294"/>
      <c r="AZ593" s="294"/>
      <c r="BA593" s="294"/>
      <c r="BB593" s="294"/>
      <c r="BC593" s="294"/>
      <c r="BD593" s="294"/>
      <c r="BE593" s="294"/>
      <c r="BF593" s="382">
        <v>0.85</v>
      </c>
      <c r="BG593" s="383"/>
      <c r="BH593" s="278"/>
      <c r="BI593" s="365" t="s">
        <v>733</v>
      </c>
      <c r="BJ593" s="409"/>
    </row>
    <row r="594" spans="1:62" ht="15.75" customHeight="1" thickBot="1" x14ac:dyDescent="0.25">
      <c r="A594" s="156">
        <v>594</v>
      </c>
      <c r="B594" s="155">
        <v>1</v>
      </c>
      <c r="C594" s="148" t="s">
        <v>11</v>
      </c>
      <c r="D594" s="150" t="s">
        <v>12</v>
      </c>
      <c r="E594" s="148" t="s">
        <v>13</v>
      </c>
      <c r="F594" s="148" t="s">
        <v>1294</v>
      </c>
      <c r="G594" s="148" t="s">
        <v>1300</v>
      </c>
      <c r="H594" s="148" t="s">
        <v>700</v>
      </c>
      <c r="I594" s="161">
        <v>2011</v>
      </c>
      <c r="J594" s="161" t="s">
        <v>1296</v>
      </c>
      <c r="K594" s="161"/>
      <c r="L594" s="161" t="s">
        <v>19</v>
      </c>
      <c r="M594" s="453" t="s">
        <v>4224</v>
      </c>
      <c r="N594" s="186" t="s">
        <v>20</v>
      </c>
      <c r="O594" s="186" t="s">
        <v>15</v>
      </c>
      <c r="P594" s="186" t="s">
        <v>15</v>
      </c>
      <c r="Q594" s="186" t="s">
        <v>15</v>
      </c>
      <c r="R594" s="186" t="s">
        <v>15</v>
      </c>
      <c r="S594" s="186" t="s">
        <v>15</v>
      </c>
      <c r="T594" s="186" t="s">
        <v>15</v>
      </c>
      <c r="U594" s="186" t="s">
        <v>15</v>
      </c>
      <c r="V594" s="186" t="s">
        <v>15</v>
      </c>
      <c r="W594" s="186" t="s">
        <v>15</v>
      </c>
      <c r="X594" s="186" t="s">
        <v>15</v>
      </c>
      <c r="Y594" s="186" t="s">
        <v>15</v>
      </c>
      <c r="Z594" s="186"/>
      <c r="AA594" s="186" t="s">
        <v>1131</v>
      </c>
      <c r="AB594" s="186" t="s">
        <v>15</v>
      </c>
      <c r="AC594" s="186" t="s">
        <v>15</v>
      </c>
      <c r="AD594" s="268" t="s">
        <v>1297</v>
      </c>
      <c r="AE594" s="268" t="s">
        <v>92</v>
      </c>
      <c r="AF594" s="144" t="str">
        <f t="shared" si="40"/>
        <v/>
      </c>
      <c r="AG594" s="144" t="str">
        <f t="shared" si="39"/>
        <v/>
      </c>
      <c r="AH594" s="146">
        <f t="shared" si="41"/>
        <v>0.86</v>
      </c>
      <c r="AI594" s="146" t="str">
        <f t="shared" si="42"/>
        <v/>
      </c>
      <c r="AJ594" s="303"/>
      <c r="AK594" s="303"/>
      <c r="AL594" s="303"/>
      <c r="AM594" s="303"/>
      <c r="AN594" s="303"/>
      <c r="AO594" s="303"/>
      <c r="AP594" s="303"/>
      <c r="AQ594" s="303"/>
      <c r="AR594" s="303"/>
      <c r="AS594" s="170"/>
      <c r="AT594" s="170"/>
      <c r="AU594" s="310"/>
      <c r="AW594" s="294"/>
      <c r="AX594" s="294"/>
      <c r="AY594" s="294"/>
      <c r="AZ594" s="294"/>
      <c r="BA594" s="294"/>
      <c r="BB594" s="294"/>
      <c r="BC594" s="294"/>
      <c r="BD594" s="294"/>
      <c r="BE594" s="294"/>
      <c r="BF594" s="382">
        <v>0.86</v>
      </c>
      <c r="BG594" s="383"/>
      <c r="BH594" s="278"/>
      <c r="BI594" s="365" t="s">
        <v>733</v>
      </c>
      <c r="BJ594" s="409"/>
    </row>
    <row r="595" spans="1:62" ht="15.75" customHeight="1" thickBot="1" x14ac:dyDescent="0.25">
      <c r="A595" s="154">
        <v>595</v>
      </c>
      <c r="B595" s="155">
        <v>1</v>
      </c>
      <c r="C595" s="148" t="s">
        <v>11</v>
      </c>
      <c r="D595" s="150" t="s">
        <v>12</v>
      </c>
      <c r="E595" s="148" t="s">
        <v>13</v>
      </c>
      <c r="F595" s="148" t="s">
        <v>1294</v>
      </c>
      <c r="G595" s="148" t="s">
        <v>1300</v>
      </c>
      <c r="H595" s="148" t="s">
        <v>101</v>
      </c>
      <c r="I595" s="161">
        <v>2011</v>
      </c>
      <c r="J595" s="161" t="s">
        <v>1296</v>
      </c>
      <c r="K595" s="161"/>
      <c r="L595" s="161" t="s">
        <v>19</v>
      </c>
      <c r="M595" s="453" t="s">
        <v>4224</v>
      </c>
      <c r="N595" s="186" t="s">
        <v>20</v>
      </c>
      <c r="O595" s="186" t="s">
        <v>15</v>
      </c>
      <c r="P595" s="186" t="s">
        <v>15</v>
      </c>
      <c r="Q595" s="186" t="s">
        <v>15</v>
      </c>
      <c r="R595" s="186" t="s">
        <v>15</v>
      </c>
      <c r="S595" s="186" t="s">
        <v>15</v>
      </c>
      <c r="T595" s="186" t="s">
        <v>15</v>
      </c>
      <c r="U595" s="186" t="s">
        <v>15</v>
      </c>
      <c r="V595" s="186" t="s">
        <v>15</v>
      </c>
      <c r="W595" s="186" t="s">
        <v>15</v>
      </c>
      <c r="X595" s="186" t="s">
        <v>15</v>
      </c>
      <c r="Y595" s="186" t="s">
        <v>15</v>
      </c>
      <c r="Z595" s="186"/>
      <c r="AA595" s="186" t="s">
        <v>1131</v>
      </c>
      <c r="AB595" s="186" t="s">
        <v>15</v>
      </c>
      <c r="AC595" s="186" t="s">
        <v>15</v>
      </c>
      <c r="AD595" s="268" t="s">
        <v>1297</v>
      </c>
      <c r="AE595" s="268" t="s">
        <v>92</v>
      </c>
      <c r="AF595" s="144" t="str">
        <f t="shared" si="40"/>
        <v/>
      </c>
      <c r="AG595" s="144" t="str">
        <f t="shared" ref="AG595:AG658" si="48">IF(AND(SUM(AJ595:AL595)&lt;&gt;0,SUM(AJ595:AL595)&lt;&gt;AJ595),SUM(AJ595:AL595),"")</f>
        <v/>
      </c>
      <c r="AH595" s="146">
        <f t="shared" si="41"/>
        <v>0.99</v>
      </c>
      <c r="AI595" s="146" t="str">
        <f t="shared" si="42"/>
        <v/>
      </c>
      <c r="AJ595" s="303"/>
      <c r="AK595" s="303"/>
      <c r="AL595" s="303"/>
      <c r="AM595" s="303"/>
      <c r="AN595" s="303"/>
      <c r="AO595" s="303"/>
      <c r="AP595" s="303"/>
      <c r="AQ595" s="303"/>
      <c r="AR595" s="303"/>
      <c r="AS595" s="170"/>
      <c r="AT595" s="170"/>
      <c r="AU595" s="310"/>
      <c r="AW595" s="294"/>
      <c r="AX595" s="294"/>
      <c r="AY595" s="294"/>
      <c r="AZ595" s="294"/>
      <c r="BA595" s="294"/>
      <c r="BB595" s="294"/>
      <c r="BC595" s="294"/>
      <c r="BD595" s="294"/>
      <c r="BE595" s="294"/>
      <c r="BF595" s="382">
        <v>0.99</v>
      </c>
      <c r="BG595" s="383"/>
      <c r="BH595" s="278"/>
      <c r="BI595" s="365" t="s">
        <v>733</v>
      </c>
      <c r="BJ595" s="409"/>
    </row>
    <row r="596" spans="1:62" ht="15.75" customHeight="1" thickBot="1" x14ac:dyDescent="0.25">
      <c r="A596" s="156">
        <v>596</v>
      </c>
      <c r="B596" s="155">
        <v>1</v>
      </c>
      <c r="C596" s="148" t="s">
        <v>11</v>
      </c>
      <c r="D596" s="150" t="s">
        <v>12</v>
      </c>
      <c r="E596" s="148" t="s">
        <v>13</v>
      </c>
      <c r="F596" s="148" t="s">
        <v>1294</v>
      </c>
      <c r="G596" s="148" t="s">
        <v>1301</v>
      </c>
      <c r="H596" s="148" t="s">
        <v>700</v>
      </c>
      <c r="I596" s="161">
        <v>2011</v>
      </c>
      <c r="J596" s="161" t="s">
        <v>1296</v>
      </c>
      <c r="K596" s="161"/>
      <c r="L596" s="161" t="s">
        <v>19</v>
      </c>
      <c r="M596" s="453" t="s">
        <v>4224</v>
      </c>
      <c r="N596" s="186" t="s">
        <v>20</v>
      </c>
      <c r="O596" s="186" t="s">
        <v>15</v>
      </c>
      <c r="P596" s="186" t="s">
        <v>15</v>
      </c>
      <c r="Q596" s="186" t="s">
        <v>15</v>
      </c>
      <c r="R596" s="186" t="s">
        <v>15</v>
      </c>
      <c r="S596" s="186" t="s">
        <v>15</v>
      </c>
      <c r="T596" s="186" t="s">
        <v>15</v>
      </c>
      <c r="U596" s="186" t="s">
        <v>15</v>
      </c>
      <c r="V596" s="186" t="s">
        <v>15</v>
      </c>
      <c r="W596" s="186" t="s">
        <v>15</v>
      </c>
      <c r="X596" s="186" t="s">
        <v>15</v>
      </c>
      <c r="Y596" s="186" t="s">
        <v>15</v>
      </c>
      <c r="Z596" s="186"/>
      <c r="AA596" s="186" t="s">
        <v>1131</v>
      </c>
      <c r="AB596" s="186" t="s">
        <v>15</v>
      </c>
      <c r="AC596" s="186" t="s">
        <v>15</v>
      </c>
      <c r="AD596" s="268" t="s">
        <v>1297</v>
      </c>
      <c r="AE596" s="268" t="s">
        <v>92</v>
      </c>
      <c r="AF596" s="144" t="str">
        <f t="shared" si="40"/>
        <v/>
      </c>
      <c r="AG596" s="144" t="str">
        <f t="shared" si="48"/>
        <v/>
      </c>
      <c r="AH596" s="146">
        <f t="shared" si="41"/>
        <v>0.94</v>
      </c>
      <c r="AI596" s="146" t="str">
        <f t="shared" si="42"/>
        <v/>
      </c>
      <c r="AJ596" s="303"/>
      <c r="AK596" s="303"/>
      <c r="AL596" s="303"/>
      <c r="AM596" s="303"/>
      <c r="AN596" s="303"/>
      <c r="AO596" s="303"/>
      <c r="AP596" s="303"/>
      <c r="AQ596" s="303"/>
      <c r="AR596" s="303"/>
      <c r="AS596" s="170"/>
      <c r="AT596" s="170"/>
      <c r="AU596" s="310"/>
      <c r="AW596" s="294"/>
      <c r="AX596" s="294"/>
      <c r="AY596" s="294"/>
      <c r="AZ596" s="294"/>
      <c r="BA596" s="294"/>
      <c r="BB596" s="294"/>
      <c r="BC596" s="294"/>
      <c r="BD596" s="294"/>
      <c r="BE596" s="294"/>
      <c r="BF596" s="382">
        <v>0.94</v>
      </c>
      <c r="BG596" s="383"/>
      <c r="BH596" s="278"/>
      <c r="BI596" s="365" t="s">
        <v>733</v>
      </c>
      <c r="BJ596" s="409"/>
    </row>
    <row r="597" spans="1:62" ht="15.75" customHeight="1" thickBot="1" x14ac:dyDescent="0.25">
      <c r="A597" s="154">
        <v>597</v>
      </c>
      <c r="B597" s="155">
        <v>1</v>
      </c>
      <c r="C597" s="148" t="s">
        <v>11</v>
      </c>
      <c r="D597" s="150" t="s">
        <v>12</v>
      </c>
      <c r="E597" s="148" t="s">
        <v>13</v>
      </c>
      <c r="F597" s="148" t="s">
        <v>1294</v>
      </c>
      <c r="G597" s="148" t="s">
        <v>1301</v>
      </c>
      <c r="H597" s="148" t="s">
        <v>101</v>
      </c>
      <c r="I597" s="161">
        <v>2011</v>
      </c>
      <c r="J597" s="161" t="s">
        <v>1296</v>
      </c>
      <c r="K597" s="161"/>
      <c r="L597" s="161" t="s">
        <v>19</v>
      </c>
      <c r="M597" s="453" t="s">
        <v>4224</v>
      </c>
      <c r="N597" s="186" t="s">
        <v>20</v>
      </c>
      <c r="O597" s="186" t="s">
        <v>15</v>
      </c>
      <c r="P597" s="186" t="s">
        <v>15</v>
      </c>
      <c r="Q597" s="186" t="s">
        <v>15</v>
      </c>
      <c r="R597" s="186" t="s">
        <v>15</v>
      </c>
      <c r="S597" s="186" t="s">
        <v>15</v>
      </c>
      <c r="T597" s="186" t="s">
        <v>15</v>
      </c>
      <c r="U597" s="186" t="s">
        <v>15</v>
      </c>
      <c r="V597" s="186" t="s">
        <v>15</v>
      </c>
      <c r="W597" s="186" t="s">
        <v>15</v>
      </c>
      <c r="X597" s="186" t="s">
        <v>15</v>
      </c>
      <c r="Y597" s="186" t="s">
        <v>15</v>
      </c>
      <c r="Z597" s="186"/>
      <c r="AA597" s="186" t="s">
        <v>1131</v>
      </c>
      <c r="AB597" s="186" t="s">
        <v>15</v>
      </c>
      <c r="AC597" s="186" t="s">
        <v>15</v>
      </c>
      <c r="AD597" s="268" t="s">
        <v>1297</v>
      </c>
      <c r="AE597" s="268" t="s">
        <v>92</v>
      </c>
      <c r="AF597" s="144" t="str">
        <f t="shared" si="40"/>
        <v/>
      </c>
      <c r="AG597" s="144" t="str">
        <f t="shared" si="48"/>
        <v/>
      </c>
      <c r="AH597" s="146">
        <f t="shared" si="41"/>
        <v>1.02</v>
      </c>
      <c r="AI597" s="146" t="str">
        <f t="shared" si="42"/>
        <v/>
      </c>
      <c r="AJ597" s="303"/>
      <c r="AK597" s="303"/>
      <c r="AL597" s="303"/>
      <c r="AM597" s="303"/>
      <c r="AN597" s="303"/>
      <c r="AO597" s="303"/>
      <c r="AP597" s="303"/>
      <c r="AQ597" s="303"/>
      <c r="AR597" s="303"/>
      <c r="AS597" s="170"/>
      <c r="AT597" s="170"/>
      <c r="AU597" s="310"/>
      <c r="AW597" s="294"/>
      <c r="AX597" s="294"/>
      <c r="AY597" s="294"/>
      <c r="AZ597" s="294"/>
      <c r="BA597" s="294"/>
      <c r="BB597" s="294"/>
      <c r="BC597" s="294"/>
      <c r="BD597" s="294"/>
      <c r="BE597" s="294"/>
      <c r="BF597" s="382">
        <v>1.02</v>
      </c>
      <c r="BG597" s="383"/>
      <c r="BH597" s="278"/>
      <c r="BI597" s="365" t="s">
        <v>733</v>
      </c>
      <c r="BJ597" s="409"/>
    </row>
    <row r="598" spans="1:62" ht="15.75" customHeight="1" thickBot="1" x14ac:dyDescent="0.25">
      <c r="A598" s="156">
        <v>598</v>
      </c>
      <c r="B598" s="155">
        <v>1</v>
      </c>
      <c r="C598" s="148" t="s">
        <v>11</v>
      </c>
      <c r="D598" s="150" t="s">
        <v>12</v>
      </c>
      <c r="E598" s="148" t="s">
        <v>13</v>
      </c>
      <c r="F598" s="148" t="s">
        <v>1294</v>
      </c>
      <c r="G598" s="148" t="s">
        <v>1302</v>
      </c>
      <c r="H598" s="148" t="s">
        <v>700</v>
      </c>
      <c r="I598" s="161">
        <v>2011</v>
      </c>
      <c r="J598" s="161" t="s">
        <v>1296</v>
      </c>
      <c r="K598" s="161"/>
      <c r="L598" s="161" t="s">
        <v>19</v>
      </c>
      <c r="M598" s="453" t="s">
        <v>4224</v>
      </c>
      <c r="N598" s="186" t="s">
        <v>20</v>
      </c>
      <c r="O598" s="186" t="s">
        <v>15</v>
      </c>
      <c r="P598" s="186" t="s">
        <v>15</v>
      </c>
      <c r="Q598" s="186" t="s">
        <v>15</v>
      </c>
      <c r="R598" s="186" t="s">
        <v>15</v>
      </c>
      <c r="S598" s="186" t="s">
        <v>15</v>
      </c>
      <c r="T598" s="186" t="s">
        <v>15</v>
      </c>
      <c r="U598" s="186" t="s">
        <v>15</v>
      </c>
      <c r="V598" s="186" t="s">
        <v>15</v>
      </c>
      <c r="W598" s="186" t="s">
        <v>15</v>
      </c>
      <c r="X598" s="186" t="s">
        <v>15</v>
      </c>
      <c r="Y598" s="186" t="s">
        <v>15</v>
      </c>
      <c r="Z598" s="186"/>
      <c r="AA598" s="186" t="s">
        <v>1131</v>
      </c>
      <c r="AB598" s="186" t="s">
        <v>15</v>
      </c>
      <c r="AC598" s="186" t="s">
        <v>15</v>
      </c>
      <c r="AD598" s="268" t="s">
        <v>1297</v>
      </c>
      <c r="AE598" s="268" t="s">
        <v>92</v>
      </c>
      <c r="AF598" s="144" t="str">
        <f t="shared" si="40"/>
        <v/>
      </c>
      <c r="AG598" s="144" t="str">
        <f t="shared" si="48"/>
        <v/>
      </c>
      <c r="AH598" s="146">
        <f t="shared" si="41"/>
        <v>0.94</v>
      </c>
      <c r="AI598" s="146" t="str">
        <f t="shared" si="42"/>
        <v/>
      </c>
      <c r="AJ598" s="303"/>
      <c r="AK598" s="303"/>
      <c r="AL598" s="303"/>
      <c r="AM598" s="303"/>
      <c r="AN598" s="303"/>
      <c r="AO598" s="303"/>
      <c r="AP598" s="303"/>
      <c r="AQ598" s="303"/>
      <c r="AR598" s="303"/>
      <c r="AS598" s="170"/>
      <c r="AT598" s="170"/>
      <c r="AU598" s="310"/>
      <c r="AW598" s="294"/>
      <c r="AX598" s="294"/>
      <c r="AY598" s="294"/>
      <c r="AZ598" s="294"/>
      <c r="BA598" s="294"/>
      <c r="BB598" s="294"/>
      <c r="BC598" s="294"/>
      <c r="BD598" s="294"/>
      <c r="BE598" s="294"/>
      <c r="BF598" s="382">
        <v>0.94</v>
      </c>
      <c r="BG598" s="383"/>
      <c r="BH598" s="278"/>
      <c r="BI598" s="365" t="s">
        <v>733</v>
      </c>
      <c r="BJ598" s="409"/>
    </row>
    <row r="599" spans="1:62" ht="15.75" customHeight="1" thickBot="1" x14ac:dyDescent="0.25">
      <c r="A599" s="154">
        <v>599</v>
      </c>
      <c r="B599" s="155">
        <v>1</v>
      </c>
      <c r="C599" s="148" t="s">
        <v>11</v>
      </c>
      <c r="D599" s="150" t="s">
        <v>12</v>
      </c>
      <c r="E599" s="148" t="s">
        <v>13</v>
      </c>
      <c r="F599" s="148" t="s">
        <v>1294</v>
      </c>
      <c r="G599" s="148" t="s">
        <v>1302</v>
      </c>
      <c r="H599" s="148" t="s">
        <v>101</v>
      </c>
      <c r="I599" s="161">
        <v>2011</v>
      </c>
      <c r="J599" s="161" t="s">
        <v>1296</v>
      </c>
      <c r="K599" s="161"/>
      <c r="L599" s="161" t="s">
        <v>19</v>
      </c>
      <c r="M599" s="453" t="s">
        <v>4224</v>
      </c>
      <c r="N599" s="186" t="s">
        <v>20</v>
      </c>
      <c r="O599" s="186" t="s">
        <v>15</v>
      </c>
      <c r="P599" s="186" t="s">
        <v>15</v>
      </c>
      <c r="Q599" s="186" t="s">
        <v>15</v>
      </c>
      <c r="R599" s="186" t="s">
        <v>15</v>
      </c>
      <c r="S599" s="186" t="s">
        <v>15</v>
      </c>
      <c r="T599" s="186" t="s">
        <v>15</v>
      </c>
      <c r="U599" s="186" t="s">
        <v>15</v>
      </c>
      <c r="V599" s="186" t="s">
        <v>15</v>
      </c>
      <c r="W599" s="186" t="s">
        <v>15</v>
      </c>
      <c r="X599" s="186" t="s">
        <v>15</v>
      </c>
      <c r="Y599" s="186" t="s">
        <v>15</v>
      </c>
      <c r="Z599" s="186"/>
      <c r="AA599" s="186" t="s">
        <v>1131</v>
      </c>
      <c r="AB599" s="186" t="s">
        <v>15</v>
      </c>
      <c r="AC599" s="186" t="s">
        <v>15</v>
      </c>
      <c r="AD599" s="268" t="s">
        <v>1297</v>
      </c>
      <c r="AE599" s="268" t="s">
        <v>92</v>
      </c>
      <c r="AF599" s="144" t="str">
        <f t="shared" si="40"/>
        <v/>
      </c>
      <c r="AG599" s="144" t="str">
        <f t="shared" si="48"/>
        <v/>
      </c>
      <c r="AH599" s="146">
        <f t="shared" si="41"/>
        <v>1.08</v>
      </c>
      <c r="AI599" s="146" t="str">
        <f t="shared" si="42"/>
        <v/>
      </c>
      <c r="AJ599" s="303"/>
      <c r="AK599" s="303"/>
      <c r="AL599" s="303"/>
      <c r="AM599" s="303"/>
      <c r="AN599" s="303"/>
      <c r="AO599" s="303"/>
      <c r="AP599" s="303"/>
      <c r="AQ599" s="303"/>
      <c r="AR599" s="303"/>
      <c r="AS599" s="170"/>
      <c r="AT599" s="170"/>
      <c r="AU599" s="310"/>
      <c r="AW599" s="294"/>
      <c r="AX599" s="294"/>
      <c r="AY599" s="294"/>
      <c r="AZ599" s="294"/>
      <c r="BA599" s="294"/>
      <c r="BB599" s="294"/>
      <c r="BC599" s="294"/>
      <c r="BD599" s="294"/>
      <c r="BE599" s="294"/>
      <c r="BF599" s="382">
        <v>1.08</v>
      </c>
      <c r="BG599" s="383"/>
      <c r="BH599" s="278"/>
      <c r="BI599" s="365" t="s">
        <v>733</v>
      </c>
      <c r="BJ599" s="409"/>
    </row>
    <row r="600" spans="1:62" ht="15.75" customHeight="1" thickBot="1" x14ac:dyDescent="0.25">
      <c r="A600" s="156">
        <v>600</v>
      </c>
      <c r="B600" s="155">
        <v>1</v>
      </c>
      <c r="C600" s="148" t="s">
        <v>11</v>
      </c>
      <c r="D600" s="150" t="s">
        <v>12</v>
      </c>
      <c r="E600" s="148" t="s">
        <v>13</v>
      </c>
      <c r="F600" s="148" t="s">
        <v>1294</v>
      </c>
      <c r="G600" s="148" t="s">
        <v>1303</v>
      </c>
      <c r="H600" s="148" t="s">
        <v>700</v>
      </c>
      <c r="I600" s="161">
        <v>2011</v>
      </c>
      <c r="J600" s="161" t="s">
        <v>1296</v>
      </c>
      <c r="K600" s="161"/>
      <c r="L600" s="161" t="s">
        <v>19</v>
      </c>
      <c r="M600" s="453" t="s">
        <v>4224</v>
      </c>
      <c r="N600" s="186" t="s">
        <v>20</v>
      </c>
      <c r="O600" s="186" t="s">
        <v>15</v>
      </c>
      <c r="P600" s="186" t="s">
        <v>15</v>
      </c>
      <c r="Q600" s="186" t="s">
        <v>15</v>
      </c>
      <c r="R600" s="186" t="s">
        <v>15</v>
      </c>
      <c r="S600" s="186" t="s">
        <v>15</v>
      </c>
      <c r="T600" s="186" t="s">
        <v>15</v>
      </c>
      <c r="U600" s="186" t="s">
        <v>15</v>
      </c>
      <c r="V600" s="186" t="s">
        <v>15</v>
      </c>
      <c r="W600" s="186" t="s">
        <v>15</v>
      </c>
      <c r="X600" s="186" t="s">
        <v>15</v>
      </c>
      <c r="Y600" s="186" t="s">
        <v>15</v>
      </c>
      <c r="Z600" s="186"/>
      <c r="AA600" s="186" t="s">
        <v>1131</v>
      </c>
      <c r="AB600" s="186" t="s">
        <v>15</v>
      </c>
      <c r="AC600" s="186" t="s">
        <v>15</v>
      </c>
      <c r="AD600" s="268" t="s">
        <v>1297</v>
      </c>
      <c r="AE600" s="268" t="s">
        <v>92</v>
      </c>
      <c r="AF600" s="144" t="str">
        <f t="shared" si="40"/>
        <v/>
      </c>
      <c r="AG600" s="144" t="str">
        <f t="shared" si="48"/>
        <v/>
      </c>
      <c r="AH600" s="146">
        <f t="shared" si="41"/>
        <v>0.98</v>
      </c>
      <c r="AI600" s="146" t="str">
        <f t="shared" si="42"/>
        <v/>
      </c>
      <c r="AJ600" s="303"/>
      <c r="AK600" s="303"/>
      <c r="AL600" s="303"/>
      <c r="AM600" s="303"/>
      <c r="AN600" s="303"/>
      <c r="AO600" s="303"/>
      <c r="AP600" s="303"/>
      <c r="AQ600" s="303"/>
      <c r="AR600" s="303"/>
      <c r="AS600" s="170"/>
      <c r="AT600" s="170"/>
      <c r="AU600" s="310"/>
      <c r="AW600" s="294"/>
      <c r="AX600" s="294"/>
      <c r="AY600" s="294"/>
      <c r="AZ600" s="294"/>
      <c r="BA600" s="294"/>
      <c r="BB600" s="294"/>
      <c r="BC600" s="294"/>
      <c r="BD600" s="294"/>
      <c r="BE600" s="294"/>
      <c r="BF600" s="382">
        <v>0.98</v>
      </c>
      <c r="BG600" s="383"/>
      <c r="BH600" s="278"/>
      <c r="BI600" s="365" t="s">
        <v>733</v>
      </c>
      <c r="BJ600" s="409"/>
    </row>
    <row r="601" spans="1:62" ht="15.75" customHeight="1" thickBot="1" x14ac:dyDescent="0.25">
      <c r="A601" s="154">
        <v>601</v>
      </c>
      <c r="B601" s="155">
        <v>1</v>
      </c>
      <c r="C601" s="148" t="s">
        <v>11</v>
      </c>
      <c r="D601" s="150" t="s">
        <v>12</v>
      </c>
      <c r="E601" s="148" t="s">
        <v>13</v>
      </c>
      <c r="F601" s="148" t="s">
        <v>1294</v>
      </c>
      <c r="G601" s="148" t="s">
        <v>1303</v>
      </c>
      <c r="H601" s="148" t="s">
        <v>101</v>
      </c>
      <c r="I601" s="161">
        <v>2011</v>
      </c>
      <c r="J601" s="161" t="s">
        <v>1296</v>
      </c>
      <c r="K601" s="161"/>
      <c r="L601" s="161" t="s">
        <v>19</v>
      </c>
      <c r="M601" s="453" t="s">
        <v>4224</v>
      </c>
      <c r="N601" s="186" t="s">
        <v>20</v>
      </c>
      <c r="O601" s="186" t="s">
        <v>15</v>
      </c>
      <c r="P601" s="186" t="s">
        <v>15</v>
      </c>
      <c r="Q601" s="186" t="s">
        <v>15</v>
      </c>
      <c r="R601" s="186" t="s">
        <v>15</v>
      </c>
      <c r="S601" s="186" t="s">
        <v>15</v>
      </c>
      <c r="T601" s="186" t="s">
        <v>15</v>
      </c>
      <c r="U601" s="186" t="s">
        <v>15</v>
      </c>
      <c r="V601" s="186" t="s">
        <v>15</v>
      </c>
      <c r="W601" s="186" t="s">
        <v>15</v>
      </c>
      <c r="X601" s="186" t="s">
        <v>15</v>
      </c>
      <c r="Y601" s="186" t="s">
        <v>15</v>
      </c>
      <c r="Z601" s="186"/>
      <c r="AA601" s="186" t="s">
        <v>1131</v>
      </c>
      <c r="AB601" s="186" t="s">
        <v>15</v>
      </c>
      <c r="AC601" s="186" t="s">
        <v>15</v>
      </c>
      <c r="AD601" s="268" t="s">
        <v>1297</v>
      </c>
      <c r="AE601" s="268" t="s">
        <v>92</v>
      </c>
      <c r="AF601" s="144" t="str">
        <f t="shared" si="40"/>
        <v/>
      </c>
      <c r="AG601" s="144" t="str">
        <f t="shared" si="48"/>
        <v/>
      </c>
      <c r="AH601" s="146">
        <f t="shared" si="41"/>
        <v>1.1399999999999999</v>
      </c>
      <c r="AI601" s="146" t="str">
        <f t="shared" si="42"/>
        <v/>
      </c>
      <c r="AJ601" s="303"/>
      <c r="AK601" s="303"/>
      <c r="AL601" s="303"/>
      <c r="AM601" s="303"/>
      <c r="AN601" s="303"/>
      <c r="AO601" s="303"/>
      <c r="AP601" s="303"/>
      <c r="AQ601" s="303"/>
      <c r="AR601" s="303"/>
      <c r="AS601" s="170"/>
      <c r="AT601" s="170"/>
      <c r="AU601" s="310"/>
      <c r="AW601" s="294"/>
      <c r="AX601" s="294"/>
      <c r="AY601" s="294"/>
      <c r="AZ601" s="294"/>
      <c r="BA601" s="294"/>
      <c r="BB601" s="294"/>
      <c r="BC601" s="294"/>
      <c r="BD601" s="294"/>
      <c r="BE601" s="294"/>
      <c r="BF601" s="382">
        <v>1.1399999999999999</v>
      </c>
      <c r="BG601" s="383"/>
      <c r="BH601" s="278"/>
      <c r="BI601" s="365" t="s">
        <v>733</v>
      </c>
      <c r="BJ601" s="409"/>
    </row>
    <row r="602" spans="1:62" ht="15.75" customHeight="1" thickBot="1" x14ac:dyDescent="0.25">
      <c r="A602" s="156">
        <v>602</v>
      </c>
      <c r="B602" s="155">
        <v>1</v>
      </c>
      <c r="C602" s="148" t="s">
        <v>259</v>
      </c>
      <c r="D602" s="148" t="s">
        <v>2351</v>
      </c>
      <c r="E602" s="148" t="s">
        <v>13</v>
      </c>
      <c r="F602" s="148" t="s">
        <v>378</v>
      </c>
      <c r="G602" s="148" t="s">
        <v>122</v>
      </c>
      <c r="H602" s="148" t="s">
        <v>909</v>
      </c>
      <c r="I602" s="161">
        <v>2015</v>
      </c>
      <c r="J602" s="161" t="s">
        <v>1304</v>
      </c>
      <c r="K602" s="161" t="s">
        <v>1305</v>
      </c>
      <c r="L602" s="161" t="s">
        <v>19</v>
      </c>
      <c r="M602" s="453" t="s">
        <v>4225</v>
      </c>
      <c r="N602" s="186" t="s">
        <v>20</v>
      </c>
      <c r="O602" s="186" t="s">
        <v>15</v>
      </c>
      <c r="P602" s="186" t="s">
        <v>15</v>
      </c>
      <c r="Q602" s="186" t="s">
        <v>15</v>
      </c>
      <c r="R602" s="186" t="s">
        <v>15</v>
      </c>
      <c r="S602" s="186" t="s">
        <v>15</v>
      </c>
      <c r="T602" s="186" t="s">
        <v>15</v>
      </c>
      <c r="U602" s="186" t="s">
        <v>15</v>
      </c>
      <c r="V602" s="186" t="s">
        <v>15</v>
      </c>
      <c r="W602" s="186" t="s">
        <v>15</v>
      </c>
      <c r="X602" s="186" t="s">
        <v>15</v>
      </c>
      <c r="Y602" s="186" t="s">
        <v>20</v>
      </c>
      <c r="Z602" s="186"/>
      <c r="AA602" s="186" t="s">
        <v>303</v>
      </c>
      <c r="AB602" s="186" t="s">
        <v>292</v>
      </c>
      <c r="AC602" s="186" t="s">
        <v>122</v>
      </c>
      <c r="AD602" s="268" t="s">
        <v>1306</v>
      </c>
      <c r="AE602" s="268"/>
      <c r="AF602" s="144">
        <f t="shared" si="40"/>
        <v>2</v>
      </c>
      <c r="AG602" s="144" t="str">
        <f t="shared" si="48"/>
        <v/>
      </c>
      <c r="AH602" s="146">
        <f t="shared" si="41"/>
        <v>0.34899999999999998</v>
      </c>
      <c r="AI602" s="146" t="str">
        <f t="shared" si="42"/>
        <v/>
      </c>
      <c r="AJ602" s="303"/>
      <c r="AK602" s="303"/>
      <c r="AL602" s="303"/>
      <c r="AM602" s="303"/>
      <c r="AN602" s="303"/>
      <c r="AO602" s="303"/>
      <c r="AP602" s="303"/>
      <c r="AQ602" s="303"/>
      <c r="AR602" s="303">
        <f>0.26*AS602</f>
        <v>0.52</v>
      </c>
      <c r="AS602" s="170">
        <v>2</v>
      </c>
      <c r="AT602" s="170"/>
      <c r="AU602" s="310" t="s">
        <v>1307</v>
      </c>
      <c r="AV602" s="329" t="s">
        <v>3097</v>
      </c>
      <c r="AW602" s="294">
        <v>0.34899999999999998</v>
      </c>
      <c r="AX602" s="294"/>
      <c r="AY602" s="294"/>
      <c r="AZ602" s="294"/>
      <c r="BA602" s="294"/>
      <c r="BB602" s="294"/>
      <c r="BC602" s="294"/>
      <c r="BD602" s="294"/>
      <c r="BE602" s="294">
        <v>3.1409999999999993E-2</v>
      </c>
      <c r="BF602" s="382">
        <v>0.34899999999999998</v>
      </c>
      <c r="BG602" s="383"/>
      <c r="BH602" s="278"/>
      <c r="BI602" s="365" t="s">
        <v>1308</v>
      </c>
      <c r="BJ602" s="410" t="s">
        <v>3097</v>
      </c>
    </row>
    <row r="603" spans="1:62" ht="15.75" customHeight="1" thickBot="1" x14ac:dyDescent="0.25">
      <c r="A603" s="154">
        <v>603</v>
      </c>
      <c r="B603" s="155">
        <v>1</v>
      </c>
      <c r="C603" s="148" t="s">
        <v>259</v>
      </c>
      <c r="D603" s="148" t="s">
        <v>2351</v>
      </c>
      <c r="E603" s="148" t="s">
        <v>13</v>
      </c>
      <c r="F603" s="148" t="s">
        <v>379</v>
      </c>
      <c r="G603" s="148" t="s">
        <v>122</v>
      </c>
      <c r="H603" s="148" t="s">
        <v>909</v>
      </c>
      <c r="I603" s="161">
        <v>2015</v>
      </c>
      <c r="J603" s="161" t="s">
        <v>1304</v>
      </c>
      <c r="K603" s="161" t="s">
        <v>1305</v>
      </c>
      <c r="L603" s="161" t="s">
        <v>19</v>
      </c>
      <c r="M603" s="453" t="s">
        <v>4225</v>
      </c>
      <c r="N603" s="186" t="s">
        <v>20</v>
      </c>
      <c r="O603" s="186" t="s">
        <v>15</v>
      </c>
      <c r="P603" s="186" t="s">
        <v>15</v>
      </c>
      <c r="Q603" s="186" t="s">
        <v>15</v>
      </c>
      <c r="R603" s="186" t="s">
        <v>15</v>
      </c>
      <c r="S603" s="186" t="s">
        <v>15</v>
      </c>
      <c r="T603" s="186" t="s">
        <v>15</v>
      </c>
      <c r="U603" s="186" t="s">
        <v>15</v>
      </c>
      <c r="V603" s="186" t="s">
        <v>15</v>
      </c>
      <c r="W603" s="186" t="s">
        <v>15</v>
      </c>
      <c r="X603" s="186" t="s">
        <v>15</v>
      </c>
      <c r="Y603" s="186" t="s">
        <v>20</v>
      </c>
      <c r="Z603" s="186"/>
      <c r="AA603" s="186" t="s">
        <v>303</v>
      </c>
      <c r="AB603" s="186" t="s">
        <v>292</v>
      </c>
      <c r="AC603" s="186" t="s">
        <v>122</v>
      </c>
      <c r="AD603" s="268" t="s">
        <v>1306</v>
      </c>
      <c r="AE603" s="268"/>
      <c r="AF603" s="144">
        <f t="shared" si="40"/>
        <v>1</v>
      </c>
      <c r="AG603" s="144" t="str">
        <f t="shared" si="48"/>
        <v/>
      </c>
      <c r="AH603" s="146">
        <f t="shared" si="41"/>
        <v>0.307</v>
      </c>
      <c r="AI603" s="146" t="str">
        <f t="shared" si="42"/>
        <v/>
      </c>
      <c r="AJ603" s="303"/>
      <c r="AK603" s="303"/>
      <c r="AL603" s="303"/>
      <c r="AM603" s="303"/>
      <c r="AN603" s="303"/>
      <c r="AO603" s="303"/>
      <c r="AP603" s="303"/>
      <c r="AQ603" s="303"/>
      <c r="AR603" s="303">
        <f>0.75*AS603</f>
        <v>0.75</v>
      </c>
      <c r="AS603" s="170">
        <v>1</v>
      </c>
      <c r="AT603" s="170"/>
      <c r="AU603" s="310" t="s">
        <v>1307</v>
      </c>
      <c r="AV603" s="330" t="s">
        <v>3097</v>
      </c>
      <c r="AW603" s="294">
        <v>0.307</v>
      </c>
      <c r="AX603" s="294"/>
      <c r="AY603" s="294"/>
      <c r="AZ603" s="294"/>
      <c r="BA603" s="294"/>
      <c r="BB603" s="294"/>
      <c r="BC603" s="294"/>
      <c r="BD603" s="294"/>
      <c r="BE603" s="294">
        <v>7.9820000000000002E-2</v>
      </c>
      <c r="BF603" s="388">
        <v>0.307</v>
      </c>
      <c r="BG603" s="383"/>
      <c r="BH603" s="278"/>
      <c r="BI603" s="365" t="s">
        <v>1308</v>
      </c>
      <c r="BJ603" s="410" t="s">
        <v>3097</v>
      </c>
    </row>
    <row r="604" spans="1:62" ht="15.75" customHeight="1" thickBot="1" x14ac:dyDescent="0.25">
      <c r="A604" s="156">
        <v>604</v>
      </c>
      <c r="B604" s="155">
        <v>1</v>
      </c>
      <c r="C604" s="148" t="s">
        <v>259</v>
      </c>
      <c r="D604" s="148" t="s">
        <v>2895</v>
      </c>
      <c r="E604" s="148" t="s">
        <v>1309</v>
      </c>
      <c r="F604" s="148" t="s">
        <v>1310</v>
      </c>
      <c r="G604" s="148" t="s">
        <v>122</v>
      </c>
      <c r="H604" s="148" t="s">
        <v>1311</v>
      </c>
      <c r="I604" s="161">
        <v>2009</v>
      </c>
      <c r="J604" s="161" t="s">
        <v>1312</v>
      </c>
      <c r="K604" s="161" t="s">
        <v>1313</v>
      </c>
      <c r="L604" s="161" t="s">
        <v>19</v>
      </c>
      <c r="M604" s="453" t="s">
        <v>4226</v>
      </c>
      <c r="N604" s="186" t="s">
        <v>20</v>
      </c>
      <c r="O604" s="186" t="s">
        <v>15</v>
      </c>
      <c r="P604" s="186" t="s">
        <v>20</v>
      </c>
      <c r="Q604" s="186" t="s">
        <v>20</v>
      </c>
      <c r="R604" s="186" t="s">
        <v>20</v>
      </c>
      <c r="S604" s="186" t="s">
        <v>20</v>
      </c>
      <c r="T604" s="186" t="s">
        <v>15</v>
      </c>
      <c r="U604" s="186" t="s">
        <v>15</v>
      </c>
      <c r="V604" s="186" t="s">
        <v>15</v>
      </c>
      <c r="W604" s="186" t="s">
        <v>15</v>
      </c>
      <c r="X604" s="186" t="s">
        <v>15</v>
      </c>
      <c r="Y604" s="186" t="s">
        <v>20</v>
      </c>
      <c r="Z604" s="186"/>
      <c r="AA604" s="186" t="s">
        <v>1314</v>
      </c>
      <c r="AB604" s="186" t="s">
        <v>292</v>
      </c>
      <c r="AC604" s="186" t="s">
        <v>122</v>
      </c>
      <c r="AD604" s="268" t="s">
        <v>1315</v>
      </c>
      <c r="AE604" s="268"/>
      <c r="AF604" s="144">
        <f t="shared" si="40"/>
        <v>6.6530400000000007</v>
      </c>
      <c r="AG604" s="144">
        <f t="shared" si="48"/>
        <v>7.9077800000000007</v>
      </c>
      <c r="AH604" s="146">
        <f t="shared" si="41"/>
        <v>2.32944</v>
      </c>
      <c r="AI604" s="146">
        <f t="shared" si="42"/>
        <v>2.4177599999999999</v>
      </c>
      <c r="AJ604" s="303">
        <f>14.59*(0.092+0.315+0.021+0+0.028)</f>
        <v>6.6530400000000007</v>
      </c>
      <c r="AK604" s="303"/>
      <c r="AL604" s="303">
        <f>14.59*0.086</f>
        <v>1.25474</v>
      </c>
      <c r="AM604" s="303">
        <f>14.59*0.225</f>
        <v>3.2827500000000001</v>
      </c>
      <c r="AN604" s="303">
        <f>14.59*0.179</f>
        <v>2.6116099999999998</v>
      </c>
      <c r="AO604" s="303"/>
      <c r="AP604" s="303"/>
      <c r="AQ604" s="303"/>
      <c r="AR604" s="303">
        <f>14.59*0.055</f>
        <v>0.80245</v>
      </c>
      <c r="AS604" s="170">
        <f>AJ604</f>
        <v>6.6530400000000007</v>
      </c>
      <c r="AT604" s="170">
        <v>14.59</v>
      </c>
      <c r="AU604" s="310" t="s">
        <v>1316</v>
      </c>
      <c r="AV604" s="343"/>
      <c r="AW604" s="294">
        <f>2.76*(0.036+0.092+0.004+0+0.68+0.032)</f>
        <v>2.32944</v>
      </c>
      <c r="AX604" s="294"/>
      <c r="AY604" s="294">
        <f>2.76*(0.032)</f>
        <v>8.8319999999999996E-2</v>
      </c>
      <c r="AZ604" s="294">
        <f>2.76*(0.047)</f>
        <v>0.12972</v>
      </c>
      <c r="BA604" s="294">
        <f>2.76*(0.061)</f>
        <v>0.16835999999999998</v>
      </c>
      <c r="BB604" s="294"/>
      <c r="BC604" s="294"/>
      <c r="BD604" s="294"/>
      <c r="BE604" s="294">
        <f>2.76*(0.016)</f>
        <v>4.4159999999999998E-2</v>
      </c>
      <c r="BF604" s="388">
        <f>2.76*(0.036+0.092+0.004+0+0.68+0.032)</f>
        <v>2.32944</v>
      </c>
      <c r="BG604" s="383">
        <v>2.76</v>
      </c>
      <c r="BH604" s="278"/>
      <c r="BI604" s="365" t="s">
        <v>1281</v>
      </c>
      <c r="BJ604" s="409"/>
    </row>
    <row r="605" spans="1:62" ht="15.75" customHeight="1" thickBot="1" x14ac:dyDescent="0.25">
      <c r="A605" s="154">
        <v>605</v>
      </c>
      <c r="B605" s="155">
        <v>1</v>
      </c>
      <c r="C605" s="148" t="s">
        <v>760</v>
      </c>
      <c r="D605" s="148" t="s">
        <v>2142</v>
      </c>
      <c r="E605" s="148" t="s">
        <v>1317</v>
      </c>
      <c r="F605" s="148" t="s">
        <v>1318</v>
      </c>
      <c r="G605" s="148" t="s">
        <v>15</v>
      </c>
      <c r="H605" s="148" t="s">
        <v>1319</v>
      </c>
      <c r="I605" s="161">
        <v>2012</v>
      </c>
      <c r="J605" s="161" t="s">
        <v>1320</v>
      </c>
      <c r="K605" s="161" t="s">
        <v>1321</v>
      </c>
      <c r="L605" s="161" t="s">
        <v>104</v>
      </c>
      <c r="M605" s="453" t="s">
        <v>4227</v>
      </c>
      <c r="N605" s="186" t="s">
        <v>20</v>
      </c>
      <c r="O605" s="186" t="s">
        <v>20</v>
      </c>
      <c r="P605" s="186" t="s">
        <v>20</v>
      </c>
      <c r="Q605" s="186" t="s">
        <v>20</v>
      </c>
      <c r="R605" s="186" t="s">
        <v>20</v>
      </c>
      <c r="S605" s="186" t="s">
        <v>20</v>
      </c>
      <c r="T605" s="186" t="s">
        <v>20</v>
      </c>
      <c r="U605" s="186" t="s">
        <v>20</v>
      </c>
      <c r="V605" s="186" t="s">
        <v>20</v>
      </c>
      <c r="W605" s="186" t="s">
        <v>15</v>
      </c>
      <c r="X605" s="186" t="s">
        <v>20</v>
      </c>
      <c r="Y605" s="186" t="s">
        <v>15</v>
      </c>
      <c r="Z605" s="186" t="s">
        <v>1322</v>
      </c>
      <c r="AA605" s="186" t="s">
        <v>1323</v>
      </c>
      <c r="AB605" s="186" t="s">
        <v>20</v>
      </c>
      <c r="AC605" s="186" t="s">
        <v>20</v>
      </c>
      <c r="AD605" s="268" t="s">
        <v>1324</v>
      </c>
      <c r="AE605" s="268"/>
      <c r="AF605" s="144" t="str">
        <f t="shared" si="40"/>
        <v/>
      </c>
      <c r="AG605" s="144" t="str">
        <f t="shared" si="48"/>
        <v/>
      </c>
      <c r="AH605" s="146">
        <f t="shared" si="41"/>
        <v>0.51100000000000001</v>
      </c>
      <c r="AI605" s="146">
        <f t="shared" si="42"/>
        <v>1.597</v>
      </c>
      <c r="AJ605" s="303"/>
      <c r="AK605" s="303"/>
      <c r="AL605" s="303"/>
      <c r="AM605" s="303"/>
      <c r="AN605" s="303"/>
      <c r="AO605" s="303"/>
      <c r="AP605" s="303"/>
      <c r="AQ605" s="303"/>
      <c r="AR605" s="303"/>
      <c r="AS605" s="231"/>
      <c r="AT605" s="231">
        <f>0.6216*42</f>
        <v>26.107200000000002</v>
      </c>
      <c r="AU605" s="332"/>
      <c r="AW605" s="294">
        <v>0.51100000000000001</v>
      </c>
      <c r="AX605" s="294">
        <f>0.046+0.265+0.369+0.406</f>
        <v>1.0859999999999999</v>
      </c>
      <c r="AY605" s="294"/>
      <c r="AZ605" s="294"/>
      <c r="BA605" s="294"/>
      <c r="BB605" s="294">
        <v>0.20399999999999999</v>
      </c>
      <c r="BC605" s="294">
        <v>0.76200000000000001</v>
      </c>
      <c r="BD605" s="294"/>
      <c r="BE605" s="294"/>
      <c r="BF605" s="383">
        <v>0.51100000000000001</v>
      </c>
      <c r="BG605" s="383">
        <v>2.64</v>
      </c>
      <c r="BH605" s="278" t="s">
        <v>1325</v>
      </c>
      <c r="BI605" s="365" t="s">
        <v>1326</v>
      </c>
      <c r="BJ605" s="409"/>
    </row>
    <row r="606" spans="1:62" ht="15.75" customHeight="1" thickBot="1" x14ac:dyDescent="0.25">
      <c r="A606" s="156">
        <v>606</v>
      </c>
      <c r="B606" s="155">
        <v>1</v>
      </c>
      <c r="C606" s="148" t="s">
        <v>11</v>
      </c>
      <c r="D606" s="150" t="s">
        <v>12</v>
      </c>
      <c r="E606" s="148" t="s">
        <v>13</v>
      </c>
      <c r="F606" s="148" t="s">
        <v>499</v>
      </c>
      <c r="G606" s="148" t="s">
        <v>1327</v>
      </c>
      <c r="H606" s="148" t="s">
        <v>42</v>
      </c>
      <c r="I606" s="161">
        <v>2008</v>
      </c>
      <c r="J606" s="161" t="s">
        <v>1328</v>
      </c>
      <c r="K606" s="161" t="s">
        <v>1329</v>
      </c>
      <c r="L606" s="161" t="s">
        <v>19</v>
      </c>
      <c r="M606" s="453" t="s">
        <v>4228</v>
      </c>
      <c r="N606" s="186" t="s">
        <v>20</v>
      </c>
      <c r="O606" s="186" t="s">
        <v>20</v>
      </c>
      <c r="P606" s="186" t="s">
        <v>15</v>
      </c>
      <c r="Q606" s="186" t="s">
        <v>15</v>
      </c>
      <c r="R606" s="186" t="s">
        <v>15</v>
      </c>
      <c r="S606" s="186" t="s">
        <v>15</v>
      </c>
      <c r="T606" s="186" t="s">
        <v>15</v>
      </c>
      <c r="U606" s="186" t="s">
        <v>15</v>
      </c>
      <c r="V606" s="186" t="s">
        <v>15</v>
      </c>
      <c r="W606" s="186" t="s">
        <v>15</v>
      </c>
      <c r="X606" s="186" t="s">
        <v>15</v>
      </c>
      <c r="Y606" s="186" t="s">
        <v>15</v>
      </c>
      <c r="Z606" s="186"/>
      <c r="AA606" s="186" t="s">
        <v>1131</v>
      </c>
      <c r="AB606" s="186" t="s">
        <v>15</v>
      </c>
      <c r="AC606" s="186" t="s">
        <v>15</v>
      </c>
      <c r="AD606" s="268" t="s">
        <v>1330</v>
      </c>
      <c r="AE606" s="268" t="s">
        <v>1331</v>
      </c>
      <c r="AF606" s="144">
        <f t="shared" si="40"/>
        <v>5</v>
      </c>
      <c r="AG606" s="144" t="str">
        <f t="shared" si="48"/>
        <v/>
      </c>
      <c r="AH606" s="146">
        <f t="shared" si="41"/>
        <v>1.4</v>
      </c>
      <c r="AI606" s="146" t="str">
        <f t="shared" si="42"/>
        <v/>
      </c>
      <c r="AJ606" s="305"/>
      <c r="AK606" s="305"/>
      <c r="AL606" s="305"/>
      <c r="AM606" s="305"/>
      <c r="AN606" s="305"/>
      <c r="AO606" s="305"/>
      <c r="AP606" s="305"/>
      <c r="AQ606" s="305"/>
      <c r="AR606" s="305"/>
      <c r="AS606" s="170">
        <v>5</v>
      </c>
      <c r="AT606" s="292"/>
      <c r="AU606" s="310"/>
      <c r="AW606" s="293"/>
      <c r="AX606" s="293"/>
      <c r="AY606" s="293"/>
      <c r="AZ606" s="293"/>
      <c r="BA606" s="293"/>
      <c r="BB606" s="293"/>
      <c r="BC606" s="293"/>
      <c r="BD606" s="293"/>
      <c r="BE606" s="293"/>
      <c r="BF606" s="383">
        <v>1.4</v>
      </c>
      <c r="BG606" s="398"/>
      <c r="BH606" s="278" t="s">
        <v>1332</v>
      </c>
      <c r="BI606" s="365" t="s">
        <v>47</v>
      </c>
      <c r="BJ606" s="409"/>
    </row>
    <row r="607" spans="1:62" ht="15.75" customHeight="1" thickBot="1" x14ac:dyDescent="0.25">
      <c r="A607" s="154">
        <v>607</v>
      </c>
      <c r="B607" s="155">
        <v>1</v>
      </c>
      <c r="C607" s="148" t="s">
        <v>11</v>
      </c>
      <c r="D607" s="150" t="s">
        <v>12</v>
      </c>
      <c r="E607" s="148" t="s">
        <v>13</v>
      </c>
      <c r="F607" s="148" t="s">
        <v>502</v>
      </c>
      <c r="G607" s="148" t="s">
        <v>1327</v>
      </c>
      <c r="H607" s="148" t="s">
        <v>42</v>
      </c>
      <c r="I607" s="161">
        <v>2008</v>
      </c>
      <c r="J607" s="161" t="s">
        <v>1328</v>
      </c>
      <c r="K607" s="161" t="s">
        <v>1329</v>
      </c>
      <c r="L607" s="161" t="s">
        <v>19</v>
      </c>
      <c r="M607" s="453" t="s">
        <v>4228</v>
      </c>
      <c r="N607" s="186" t="s">
        <v>20</v>
      </c>
      <c r="O607" s="186" t="s">
        <v>20</v>
      </c>
      <c r="P607" s="186" t="s">
        <v>15</v>
      </c>
      <c r="Q607" s="186" t="s">
        <v>15</v>
      </c>
      <c r="R607" s="186" t="s">
        <v>15</v>
      </c>
      <c r="S607" s="186" t="s">
        <v>15</v>
      </c>
      <c r="T607" s="186" t="s">
        <v>15</v>
      </c>
      <c r="U607" s="186" t="s">
        <v>15</v>
      </c>
      <c r="V607" s="186" t="s">
        <v>15</v>
      </c>
      <c r="W607" s="186" t="s">
        <v>15</v>
      </c>
      <c r="X607" s="186" t="s">
        <v>15</v>
      </c>
      <c r="Y607" s="186" t="s">
        <v>15</v>
      </c>
      <c r="Z607" s="186"/>
      <c r="AA607" s="186" t="s">
        <v>1131</v>
      </c>
      <c r="AB607" s="186" t="s">
        <v>15</v>
      </c>
      <c r="AC607" s="186" t="s">
        <v>15</v>
      </c>
      <c r="AD607" s="268" t="s">
        <v>1330</v>
      </c>
      <c r="AE607" s="268" t="s">
        <v>1331</v>
      </c>
      <c r="AF607" s="144">
        <f t="shared" si="40"/>
        <v>3.1</v>
      </c>
      <c r="AG607" s="144" t="str">
        <f t="shared" si="48"/>
        <v/>
      </c>
      <c r="AH607" s="146">
        <f t="shared" si="41"/>
        <v>1.5</v>
      </c>
      <c r="AI607" s="146" t="str">
        <f t="shared" si="42"/>
        <v/>
      </c>
      <c r="AJ607" s="421"/>
      <c r="AK607" s="421"/>
      <c r="AL607" s="421"/>
      <c r="AM607" s="421"/>
      <c r="AN607" s="421"/>
      <c r="AO607" s="421"/>
      <c r="AP607" s="421"/>
      <c r="AQ607" s="421"/>
      <c r="AR607" s="421"/>
      <c r="AS607" s="169">
        <v>3.1</v>
      </c>
      <c r="AT607" s="177"/>
      <c r="AU607" s="310"/>
      <c r="AW607" s="276"/>
      <c r="AX607" s="276"/>
      <c r="AY607" s="276"/>
      <c r="AZ607" s="276"/>
      <c r="BA607" s="276"/>
      <c r="BB607" s="276"/>
      <c r="BC607" s="276"/>
      <c r="BD607" s="276"/>
      <c r="BE607" s="276"/>
      <c r="BF607" s="382">
        <v>1.5</v>
      </c>
      <c r="BH607" s="278" t="s">
        <v>1333</v>
      </c>
      <c r="BI607" s="365" t="s">
        <v>47</v>
      </c>
      <c r="BJ607" s="409"/>
    </row>
    <row r="608" spans="1:62" ht="15.75" customHeight="1" thickBot="1" x14ac:dyDescent="0.25">
      <c r="A608" s="156">
        <v>608</v>
      </c>
      <c r="B608" s="155">
        <v>1</v>
      </c>
      <c r="C608" s="148" t="s">
        <v>587</v>
      </c>
      <c r="D608" s="148" t="s">
        <v>2287</v>
      </c>
      <c r="E608" s="148" t="s">
        <v>13</v>
      </c>
      <c r="F608" s="148" t="s">
        <v>1334</v>
      </c>
      <c r="G608" s="148" t="s">
        <v>122</v>
      </c>
      <c r="H608" s="148" t="s">
        <v>55</v>
      </c>
      <c r="I608" s="161">
        <v>2007</v>
      </c>
      <c r="J608" s="161" t="s">
        <v>1335</v>
      </c>
      <c r="K608" s="161" t="s">
        <v>1336</v>
      </c>
      <c r="L608" s="161" t="s">
        <v>168</v>
      </c>
      <c r="M608" s="453" t="s">
        <v>4229</v>
      </c>
      <c r="N608" s="186" t="s">
        <v>20</v>
      </c>
      <c r="O608" s="186" t="s">
        <v>15</v>
      </c>
      <c r="P608" s="186" t="s">
        <v>20</v>
      </c>
      <c r="Q608" s="186" t="s">
        <v>20</v>
      </c>
      <c r="R608" s="186" t="s">
        <v>15</v>
      </c>
      <c r="S608" s="186" t="s">
        <v>15</v>
      </c>
      <c r="T608" s="186" t="s">
        <v>15</v>
      </c>
      <c r="U608" s="186" t="s">
        <v>15</v>
      </c>
      <c r="V608" s="186" t="s">
        <v>15</v>
      </c>
      <c r="W608" s="186" t="s">
        <v>15</v>
      </c>
      <c r="X608" s="186" t="s">
        <v>15</v>
      </c>
      <c r="Y608" s="186" t="s">
        <v>20</v>
      </c>
      <c r="Z608" s="186"/>
      <c r="AA608" s="186" t="s">
        <v>1337</v>
      </c>
      <c r="AB608" s="186" t="s">
        <v>292</v>
      </c>
      <c r="AC608" s="186" t="s">
        <v>122</v>
      </c>
      <c r="AD608" s="268" t="s">
        <v>1338</v>
      </c>
      <c r="AE608" s="268" t="s">
        <v>485</v>
      </c>
      <c r="AF608" s="144">
        <f t="shared" si="40"/>
        <v>3.5960999999999999</v>
      </c>
      <c r="AG608" s="144">
        <f t="shared" si="48"/>
        <v>3.5160999999999998</v>
      </c>
      <c r="AH608" s="146">
        <f t="shared" si="41"/>
        <v>0.68779999999999997</v>
      </c>
      <c r="AI608" s="146">
        <f t="shared" si="42"/>
        <v>0.73280000000000001</v>
      </c>
      <c r="AJ608" s="303">
        <v>3.4260999999999999</v>
      </c>
      <c r="AK608" s="304"/>
      <c r="AL608" s="304">
        <v>0.09</v>
      </c>
      <c r="AM608" s="304"/>
      <c r="AN608" s="304"/>
      <c r="AO608" s="304"/>
      <c r="AP608" s="304"/>
      <c r="AQ608" s="304"/>
      <c r="AR608" s="304">
        <v>9.5000000000000001E-2</v>
      </c>
      <c r="AS608" s="169">
        <v>3.5960999999999999</v>
      </c>
      <c r="AT608" s="170">
        <v>3.5375000000000001</v>
      </c>
      <c r="AU608" s="310"/>
      <c r="AW608" s="278">
        <v>0.68779999999999997</v>
      </c>
      <c r="AX608" s="356"/>
      <c r="AY608" s="356">
        <v>4.4999999999999998E-2</v>
      </c>
      <c r="AZ608" s="356"/>
      <c r="BA608" s="356"/>
      <c r="BB608" s="356"/>
      <c r="BC608" s="356"/>
      <c r="BD608" s="356"/>
      <c r="BE608" s="356">
        <v>1.7999999999999999E-2</v>
      </c>
      <c r="BF608" s="382">
        <v>0.68779999999999997</v>
      </c>
      <c r="BG608" s="403">
        <v>0.75079999999999991</v>
      </c>
      <c r="BH608" s="278"/>
      <c r="BI608" s="365"/>
      <c r="BJ608" s="409"/>
    </row>
    <row r="609" spans="1:62" ht="15.75" customHeight="1" thickBot="1" x14ac:dyDescent="0.25">
      <c r="A609" s="154">
        <v>609</v>
      </c>
      <c r="B609" s="155">
        <v>1</v>
      </c>
      <c r="C609" s="148" t="s">
        <v>587</v>
      </c>
      <c r="D609" s="148" t="s">
        <v>1339</v>
      </c>
      <c r="E609" s="148" t="s">
        <v>13</v>
      </c>
      <c r="F609" s="148" t="s">
        <v>1340</v>
      </c>
      <c r="G609" s="148" t="s">
        <v>292</v>
      </c>
      <c r="H609" s="148" t="s">
        <v>369</v>
      </c>
      <c r="I609" s="161">
        <v>2016</v>
      </c>
      <c r="J609" s="161" t="s">
        <v>1341</v>
      </c>
      <c r="K609" s="161" t="s">
        <v>1342</v>
      </c>
      <c r="L609" s="161" t="s">
        <v>19</v>
      </c>
      <c r="M609" s="453" t="s">
        <v>4230</v>
      </c>
      <c r="N609" s="186" t="s">
        <v>20</v>
      </c>
      <c r="O609" s="186" t="s">
        <v>15</v>
      </c>
      <c r="P609" s="186" t="s">
        <v>20</v>
      </c>
      <c r="Q609" s="186" t="s">
        <v>20</v>
      </c>
      <c r="R609" s="186" t="s">
        <v>15</v>
      </c>
      <c r="S609" s="186" t="s">
        <v>20</v>
      </c>
      <c r="T609" s="186" t="s">
        <v>15</v>
      </c>
      <c r="U609" s="186" t="s">
        <v>15</v>
      </c>
      <c r="V609" s="186" t="s">
        <v>15</v>
      </c>
      <c r="W609" s="186" t="s">
        <v>15</v>
      </c>
      <c r="X609" s="186" t="s">
        <v>15</v>
      </c>
      <c r="Y609" s="186" t="s">
        <v>15</v>
      </c>
      <c r="Z609" s="186"/>
      <c r="AA609" s="186" t="s">
        <v>1343</v>
      </c>
      <c r="AB609" s="186" t="s">
        <v>292</v>
      </c>
      <c r="AC609" s="186" t="s">
        <v>122</v>
      </c>
      <c r="AD609" s="268" t="s">
        <v>1344</v>
      </c>
      <c r="AE609" s="268"/>
      <c r="AF609" s="144" t="str">
        <f t="shared" si="40"/>
        <v/>
      </c>
      <c r="AG609" s="144" t="str">
        <f t="shared" si="48"/>
        <v/>
      </c>
      <c r="AH609" s="146">
        <f t="shared" si="41"/>
        <v>0.21</v>
      </c>
      <c r="AI609" s="146">
        <f t="shared" si="42"/>
        <v>2.44</v>
      </c>
      <c r="AJ609" s="304"/>
      <c r="AK609" s="304"/>
      <c r="AL609" s="304"/>
      <c r="AM609" s="304"/>
      <c r="AN609" s="304"/>
      <c r="AO609" s="304"/>
      <c r="AP609" s="304"/>
      <c r="AQ609" s="304"/>
      <c r="AR609" s="304"/>
      <c r="AS609" s="170"/>
      <c r="AT609" s="170"/>
      <c r="AU609" s="310"/>
      <c r="AW609" s="350">
        <v>0.21</v>
      </c>
      <c r="AX609" s="350"/>
      <c r="AY609" s="350">
        <v>2.23</v>
      </c>
      <c r="AZ609" s="350"/>
      <c r="BA609" s="350">
        <v>0.08</v>
      </c>
      <c r="BB609" s="350"/>
      <c r="BC609" s="350"/>
      <c r="BD609" s="350"/>
      <c r="BE609" s="350"/>
      <c r="BF609" s="383">
        <f>AW609</f>
        <v>0.21</v>
      </c>
      <c r="BG609" s="395">
        <v>2.5</v>
      </c>
      <c r="BH609" s="278" t="s">
        <v>1345</v>
      </c>
      <c r="BI609" s="365" t="s">
        <v>1346</v>
      </c>
      <c r="BJ609" s="409"/>
    </row>
    <row r="610" spans="1:62" ht="15.75" customHeight="1" thickBot="1" x14ac:dyDescent="0.25">
      <c r="A610" s="156">
        <v>610</v>
      </c>
      <c r="B610" s="155">
        <v>1</v>
      </c>
      <c r="C610" s="148" t="s">
        <v>1110</v>
      </c>
      <c r="D610" s="148" t="s">
        <v>1347</v>
      </c>
      <c r="E610" s="148" t="s">
        <v>13</v>
      </c>
      <c r="F610" s="148"/>
      <c r="G610" s="148" t="s">
        <v>292</v>
      </c>
      <c r="H610" s="148" t="s">
        <v>1348</v>
      </c>
      <c r="I610" s="161">
        <v>2008</v>
      </c>
      <c r="J610" s="161" t="s">
        <v>1349</v>
      </c>
      <c r="K610" s="161" t="s">
        <v>1350</v>
      </c>
      <c r="L610" s="161" t="s">
        <v>19</v>
      </c>
      <c r="M610" s="453" t="s">
        <v>4231</v>
      </c>
      <c r="N610" s="186" t="s">
        <v>20</v>
      </c>
      <c r="O610" s="186" t="s">
        <v>15</v>
      </c>
      <c r="P610" s="186" t="s">
        <v>20</v>
      </c>
      <c r="Q610" s="186" t="s">
        <v>20</v>
      </c>
      <c r="R610" s="186" t="s">
        <v>15</v>
      </c>
      <c r="S610" s="186" t="s">
        <v>15</v>
      </c>
      <c r="T610" s="186" t="s">
        <v>15</v>
      </c>
      <c r="U610" s="186" t="s">
        <v>15</v>
      </c>
      <c r="V610" s="186" t="s">
        <v>15</v>
      </c>
      <c r="W610" s="186" t="s">
        <v>15</v>
      </c>
      <c r="X610" s="186" t="s">
        <v>15</v>
      </c>
      <c r="Y610" s="186" t="s">
        <v>15</v>
      </c>
      <c r="Z610" s="186"/>
      <c r="AA610" s="186" t="s">
        <v>1351</v>
      </c>
      <c r="AB610" s="186" t="s">
        <v>292</v>
      </c>
      <c r="AC610" s="186" t="s">
        <v>292</v>
      </c>
      <c r="AD610" s="268" t="s">
        <v>1352</v>
      </c>
      <c r="AE610" s="268" t="s">
        <v>1353</v>
      </c>
      <c r="AF610" s="144" t="str">
        <f t="shared" si="40"/>
        <v/>
      </c>
      <c r="AG610" s="144" t="str">
        <f t="shared" si="48"/>
        <v/>
      </c>
      <c r="AH610" s="146" t="str">
        <f t="shared" si="41"/>
        <v/>
      </c>
      <c r="AI610" s="146" t="str">
        <f t="shared" si="42"/>
        <v/>
      </c>
      <c r="AJ610" s="304"/>
      <c r="AK610" s="304"/>
      <c r="AL610" s="304"/>
      <c r="AM610" s="304"/>
      <c r="AN610" s="304"/>
      <c r="AO610" s="304"/>
      <c r="AP610" s="304"/>
      <c r="AQ610" s="304"/>
      <c r="AR610" s="304"/>
      <c r="AS610" s="170"/>
      <c r="AT610" s="170"/>
      <c r="AU610" s="310"/>
      <c r="AW610" s="350"/>
      <c r="AX610" s="350"/>
      <c r="AY610" s="350"/>
      <c r="AZ610" s="350"/>
      <c r="BA610" s="350"/>
      <c r="BB610" s="350"/>
      <c r="BC610" s="350"/>
      <c r="BD610" s="350"/>
      <c r="BE610" s="350"/>
      <c r="BF610" s="388"/>
      <c r="BG610" s="383">
        <f>0.32286/0.31948</f>
        <v>1.0105796919994992</v>
      </c>
      <c r="BH610" s="278"/>
      <c r="BI610" s="365" t="s">
        <v>1354</v>
      </c>
      <c r="BJ610" s="409"/>
    </row>
    <row r="611" spans="1:62" ht="15.75" customHeight="1" thickBot="1" x14ac:dyDescent="0.25">
      <c r="A611" s="154">
        <v>611</v>
      </c>
      <c r="B611" s="155">
        <v>1</v>
      </c>
      <c r="C611" s="148" t="s">
        <v>1110</v>
      </c>
      <c r="D611" s="148" t="s">
        <v>3293</v>
      </c>
      <c r="E611" s="148" t="s">
        <v>13</v>
      </c>
      <c r="F611" s="148"/>
      <c r="G611" s="148" t="s">
        <v>292</v>
      </c>
      <c r="H611" s="148" t="s">
        <v>1348</v>
      </c>
      <c r="I611" s="161">
        <v>2008</v>
      </c>
      <c r="J611" s="161" t="s">
        <v>1349</v>
      </c>
      <c r="K611" s="161" t="s">
        <v>1350</v>
      </c>
      <c r="L611" s="161" t="s">
        <v>19</v>
      </c>
      <c r="M611" s="453" t="s">
        <v>4231</v>
      </c>
      <c r="N611" s="186" t="s">
        <v>20</v>
      </c>
      <c r="O611" s="186" t="s">
        <v>15</v>
      </c>
      <c r="P611" s="186" t="s">
        <v>20</v>
      </c>
      <c r="Q611" s="186" t="s">
        <v>20</v>
      </c>
      <c r="R611" s="186" t="s">
        <v>15</v>
      </c>
      <c r="S611" s="186" t="s">
        <v>15</v>
      </c>
      <c r="T611" s="186" t="s">
        <v>15</v>
      </c>
      <c r="U611" s="186" t="s">
        <v>15</v>
      </c>
      <c r="V611" s="186" t="s">
        <v>15</v>
      </c>
      <c r="W611" s="186" t="s">
        <v>15</v>
      </c>
      <c r="X611" s="186" t="s">
        <v>15</v>
      </c>
      <c r="Y611" s="186" t="s">
        <v>15</v>
      </c>
      <c r="Z611" s="186"/>
      <c r="AA611" s="186" t="s">
        <v>1351</v>
      </c>
      <c r="AB611" s="186" t="s">
        <v>292</v>
      </c>
      <c r="AC611" s="186" t="s">
        <v>292</v>
      </c>
      <c r="AD611" s="268" t="s">
        <v>1352</v>
      </c>
      <c r="AE611" s="268" t="s">
        <v>1355</v>
      </c>
      <c r="AF611" s="144" t="str">
        <f t="shared" si="40"/>
        <v/>
      </c>
      <c r="AG611" s="144" t="str">
        <f t="shared" si="48"/>
        <v/>
      </c>
      <c r="AH611" s="146" t="str">
        <f t="shared" si="41"/>
        <v/>
      </c>
      <c r="AI611" s="146" t="str">
        <f t="shared" si="42"/>
        <v/>
      </c>
      <c r="AJ611" s="304"/>
      <c r="AK611" s="304"/>
      <c r="AL611" s="304"/>
      <c r="AM611" s="304"/>
      <c r="AN611" s="304"/>
      <c r="AO611" s="304"/>
      <c r="AP611" s="304"/>
      <c r="AQ611" s="304"/>
      <c r="AR611" s="304"/>
      <c r="AS611" s="170"/>
      <c r="AT611" s="170"/>
      <c r="AU611" s="310"/>
      <c r="AW611" s="350"/>
      <c r="AX611" s="350"/>
      <c r="AY611" s="350"/>
      <c r="AZ611" s="350"/>
      <c r="BA611" s="350"/>
      <c r="BB611" s="350"/>
      <c r="BC611" s="350"/>
      <c r="BD611" s="350"/>
      <c r="BE611" s="350"/>
      <c r="BF611" s="388"/>
      <c r="BG611" s="382">
        <f>0.32286/0.23125</f>
        <v>1.3961513513513513</v>
      </c>
      <c r="BH611" s="278"/>
      <c r="BI611" s="365" t="s">
        <v>1354</v>
      </c>
      <c r="BJ611" s="409"/>
    </row>
    <row r="612" spans="1:62" ht="15.75" customHeight="1" thickBot="1" x14ac:dyDescent="0.25">
      <c r="A612" s="156">
        <v>612</v>
      </c>
      <c r="B612" s="155">
        <v>1</v>
      </c>
      <c r="C612" s="148" t="s">
        <v>1110</v>
      </c>
      <c r="D612" s="148" t="s">
        <v>1356</v>
      </c>
      <c r="E612" s="148" t="s">
        <v>13</v>
      </c>
      <c r="F612" s="148"/>
      <c r="G612" s="148" t="s">
        <v>292</v>
      </c>
      <c r="H612" s="148" t="s">
        <v>1348</v>
      </c>
      <c r="I612" s="161">
        <v>2008</v>
      </c>
      <c r="J612" s="161" t="s">
        <v>1349</v>
      </c>
      <c r="K612" s="161" t="s">
        <v>1350</v>
      </c>
      <c r="L612" s="161" t="s">
        <v>19</v>
      </c>
      <c r="M612" s="453" t="s">
        <v>4231</v>
      </c>
      <c r="N612" s="186" t="s">
        <v>20</v>
      </c>
      <c r="O612" s="186" t="s">
        <v>15</v>
      </c>
      <c r="P612" s="186" t="s">
        <v>20</v>
      </c>
      <c r="Q612" s="186" t="s">
        <v>20</v>
      </c>
      <c r="R612" s="186" t="s">
        <v>15</v>
      </c>
      <c r="S612" s="186" t="s">
        <v>15</v>
      </c>
      <c r="T612" s="186" t="s">
        <v>15</v>
      </c>
      <c r="U612" s="186" t="s">
        <v>15</v>
      </c>
      <c r="V612" s="186" t="s">
        <v>15</v>
      </c>
      <c r="W612" s="186" t="s">
        <v>15</v>
      </c>
      <c r="X612" s="186" t="s">
        <v>15</v>
      </c>
      <c r="Y612" s="186" t="s">
        <v>15</v>
      </c>
      <c r="Z612" s="186"/>
      <c r="AA612" s="186" t="s">
        <v>1351</v>
      </c>
      <c r="AB612" s="186" t="s">
        <v>292</v>
      </c>
      <c r="AC612" s="186" t="s">
        <v>292</v>
      </c>
      <c r="AD612" s="268" t="s">
        <v>1352</v>
      </c>
      <c r="AE612" s="268" t="s">
        <v>1357</v>
      </c>
      <c r="AF612" s="144" t="str">
        <f t="shared" si="40"/>
        <v/>
      </c>
      <c r="AG612" s="144" t="str">
        <f t="shared" si="48"/>
        <v/>
      </c>
      <c r="AH612" s="146" t="str">
        <f t="shared" si="41"/>
        <v/>
      </c>
      <c r="AI612" s="146" t="str">
        <f t="shared" si="42"/>
        <v/>
      </c>
      <c r="AJ612" s="304"/>
      <c r="AK612" s="304"/>
      <c r="AL612" s="304"/>
      <c r="AM612" s="304"/>
      <c r="AN612" s="304"/>
      <c r="AO612" s="304"/>
      <c r="AP612" s="304"/>
      <c r="AQ612" s="304"/>
      <c r="AR612" s="304"/>
      <c r="AS612" s="170"/>
      <c r="AT612" s="170"/>
      <c r="AU612" s="310"/>
      <c r="AW612" s="350"/>
      <c r="AX612" s="350"/>
      <c r="AY612" s="350"/>
      <c r="AZ612" s="350"/>
      <c r="BA612" s="350"/>
      <c r="BB612" s="350"/>
      <c r="BC612" s="350"/>
      <c r="BD612" s="350"/>
      <c r="BE612" s="350"/>
      <c r="BF612" s="388"/>
      <c r="BG612" s="382">
        <f>0.32286/0.26875</f>
        <v>1.2013395348837208</v>
      </c>
      <c r="BH612" s="278"/>
      <c r="BI612" s="365" t="s">
        <v>1354</v>
      </c>
      <c r="BJ612" s="409"/>
    </row>
    <row r="613" spans="1:62" ht="15.75" customHeight="1" thickBot="1" x14ac:dyDescent="0.25">
      <c r="A613" s="154">
        <v>613</v>
      </c>
      <c r="B613" s="155">
        <v>1</v>
      </c>
      <c r="C613" s="148" t="s">
        <v>1110</v>
      </c>
      <c r="D613" s="148" t="s">
        <v>3050</v>
      </c>
      <c r="E613" s="148" t="s">
        <v>13</v>
      </c>
      <c r="F613" s="148"/>
      <c r="G613" s="148" t="s">
        <v>292</v>
      </c>
      <c r="H613" s="148" t="s">
        <v>1348</v>
      </c>
      <c r="I613" s="161">
        <v>2008</v>
      </c>
      <c r="J613" s="161" t="s">
        <v>1349</v>
      </c>
      <c r="K613" s="161" t="s">
        <v>1350</v>
      </c>
      <c r="L613" s="161" t="s">
        <v>19</v>
      </c>
      <c r="M613" s="453" t="s">
        <v>4231</v>
      </c>
      <c r="N613" s="186" t="s">
        <v>20</v>
      </c>
      <c r="O613" s="186" t="s">
        <v>15</v>
      </c>
      <c r="P613" s="186" t="s">
        <v>20</v>
      </c>
      <c r="Q613" s="186" t="s">
        <v>20</v>
      </c>
      <c r="R613" s="186" t="s">
        <v>15</v>
      </c>
      <c r="S613" s="186" t="s">
        <v>15</v>
      </c>
      <c r="T613" s="186" t="s">
        <v>15</v>
      </c>
      <c r="U613" s="186" t="s">
        <v>15</v>
      </c>
      <c r="V613" s="186" t="s">
        <v>15</v>
      </c>
      <c r="W613" s="186" t="s">
        <v>15</v>
      </c>
      <c r="X613" s="186" t="s">
        <v>15</v>
      </c>
      <c r="Y613" s="186" t="s">
        <v>15</v>
      </c>
      <c r="Z613" s="186"/>
      <c r="AA613" s="186" t="s">
        <v>1351</v>
      </c>
      <c r="AB613" s="186" t="s">
        <v>292</v>
      </c>
      <c r="AC613" s="186" t="s">
        <v>292</v>
      </c>
      <c r="AD613" s="268" t="s">
        <v>1352</v>
      </c>
      <c r="AE613" s="268" t="s">
        <v>1358</v>
      </c>
      <c r="AF613" s="144" t="str">
        <f t="shared" si="40"/>
        <v/>
      </c>
      <c r="AG613" s="144" t="str">
        <f t="shared" si="48"/>
        <v/>
      </c>
      <c r="AH613" s="146" t="str">
        <f t="shared" si="41"/>
        <v/>
      </c>
      <c r="AI613" s="146" t="str">
        <f t="shared" si="42"/>
        <v/>
      </c>
      <c r="AJ613" s="304"/>
      <c r="AK613" s="304"/>
      <c r="AL613" s="304"/>
      <c r="AM613" s="304"/>
      <c r="AN613" s="304"/>
      <c r="AO613" s="304"/>
      <c r="AP613" s="304"/>
      <c r="AQ613" s="304"/>
      <c r="AR613" s="304"/>
      <c r="AS613" s="170"/>
      <c r="AT613" s="170"/>
      <c r="AU613" s="310"/>
      <c r="AW613" s="350"/>
      <c r="AX613" s="350"/>
      <c r="AY613" s="350"/>
      <c r="AZ613" s="350"/>
      <c r="BA613" s="350"/>
      <c r="BB613" s="350"/>
      <c r="BC613" s="350"/>
      <c r="BD613" s="350"/>
      <c r="BE613" s="350"/>
      <c r="BF613" s="388"/>
      <c r="BG613" s="382">
        <f>0.32286/0.075</f>
        <v>4.3048000000000002</v>
      </c>
      <c r="BH613" s="278"/>
      <c r="BI613" s="365" t="s">
        <v>1354</v>
      </c>
      <c r="BJ613" s="409"/>
    </row>
    <row r="614" spans="1:62" ht="15.75" customHeight="1" thickBot="1" x14ac:dyDescent="0.25">
      <c r="A614" s="156">
        <v>614</v>
      </c>
      <c r="B614" s="155">
        <v>1</v>
      </c>
      <c r="C614" s="148" t="s">
        <v>236</v>
      </c>
      <c r="D614" s="148" t="s">
        <v>2145</v>
      </c>
      <c r="E614" s="148" t="s">
        <v>13</v>
      </c>
      <c r="F614" s="149" t="s">
        <v>3233</v>
      </c>
      <c r="G614" s="148" t="s">
        <v>20</v>
      </c>
      <c r="H614" s="148" t="s">
        <v>1359</v>
      </c>
      <c r="I614" s="161">
        <v>2010</v>
      </c>
      <c r="J614" s="161" t="s">
        <v>1360</v>
      </c>
      <c r="K614" s="161" t="s">
        <v>1361</v>
      </c>
      <c r="L614" s="161" t="s">
        <v>19</v>
      </c>
      <c r="M614" s="453" t="s">
        <v>4232</v>
      </c>
      <c r="N614" s="186" t="s">
        <v>20</v>
      </c>
      <c r="O614" s="186" t="s">
        <v>15</v>
      </c>
      <c r="P614" s="186" t="s">
        <v>20</v>
      </c>
      <c r="Q614" s="186" t="s">
        <v>20</v>
      </c>
      <c r="R614" s="186" t="s">
        <v>20</v>
      </c>
      <c r="S614" s="186" t="s">
        <v>20</v>
      </c>
      <c r="T614" s="186" t="s">
        <v>15</v>
      </c>
      <c r="U614" s="186" t="s">
        <v>15</v>
      </c>
      <c r="V614" s="186" t="s">
        <v>15</v>
      </c>
      <c r="W614" s="186" t="s">
        <v>15</v>
      </c>
      <c r="X614" s="186" t="s">
        <v>15</v>
      </c>
      <c r="Y614" s="186" t="s">
        <v>15</v>
      </c>
      <c r="Z614" s="186"/>
      <c r="AA614" s="186" t="s">
        <v>1362</v>
      </c>
      <c r="AB614" s="186" t="s">
        <v>15</v>
      </c>
      <c r="AC614" s="186" t="s">
        <v>20</v>
      </c>
      <c r="AD614" s="268" t="s">
        <v>1363</v>
      </c>
      <c r="AE614" s="268" t="s">
        <v>485</v>
      </c>
      <c r="AF614" s="144">
        <f t="shared" si="40"/>
        <v>1.1120000000000001</v>
      </c>
      <c r="AG614" s="144">
        <f t="shared" si="48"/>
        <v>1.5680000000000001</v>
      </c>
      <c r="AH614" s="146">
        <f t="shared" si="41"/>
        <v>0.06</v>
      </c>
      <c r="AI614" s="146">
        <f t="shared" si="42"/>
        <v>8.2599999999999993E-2</v>
      </c>
      <c r="AJ614" s="303">
        <v>1.1120000000000001</v>
      </c>
      <c r="AK614" s="303"/>
      <c r="AL614" s="303">
        <v>0.45600000000000002</v>
      </c>
      <c r="AM614" s="303"/>
      <c r="AN614" s="303">
        <v>1.25</v>
      </c>
      <c r="AO614" s="303"/>
      <c r="AP614" s="303"/>
      <c r="AQ614" s="303"/>
      <c r="AR614" s="303"/>
      <c r="AS614" s="170">
        <v>1.1120000000000001</v>
      </c>
      <c r="AT614" s="170">
        <v>2.82</v>
      </c>
      <c r="AU614" s="310"/>
      <c r="AW614" s="294">
        <v>5.5599999999999997E-2</v>
      </c>
      <c r="AX614" s="294"/>
      <c r="AY614" s="294">
        <v>2.7E-2</v>
      </c>
      <c r="AZ614" s="294"/>
      <c r="BA614" s="294">
        <v>6.7999999999999996E-3</v>
      </c>
      <c r="BB614" s="294"/>
      <c r="BC614" s="294"/>
      <c r="BD614" s="294"/>
      <c r="BE614" s="294"/>
      <c r="BF614" s="388">
        <v>0.06</v>
      </c>
      <c r="BG614" s="382">
        <v>0.09</v>
      </c>
      <c r="BH614" s="278"/>
      <c r="BI614" s="365" t="s">
        <v>733</v>
      </c>
      <c r="BJ614" s="409"/>
    </row>
    <row r="615" spans="1:62" ht="15.75" customHeight="1" thickBot="1" x14ac:dyDescent="0.25">
      <c r="A615" s="154">
        <v>615</v>
      </c>
      <c r="B615" s="155">
        <v>1</v>
      </c>
      <c r="C615" s="148" t="s">
        <v>236</v>
      </c>
      <c r="D615" s="148" t="s">
        <v>2145</v>
      </c>
      <c r="E615" s="148" t="s">
        <v>13</v>
      </c>
      <c r="F615" s="148" t="s">
        <v>1364</v>
      </c>
      <c r="G615" s="148" t="s">
        <v>20</v>
      </c>
      <c r="H615" s="148" t="s">
        <v>1359</v>
      </c>
      <c r="I615" s="161">
        <v>2010</v>
      </c>
      <c r="J615" s="161" t="s">
        <v>1360</v>
      </c>
      <c r="K615" s="161" t="s">
        <v>1361</v>
      </c>
      <c r="L615" s="161" t="s">
        <v>19</v>
      </c>
      <c r="M615" s="453" t="s">
        <v>4232</v>
      </c>
      <c r="N615" s="186" t="s">
        <v>20</v>
      </c>
      <c r="O615" s="186" t="s">
        <v>15</v>
      </c>
      <c r="P615" s="186" t="s">
        <v>20</v>
      </c>
      <c r="Q615" s="186" t="s">
        <v>20</v>
      </c>
      <c r="R615" s="186" t="s">
        <v>20</v>
      </c>
      <c r="S615" s="186" t="s">
        <v>20</v>
      </c>
      <c r="T615" s="186" t="s">
        <v>15</v>
      </c>
      <c r="U615" s="186" t="s">
        <v>15</v>
      </c>
      <c r="V615" s="186" t="s">
        <v>15</v>
      </c>
      <c r="W615" s="186" t="s">
        <v>15</v>
      </c>
      <c r="X615" s="186" t="s">
        <v>15</v>
      </c>
      <c r="Y615" s="186" t="s">
        <v>15</v>
      </c>
      <c r="Z615" s="186"/>
      <c r="AA615" s="186" t="s">
        <v>1365</v>
      </c>
      <c r="AB615" s="186" t="s">
        <v>15</v>
      </c>
      <c r="AC615" s="186" t="s">
        <v>20</v>
      </c>
      <c r="AD615" s="268" t="s">
        <v>1363</v>
      </c>
      <c r="AE615" s="268" t="s">
        <v>485</v>
      </c>
      <c r="AF615" s="144">
        <f t="shared" si="40"/>
        <v>1.32</v>
      </c>
      <c r="AG615" s="144">
        <f t="shared" si="48"/>
        <v>1.5225</v>
      </c>
      <c r="AH615" s="146">
        <f t="shared" si="41"/>
        <v>0.28899999999999998</v>
      </c>
      <c r="AI615" s="146">
        <f t="shared" si="42"/>
        <v>0.30099999999999999</v>
      </c>
      <c r="AJ615" s="303">
        <v>1.32</v>
      </c>
      <c r="AK615" s="303"/>
      <c r="AL615" s="303">
        <v>0.20250000000000001</v>
      </c>
      <c r="AM615" s="303"/>
      <c r="AN615" s="303">
        <v>1.25</v>
      </c>
      <c r="AO615" s="303"/>
      <c r="AP615" s="303"/>
      <c r="AQ615" s="303"/>
      <c r="AR615" s="303"/>
      <c r="AS615" s="170">
        <v>1.32</v>
      </c>
      <c r="AT615" s="170">
        <v>2.7725</v>
      </c>
      <c r="AU615" s="310"/>
      <c r="AW615" s="294">
        <v>0.28899999999999998</v>
      </c>
      <c r="AX615" s="294"/>
      <c r="AY615" s="294">
        <v>1.2E-2</v>
      </c>
      <c r="AZ615" s="294"/>
      <c r="BA615" s="294">
        <v>6.7999999999999996E-3</v>
      </c>
      <c r="BB615" s="294"/>
      <c r="BC615" s="294"/>
      <c r="BD615" s="294"/>
      <c r="BE615" s="294"/>
      <c r="BF615" s="388">
        <v>0.28899999999999998</v>
      </c>
      <c r="BG615" s="383">
        <v>0.30779999999999996</v>
      </c>
      <c r="BH615" s="278"/>
      <c r="BI615" s="365" t="s">
        <v>733</v>
      </c>
      <c r="BJ615" s="409"/>
    </row>
    <row r="616" spans="1:62" ht="15.75" customHeight="1" thickBot="1" x14ac:dyDescent="0.25">
      <c r="A616" s="156">
        <v>616</v>
      </c>
      <c r="B616" s="155">
        <v>1</v>
      </c>
      <c r="C616" s="148" t="s">
        <v>236</v>
      </c>
      <c r="D616" s="148" t="s">
        <v>2145</v>
      </c>
      <c r="E616" s="148" t="s">
        <v>13</v>
      </c>
      <c r="F616" s="148" t="s">
        <v>1366</v>
      </c>
      <c r="G616" s="148" t="s">
        <v>20</v>
      </c>
      <c r="H616" s="148" t="s">
        <v>1359</v>
      </c>
      <c r="I616" s="161">
        <v>2010</v>
      </c>
      <c r="J616" s="161" t="s">
        <v>1360</v>
      </c>
      <c r="K616" s="161" t="s">
        <v>1361</v>
      </c>
      <c r="L616" s="161" t="s">
        <v>19</v>
      </c>
      <c r="M616" s="453" t="s">
        <v>4232</v>
      </c>
      <c r="N616" s="186" t="s">
        <v>20</v>
      </c>
      <c r="O616" s="186" t="s">
        <v>15</v>
      </c>
      <c r="P616" s="186" t="s">
        <v>20</v>
      </c>
      <c r="Q616" s="186" t="s">
        <v>20</v>
      </c>
      <c r="R616" s="186" t="s">
        <v>20</v>
      </c>
      <c r="S616" s="186" t="s">
        <v>20</v>
      </c>
      <c r="T616" s="186" t="s">
        <v>15</v>
      </c>
      <c r="U616" s="186" t="s">
        <v>15</v>
      </c>
      <c r="V616" s="186" t="s">
        <v>15</v>
      </c>
      <c r="W616" s="186" t="s">
        <v>15</v>
      </c>
      <c r="X616" s="186" t="s">
        <v>15</v>
      </c>
      <c r="Y616" s="186" t="s">
        <v>15</v>
      </c>
      <c r="Z616" s="186"/>
      <c r="AA616" s="186" t="s">
        <v>1365</v>
      </c>
      <c r="AB616" s="186" t="s">
        <v>15</v>
      </c>
      <c r="AC616" s="186" t="s">
        <v>20</v>
      </c>
      <c r="AD616" s="268" t="s">
        <v>1363</v>
      </c>
      <c r="AE616" s="268" t="s">
        <v>485</v>
      </c>
      <c r="AF616" s="144">
        <f t="shared" si="40"/>
        <v>2.5470000000000002</v>
      </c>
      <c r="AG616" s="144">
        <f t="shared" si="48"/>
        <v>5.2657000000000007</v>
      </c>
      <c r="AH616" s="146">
        <f t="shared" si="41"/>
        <v>0.2069</v>
      </c>
      <c r="AI616" s="146">
        <f t="shared" si="42"/>
        <v>0.37090000000000001</v>
      </c>
      <c r="AJ616" s="303">
        <v>2.5470000000000002</v>
      </c>
      <c r="AK616" s="303"/>
      <c r="AL616" s="303">
        <v>2.7187000000000001</v>
      </c>
      <c r="AM616" s="303"/>
      <c r="AN616" s="303">
        <v>0.42499999999999999</v>
      </c>
      <c r="AO616" s="303"/>
      <c r="AP616" s="303"/>
      <c r="AQ616" s="303"/>
      <c r="AR616" s="303"/>
      <c r="AS616" s="170">
        <v>2.5470000000000002</v>
      </c>
      <c r="AT616" s="170">
        <v>5.6906999999999996</v>
      </c>
      <c r="AU616" s="310"/>
      <c r="AW616" s="294">
        <v>0.2069</v>
      </c>
      <c r="AX616" s="294"/>
      <c r="AY616" s="294">
        <v>0.16400000000000001</v>
      </c>
      <c r="AZ616" s="294"/>
      <c r="BA616" s="294">
        <v>2.5000000000000001E-3</v>
      </c>
      <c r="BB616" s="294"/>
      <c r="BC616" s="294"/>
      <c r="BD616" s="294"/>
      <c r="BE616" s="294"/>
      <c r="BF616" s="383">
        <v>0.2069</v>
      </c>
      <c r="BG616" s="383">
        <v>0.37340000000000001</v>
      </c>
      <c r="BH616" s="278"/>
      <c r="BI616" s="365" t="s">
        <v>733</v>
      </c>
      <c r="BJ616" s="409"/>
    </row>
    <row r="617" spans="1:62" ht="15.75" customHeight="1" thickBot="1" x14ac:dyDescent="0.25">
      <c r="A617" s="154">
        <v>617</v>
      </c>
      <c r="B617" s="155">
        <v>1</v>
      </c>
      <c r="C617" s="148" t="s">
        <v>236</v>
      </c>
      <c r="D617" s="148" t="s">
        <v>2145</v>
      </c>
      <c r="E617" s="148" t="s">
        <v>13</v>
      </c>
      <c r="F617" s="148" t="s">
        <v>1367</v>
      </c>
      <c r="G617" s="148" t="s">
        <v>20</v>
      </c>
      <c r="H617" s="148" t="s">
        <v>1359</v>
      </c>
      <c r="I617" s="161">
        <v>2010</v>
      </c>
      <c r="J617" s="161" t="s">
        <v>1360</v>
      </c>
      <c r="K617" s="161" t="s">
        <v>1361</v>
      </c>
      <c r="L617" s="161" t="s">
        <v>19</v>
      </c>
      <c r="M617" s="453" t="s">
        <v>4232</v>
      </c>
      <c r="N617" s="186" t="s">
        <v>20</v>
      </c>
      <c r="O617" s="186" t="s">
        <v>15</v>
      </c>
      <c r="P617" s="186" t="s">
        <v>20</v>
      </c>
      <c r="Q617" s="186" t="s">
        <v>20</v>
      </c>
      <c r="R617" s="186" t="s">
        <v>20</v>
      </c>
      <c r="S617" s="186" t="s">
        <v>20</v>
      </c>
      <c r="T617" s="186" t="s">
        <v>15</v>
      </c>
      <c r="U617" s="186" t="s">
        <v>15</v>
      </c>
      <c r="V617" s="186" t="s">
        <v>15</v>
      </c>
      <c r="W617" s="186" t="s">
        <v>15</v>
      </c>
      <c r="X617" s="186" t="s">
        <v>15</v>
      </c>
      <c r="Y617" s="186" t="s">
        <v>15</v>
      </c>
      <c r="Z617" s="186"/>
      <c r="AA617" s="186" t="s">
        <v>1365</v>
      </c>
      <c r="AB617" s="186" t="s">
        <v>15</v>
      </c>
      <c r="AC617" s="186" t="s">
        <v>20</v>
      </c>
      <c r="AD617" s="268" t="s">
        <v>1363</v>
      </c>
      <c r="AE617" s="268" t="s">
        <v>485</v>
      </c>
      <c r="AF617" s="144">
        <f t="shared" si="40"/>
        <v>2.109</v>
      </c>
      <c r="AG617" s="144">
        <f t="shared" si="48"/>
        <v>3.9276999999999997</v>
      </c>
      <c r="AH617" s="146">
        <f t="shared" si="41"/>
        <v>0.379</v>
      </c>
      <c r="AI617" s="146">
        <f t="shared" si="42"/>
        <v>0.48899999999999999</v>
      </c>
      <c r="AJ617" s="303">
        <v>2.109</v>
      </c>
      <c r="AK617" s="303"/>
      <c r="AL617" s="303">
        <v>1.8187</v>
      </c>
      <c r="AM617" s="303"/>
      <c r="AN617" s="303">
        <v>0.57499999999999996</v>
      </c>
      <c r="AO617" s="303"/>
      <c r="AP617" s="303"/>
      <c r="AQ617" s="303"/>
      <c r="AR617" s="303"/>
      <c r="AS617" s="170">
        <v>2.109</v>
      </c>
      <c r="AT617" s="170">
        <v>4.5026999999999999</v>
      </c>
      <c r="AU617" s="310"/>
      <c r="AW617" s="294">
        <v>0.379</v>
      </c>
      <c r="AX617" s="294"/>
      <c r="AY617" s="294">
        <v>0.11</v>
      </c>
      <c r="AZ617" s="294"/>
      <c r="BA617" s="294">
        <v>3.3E-3</v>
      </c>
      <c r="BB617" s="294"/>
      <c r="BC617" s="294"/>
      <c r="BD617" s="294"/>
      <c r="BE617" s="294"/>
      <c r="BF617" s="383">
        <v>0.379</v>
      </c>
      <c r="BG617" s="383">
        <v>0.49230000000000002</v>
      </c>
      <c r="BH617" s="278"/>
      <c r="BI617" s="365" t="s">
        <v>733</v>
      </c>
      <c r="BJ617" s="409"/>
    </row>
    <row r="618" spans="1:62" ht="15.75" customHeight="1" thickBot="1" x14ac:dyDescent="0.25">
      <c r="A618" s="156">
        <v>618</v>
      </c>
      <c r="B618" s="155">
        <v>1</v>
      </c>
      <c r="C618" s="148" t="s">
        <v>236</v>
      </c>
      <c r="D618" s="141" t="s">
        <v>1739</v>
      </c>
      <c r="E618" s="148" t="s">
        <v>13</v>
      </c>
      <c r="F618" s="148" t="s">
        <v>1368</v>
      </c>
      <c r="G618" s="148" t="s">
        <v>20</v>
      </c>
      <c r="H618" s="148" t="s">
        <v>1247</v>
      </c>
      <c r="I618" s="161">
        <v>2013</v>
      </c>
      <c r="J618" s="161" t="s">
        <v>1369</v>
      </c>
      <c r="K618" s="161" t="s">
        <v>1370</v>
      </c>
      <c r="L618" s="161" t="s">
        <v>168</v>
      </c>
      <c r="M618" s="453" t="s">
        <v>4233</v>
      </c>
      <c r="N618" s="186" t="s">
        <v>20</v>
      </c>
      <c r="O618" s="186" t="s">
        <v>15</v>
      </c>
      <c r="P618" s="186" t="s">
        <v>20</v>
      </c>
      <c r="Q618" s="186" t="s">
        <v>20</v>
      </c>
      <c r="R618" s="186" t="s">
        <v>15</v>
      </c>
      <c r="S618" s="186" t="s">
        <v>20</v>
      </c>
      <c r="T618" s="186" t="s">
        <v>15</v>
      </c>
      <c r="U618" s="186" t="s">
        <v>15</v>
      </c>
      <c r="V618" s="186" t="s">
        <v>15</v>
      </c>
      <c r="W618" s="186" t="s">
        <v>15</v>
      </c>
      <c r="X618" s="186" t="s">
        <v>15</v>
      </c>
      <c r="Y618" s="186" t="s">
        <v>15</v>
      </c>
      <c r="Z618" s="186" t="s">
        <v>1371</v>
      </c>
      <c r="AA618" s="186" t="s">
        <v>1372</v>
      </c>
      <c r="AB618" s="186" t="s">
        <v>15</v>
      </c>
      <c r="AC618" s="186" t="s">
        <v>15</v>
      </c>
      <c r="AD618" s="268" t="s">
        <v>1373</v>
      </c>
      <c r="AE618" s="268"/>
      <c r="AF618" s="144" t="str">
        <f t="shared" si="40"/>
        <v/>
      </c>
      <c r="AG618" s="144" t="str">
        <f t="shared" si="48"/>
        <v/>
      </c>
      <c r="AH618" s="146">
        <f t="shared" si="41"/>
        <v>0.10333329999999999</v>
      </c>
      <c r="AI618" s="146" t="str">
        <f t="shared" si="42"/>
        <v/>
      </c>
      <c r="AJ618" s="303"/>
      <c r="AK618" s="303"/>
      <c r="AL618" s="303"/>
      <c r="AM618" s="303"/>
      <c r="AN618" s="303"/>
      <c r="AO618" s="303"/>
      <c r="AP618" s="303"/>
      <c r="AQ618" s="303"/>
      <c r="AR618" s="303"/>
      <c r="AS618" s="170"/>
      <c r="AT618" s="170"/>
      <c r="AU618" s="310"/>
      <c r="AW618" s="294"/>
      <c r="AX618" s="294"/>
      <c r="AY618" s="294"/>
      <c r="AZ618" s="294"/>
      <c r="BA618" s="294"/>
      <c r="BB618" s="294"/>
      <c r="BC618" s="294"/>
      <c r="BD618" s="294"/>
      <c r="BE618" s="294"/>
      <c r="BF618" s="383">
        <f>103.3333/1000</f>
        <v>0.10333329999999999</v>
      </c>
      <c r="BG618" s="383">
        <f>BF618+0.09375</f>
        <v>0.19708329999999999</v>
      </c>
      <c r="BH618" s="278"/>
      <c r="BI618" s="365" t="s">
        <v>47</v>
      </c>
      <c r="BJ618" s="409"/>
    </row>
    <row r="619" spans="1:62" ht="15.75" customHeight="1" thickBot="1" x14ac:dyDescent="0.25">
      <c r="A619" s="154">
        <v>619</v>
      </c>
      <c r="B619" s="155">
        <v>1</v>
      </c>
      <c r="C619" s="148" t="s">
        <v>236</v>
      </c>
      <c r="D619" s="148" t="s">
        <v>2145</v>
      </c>
      <c r="E619" s="148" t="s">
        <v>13</v>
      </c>
      <c r="F619" s="148" t="s">
        <v>1368</v>
      </c>
      <c r="G619" s="148" t="s">
        <v>20</v>
      </c>
      <c r="H619" s="148" t="s">
        <v>1247</v>
      </c>
      <c r="I619" s="161">
        <v>2013</v>
      </c>
      <c r="J619" s="161" t="s">
        <v>1369</v>
      </c>
      <c r="K619" s="161" t="s">
        <v>1370</v>
      </c>
      <c r="L619" s="161" t="s">
        <v>168</v>
      </c>
      <c r="M619" s="453" t="s">
        <v>4233</v>
      </c>
      <c r="N619" s="186" t="s">
        <v>20</v>
      </c>
      <c r="O619" s="186" t="s">
        <v>15</v>
      </c>
      <c r="P619" s="186" t="s">
        <v>20</v>
      </c>
      <c r="Q619" s="186" t="s">
        <v>20</v>
      </c>
      <c r="R619" s="186" t="s">
        <v>15</v>
      </c>
      <c r="S619" s="186" t="s">
        <v>20</v>
      </c>
      <c r="T619" s="186" t="s">
        <v>15</v>
      </c>
      <c r="U619" s="186" t="s">
        <v>15</v>
      </c>
      <c r="V619" s="186" t="s">
        <v>15</v>
      </c>
      <c r="W619" s="186" t="s">
        <v>15</v>
      </c>
      <c r="X619" s="186" t="s">
        <v>15</v>
      </c>
      <c r="Y619" s="186" t="s">
        <v>15</v>
      </c>
      <c r="Z619" s="186" t="s">
        <v>1371</v>
      </c>
      <c r="AA619" s="186" t="s">
        <v>1372</v>
      </c>
      <c r="AB619" s="186" t="s">
        <v>15</v>
      </c>
      <c r="AC619" s="186" t="s">
        <v>15</v>
      </c>
      <c r="AD619" s="268" t="s">
        <v>1373</v>
      </c>
      <c r="AE619" s="268"/>
      <c r="AF619" s="144" t="str">
        <f t="shared" si="40"/>
        <v/>
      </c>
      <c r="AG619" s="144" t="str">
        <f t="shared" si="48"/>
        <v/>
      </c>
      <c r="AH619" s="146">
        <f t="shared" si="41"/>
        <v>7.809524000000001E-2</v>
      </c>
      <c r="AI619" s="146" t="str">
        <f t="shared" si="42"/>
        <v/>
      </c>
      <c r="AJ619" s="303"/>
      <c r="AK619" s="303"/>
      <c r="AL619" s="303"/>
      <c r="AM619" s="303"/>
      <c r="AN619" s="303"/>
      <c r="AO619" s="303"/>
      <c r="AP619" s="303"/>
      <c r="AQ619" s="303"/>
      <c r="AR619" s="303"/>
      <c r="AS619" s="170"/>
      <c r="AT619" s="170"/>
      <c r="AU619" s="310"/>
      <c r="AW619" s="294"/>
      <c r="AX619" s="294"/>
      <c r="AY619" s="294"/>
      <c r="AZ619" s="294"/>
      <c r="BA619" s="294"/>
      <c r="BB619" s="294"/>
      <c r="BC619" s="294"/>
      <c r="BD619" s="294"/>
      <c r="BE619" s="294"/>
      <c r="BF619" s="382">
        <f>78.09524/1000</f>
        <v>7.809524000000001E-2</v>
      </c>
      <c r="BG619" s="382">
        <f>BF619+0.09375</f>
        <v>0.17184524000000001</v>
      </c>
      <c r="BH619" s="278"/>
      <c r="BI619" s="365" t="s">
        <v>47</v>
      </c>
      <c r="BJ619" s="409"/>
    </row>
    <row r="620" spans="1:62" ht="15.75" customHeight="1" thickBot="1" x14ac:dyDescent="0.25">
      <c r="A620" s="156">
        <v>620</v>
      </c>
      <c r="B620" s="155">
        <v>1</v>
      </c>
      <c r="C620" s="148" t="s">
        <v>236</v>
      </c>
      <c r="D620" s="141" t="s">
        <v>1739</v>
      </c>
      <c r="E620" s="148" t="s">
        <v>13</v>
      </c>
      <c r="F620" s="148" t="s">
        <v>1374</v>
      </c>
      <c r="G620" s="148" t="s">
        <v>20</v>
      </c>
      <c r="H620" s="148" t="s">
        <v>1247</v>
      </c>
      <c r="I620" s="161">
        <v>2013</v>
      </c>
      <c r="J620" s="161" t="s">
        <v>1369</v>
      </c>
      <c r="K620" s="161" t="s">
        <v>1370</v>
      </c>
      <c r="L620" s="161" t="s">
        <v>168</v>
      </c>
      <c r="M620" s="453" t="s">
        <v>4233</v>
      </c>
      <c r="N620" s="186" t="s">
        <v>20</v>
      </c>
      <c r="O620" s="186" t="s">
        <v>15</v>
      </c>
      <c r="P620" s="186" t="s">
        <v>20</v>
      </c>
      <c r="Q620" s="186" t="s">
        <v>20</v>
      </c>
      <c r="R620" s="186" t="s">
        <v>20</v>
      </c>
      <c r="S620" s="186" t="s">
        <v>20</v>
      </c>
      <c r="T620" s="186" t="s">
        <v>15</v>
      </c>
      <c r="U620" s="186" t="s">
        <v>15</v>
      </c>
      <c r="V620" s="186" t="s">
        <v>15</v>
      </c>
      <c r="W620" s="186" t="s">
        <v>15</v>
      </c>
      <c r="X620" s="186" t="s">
        <v>15</v>
      </c>
      <c r="Y620" s="186" t="s">
        <v>15</v>
      </c>
      <c r="Z620" s="186" t="s">
        <v>1371</v>
      </c>
      <c r="AA620" s="186" t="s">
        <v>1372</v>
      </c>
      <c r="AB620" s="186" t="s">
        <v>15</v>
      </c>
      <c r="AC620" s="186" t="s">
        <v>15</v>
      </c>
      <c r="AD620" s="268" t="s">
        <v>1373</v>
      </c>
      <c r="AE620" s="268"/>
      <c r="AF620" s="144" t="str">
        <f t="shared" si="40"/>
        <v/>
      </c>
      <c r="AG620" s="144" t="str">
        <f t="shared" si="48"/>
        <v/>
      </c>
      <c r="AH620" s="146">
        <f t="shared" si="41"/>
        <v>0.1257143</v>
      </c>
      <c r="AI620" s="146" t="str">
        <f t="shared" si="42"/>
        <v/>
      </c>
      <c r="AJ620" s="303"/>
      <c r="AK620" s="303"/>
      <c r="AL620" s="303"/>
      <c r="AM620" s="303"/>
      <c r="AN620" s="303"/>
      <c r="AO620" s="303"/>
      <c r="AP620" s="303"/>
      <c r="AQ620" s="303"/>
      <c r="AR620" s="303"/>
      <c r="AS620" s="170"/>
      <c r="AT620" s="170"/>
      <c r="AU620" s="310"/>
      <c r="AW620" s="294"/>
      <c r="AX620" s="294"/>
      <c r="AY620" s="294"/>
      <c r="AZ620" s="294"/>
      <c r="BA620" s="294"/>
      <c r="BB620" s="294"/>
      <c r="BC620" s="294"/>
      <c r="BD620" s="294"/>
      <c r="BE620" s="294"/>
      <c r="BF620" s="382">
        <f>125.7143/1000</f>
        <v>0.1257143</v>
      </c>
      <c r="BG620" s="382">
        <f>BF620+0.135979</f>
        <v>0.26169330000000002</v>
      </c>
      <c r="BH620" s="278"/>
      <c r="BI620" s="365" t="s">
        <v>47</v>
      </c>
      <c r="BJ620" s="409"/>
    </row>
    <row r="621" spans="1:62" ht="15.75" customHeight="1" thickBot="1" x14ac:dyDescent="0.25">
      <c r="A621" s="154">
        <v>621</v>
      </c>
      <c r="B621" s="155">
        <v>1</v>
      </c>
      <c r="C621" s="148" t="s">
        <v>596</v>
      </c>
      <c r="D621" s="148" t="s">
        <v>2305</v>
      </c>
      <c r="E621" s="148" t="s">
        <v>13</v>
      </c>
      <c r="F621" s="148" t="s">
        <v>1375</v>
      </c>
      <c r="G621" s="148" t="s">
        <v>15</v>
      </c>
      <c r="H621" s="148" t="s">
        <v>3311</v>
      </c>
      <c r="I621" s="161">
        <v>2015</v>
      </c>
      <c r="J621" s="161" t="s">
        <v>1376</v>
      </c>
      <c r="K621" s="161" t="s">
        <v>1377</v>
      </c>
      <c r="L621" s="161" t="s">
        <v>19</v>
      </c>
      <c r="M621" s="453" t="s">
        <v>4234</v>
      </c>
      <c r="N621" s="186" t="s">
        <v>15</v>
      </c>
      <c r="O621" s="186" t="s">
        <v>15</v>
      </c>
      <c r="P621" s="186" t="s">
        <v>15</v>
      </c>
      <c r="Q621" s="186" t="s">
        <v>20</v>
      </c>
      <c r="R621" s="186" t="s">
        <v>15</v>
      </c>
      <c r="S621" s="186" t="s">
        <v>15</v>
      </c>
      <c r="T621" s="186" t="s">
        <v>15</v>
      </c>
      <c r="U621" s="186" t="s">
        <v>15</v>
      </c>
      <c r="V621" s="186" t="s">
        <v>15</v>
      </c>
      <c r="W621" s="186" t="s">
        <v>15</v>
      </c>
      <c r="X621" s="186" t="s">
        <v>15</v>
      </c>
      <c r="Y621" s="186" t="s">
        <v>15</v>
      </c>
      <c r="Z621" s="186"/>
      <c r="AA621" s="186" t="s">
        <v>1378</v>
      </c>
      <c r="AB621" s="186" t="s">
        <v>20</v>
      </c>
      <c r="AC621" s="186" t="s">
        <v>15</v>
      </c>
      <c r="AD621" s="268" t="s">
        <v>1379</v>
      </c>
      <c r="AE621" s="268" t="s">
        <v>92</v>
      </c>
      <c r="AF621" s="144" t="str">
        <f t="shared" si="40"/>
        <v/>
      </c>
      <c r="AG621" s="144">
        <f t="shared" si="48"/>
        <v>50.580000000000005</v>
      </c>
      <c r="AH621" s="146" t="str">
        <f t="shared" si="41"/>
        <v/>
      </c>
      <c r="AI621" s="146">
        <f t="shared" si="42"/>
        <v>4.32</v>
      </c>
      <c r="AJ621" s="303"/>
      <c r="AK621" s="303"/>
      <c r="AL621" s="303">
        <f>(13.41+0.64)*3.6</f>
        <v>50.580000000000005</v>
      </c>
      <c r="AM621" s="303"/>
      <c r="AN621" s="303"/>
      <c r="AO621" s="303"/>
      <c r="AP621" s="303"/>
      <c r="AQ621" s="303"/>
      <c r="AR621" s="303"/>
      <c r="AS621" s="170"/>
      <c r="AT621" s="170">
        <f>SUM(AJ621:AR621)</f>
        <v>50.580000000000005</v>
      </c>
      <c r="AU621" s="310" t="s">
        <v>10</v>
      </c>
      <c r="AW621" s="294"/>
      <c r="AX621" s="294"/>
      <c r="AY621" s="294">
        <v>4.32</v>
      </c>
      <c r="AZ621" s="294"/>
      <c r="BA621" s="294"/>
      <c r="BB621" s="294"/>
      <c r="BC621" s="294"/>
      <c r="BD621" s="294"/>
      <c r="BE621" s="294"/>
      <c r="BF621" s="382"/>
      <c r="BG621" s="382">
        <f>SUM(AW621:BE621)</f>
        <v>4.32</v>
      </c>
      <c r="BH621" s="278"/>
      <c r="BI621" s="365" t="s">
        <v>1380</v>
      </c>
      <c r="BJ621" s="409"/>
    </row>
    <row r="622" spans="1:62" ht="15.75" customHeight="1" thickBot="1" x14ac:dyDescent="0.25">
      <c r="A622" s="156">
        <v>622</v>
      </c>
      <c r="B622" s="155">
        <v>1</v>
      </c>
      <c r="C622" s="148" t="s">
        <v>162</v>
      </c>
      <c r="D622" s="148" t="s">
        <v>2311</v>
      </c>
      <c r="E622" s="148" t="s">
        <v>13</v>
      </c>
      <c r="F622" s="148" t="s">
        <v>379</v>
      </c>
      <c r="G622" s="148" t="s">
        <v>292</v>
      </c>
      <c r="H622" s="148" t="s">
        <v>87</v>
      </c>
      <c r="I622" s="161">
        <v>2015</v>
      </c>
      <c r="J622" s="161" t="s">
        <v>1381</v>
      </c>
      <c r="K622" s="161" t="s">
        <v>1382</v>
      </c>
      <c r="L622" s="161" t="s">
        <v>19</v>
      </c>
      <c r="M622" s="453" t="s">
        <v>4235</v>
      </c>
      <c r="N622" s="186" t="s">
        <v>20</v>
      </c>
      <c r="O622" s="186" t="s">
        <v>15</v>
      </c>
      <c r="P622" s="186" t="s">
        <v>15</v>
      </c>
      <c r="Q622" s="186" t="s">
        <v>15</v>
      </c>
      <c r="R622" s="186" t="s">
        <v>15</v>
      </c>
      <c r="S622" s="186" t="s">
        <v>15</v>
      </c>
      <c r="T622" s="186" t="s">
        <v>15</v>
      </c>
      <c r="U622" s="186" t="s">
        <v>15</v>
      </c>
      <c r="V622" s="186" t="s">
        <v>15</v>
      </c>
      <c r="W622" s="186" t="s">
        <v>15</v>
      </c>
      <c r="X622" s="186" t="s">
        <v>15</v>
      </c>
      <c r="Y622" s="186" t="s">
        <v>20</v>
      </c>
      <c r="Z622" s="186"/>
      <c r="AA622" s="186"/>
      <c r="AB622" s="186" t="s">
        <v>292</v>
      </c>
      <c r="AC622" s="186" t="s">
        <v>292</v>
      </c>
      <c r="AD622" s="268" t="s">
        <v>1383</v>
      </c>
      <c r="AE622" s="268"/>
      <c r="AF622" s="144">
        <f t="shared" si="40"/>
        <v>0.86899999999999999</v>
      </c>
      <c r="AG622" s="144" t="str">
        <f t="shared" si="48"/>
        <v/>
      </c>
      <c r="AH622" s="146">
        <f t="shared" si="41"/>
        <v>6.3E-2</v>
      </c>
      <c r="AI622" s="146" t="str">
        <f t="shared" si="42"/>
        <v/>
      </c>
      <c r="AJ622" s="303"/>
      <c r="AK622" s="303"/>
      <c r="AL622" s="303"/>
      <c r="AM622" s="303"/>
      <c r="AN622" s="303"/>
      <c r="AO622" s="303"/>
      <c r="AP622" s="303"/>
      <c r="AQ622" s="303"/>
      <c r="AR622" s="303"/>
      <c r="AS622" s="170">
        <v>0.86899999999999999</v>
      </c>
      <c r="AT622" s="169"/>
      <c r="AU622" s="310" t="s">
        <v>1384</v>
      </c>
      <c r="AW622" s="294"/>
      <c r="AX622" s="294"/>
      <c r="AY622" s="294"/>
      <c r="AZ622" s="294"/>
      <c r="BA622" s="294"/>
      <c r="BB622" s="294"/>
      <c r="BC622" s="294"/>
      <c r="BD622" s="294"/>
      <c r="BE622" s="294"/>
      <c r="BF622" s="383">
        <v>6.3E-2</v>
      </c>
      <c r="BG622" s="382"/>
      <c r="BH622" s="278"/>
      <c r="BI622" s="365" t="s">
        <v>733</v>
      </c>
      <c r="BJ622" s="409"/>
    </row>
    <row r="623" spans="1:62" ht="15.75" customHeight="1" thickBot="1" x14ac:dyDescent="0.25">
      <c r="A623" s="154">
        <v>623</v>
      </c>
      <c r="B623" s="155">
        <v>1</v>
      </c>
      <c r="C623" s="148" t="s">
        <v>236</v>
      </c>
      <c r="D623" s="141" t="s">
        <v>1739</v>
      </c>
      <c r="E623" s="148" t="s">
        <v>13</v>
      </c>
      <c r="F623" s="148" t="s">
        <v>1385</v>
      </c>
      <c r="G623" s="148" t="s">
        <v>292</v>
      </c>
      <c r="H623" s="148" t="s">
        <v>87</v>
      </c>
      <c r="I623" s="161">
        <v>2015</v>
      </c>
      <c r="J623" s="161" t="s">
        <v>1381</v>
      </c>
      <c r="K623" s="161" t="s">
        <v>1382</v>
      </c>
      <c r="L623" s="161" t="s">
        <v>19</v>
      </c>
      <c r="M623" s="453" t="s">
        <v>4235</v>
      </c>
      <c r="N623" s="186" t="s">
        <v>20</v>
      </c>
      <c r="O623" s="186" t="s">
        <v>15</v>
      </c>
      <c r="P623" s="186" t="s">
        <v>15</v>
      </c>
      <c r="Q623" s="186" t="s">
        <v>15</v>
      </c>
      <c r="R623" s="186" t="s">
        <v>15</v>
      </c>
      <c r="S623" s="186" t="s">
        <v>15</v>
      </c>
      <c r="T623" s="186" t="s">
        <v>15</v>
      </c>
      <c r="U623" s="186" t="s">
        <v>15</v>
      </c>
      <c r="V623" s="186" t="s">
        <v>15</v>
      </c>
      <c r="W623" s="186" t="s">
        <v>15</v>
      </c>
      <c r="X623" s="186" t="s">
        <v>15</v>
      </c>
      <c r="Y623" s="186" t="s">
        <v>20</v>
      </c>
      <c r="Z623" s="186"/>
      <c r="AA623" s="186"/>
      <c r="AB623" s="186" t="s">
        <v>292</v>
      </c>
      <c r="AC623" s="186" t="s">
        <v>292</v>
      </c>
      <c r="AD623" s="268" t="s">
        <v>1383</v>
      </c>
      <c r="AE623" s="268"/>
      <c r="AF623" s="144">
        <f t="shared" si="40"/>
        <v>1.2</v>
      </c>
      <c r="AG623" s="144" t="str">
        <f t="shared" si="48"/>
        <v/>
      </c>
      <c r="AH623" s="146">
        <f t="shared" si="41"/>
        <v>9.7000000000000003E-2</v>
      </c>
      <c r="AI623" s="146" t="str">
        <f t="shared" si="42"/>
        <v/>
      </c>
      <c r="AJ623" s="303"/>
      <c r="AK623" s="303"/>
      <c r="AL623" s="303"/>
      <c r="AM623" s="303"/>
      <c r="AN623" s="303"/>
      <c r="AO623" s="303"/>
      <c r="AP623" s="303"/>
      <c r="AQ623" s="303"/>
      <c r="AR623" s="303"/>
      <c r="AS623" s="169">
        <v>1.2</v>
      </c>
      <c r="AT623" s="170"/>
      <c r="AU623" s="310" t="s">
        <v>1384</v>
      </c>
      <c r="AW623" s="294"/>
      <c r="AX623" s="294"/>
      <c r="AY623" s="294"/>
      <c r="AZ623" s="294"/>
      <c r="BA623" s="294"/>
      <c r="BB623" s="294"/>
      <c r="BC623" s="294"/>
      <c r="BD623" s="294"/>
      <c r="BE623" s="294"/>
      <c r="BF623" s="382">
        <v>9.7000000000000003E-2</v>
      </c>
      <c r="BG623" s="383"/>
      <c r="BH623" s="278"/>
      <c r="BI623" s="365" t="s">
        <v>733</v>
      </c>
      <c r="BJ623" s="409"/>
    </row>
    <row r="624" spans="1:62" ht="15.75" customHeight="1" thickBot="1" x14ac:dyDescent="0.25">
      <c r="A624" s="156">
        <v>624</v>
      </c>
      <c r="B624" s="155">
        <v>1</v>
      </c>
      <c r="C624" s="148" t="s">
        <v>236</v>
      </c>
      <c r="D624" s="148" t="s">
        <v>2145</v>
      </c>
      <c r="E624" s="148" t="s">
        <v>13</v>
      </c>
      <c r="F624" s="148" t="s">
        <v>379</v>
      </c>
      <c r="G624" s="148" t="s">
        <v>292</v>
      </c>
      <c r="H624" s="148" t="s">
        <v>87</v>
      </c>
      <c r="I624" s="161">
        <v>2015</v>
      </c>
      <c r="J624" s="161" t="s">
        <v>1381</v>
      </c>
      <c r="K624" s="161" t="s">
        <v>1382</v>
      </c>
      <c r="L624" s="161" t="s">
        <v>19</v>
      </c>
      <c r="M624" s="453" t="s">
        <v>4235</v>
      </c>
      <c r="N624" s="186" t="s">
        <v>20</v>
      </c>
      <c r="O624" s="186" t="s">
        <v>15</v>
      </c>
      <c r="P624" s="186" t="s">
        <v>15</v>
      </c>
      <c r="Q624" s="186" t="s">
        <v>15</v>
      </c>
      <c r="R624" s="186" t="s">
        <v>15</v>
      </c>
      <c r="S624" s="186" t="s">
        <v>15</v>
      </c>
      <c r="T624" s="186" t="s">
        <v>15</v>
      </c>
      <c r="U624" s="186" t="s">
        <v>15</v>
      </c>
      <c r="V624" s="186" t="s">
        <v>15</v>
      </c>
      <c r="W624" s="186" t="s">
        <v>15</v>
      </c>
      <c r="X624" s="186" t="s">
        <v>15</v>
      </c>
      <c r="Y624" s="186" t="s">
        <v>20</v>
      </c>
      <c r="Z624" s="186"/>
      <c r="AA624" s="186"/>
      <c r="AB624" s="186" t="s">
        <v>292</v>
      </c>
      <c r="AC624" s="186" t="s">
        <v>292</v>
      </c>
      <c r="AD624" s="268" t="s">
        <v>1383</v>
      </c>
      <c r="AE624" s="268"/>
      <c r="AF624" s="144">
        <f t="shared" si="40"/>
        <v>6.0720000000000001</v>
      </c>
      <c r="AG624" s="144" t="str">
        <f t="shared" si="48"/>
        <v/>
      </c>
      <c r="AH624" s="146">
        <f t="shared" si="41"/>
        <v>0.376</v>
      </c>
      <c r="AI624" s="146" t="str">
        <f t="shared" si="42"/>
        <v/>
      </c>
      <c r="AJ624" s="303"/>
      <c r="AK624" s="303"/>
      <c r="AL624" s="303"/>
      <c r="AM624" s="303"/>
      <c r="AN624" s="303"/>
      <c r="AO624" s="303"/>
      <c r="AP624" s="303"/>
      <c r="AQ624" s="303"/>
      <c r="AR624" s="303"/>
      <c r="AS624" s="169">
        <v>6.0720000000000001</v>
      </c>
      <c r="AT624" s="170"/>
      <c r="AU624" s="310" t="s">
        <v>1384</v>
      </c>
      <c r="AW624" s="294"/>
      <c r="AX624" s="294"/>
      <c r="AY624" s="294"/>
      <c r="AZ624" s="294"/>
      <c r="BA624" s="294"/>
      <c r="BB624" s="294"/>
      <c r="BC624" s="294"/>
      <c r="BD624" s="294"/>
      <c r="BE624" s="294"/>
      <c r="BF624" s="382">
        <v>0.376</v>
      </c>
      <c r="BG624" s="383"/>
      <c r="BH624" s="278"/>
      <c r="BI624" s="365" t="s">
        <v>733</v>
      </c>
      <c r="BJ624" s="409"/>
    </row>
    <row r="625" spans="1:62" ht="15.75" customHeight="1" thickBot="1" x14ac:dyDescent="0.25">
      <c r="A625" s="154">
        <v>625</v>
      </c>
      <c r="B625" s="155">
        <v>1</v>
      </c>
      <c r="C625" s="148" t="s">
        <v>259</v>
      </c>
      <c r="D625" s="148" t="s">
        <v>2351</v>
      </c>
      <c r="E625" s="148" t="s">
        <v>13</v>
      </c>
      <c r="F625" s="148" t="s">
        <v>1385</v>
      </c>
      <c r="G625" s="148" t="s">
        <v>292</v>
      </c>
      <c r="H625" s="148" t="s">
        <v>87</v>
      </c>
      <c r="I625" s="161">
        <v>2015</v>
      </c>
      <c r="J625" s="161" t="s">
        <v>1381</v>
      </c>
      <c r="K625" s="161" t="s">
        <v>1382</v>
      </c>
      <c r="L625" s="161" t="s">
        <v>19</v>
      </c>
      <c r="M625" s="453" t="s">
        <v>4235</v>
      </c>
      <c r="N625" s="186" t="s">
        <v>20</v>
      </c>
      <c r="O625" s="186" t="s">
        <v>15</v>
      </c>
      <c r="P625" s="186" t="s">
        <v>15</v>
      </c>
      <c r="Q625" s="186" t="s">
        <v>15</v>
      </c>
      <c r="R625" s="186" t="s">
        <v>15</v>
      </c>
      <c r="S625" s="186" t="s">
        <v>15</v>
      </c>
      <c r="T625" s="186" t="s">
        <v>15</v>
      </c>
      <c r="U625" s="186" t="s">
        <v>15</v>
      </c>
      <c r="V625" s="186" t="s">
        <v>15</v>
      </c>
      <c r="W625" s="186" t="s">
        <v>15</v>
      </c>
      <c r="X625" s="186" t="s">
        <v>15</v>
      </c>
      <c r="Y625" s="186" t="s">
        <v>20</v>
      </c>
      <c r="Z625" s="186"/>
      <c r="AA625" s="186"/>
      <c r="AB625" s="186" t="s">
        <v>292</v>
      </c>
      <c r="AC625" s="186" t="s">
        <v>292</v>
      </c>
      <c r="AD625" s="268" t="s">
        <v>1383</v>
      </c>
      <c r="AE625" s="268"/>
      <c r="AF625" s="144">
        <f t="shared" si="40"/>
        <v>3.0979999999999999</v>
      </c>
      <c r="AG625" s="144" t="str">
        <f t="shared" si="48"/>
        <v/>
      </c>
      <c r="AH625" s="146">
        <f t="shared" si="41"/>
        <v>0.50900000000000001</v>
      </c>
      <c r="AI625" s="146" t="str">
        <f t="shared" si="42"/>
        <v/>
      </c>
      <c r="AJ625" s="303"/>
      <c r="AK625" s="303"/>
      <c r="AL625" s="303"/>
      <c r="AM625" s="303"/>
      <c r="AN625" s="303"/>
      <c r="AO625" s="303"/>
      <c r="AP625" s="303"/>
      <c r="AQ625" s="303"/>
      <c r="AR625" s="303"/>
      <c r="AS625" s="169">
        <v>3.0979999999999999</v>
      </c>
      <c r="AT625" s="170"/>
      <c r="AU625" s="310" t="s">
        <v>1384</v>
      </c>
      <c r="AW625" s="294"/>
      <c r="AX625" s="294"/>
      <c r="AY625" s="294"/>
      <c r="AZ625" s="294"/>
      <c r="BA625" s="294"/>
      <c r="BB625" s="294"/>
      <c r="BC625" s="294"/>
      <c r="BD625" s="294"/>
      <c r="BE625" s="294"/>
      <c r="BF625" s="382">
        <v>0.50900000000000001</v>
      </c>
      <c r="BG625" s="383"/>
      <c r="BH625" s="278"/>
      <c r="BI625" s="365" t="s">
        <v>733</v>
      </c>
      <c r="BJ625" s="409"/>
    </row>
    <row r="626" spans="1:62" ht="15.75" customHeight="1" thickBot="1" x14ac:dyDescent="0.25">
      <c r="A626" s="156">
        <v>626</v>
      </c>
      <c r="B626" s="155">
        <v>1</v>
      </c>
      <c r="C626" s="148" t="s">
        <v>162</v>
      </c>
      <c r="D626" s="141" t="s">
        <v>2057</v>
      </c>
      <c r="E626" s="148" t="s">
        <v>13</v>
      </c>
      <c r="F626" s="148" t="s">
        <v>1386</v>
      </c>
      <c r="G626" s="148" t="s">
        <v>292</v>
      </c>
      <c r="H626" s="148" t="s">
        <v>87</v>
      </c>
      <c r="I626" s="161">
        <v>2015</v>
      </c>
      <c r="J626" s="161" t="s">
        <v>1381</v>
      </c>
      <c r="K626" s="161" t="s">
        <v>1382</v>
      </c>
      <c r="L626" s="161" t="s">
        <v>19</v>
      </c>
      <c r="M626" s="453" t="s">
        <v>4235</v>
      </c>
      <c r="N626" s="186" t="s">
        <v>20</v>
      </c>
      <c r="O626" s="186" t="s">
        <v>15</v>
      </c>
      <c r="P626" s="186" t="s">
        <v>15</v>
      </c>
      <c r="Q626" s="186" t="s">
        <v>15</v>
      </c>
      <c r="R626" s="186" t="s">
        <v>15</v>
      </c>
      <c r="S626" s="186" t="s">
        <v>15</v>
      </c>
      <c r="T626" s="186" t="s">
        <v>15</v>
      </c>
      <c r="U626" s="186" t="s">
        <v>15</v>
      </c>
      <c r="V626" s="186" t="s">
        <v>15</v>
      </c>
      <c r="W626" s="186" t="s">
        <v>15</v>
      </c>
      <c r="X626" s="186" t="s">
        <v>15</v>
      </c>
      <c r="Y626" s="186" t="s">
        <v>20</v>
      </c>
      <c r="Z626" s="186"/>
      <c r="AA626" s="186"/>
      <c r="AB626" s="186" t="s">
        <v>292</v>
      </c>
      <c r="AC626" s="186" t="s">
        <v>292</v>
      </c>
      <c r="AD626" s="268" t="s">
        <v>1383</v>
      </c>
      <c r="AE626" s="268"/>
      <c r="AF626" s="144">
        <f t="shared" si="40"/>
        <v>4.12</v>
      </c>
      <c r="AG626" s="144" t="str">
        <f t="shared" si="48"/>
        <v/>
      </c>
      <c r="AH626" s="146">
        <f t="shared" si="41"/>
        <v>0.32700000000000001</v>
      </c>
      <c r="AI626" s="146" t="str">
        <f t="shared" si="42"/>
        <v/>
      </c>
      <c r="AJ626" s="303"/>
      <c r="AK626" s="303"/>
      <c r="AL626" s="303"/>
      <c r="AM626" s="303"/>
      <c r="AN626" s="303"/>
      <c r="AO626" s="303"/>
      <c r="AP626" s="303"/>
      <c r="AQ626" s="303"/>
      <c r="AR626" s="303"/>
      <c r="AS626" s="169">
        <v>4.12</v>
      </c>
      <c r="AT626" s="170"/>
      <c r="AU626" s="310" t="s">
        <v>1384</v>
      </c>
      <c r="AW626" s="294"/>
      <c r="AX626" s="294"/>
      <c r="AY626" s="294"/>
      <c r="AZ626" s="294"/>
      <c r="BA626" s="294"/>
      <c r="BB626" s="294"/>
      <c r="BC626" s="294"/>
      <c r="BD626" s="294"/>
      <c r="BE626" s="294"/>
      <c r="BF626" s="382">
        <v>0.32700000000000001</v>
      </c>
      <c r="BG626" s="383"/>
      <c r="BH626" s="278"/>
      <c r="BI626" s="365" t="s">
        <v>733</v>
      </c>
      <c r="BJ626" s="409"/>
    </row>
    <row r="627" spans="1:62" ht="15.75" customHeight="1" thickBot="1" x14ac:dyDescent="0.25">
      <c r="A627" s="154">
        <v>627</v>
      </c>
      <c r="B627" s="155">
        <v>1</v>
      </c>
      <c r="C627" s="148" t="s">
        <v>24</v>
      </c>
      <c r="D627" s="148" t="s">
        <v>53</v>
      </c>
      <c r="E627" s="148" t="s">
        <v>13</v>
      </c>
      <c r="F627" s="148" t="s">
        <v>1387</v>
      </c>
      <c r="G627" s="148" t="s">
        <v>122</v>
      </c>
      <c r="H627" s="148" t="s">
        <v>909</v>
      </c>
      <c r="I627" s="161">
        <v>2015</v>
      </c>
      <c r="J627" s="161" t="s">
        <v>1388</v>
      </c>
      <c r="K627" s="161" t="s">
        <v>1389</v>
      </c>
      <c r="L627" s="161" t="s">
        <v>19</v>
      </c>
      <c r="M627" s="453" t="s">
        <v>4236</v>
      </c>
      <c r="N627" s="186" t="s">
        <v>20</v>
      </c>
      <c r="O627" s="186" t="s">
        <v>15</v>
      </c>
      <c r="P627" s="186" t="s">
        <v>15</v>
      </c>
      <c r="Q627" s="186" t="s">
        <v>15</v>
      </c>
      <c r="R627" s="186" t="s">
        <v>15</v>
      </c>
      <c r="S627" s="186" t="s">
        <v>15</v>
      </c>
      <c r="T627" s="186" t="s">
        <v>15</v>
      </c>
      <c r="U627" s="186" t="s">
        <v>15</v>
      </c>
      <c r="V627" s="186" t="s">
        <v>15</v>
      </c>
      <c r="W627" s="186" t="s">
        <v>15</v>
      </c>
      <c r="X627" s="186" t="s">
        <v>15</v>
      </c>
      <c r="Y627" s="186" t="s">
        <v>15</v>
      </c>
      <c r="Z627" s="186"/>
      <c r="AA627" s="186"/>
      <c r="AB627" s="186" t="s">
        <v>292</v>
      </c>
      <c r="AC627" s="186" t="s">
        <v>292</v>
      </c>
      <c r="AD627" s="268" t="s">
        <v>1390</v>
      </c>
      <c r="AE627" s="268" t="s">
        <v>305</v>
      </c>
      <c r="AF627" s="144" t="str">
        <f t="shared" si="40"/>
        <v/>
      </c>
      <c r="AG627" s="144" t="str">
        <f t="shared" si="48"/>
        <v/>
      </c>
      <c r="AH627" s="146">
        <f t="shared" si="41"/>
        <v>45.326174122241206</v>
      </c>
      <c r="AI627" s="146" t="str">
        <f t="shared" si="42"/>
        <v/>
      </c>
      <c r="AJ627" s="303"/>
      <c r="AK627" s="303"/>
      <c r="AL627" s="303"/>
      <c r="AM627" s="303"/>
      <c r="AN627" s="303"/>
      <c r="AO627" s="303"/>
      <c r="AP627" s="303"/>
      <c r="AQ627" s="303"/>
      <c r="AR627" s="303"/>
      <c r="AS627" s="169"/>
      <c r="AT627" s="170"/>
      <c r="AU627" s="310"/>
      <c r="AW627" s="294"/>
      <c r="AX627" s="294"/>
      <c r="AY627" s="294"/>
      <c r="AZ627" s="294"/>
      <c r="BA627" s="294"/>
      <c r="BB627" s="294"/>
      <c r="BC627" s="294"/>
      <c r="BD627" s="294"/>
      <c r="BE627" s="294"/>
      <c r="BF627" s="382">
        <f>18.2/0.602/0.667</f>
        <v>45.326174122241206</v>
      </c>
      <c r="BG627" s="383"/>
      <c r="BH627" s="278"/>
      <c r="BI627" s="365"/>
      <c r="BJ627" s="409"/>
    </row>
    <row r="628" spans="1:62" ht="15.75" customHeight="1" thickBot="1" x14ac:dyDescent="0.25">
      <c r="A628" s="156">
        <v>628</v>
      </c>
      <c r="B628" s="155">
        <v>1</v>
      </c>
      <c r="C628" s="148" t="s">
        <v>24</v>
      </c>
      <c r="D628" s="148" t="s">
        <v>53</v>
      </c>
      <c r="E628" s="148" t="s">
        <v>13</v>
      </c>
      <c r="F628" s="148" t="s">
        <v>1391</v>
      </c>
      <c r="G628" s="148" t="s">
        <v>122</v>
      </c>
      <c r="H628" s="148" t="s">
        <v>909</v>
      </c>
      <c r="I628" s="161">
        <v>2015</v>
      </c>
      <c r="J628" s="161" t="s">
        <v>1388</v>
      </c>
      <c r="K628" s="161" t="s">
        <v>1389</v>
      </c>
      <c r="L628" s="161" t="s">
        <v>19</v>
      </c>
      <c r="M628" s="453" t="s">
        <v>4236</v>
      </c>
      <c r="N628" s="186" t="s">
        <v>20</v>
      </c>
      <c r="O628" s="186" t="s">
        <v>15</v>
      </c>
      <c r="P628" s="186" t="s">
        <v>15</v>
      </c>
      <c r="Q628" s="186" t="s">
        <v>15</v>
      </c>
      <c r="R628" s="186" t="s">
        <v>15</v>
      </c>
      <c r="S628" s="186" t="s">
        <v>15</v>
      </c>
      <c r="T628" s="186" t="s">
        <v>15</v>
      </c>
      <c r="U628" s="186" t="s">
        <v>15</v>
      </c>
      <c r="V628" s="186" t="s">
        <v>15</v>
      </c>
      <c r="W628" s="186" t="s">
        <v>15</v>
      </c>
      <c r="X628" s="186" t="s">
        <v>15</v>
      </c>
      <c r="Y628" s="186" t="s">
        <v>15</v>
      </c>
      <c r="Z628" s="186"/>
      <c r="AA628" s="186"/>
      <c r="AB628" s="186" t="s">
        <v>292</v>
      </c>
      <c r="AC628" s="186" t="s">
        <v>292</v>
      </c>
      <c r="AD628" s="268" t="s">
        <v>1390</v>
      </c>
      <c r="AE628" s="268" t="s">
        <v>305</v>
      </c>
      <c r="AF628" s="144" t="str">
        <f t="shared" si="40"/>
        <v/>
      </c>
      <c r="AG628" s="144" t="str">
        <f t="shared" si="48"/>
        <v/>
      </c>
      <c r="AH628" s="146">
        <f t="shared" si="41"/>
        <v>47.816623249836873</v>
      </c>
      <c r="AI628" s="146" t="str">
        <f t="shared" si="42"/>
        <v/>
      </c>
      <c r="AJ628" s="303"/>
      <c r="AK628" s="303"/>
      <c r="AL628" s="303"/>
      <c r="AM628" s="303"/>
      <c r="AN628" s="303"/>
      <c r="AO628" s="303"/>
      <c r="AP628" s="303"/>
      <c r="AQ628" s="303"/>
      <c r="AR628" s="303"/>
      <c r="AS628" s="169"/>
      <c r="AT628" s="170"/>
      <c r="AU628" s="310"/>
      <c r="AW628" s="294"/>
      <c r="AX628" s="294"/>
      <c r="AY628" s="294"/>
      <c r="AZ628" s="294"/>
      <c r="BA628" s="294"/>
      <c r="BB628" s="294"/>
      <c r="BC628" s="294"/>
      <c r="BD628" s="294"/>
      <c r="BE628" s="294"/>
      <c r="BF628" s="382">
        <f>19.2/0.602/0.667</f>
        <v>47.816623249836873</v>
      </c>
      <c r="BG628" s="383"/>
      <c r="BH628" s="278"/>
      <c r="BI628" s="365"/>
      <c r="BJ628" s="409"/>
    </row>
    <row r="629" spans="1:62" ht="15.75" customHeight="1" thickBot="1" x14ac:dyDescent="0.25">
      <c r="A629" s="154">
        <v>629</v>
      </c>
      <c r="B629" s="155">
        <v>1</v>
      </c>
      <c r="C629" s="148" t="s">
        <v>24</v>
      </c>
      <c r="D629" s="148" t="s">
        <v>269</v>
      </c>
      <c r="E629" s="148" t="s">
        <v>13</v>
      </c>
      <c r="F629" s="148" t="s">
        <v>1392</v>
      </c>
      <c r="G629" s="148" t="s">
        <v>122</v>
      </c>
      <c r="H629" s="148" t="s">
        <v>1393</v>
      </c>
      <c r="I629" s="161">
        <v>2016</v>
      </c>
      <c r="J629" s="161" t="s">
        <v>1394</v>
      </c>
      <c r="K629" s="161" t="s">
        <v>1395</v>
      </c>
      <c r="L629" s="161" t="s">
        <v>19</v>
      </c>
      <c r="M629" s="453" t="s">
        <v>4237</v>
      </c>
      <c r="N629" s="186" t="s">
        <v>20</v>
      </c>
      <c r="O629" s="186" t="s">
        <v>15</v>
      </c>
      <c r="P629" s="186" t="s">
        <v>15</v>
      </c>
      <c r="Q629" s="186" t="s">
        <v>15</v>
      </c>
      <c r="R629" s="186" t="s">
        <v>15</v>
      </c>
      <c r="S629" s="186" t="s">
        <v>15</v>
      </c>
      <c r="T629" s="186" t="s">
        <v>15</v>
      </c>
      <c r="U629" s="186" t="s">
        <v>15</v>
      </c>
      <c r="V629" s="186" t="s">
        <v>15</v>
      </c>
      <c r="W629" s="186" t="s">
        <v>15</v>
      </c>
      <c r="X629" s="186" t="s">
        <v>15</v>
      </c>
      <c r="Y629" s="186" t="s">
        <v>15</v>
      </c>
      <c r="Z629" s="186"/>
      <c r="AA629" s="186"/>
      <c r="AB629" s="186" t="s">
        <v>292</v>
      </c>
      <c r="AC629" s="186" t="s">
        <v>292</v>
      </c>
      <c r="AD629" s="268" t="s">
        <v>581</v>
      </c>
      <c r="AE629" s="268" t="s">
        <v>276</v>
      </c>
      <c r="AF629" s="144">
        <f t="shared" si="40"/>
        <v>21.673525377229083</v>
      </c>
      <c r="AG629" s="144" t="str">
        <f t="shared" si="48"/>
        <v/>
      </c>
      <c r="AH629" s="146">
        <f t="shared" si="41"/>
        <v>3.0178326474622774</v>
      </c>
      <c r="AI629" s="146" t="str">
        <f t="shared" si="42"/>
        <v/>
      </c>
      <c r="AJ629" s="303"/>
      <c r="AK629" s="303"/>
      <c r="AL629" s="303"/>
      <c r="AM629" s="303"/>
      <c r="AN629" s="303"/>
      <c r="AO629" s="303"/>
      <c r="AP629" s="303"/>
      <c r="AQ629" s="303"/>
      <c r="AR629" s="303"/>
      <c r="AS629" s="169">
        <f>15.8/0.729</f>
        <v>21.673525377229083</v>
      </c>
      <c r="AT629" s="170"/>
      <c r="AU629" s="310" t="s">
        <v>1396</v>
      </c>
      <c r="AW629" s="294"/>
      <c r="AX629" s="294"/>
      <c r="AY629" s="294"/>
      <c r="AZ629" s="294"/>
      <c r="BA629" s="294"/>
      <c r="BB629" s="294"/>
      <c r="BC629" s="294"/>
      <c r="BD629" s="294"/>
      <c r="BE629" s="294"/>
      <c r="BF629" s="382">
        <f>2.2/0.729</f>
        <v>3.0178326474622774</v>
      </c>
      <c r="BG629" s="383"/>
      <c r="BH629" s="278"/>
      <c r="BI629" s="365" t="s">
        <v>47</v>
      </c>
      <c r="BJ629" s="409"/>
    </row>
    <row r="630" spans="1:62" ht="15.75" customHeight="1" thickBot="1" x14ac:dyDescent="0.25">
      <c r="A630" s="156">
        <v>630</v>
      </c>
      <c r="B630" s="155">
        <v>1</v>
      </c>
      <c r="C630" s="148" t="s">
        <v>24</v>
      </c>
      <c r="D630" s="148" t="s">
        <v>269</v>
      </c>
      <c r="E630" s="148" t="s">
        <v>13</v>
      </c>
      <c r="F630" s="148"/>
      <c r="G630" s="148" t="s">
        <v>292</v>
      </c>
      <c r="H630" s="148" t="s">
        <v>55</v>
      </c>
      <c r="I630" s="161">
        <v>2016</v>
      </c>
      <c r="J630" s="161" t="s">
        <v>1397</v>
      </c>
      <c r="K630" s="161" t="s">
        <v>1398</v>
      </c>
      <c r="L630" s="161" t="s">
        <v>19</v>
      </c>
      <c r="M630" s="453" t="s">
        <v>4238</v>
      </c>
      <c r="N630" s="186" t="s">
        <v>20</v>
      </c>
      <c r="O630" s="186" t="s">
        <v>15</v>
      </c>
      <c r="P630" s="186" t="s">
        <v>20</v>
      </c>
      <c r="Q630" s="186" t="s">
        <v>20</v>
      </c>
      <c r="R630" s="186" t="s">
        <v>20</v>
      </c>
      <c r="S630" s="186" t="s">
        <v>20</v>
      </c>
      <c r="T630" s="186" t="s">
        <v>20</v>
      </c>
      <c r="U630" s="186" t="s">
        <v>20</v>
      </c>
      <c r="V630" s="186" t="s">
        <v>20</v>
      </c>
      <c r="W630" s="186" t="s">
        <v>20</v>
      </c>
      <c r="X630" s="186" t="s">
        <v>15</v>
      </c>
      <c r="Y630" s="186" t="s">
        <v>15</v>
      </c>
      <c r="Z630" s="186"/>
      <c r="AA630" s="186" t="s">
        <v>1399</v>
      </c>
      <c r="AB630" s="186" t="s">
        <v>292</v>
      </c>
      <c r="AC630" s="186" t="s">
        <v>122</v>
      </c>
      <c r="AD630" s="268" t="s">
        <v>581</v>
      </c>
      <c r="AE630" s="268" t="s">
        <v>276</v>
      </c>
      <c r="AF630" s="144" t="str">
        <f t="shared" si="40"/>
        <v/>
      </c>
      <c r="AG630" s="144" t="str">
        <f t="shared" si="48"/>
        <v/>
      </c>
      <c r="AH630" s="146">
        <f t="shared" si="41"/>
        <v>6.0123456790123457</v>
      </c>
      <c r="AI630" s="146">
        <f t="shared" si="42"/>
        <v>6.207133058984911</v>
      </c>
      <c r="AJ630" s="303"/>
      <c r="AK630" s="303"/>
      <c r="AL630" s="303"/>
      <c r="AM630" s="303"/>
      <c r="AN630" s="303"/>
      <c r="AO630" s="303"/>
      <c r="AP630" s="303"/>
      <c r="AQ630" s="303"/>
      <c r="AR630" s="303"/>
      <c r="AS630" s="169"/>
      <c r="AT630" s="170"/>
      <c r="AU630" s="310"/>
      <c r="AW630" s="294">
        <f>4383/1000/0.729</f>
        <v>6.0123456790123457</v>
      </c>
      <c r="AX630" s="294"/>
      <c r="AY630" s="294">
        <f>142/1000/0.729</f>
        <v>0.19478737997256515</v>
      </c>
      <c r="AZ630" s="294"/>
      <c r="BA630" s="294">
        <f>168/1000/0.729</f>
        <v>0.23045267489711938</v>
      </c>
      <c r="BB630" s="294"/>
      <c r="BC630" s="294">
        <f>50/1000/0.729</f>
        <v>6.8587105624142664E-2</v>
      </c>
      <c r="BD630" s="294"/>
      <c r="BE630" s="294"/>
      <c r="BF630" s="382">
        <v>6.0123456790123457</v>
      </c>
      <c r="BG630" s="383">
        <v>6.5171467764060367</v>
      </c>
      <c r="BH630" s="278"/>
      <c r="BI630" s="365" t="s">
        <v>638</v>
      </c>
      <c r="BJ630" s="409"/>
    </row>
    <row r="631" spans="1:62" ht="15.75" customHeight="1" thickBot="1" x14ac:dyDescent="0.25">
      <c r="A631" s="154">
        <v>631</v>
      </c>
      <c r="B631" s="155">
        <v>1</v>
      </c>
      <c r="C631" s="148" t="s">
        <v>236</v>
      </c>
      <c r="D631" s="141" t="s">
        <v>1739</v>
      </c>
      <c r="E631" s="148" t="s">
        <v>13</v>
      </c>
      <c r="F631" s="148" t="s">
        <v>1400</v>
      </c>
      <c r="G631" s="148" t="s">
        <v>292</v>
      </c>
      <c r="H631" s="148" t="s">
        <v>1401</v>
      </c>
      <c r="I631" s="161">
        <v>2015</v>
      </c>
      <c r="J631" s="161" t="s">
        <v>1402</v>
      </c>
      <c r="K631" s="161" t="s">
        <v>1403</v>
      </c>
      <c r="L631" s="161" t="s">
        <v>19</v>
      </c>
      <c r="M631" s="453" t="s">
        <v>4239</v>
      </c>
      <c r="N631" s="186" t="s">
        <v>20</v>
      </c>
      <c r="O631" s="186" t="s">
        <v>15</v>
      </c>
      <c r="P631" s="186" t="s">
        <v>15</v>
      </c>
      <c r="Q631" s="186" t="s">
        <v>15</v>
      </c>
      <c r="R631" s="186" t="s">
        <v>15</v>
      </c>
      <c r="S631" s="186" t="s">
        <v>15</v>
      </c>
      <c r="T631" s="186" t="s">
        <v>15</v>
      </c>
      <c r="U631" s="186" t="s">
        <v>15</v>
      </c>
      <c r="V631" s="186" t="s">
        <v>15</v>
      </c>
      <c r="W631" s="186" t="s">
        <v>15</v>
      </c>
      <c r="X631" s="186" t="s">
        <v>15</v>
      </c>
      <c r="Y631" s="186" t="s">
        <v>15</v>
      </c>
      <c r="Z631" s="186"/>
      <c r="AA631" s="186"/>
      <c r="AB631" s="186" t="s">
        <v>292</v>
      </c>
      <c r="AC631" s="186" t="s">
        <v>292</v>
      </c>
      <c r="AD631" s="268" t="s">
        <v>1373</v>
      </c>
      <c r="AE631" s="268"/>
      <c r="AF631" s="144" t="str">
        <f t="shared" si="40"/>
        <v/>
      </c>
      <c r="AG631" s="144" t="str">
        <f t="shared" si="48"/>
        <v/>
      </c>
      <c r="AH631" s="146">
        <f t="shared" si="41"/>
        <v>0.24</v>
      </c>
      <c r="AI631" s="146" t="str">
        <f t="shared" si="42"/>
        <v/>
      </c>
      <c r="AJ631" s="303"/>
      <c r="AK631" s="303"/>
      <c r="AL631" s="303"/>
      <c r="AM631" s="303"/>
      <c r="AN631" s="303"/>
      <c r="AO631" s="303"/>
      <c r="AP631" s="303"/>
      <c r="AQ631" s="303"/>
      <c r="AR631" s="303"/>
      <c r="AS631" s="170"/>
      <c r="AT631" s="170"/>
      <c r="AU631" s="310"/>
      <c r="AW631" s="294"/>
      <c r="AX631" s="294"/>
      <c r="AY631" s="294"/>
      <c r="AZ631" s="294"/>
      <c r="BA631" s="294"/>
      <c r="BB631" s="294"/>
      <c r="BC631" s="294"/>
      <c r="BD631" s="294"/>
      <c r="BE631" s="294"/>
      <c r="BF631" s="383">
        <v>0.24</v>
      </c>
      <c r="BG631" s="383"/>
      <c r="BH631" s="278"/>
      <c r="BI631" s="365" t="s">
        <v>47</v>
      </c>
      <c r="BJ631" s="409"/>
    </row>
    <row r="632" spans="1:62" ht="15.75" customHeight="1" thickBot="1" x14ac:dyDescent="0.25">
      <c r="A632" s="156">
        <v>632</v>
      </c>
      <c r="B632" s="155">
        <v>1</v>
      </c>
      <c r="C632" s="148" t="s">
        <v>236</v>
      </c>
      <c r="D632" s="148" t="s">
        <v>1769</v>
      </c>
      <c r="E632" s="148" t="s">
        <v>13</v>
      </c>
      <c r="F632" s="148" t="s">
        <v>1400</v>
      </c>
      <c r="G632" s="148" t="s">
        <v>292</v>
      </c>
      <c r="H632" s="148" t="s">
        <v>1401</v>
      </c>
      <c r="I632" s="161">
        <v>2015</v>
      </c>
      <c r="J632" s="161" t="s">
        <v>1402</v>
      </c>
      <c r="K632" s="161" t="s">
        <v>1403</v>
      </c>
      <c r="L632" s="161" t="s">
        <v>19</v>
      </c>
      <c r="M632" s="453" t="s">
        <v>4239</v>
      </c>
      <c r="N632" s="186" t="s">
        <v>20</v>
      </c>
      <c r="O632" s="186" t="s">
        <v>15</v>
      </c>
      <c r="P632" s="186" t="s">
        <v>15</v>
      </c>
      <c r="Q632" s="186" t="s">
        <v>15</v>
      </c>
      <c r="R632" s="186" t="s">
        <v>15</v>
      </c>
      <c r="S632" s="186" t="s">
        <v>15</v>
      </c>
      <c r="T632" s="186" t="s">
        <v>15</v>
      </c>
      <c r="U632" s="186" t="s">
        <v>15</v>
      </c>
      <c r="V632" s="186" t="s">
        <v>15</v>
      </c>
      <c r="W632" s="186" t="s">
        <v>15</v>
      </c>
      <c r="X632" s="186" t="s">
        <v>15</v>
      </c>
      <c r="Y632" s="186" t="s">
        <v>15</v>
      </c>
      <c r="Z632" s="186"/>
      <c r="AA632" s="186"/>
      <c r="AB632" s="186" t="s">
        <v>292</v>
      </c>
      <c r="AC632" s="186" t="s">
        <v>292</v>
      </c>
      <c r="AD632" s="268" t="s">
        <v>1373</v>
      </c>
      <c r="AE632" s="268"/>
      <c r="AF632" s="144" t="str">
        <f t="shared" si="40"/>
        <v/>
      </c>
      <c r="AG632" s="144" t="str">
        <f t="shared" si="48"/>
        <v/>
      </c>
      <c r="AH632" s="146">
        <f t="shared" si="41"/>
        <v>0.27</v>
      </c>
      <c r="AI632" s="146" t="str">
        <f t="shared" si="42"/>
        <v/>
      </c>
      <c r="AJ632" s="303"/>
      <c r="AK632" s="303"/>
      <c r="AL632" s="303"/>
      <c r="AM632" s="303"/>
      <c r="AN632" s="303"/>
      <c r="AO632" s="303"/>
      <c r="AP632" s="303"/>
      <c r="AQ632" s="303"/>
      <c r="AR632" s="303"/>
      <c r="AS632" s="170"/>
      <c r="AT632" s="170"/>
      <c r="AU632" s="310"/>
      <c r="AW632" s="294"/>
      <c r="AX632" s="294"/>
      <c r="AY632" s="294"/>
      <c r="AZ632" s="294"/>
      <c r="BA632" s="294"/>
      <c r="BB632" s="294"/>
      <c r="BC632" s="294"/>
      <c r="BD632" s="294"/>
      <c r="BE632" s="294"/>
      <c r="BF632" s="382">
        <v>0.27</v>
      </c>
      <c r="BG632" s="383"/>
      <c r="BH632" s="278"/>
      <c r="BI632" s="365" t="s">
        <v>47</v>
      </c>
      <c r="BJ632" s="409"/>
    </row>
    <row r="633" spans="1:62" ht="15.75" customHeight="1" thickBot="1" x14ac:dyDescent="0.25">
      <c r="A633" s="154">
        <v>633</v>
      </c>
      <c r="B633" s="155">
        <v>1</v>
      </c>
      <c r="C633" s="148" t="s">
        <v>236</v>
      </c>
      <c r="D633" s="148" t="s">
        <v>2769</v>
      </c>
      <c r="E633" s="148" t="s">
        <v>13</v>
      </c>
      <c r="F633" s="148" t="s">
        <v>1400</v>
      </c>
      <c r="G633" s="148" t="s">
        <v>292</v>
      </c>
      <c r="H633" s="148" t="s">
        <v>1401</v>
      </c>
      <c r="I633" s="161">
        <v>2015</v>
      </c>
      <c r="J633" s="161" t="s">
        <v>1402</v>
      </c>
      <c r="K633" s="161" t="s">
        <v>1403</v>
      </c>
      <c r="L633" s="161" t="s">
        <v>19</v>
      </c>
      <c r="M633" s="453" t="s">
        <v>4239</v>
      </c>
      <c r="N633" s="186" t="s">
        <v>20</v>
      </c>
      <c r="O633" s="186" t="s">
        <v>15</v>
      </c>
      <c r="P633" s="186" t="s">
        <v>15</v>
      </c>
      <c r="Q633" s="186" t="s">
        <v>15</v>
      </c>
      <c r="R633" s="186" t="s">
        <v>15</v>
      </c>
      <c r="S633" s="186" t="s">
        <v>15</v>
      </c>
      <c r="T633" s="186" t="s">
        <v>15</v>
      </c>
      <c r="U633" s="186" t="s">
        <v>15</v>
      </c>
      <c r="V633" s="186" t="s">
        <v>15</v>
      </c>
      <c r="W633" s="186" t="s">
        <v>15</v>
      </c>
      <c r="X633" s="186" t="s">
        <v>15</v>
      </c>
      <c r="Y633" s="186" t="s">
        <v>15</v>
      </c>
      <c r="Z633" s="186"/>
      <c r="AA633" s="186"/>
      <c r="AB633" s="186" t="s">
        <v>292</v>
      </c>
      <c r="AC633" s="186" t="s">
        <v>292</v>
      </c>
      <c r="AD633" s="268" t="s">
        <v>1373</v>
      </c>
      <c r="AE633" s="268"/>
      <c r="AF633" s="144" t="str">
        <f t="shared" si="40"/>
        <v/>
      </c>
      <c r="AG633" s="144" t="str">
        <f t="shared" si="48"/>
        <v/>
      </c>
      <c r="AH633" s="146">
        <f t="shared" si="41"/>
        <v>0.14000000000000001</v>
      </c>
      <c r="AI633" s="146" t="str">
        <f t="shared" si="42"/>
        <v/>
      </c>
      <c r="AJ633" s="303"/>
      <c r="AK633" s="303"/>
      <c r="AL633" s="303"/>
      <c r="AM633" s="303"/>
      <c r="AN633" s="303"/>
      <c r="AO633" s="303"/>
      <c r="AP633" s="303"/>
      <c r="AQ633" s="303"/>
      <c r="AR633" s="303"/>
      <c r="AS633" s="170"/>
      <c r="AT633" s="170"/>
      <c r="AU633" s="310"/>
      <c r="AW633" s="294"/>
      <c r="AX633" s="294"/>
      <c r="AY633" s="294"/>
      <c r="AZ633" s="294"/>
      <c r="BA633" s="294"/>
      <c r="BB633" s="294"/>
      <c r="BC633" s="294"/>
      <c r="BD633" s="294"/>
      <c r="BE633" s="294"/>
      <c r="BF633" s="382">
        <v>0.14000000000000001</v>
      </c>
      <c r="BG633" s="383"/>
      <c r="BH633" s="278"/>
      <c r="BI633" s="365" t="s">
        <v>47</v>
      </c>
      <c r="BJ633" s="409"/>
    </row>
    <row r="634" spans="1:62" ht="15.75" customHeight="1" thickBot="1" x14ac:dyDescent="0.25">
      <c r="A634" s="156">
        <v>634</v>
      </c>
      <c r="B634" s="155">
        <v>1</v>
      </c>
      <c r="C634" s="148" t="s">
        <v>236</v>
      </c>
      <c r="D634" s="148" t="s">
        <v>2136</v>
      </c>
      <c r="E634" s="148" t="s">
        <v>13</v>
      </c>
      <c r="F634" s="148" t="s">
        <v>1400</v>
      </c>
      <c r="G634" s="148" t="s">
        <v>292</v>
      </c>
      <c r="H634" s="148" t="s">
        <v>1401</v>
      </c>
      <c r="I634" s="161">
        <v>2015</v>
      </c>
      <c r="J634" s="161" t="s">
        <v>1402</v>
      </c>
      <c r="K634" s="161" t="s">
        <v>1403</v>
      </c>
      <c r="L634" s="161" t="s">
        <v>19</v>
      </c>
      <c r="M634" s="453" t="s">
        <v>4239</v>
      </c>
      <c r="N634" s="186" t="s">
        <v>20</v>
      </c>
      <c r="O634" s="186" t="s">
        <v>15</v>
      </c>
      <c r="P634" s="186" t="s">
        <v>15</v>
      </c>
      <c r="Q634" s="186" t="s">
        <v>15</v>
      </c>
      <c r="R634" s="186" t="s">
        <v>15</v>
      </c>
      <c r="S634" s="186" t="s">
        <v>15</v>
      </c>
      <c r="T634" s="186" t="s">
        <v>15</v>
      </c>
      <c r="U634" s="186" t="s">
        <v>15</v>
      </c>
      <c r="V634" s="186" t="s">
        <v>15</v>
      </c>
      <c r="W634" s="186" t="s">
        <v>15</v>
      </c>
      <c r="X634" s="186" t="s">
        <v>15</v>
      </c>
      <c r="Y634" s="186" t="s">
        <v>15</v>
      </c>
      <c r="Z634" s="186"/>
      <c r="AA634" s="186"/>
      <c r="AB634" s="186" t="s">
        <v>292</v>
      </c>
      <c r="AC634" s="186" t="s">
        <v>292</v>
      </c>
      <c r="AD634" s="268" t="s">
        <v>1373</v>
      </c>
      <c r="AE634" s="268"/>
      <c r="AF634" s="144" t="str">
        <f t="shared" si="40"/>
        <v/>
      </c>
      <c r="AG634" s="144" t="str">
        <f t="shared" si="48"/>
        <v/>
      </c>
      <c r="AH634" s="146">
        <f t="shared" si="41"/>
        <v>0.37</v>
      </c>
      <c r="AI634" s="146" t="str">
        <f t="shared" si="42"/>
        <v/>
      </c>
      <c r="AJ634" s="303"/>
      <c r="AK634" s="303"/>
      <c r="AL634" s="303"/>
      <c r="AM634" s="303"/>
      <c r="AN634" s="303"/>
      <c r="AO634" s="303"/>
      <c r="AP634" s="303"/>
      <c r="AQ634" s="303"/>
      <c r="AR634" s="303"/>
      <c r="AS634" s="170"/>
      <c r="AT634" s="170"/>
      <c r="AU634" s="310"/>
      <c r="AW634" s="294"/>
      <c r="AX634" s="294"/>
      <c r="AY634" s="294"/>
      <c r="AZ634" s="294"/>
      <c r="BA634" s="294"/>
      <c r="BB634" s="294"/>
      <c r="BC634" s="294"/>
      <c r="BD634" s="294"/>
      <c r="BE634" s="294"/>
      <c r="BF634" s="382">
        <v>0.37</v>
      </c>
      <c r="BG634" s="383"/>
      <c r="BH634" s="278"/>
      <c r="BI634" s="365" t="s">
        <v>47</v>
      </c>
      <c r="BJ634" s="409"/>
    </row>
    <row r="635" spans="1:62" ht="15.75" customHeight="1" thickBot="1" x14ac:dyDescent="0.25">
      <c r="A635" s="154">
        <v>635</v>
      </c>
      <c r="B635" s="155">
        <v>1</v>
      </c>
      <c r="C635" s="148" t="s">
        <v>236</v>
      </c>
      <c r="D635" s="148" t="s">
        <v>2145</v>
      </c>
      <c r="E635" s="148" t="s">
        <v>13</v>
      </c>
      <c r="F635" s="148" t="s">
        <v>1400</v>
      </c>
      <c r="G635" s="148" t="s">
        <v>292</v>
      </c>
      <c r="H635" s="148" t="s">
        <v>1401</v>
      </c>
      <c r="I635" s="161">
        <v>2015</v>
      </c>
      <c r="J635" s="161" t="s">
        <v>1402</v>
      </c>
      <c r="K635" s="161" t="s">
        <v>1403</v>
      </c>
      <c r="L635" s="161" t="s">
        <v>19</v>
      </c>
      <c r="M635" s="453" t="s">
        <v>4239</v>
      </c>
      <c r="N635" s="186" t="s">
        <v>20</v>
      </c>
      <c r="O635" s="186" t="s">
        <v>15</v>
      </c>
      <c r="P635" s="186" t="s">
        <v>15</v>
      </c>
      <c r="Q635" s="186" t="s">
        <v>15</v>
      </c>
      <c r="R635" s="186" t="s">
        <v>15</v>
      </c>
      <c r="S635" s="186" t="s">
        <v>15</v>
      </c>
      <c r="T635" s="186" t="s">
        <v>15</v>
      </c>
      <c r="U635" s="186" t="s">
        <v>15</v>
      </c>
      <c r="V635" s="186" t="s">
        <v>15</v>
      </c>
      <c r="W635" s="186" t="s">
        <v>15</v>
      </c>
      <c r="X635" s="186" t="s">
        <v>15</v>
      </c>
      <c r="Y635" s="186" t="s">
        <v>15</v>
      </c>
      <c r="Z635" s="186"/>
      <c r="AA635" s="186"/>
      <c r="AB635" s="186" t="s">
        <v>292</v>
      </c>
      <c r="AC635" s="186" t="s">
        <v>292</v>
      </c>
      <c r="AD635" s="268" t="s">
        <v>1373</v>
      </c>
      <c r="AE635" s="268"/>
      <c r="AF635" s="144" t="str">
        <f t="shared" si="40"/>
        <v/>
      </c>
      <c r="AG635" s="144" t="str">
        <f t="shared" si="48"/>
        <v/>
      </c>
      <c r="AH635" s="146">
        <f t="shared" si="41"/>
        <v>0.18</v>
      </c>
      <c r="AI635" s="146" t="str">
        <f t="shared" si="42"/>
        <v/>
      </c>
      <c r="AJ635" s="303"/>
      <c r="AK635" s="303"/>
      <c r="AL635" s="303"/>
      <c r="AM635" s="303"/>
      <c r="AN635" s="303"/>
      <c r="AO635" s="303"/>
      <c r="AP635" s="303"/>
      <c r="AQ635" s="303"/>
      <c r="AR635" s="303"/>
      <c r="AS635" s="170"/>
      <c r="AT635" s="170"/>
      <c r="AU635" s="310"/>
      <c r="AW635" s="294"/>
      <c r="AX635" s="294"/>
      <c r="AY635" s="294"/>
      <c r="AZ635" s="294"/>
      <c r="BA635" s="294"/>
      <c r="BB635" s="294"/>
      <c r="BC635" s="294"/>
      <c r="BD635" s="294"/>
      <c r="BE635" s="294"/>
      <c r="BF635" s="382">
        <v>0.18</v>
      </c>
      <c r="BG635" s="383"/>
      <c r="BH635" s="278"/>
      <c r="BI635" s="365" t="s">
        <v>47</v>
      </c>
      <c r="BJ635" s="409"/>
    </row>
    <row r="636" spans="1:62" ht="15.75" customHeight="1" thickBot="1" x14ac:dyDescent="0.25">
      <c r="A636" s="156">
        <v>636</v>
      </c>
      <c r="B636" s="155">
        <v>1</v>
      </c>
      <c r="C636" s="148" t="s">
        <v>259</v>
      </c>
      <c r="D636" s="148" t="s">
        <v>2430</v>
      </c>
      <c r="E636" s="148" t="s">
        <v>13</v>
      </c>
      <c r="F636" s="148" t="s">
        <v>1405</v>
      </c>
      <c r="G636" s="148" t="s">
        <v>292</v>
      </c>
      <c r="H636" s="148" t="s">
        <v>1406</v>
      </c>
      <c r="I636" s="161">
        <v>2012</v>
      </c>
      <c r="J636" s="161" t="s">
        <v>1407</v>
      </c>
      <c r="K636" s="161" t="s">
        <v>1408</v>
      </c>
      <c r="L636" s="161" t="s">
        <v>19</v>
      </c>
      <c r="M636" s="453" t="s">
        <v>4240</v>
      </c>
      <c r="N636" s="186" t="s">
        <v>20</v>
      </c>
      <c r="O636" s="186" t="s">
        <v>15</v>
      </c>
      <c r="P636" s="186" t="s">
        <v>15</v>
      </c>
      <c r="Q636" s="186" t="s">
        <v>15</v>
      </c>
      <c r="R636" s="186" t="s">
        <v>15</v>
      </c>
      <c r="S636" s="186" t="s">
        <v>15</v>
      </c>
      <c r="T636" s="186" t="s">
        <v>15</v>
      </c>
      <c r="U636" s="186" t="s">
        <v>15</v>
      </c>
      <c r="V636" s="186" t="s">
        <v>15</v>
      </c>
      <c r="W636" s="186" t="s">
        <v>15</v>
      </c>
      <c r="X636" s="186" t="s">
        <v>15</v>
      </c>
      <c r="Y636" s="186" t="s">
        <v>15</v>
      </c>
      <c r="Z636" s="186"/>
      <c r="AA636" s="186" t="s">
        <v>1409</v>
      </c>
      <c r="AB636" s="186" t="s">
        <v>292</v>
      </c>
      <c r="AC636" s="186" t="s">
        <v>292</v>
      </c>
      <c r="AD636" s="268" t="s">
        <v>1410</v>
      </c>
      <c r="AE636" s="268"/>
      <c r="AF636" s="144" t="str">
        <f t="shared" si="40"/>
        <v/>
      </c>
      <c r="AG636" s="144" t="str">
        <f t="shared" si="48"/>
        <v/>
      </c>
      <c r="AH636" s="146">
        <f t="shared" si="41"/>
        <v>0.622</v>
      </c>
      <c r="AI636" s="146" t="str">
        <f t="shared" si="42"/>
        <v/>
      </c>
      <c r="AJ636" s="303"/>
      <c r="AK636" s="303"/>
      <c r="AL636" s="303"/>
      <c r="AM636" s="303"/>
      <c r="AN636" s="303"/>
      <c r="AO636" s="303"/>
      <c r="AP636" s="303"/>
      <c r="AQ636" s="303"/>
      <c r="AR636" s="303"/>
      <c r="AS636" s="170"/>
      <c r="AT636" s="170"/>
      <c r="AU636" s="310"/>
      <c r="AW636" s="294"/>
      <c r="AX636" s="294"/>
      <c r="AY636" s="294"/>
      <c r="AZ636" s="294"/>
      <c r="BA636" s="294"/>
      <c r="BB636" s="294"/>
      <c r="BC636" s="294"/>
      <c r="BD636" s="294"/>
      <c r="BE636" s="294"/>
      <c r="BF636" s="382">
        <v>0.622</v>
      </c>
      <c r="BG636" s="383"/>
      <c r="BH636" s="278"/>
      <c r="BI636" s="365" t="s">
        <v>1411</v>
      </c>
      <c r="BJ636" s="409"/>
    </row>
    <row r="637" spans="1:62" ht="15.75" customHeight="1" thickBot="1" x14ac:dyDescent="0.25">
      <c r="A637" s="154">
        <v>637</v>
      </c>
      <c r="B637" s="155">
        <v>1</v>
      </c>
      <c r="C637" s="148" t="s">
        <v>236</v>
      </c>
      <c r="D637" s="148" t="s">
        <v>1412</v>
      </c>
      <c r="E637" s="148" t="s">
        <v>13</v>
      </c>
      <c r="F637" s="148"/>
      <c r="G637" s="148" t="s">
        <v>292</v>
      </c>
      <c r="H637" s="148" t="s">
        <v>1406</v>
      </c>
      <c r="I637" s="161">
        <v>2012</v>
      </c>
      <c r="J637" s="161" t="s">
        <v>1407</v>
      </c>
      <c r="K637" s="161" t="s">
        <v>1408</v>
      </c>
      <c r="L637" s="161" t="s">
        <v>19</v>
      </c>
      <c r="M637" s="453" t="s">
        <v>4240</v>
      </c>
      <c r="N637" s="186" t="s">
        <v>20</v>
      </c>
      <c r="O637" s="186" t="s">
        <v>15</v>
      </c>
      <c r="P637" s="186" t="s">
        <v>15</v>
      </c>
      <c r="Q637" s="186" t="s">
        <v>15</v>
      </c>
      <c r="R637" s="186" t="s">
        <v>15</v>
      </c>
      <c r="S637" s="186" t="s">
        <v>15</v>
      </c>
      <c r="T637" s="186" t="s">
        <v>15</v>
      </c>
      <c r="U637" s="186" t="s">
        <v>15</v>
      </c>
      <c r="V637" s="186" t="s">
        <v>15</v>
      </c>
      <c r="W637" s="186" t="s">
        <v>15</v>
      </c>
      <c r="X637" s="186" t="s">
        <v>15</v>
      </c>
      <c r="Y637" s="186" t="s">
        <v>15</v>
      </c>
      <c r="Z637" s="186"/>
      <c r="AA637" s="186" t="s">
        <v>1409</v>
      </c>
      <c r="AB637" s="186" t="s">
        <v>292</v>
      </c>
      <c r="AC637" s="186" t="s">
        <v>292</v>
      </c>
      <c r="AD637" s="268" t="s">
        <v>1410</v>
      </c>
      <c r="AE637" s="268"/>
      <c r="AF637" s="144" t="str">
        <f t="shared" si="40"/>
        <v/>
      </c>
      <c r="AG637" s="144" t="str">
        <f t="shared" si="48"/>
        <v/>
      </c>
      <c r="AH637" s="146">
        <f t="shared" si="41"/>
        <v>0.55600000000000005</v>
      </c>
      <c r="AI637" s="146" t="str">
        <f t="shared" si="42"/>
        <v/>
      </c>
      <c r="AJ637" s="303"/>
      <c r="AK637" s="303"/>
      <c r="AL637" s="303"/>
      <c r="AM637" s="303"/>
      <c r="AN637" s="303"/>
      <c r="AO637" s="303"/>
      <c r="AP637" s="303"/>
      <c r="AQ637" s="303"/>
      <c r="AR637" s="303"/>
      <c r="AS637" s="170"/>
      <c r="AT637" s="170"/>
      <c r="AU637" s="310"/>
      <c r="AW637" s="294"/>
      <c r="AX637" s="294"/>
      <c r="AY637" s="294"/>
      <c r="AZ637" s="294"/>
      <c r="BA637" s="294"/>
      <c r="BB637" s="294"/>
      <c r="BC637" s="294"/>
      <c r="BD637" s="294"/>
      <c r="BE637" s="294"/>
      <c r="BF637" s="382">
        <v>0.55600000000000005</v>
      </c>
      <c r="BG637" s="383"/>
      <c r="BH637" s="278"/>
      <c r="BI637" s="365" t="s">
        <v>1411</v>
      </c>
      <c r="BJ637" s="409"/>
    </row>
    <row r="638" spans="1:62" ht="15.75" customHeight="1" thickBot="1" x14ac:dyDescent="0.25">
      <c r="A638" s="156">
        <v>638</v>
      </c>
      <c r="B638" s="155">
        <v>1</v>
      </c>
      <c r="C638" s="148" t="s">
        <v>162</v>
      </c>
      <c r="D638" s="141" t="s">
        <v>2206</v>
      </c>
      <c r="E638" s="148" t="s">
        <v>13</v>
      </c>
      <c r="F638" s="148"/>
      <c r="G638" s="148" t="s">
        <v>292</v>
      </c>
      <c r="H638" s="148" t="s">
        <v>1406</v>
      </c>
      <c r="I638" s="161">
        <v>2012</v>
      </c>
      <c r="J638" s="161" t="s">
        <v>1407</v>
      </c>
      <c r="K638" s="161" t="s">
        <v>1408</v>
      </c>
      <c r="L638" s="161" t="s">
        <v>19</v>
      </c>
      <c r="M638" s="453" t="s">
        <v>4240</v>
      </c>
      <c r="N638" s="186" t="s">
        <v>20</v>
      </c>
      <c r="O638" s="186" t="s">
        <v>15</v>
      </c>
      <c r="P638" s="186" t="s">
        <v>15</v>
      </c>
      <c r="Q638" s="186" t="s">
        <v>15</v>
      </c>
      <c r="R638" s="186" t="s">
        <v>15</v>
      </c>
      <c r="S638" s="186" t="s">
        <v>15</v>
      </c>
      <c r="T638" s="186" t="s">
        <v>15</v>
      </c>
      <c r="U638" s="186" t="s">
        <v>15</v>
      </c>
      <c r="V638" s="186" t="s">
        <v>15</v>
      </c>
      <c r="W638" s="186" t="s">
        <v>15</v>
      </c>
      <c r="X638" s="186" t="s">
        <v>15</v>
      </c>
      <c r="Y638" s="186" t="s">
        <v>15</v>
      </c>
      <c r="Z638" s="186"/>
      <c r="AA638" s="186" t="s">
        <v>1409</v>
      </c>
      <c r="AB638" s="186" t="s">
        <v>292</v>
      </c>
      <c r="AC638" s="186" t="s">
        <v>292</v>
      </c>
      <c r="AD638" s="268" t="s">
        <v>1410</v>
      </c>
      <c r="AE638" s="268"/>
      <c r="AF638" s="144" t="str">
        <f t="shared" si="40"/>
        <v/>
      </c>
      <c r="AG638" s="144" t="str">
        <f t="shared" si="48"/>
        <v/>
      </c>
      <c r="AH638" s="146">
        <f t="shared" si="41"/>
        <v>0.51800000000000002</v>
      </c>
      <c r="AI638" s="146" t="str">
        <f t="shared" si="42"/>
        <v/>
      </c>
      <c r="AJ638" s="303"/>
      <c r="AK638" s="303"/>
      <c r="AL638" s="303"/>
      <c r="AM638" s="303"/>
      <c r="AN638" s="303"/>
      <c r="AO638" s="303"/>
      <c r="AP638" s="303"/>
      <c r="AQ638" s="303"/>
      <c r="AR638" s="303"/>
      <c r="AS638" s="170"/>
      <c r="AT638" s="170"/>
      <c r="AU638" s="310"/>
      <c r="AW638" s="294"/>
      <c r="AX638" s="294"/>
      <c r="AY638" s="294"/>
      <c r="AZ638" s="294"/>
      <c r="BA638" s="294"/>
      <c r="BB638" s="294"/>
      <c r="BC638" s="294"/>
      <c r="BD638" s="294"/>
      <c r="BE638" s="294"/>
      <c r="BF638" s="382">
        <v>0.51800000000000002</v>
      </c>
      <c r="BG638" s="383"/>
      <c r="BH638" s="278"/>
      <c r="BI638" s="365" t="s">
        <v>1411</v>
      </c>
      <c r="BJ638" s="409"/>
    </row>
    <row r="639" spans="1:62" ht="15.75" customHeight="1" thickBot="1" x14ac:dyDescent="0.25">
      <c r="A639" s="154">
        <v>639</v>
      </c>
      <c r="B639" s="155">
        <v>1</v>
      </c>
      <c r="C639" s="148" t="s">
        <v>236</v>
      </c>
      <c r="D639" s="141" t="s">
        <v>1739</v>
      </c>
      <c r="E639" s="148" t="s">
        <v>13</v>
      </c>
      <c r="F639" s="148"/>
      <c r="G639" s="148" t="s">
        <v>292</v>
      </c>
      <c r="H639" s="148" t="s">
        <v>1406</v>
      </c>
      <c r="I639" s="161">
        <v>2012</v>
      </c>
      <c r="J639" s="161" t="s">
        <v>1407</v>
      </c>
      <c r="K639" s="161" t="s">
        <v>1408</v>
      </c>
      <c r="L639" s="161" t="s">
        <v>19</v>
      </c>
      <c r="M639" s="453" t="s">
        <v>4240</v>
      </c>
      <c r="N639" s="186" t="s">
        <v>20</v>
      </c>
      <c r="O639" s="186" t="s">
        <v>15</v>
      </c>
      <c r="P639" s="186" t="s">
        <v>15</v>
      </c>
      <c r="Q639" s="186" t="s">
        <v>15</v>
      </c>
      <c r="R639" s="186" t="s">
        <v>15</v>
      </c>
      <c r="S639" s="186" t="s">
        <v>15</v>
      </c>
      <c r="T639" s="186" t="s">
        <v>15</v>
      </c>
      <c r="U639" s="186" t="s">
        <v>15</v>
      </c>
      <c r="V639" s="186" t="s">
        <v>15</v>
      </c>
      <c r="W639" s="186" t="s">
        <v>15</v>
      </c>
      <c r="X639" s="186" t="s">
        <v>15</v>
      </c>
      <c r="Y639" s="186" t="s">
        <v>15</v>
      </c>
      <c r="Z639" s="186"/>
      <c r="AA639" s="186" t="s">
        <v>1409</v>
      </c>
      <c r="AB639" s="186" t="s">
        <v>292</v>
      </c>
      <c r="AC639" s="186" t="s">
        <v>292</v>
      </c>
      <c r="AD639" s="268" t="s">
        <v>1410</v>
      </c>
      <c r="AE639" s="268"/>
      <c r="AF639" s="144" t="str">
        <f t="shared" si="40"/>
        <v/>
      </c>
      <c r="AG639" s="144" t="str">
        <f t="shared" si="48"/>
        <v/>
      </c>
      <c r="AH639" s="146">
        <f t="shared" si="41"/>
        <v>0.38100000000000001</v>
      </c>
      <c r="AI639" s="146" t="str">
        <f t="shared" si="42"/>
        <v/>
      </c>
      <c r="AJ639" s="303"/>
      <c r="AK639" s="303"/>
      <c r="AL639" s="303"/>
      <c r="AM639" s="303"/>
      <c r="AN639" s="303"/>
      <c r="AO639" s="303"/>
      <c r="AP639" s="303"/>
      <c r="AQ639" s="303"/>
      <c r="AR639" s="303"/>
      <c r="AS639" s="170"/>
      <c r="AT639" s="170"/>
      <c r="AU639" s="310"/>
      <c r="AW639" s="294"/>
      <c r="AX639" s="294"/>
      <c r="AY639" s="294"/>
      <c r="AZ639" s="294"/>
      <c r="BA639" s="294"/>
      <c r="BB639" s="294"/>
      <c r="BC639" s="294"/>
      <c r="BD639" s="294"/>
      <c r="BE639" s="294"/>
      <c r="BF639" s="382">
        <v>0.38100000000000001</v>
      </c>
      <c r="BG639" s="383"/>
      <c r="BH639" s="278"/>
      <c r="BI639" s="365" t="s">
        <v>1411</v>
      </c>
      <c r="BJ639" s="409"/>
    </row>
    <row r="640" spans="1:62" ht="15.75" customHeight="1" thickBot="1" x14ac:dyDescent="0.25">
      <c r="A640" s="156">
        <v>640</v>
      </c>
      <c r="B640" s="155">
        <v>1</v>
      </c>
      <c r="C640" s="148" t="s">
        <v>236</v>
      </c>
      <c r="D640" s="148" t="s">
        <v>2136</v>
      </c>
      <c r="E640" s="148" t="s">
        <v>13</v>
      </c>
      <c r="F640" s="148"/>
      <c r="G640" s="148" t="s">
        <v>292</v>
      </c>
      <c r="H640" s="148" t="s">
        <v>1406</v>
      </c>
      <c r="I640" s="161">
        <v>2012</v>
      </c>
      <c r="J640" s="161" t="s">
        <v>1407</v>
      </c>
      <c r="K640" s="161" t="s">
        <v>1408</v>
      </c>
      <c r="L640" s="161" t="s">
        <v>19</v>
      </c>
      <c r="M640" s="453" t="s">
        <v>4240</v>
      </c>
      <c r="N640" s="186" t="s">
        <v>20</v>
      </c>
      <c r="O640" s="186" t="s">
        <v>15</v>
      </c>
      <c r="P640" s="186" t="s">
        <v>15</v>
      </c>
      <c r="Q640" s="186" t="s">
        <v>15</v>
      </c>
      <c r="R640" s="186" t="s">
        <v>15</v>
      </c>
      <c r="S640" s="186" t="s">
        <v>15</v>
      </c>
      <c r="T640" s="186" t="s">
        <v>15</v>
      </c>
      <c r="U640" s="186" t="s">
        <v>15</v>
      </c>
      <c r="V640" s="186" t="s">
        <v>15</v>
      </c>
      <c r="W640" s="186" t="s">
        <v>15</v>
      </c>
      <c r="X640" s="186" t="s">
        <v>15</v>
      </c>
      <c r="Y640" s="186" t="s">
        <v>15</v>
      </c>
      <c r="Z640" s="186"/>
      <c r="AA640" s="186" t="s">
        <v>1409</v>
      </c>
      <c r="AB640" s="186" t="s">
        <v>292</v>
      </c>
      <c r="AC640" s="186" t="s">
        <v>292</v>
      </c>
      <c r="AD640" s="268" t="s">
        <v>1410</v>
      </c>
      <c r="AE640" s="268"/>
      <c r="AF640" s="144" t="str">
        <f t="shared" si="40"/>
        <v/>
      </c>
      <c r="AG640" s="144" t="str">
        <f t="shared" si="48"/>
        <v/>
      </c>
      <c r="AH640" s="146">
        <f t="shared" si="41"/>
        <v>0.59099999999999997</v>
      </c>
      <c r="AI640" s="146" t="str">
        <f t="shared" si="42"/>
        <v/>
      </c>
      <c r="AJ640" s="303"/>
      <c r="AK640" s="303"/>
      <c r="AL640" s="303"/>
      <c r="AM640" s="303"/>
      <c r="AN640" s="303"/>
      <c r="AO640" s="303"/>
      <c r="AP640" s="303"/>
      <c r="AQ640" s="303"/>
      <c r="AR640" s="303"/>
      <c r="AS640" s="170"/>
      <c r="AT640" s="170"/>
      <c r="AU640" s="310"/>
      <c r="AW640" s="294"/>
      <c r="AX640" s="294"/>
      <c r="AY640" s="294"/>
      <c r="AZ640" s="294"/>
      <c r="BA640" s="294"/>
      <c r="BB640" s="294"/>
      <c r="BC640" s="294"/>
      <c r="BD640" s="294"/>
      <c r="BE640" s="294"/>
      <c r="BF640" s="382">
        <v>0.59099999999999997</v>
      </c>
      <c r="BG640" s="383"/>
      <c r="BH640" s="278"/>
      <c r="BI640" s="365" t="s">
        <v>1411</v>
      </c>
      <c r="BJ640" s="409"/>
    </row>
    <row r="641" spans="1:62" ht="15.75" customHeight="1" thickBot="1" x14ac:dyDescent="0.25">
      <c r="A641" s="154">
        <v>641</v>
      </c>
      <c r="B641" s="155">
        <v>1</v>
      </c>
      <c r="C641" s="148" t="s">
        <v>236</v>
      </c>
      <c r="D641" s="148" t="s">
        <v>859</v>
      </c>
      <c r="E641" s="148" t="s">
        <v>13</v>
      </c>
      <c r="F641" s="148"/>
      <c r="G641" s="148" t="s">
        <v>292</v>
      </c>
      <c r="H641" s="148" t="s">
        <v>1406</v>
      </c>
      <c r="I641" s="161">
        <v>2012</v>
      </c>
      <c r="J641" s="161" t="s">
        <v>1407</v>
      </c>
      <c r="K641" s="161" t="s">
        <v>1408</v>
      </c>
      <c r="L641" s="161" t="s">
        <v>19</v>
      </c>
      <c r="M641" s="453" t="s">
        <v>4240</v>
      </c>
      <c r="N641" s="186" t="s">
        <v>20</v>
      </c>
      <c r="O641" s="186" t="s">
        <v>15</v>
      </c>
      <c r="P641" s="186" t="s">
        <v>15</v>
      </c>
      <c r="Q641" s="186" t="s">
        <v>15</v>
      </c>
      <c r="R641" s="186" t="s">
        <v>15</v>
      </c>
      <c r="S641" s="186" t="s">
        <v>15</v>
      </c>
      <c r="T641" s="186" t="s">
        <v>15</v>
      </c>
      <c r="U641" s="186" t="s">
        <v>15</v>
      </c>
      <c r="V641" s="186" t="s">
        <v>15</v>
      </c>
      <c r="W641" s="186" t="s">
        <v>15</v>
      </c>
      <c r="X641" s="186" t="s">
        <v>15</v>
      </c>
      <c r="Y641" s="186" t="s">
        <v>15</v>
      </c>
      <c r="Z641" s="186"/>
      <c r="AA641" s="186" t="s">
        <v>1409</v>
      </c>
      <c r="AB641" s="186" t="s">
        <v>292</v>
      </c>
      <c r="AC641" s="186" t="s">
        <v>292</v>
      </c>
      <c r="AD641" s="268" t="s">
        <v>1410</v>
      </c>
      <c r="AE641" s="268"/>
      <c r="AF641" s="144" t="str">
        <f t="shared" si="40"/>
        <v/>
      </c>
      <c r="AG641" s="144" t="str">
        <f t="shared" si="48"/>
        <v/>
      </c>
      <c r="AH641" s="146">
        <f t="shared" si="41"/>
        <v>0.5</v>
      </c>
      <c r="AI641" s="146" t="str">
        <f t="shared" si="42"/>
        <v/>
      </c>
      <c r="AJ641" s="303"/>
      <c r="AK641" s="303"/>
      <c r="AL641" s="303"/>
      <c r="AM641" s="303"/>
      <c r="AN641" s="303"/>
      <c r="AO641" s="303"/>
      <c r="AP641" s="303"/>
      <c r="AQ641" s="303"/>
      <c r="AR641" s="303"/>
      <c r="AS641" s="170"/>
      <c r="AT641" s="170"/>
      <c r="AU641" s="310"/>
      <c r="AW641" s="294"/>
      <c r="AX641" s="294"/>
      <c r="AY641" s="294"/>
      <c r="AZ641" s="294"/>
      <c r="BA641" s="294"/>
      <c r="BB641" s="294"/>
      <c r="BC641" s="294"/>
      <c r="BD641" s="294"/>
      <c r="BE641" s="294"/>
      <c r="BF641" s="382">
        <v>0.5</v>
      </c>
      <c r="BG641" s="383"/>
      <c r="BH641" s="278"/>
      <c r="BI641" s="365" t="s">
        <v>1411</v>
      </c>
      <c r="BJ641" s="409"/>
    </row>
    <row r="642" spans="1:62" ht="15.75" customHeight="1" thickBot="1" x14ac:dyDescent="0.25">
      <c r="A642" s="156">
        <v>642</v>
      </c>
      <c r="B642" s="155">
        <v>1</v>
      </c>
      <c r="C642" s="148" t="s">
        <v>236</v>
      </c>
      <c r="D642" s="148" t="s">
        <v>2282</v>
      </c>
      <c r="E642" s="148" t="s">
        <v>13</v>
      </c>
      <c r="F642" s="148"/>
      <c r="G642" s="148" t="s">
        <v>292</v>
      </c>
      <c r="H642" s="148" t="s">
        <v>1406</v>
      </c>
      <c r="I642" s="161">
        <v>2012</v>
      </c>
      <c r="J642" s="161" t="s">
        <v>1407</v>
      </c>
      <c r="K642" s="161" t="s">
        <v>1408</v>
      </c>
      <c r="L642" s="161" t="s">
        <v>19</v>
      </c>
      <c r="M642" s="453" t="s">
        <v>4240</v>
      </c>
      <c r="N642" s="186" t="s">
        <v>20</v>
      </c>
      <c r="O642" s="186" t="s">
        <v>15</v>
      </c>
      <c r="P642" s="186" t="s">
        <v>15</v>
      </c>
      <c r="Q642" s="186" t="s">
        <v>15</v>
      </c>
      <c r="R642" s="186" t="s">
        <v>15</v>
      </c>
      <c r="S642" s="186" t="s">
        <v>15</v>
      </c>
      <c r="T642" s="186" t="s">
        <v>15</v>
      </c>
      <c r="U642" s="186" t="s">
        <v>15</v>
      </c>
      <c r="V642" s="186" t="s">
        <v>15</v>
      </c>
      <c r="W642" s="186" t="s">
        <v>15</v>
      </c>
      <c r="X642" s="186" t="s">
        <v>15</v>
      </c>
      <c r="Y642" s="186" t="s">
        <v>15</v>
      </c>
      <c r="Z642" s="186"/>
      <c r="AA642" s="186" t="s">
        <v>1409</v>
      </c>
      <c r="AB642" s="186" t="s">
        <v>292</v>
      </c>
      <c r="AC642" s="186" t="s">
        <v>292</v>
      </c>
      <c r="AD642" s="268" t="s">
        <v>1410</v>
      </c>
      <c r="AE642" s="268"/>
      <c r="AF642" s="144" t="str">
        <f t="shared" ref="AF642:AF705" si="49">IF(AS642&lt;&gt;0,AS642,"")</f>
        <v/>
      </c>
      <c r="AG642" s="144" t="str">
        <f t="shared" si="48"/>
        <v/>
      </c>
      <c r="AH642" s="146">
        <f t="shared" ref="AH642:AH705" si="50">IF(BF642&lt;&gt;0,BF642,"")</f>
        <v>0.32400000000000001</v>
      </c>
      <c r="AI642" s="146" t="str">
        <f t="shared" ref="AI642:AI705" si="51">IF(AND(SUM(AW642:AY642)&lt;&gt;0,SUM(AW642:AY642)&lt;&gt;AW642),SUM(AW642:AY642),"")</f>
        <v/>
      </c>
      <c r="AJ642" s="303"/>
      <c r="AK642" s="303"/>
      <c r="AL642" s="303"/>
      <c r="AM642" s="303"/>
      <c r="AN642" s="303"/>
      <c r="AO642" s="303"/>
      <c r="AP642" s="303"/>
      <c r="AQ642" s="303"/>
      <c r="AR642" s="303"/>
      <c r="AS642" s="170"/>
      <c r="AT642" s="170"/>
      <c r="AU642" s="310"/>
      <c r="AW642" s="294"/>
      <c r="AX642" s="294"/>
      <c r="AY642" s="294"/>
      <c r="AZ642" s="294"/>
      <c r="BA642" s="294"/>
      <c r="BB642" s="294"/>
      <c r="BC642" s="294"/>
      <c r="BD642" s="294"/>
      <c r="BE642" s="294"/>
      <c r="BF642" s="382">
        <v>0.32400000000000001</v>
      </c>
      <c r="BG642" s="383"/>
      <c r="BH642" s="278"/>
      <c r="BI642" s="365" t="s">
        <v>1411</v>
      </c>
      <c r="BJ642" s="409"/>
    </row>
    <row r="643" spans="1:62" ht="15.75" customHeight="1" thickBot="1" x14ac:dyDescent="0.25">
      <c r="A643" s="154">
        <v>643</v>
      </c>
      <c r="B643" s="155">
        <v>1</v>
      </c>
      <c r="C643" s="148" t="s">
        <v>162</v>
      </c>
      <c r="D643" s="148" t="s">
        <v>827</v>
      </c>
      <c r="E643" s="148" t="s">
        <v>13</v>
      </c>
      <c r="F643" s="148"/>
      <c r="G643" s="148" t="s">
        <v>292</v>
      </c>
      <c r="H643" s="148" t="s">
        <v>1406</v>
      </c>
      <c r="I643" s="161">
        <v>2012</v>
      </c>
      <c r="J643" s="161" t="s">
        <v>1407</v>
      </c>
      <c r="K643" s="161" t="s">
        <v>1408</v>
      </c>
      <c r="L643" s="161" t="s">
        <v>19</v>
      </c>
      <c r="M643" s="453" t="s">
        <v>4240</v>
      </c>
      <c r="N643" s="186" t="s">
        <v>20</v>
      </c>
      <c r="O643" s="186" t="s">
        <v>15</v>
      </c>
      <c r="P643" s="186" t="s">
        <v>15</v>
      </c>
      <c r="Q643" s="186" t="s">
        <v>15</v>
      </c>
      <c r="R643" s="186" t="s">
        <v>15</v>
      </c>
      <c r="S643" s="186" t="s">
        <v>15</v>
      </c>
      <c r="T643" s="186" t="s">
        <v>15</v>
      </c>
      <c r="U643" s="186" t="s">
        <v>15</v>
      </c>
      <c r="V643" s="186" t="s">
        <v>15</v>
      </c>
      <c r="W643" s="186" t="s">
        <v>15</v>
      </c>
      <c r="X643" s="186" t="s">
        <v>15</v>
      </c>
      <c r="Y643" s="186" t="s">
        <v>15</v>
      </c>
      <c r="Z643" s="186"/>
      <c r="AA643" s="186" t="s">
        <v>1409</v>
      </c>
      <c r="AB643" s="186" t="s">
        <v>292</v>
      </c>
      <c r="AC643" s="186" t="s">
        <v>292</v>
      </c>
      <c r="AD643" s="268" t="s">
        <v>1410</v>
      </c>
      <c r="AE643" s="268"/>
      <c r="AF643" s="144" t="str">
        <f t="shared" si="49"/>
        <v/>
      </c>
      <c r="AG643" s="144" t="str">
        <f t="shared" si="48"/>
        <v/>
      </c>
      <c r="AH643" s="146">
        <f t="shared" si="50"/>
        <v>0.90600000000000003</v>
      </c>
      <c r="AI643" s="146" t="str">
        <f t="shared" si="51"/>
        <v/>
      </c>
      <c r="AJ643" s="303"/>
      <c r="AK643" s="303"/>
      <c r="AL643" s="303"/>
      <c r="AM643" s="303"/>
      <c r="AN643" s="303"/>
      <c r="AO643" s="303"/>
      <c r="AP643" s="303"/>
      <c r="AQ643" s="303"/>
      <c r="AR643" s="303"/>
      <c r="AS643" s="170"/>
      <c r="AT643" s="170"/>
      <c r="AU643" s="310"/>
      <c r="AW643" s="294"/>
      <c r="AX643" s="294"/>
      <c r="AY643" s="294"/>
      <c r="AZ643" s="294"/>
      <c r="BA643" s="294"/>
      <c r="BB643" s="294"/>
      <c r="BC643" s="294"/>
      <c r="BD643" s="294"/>
      <c r="BE643" s="294"/>
      <c r="BF643" s="382">
        <v>0.90600000000000003</v>
      </c>
      <c r="BG643" s="383"/>
      <c r="BH643" s="278"/>
      <c r="BI643" s="365" t="s">
        <v>1411</v>
      </c>
      <c r="BJ643" s="409"/>
    </row>
    <row r="644" spans="1:62" ht="15.75" customHeight="1" thickBot="1" x14ac:dyDescent="0.25">
      <c r="A644" s="156">
        <v>644</v>
      </c>
      <c r="B644" s="155">
        <v>1</v>
      </c>
      <c r="C644" s="148" t="s">
        <v>259</v>
      </c>
      <c r="D644" s="141" t="s">
        <v>2094</v>
      </c>
      <c r="E644" s="148" t="s">
        <v>13</v>
      </c>
      <c r="F644" s="148" t="s">
        <v>1413</v>
      </c>
      <c r="G644" s="148" t="s">
        <v>292</v>
      </c>
      <c r="H644" s="148" t="s">
        <v>492</v>
      </c>
      <c r="I644" s="161">
        <v>2009</v>
      </c>
      <c r="J644" s="161" t="s">
        <v>1414</v>
      </c>
      <c r="K644" s="161" t="s">
        <v>1415</v>
      </c>
      <c r="L644" s="161" t="s">
        <v>19</v>
      </c>
      <c r="M644" s="453" t="s">
        <v>4241</v>
      </c>
      <c r="N644" s="186" t="s">
        <v>20</v>
      </c>
      <c r="O644" s="186" t="s">
        <v>15</v>
      </c>
      <c r="P644" s="186" t="s">
        <v>20</v>
      </c>
      <c r="Q644" s="186" t="s">
        <v>20</v>
      </c>
      <c r="R644" s="186" t="s">
        <v>20</v>
      </c>
      <c r="S644" s="186" t="s">
        <v>20</v>
      </c>
      <c r="T644" s="186" t="s">
        <v>20</v>
      </c>
      <c r="U644" s="186" t="s">
        <v>20</v>
      </c>
      <c r="V644" s="186" t="s">
        <v>15</v>
      </c>
      <c r="W644" s="186" t="s">
        <v>20</v>
      </c>
      <c r="X644" s="186" t="s">
        <v>15</v>
      </c>
      <c r="Y644" s="186" t="s">
        <v>15</v>
      </c>
      <c r="Z644" s="186"/>
      <c r="AA644" s="186" t="s">
        <v>999</v>
      </c>
      <c r="AB644" s="186" t="s">
        <v>1416</v>
      </c>
      <c r="AC644" s="186" t="s">
        <v>122</v>
      </c>
      <c r="AD644" s="268" t="s">
        <v>1410</v>
      </c>
      <c r="AE644" s="268"/>
      <c r="AF644" s="144" t="str">
        <f t="shared" si="49"/>
        <v/>
      </c>
      <c r="AG644" s="144" t="str">
        <f t="shared" si="48"/>
        <v/>
      </c>
      <c r="AH644" s="146">
        <f t="shared" si="50"/>
        <v>0.65051999999999999</v>
      </c>
      <c r="AI644" s="146" t="str">
        <f t="shared" si="51"/>
        <v/>
      </c>
      <c r="AJ644" s="303"/>
      <c r="AK644" s="303"/>
      <c r="AL644" s="303"/>
      <c r="AM644" s="303"/>
      <c r="AN644" s="303"/>
      <c r="AO644" s="303"/>
      <c r="AP644" s="303"/>
      <c r="AQ644" s="303"/>
      <c r="AR644" s="303"/>
      <c r="AS644" s="170"/>
      <c r="AT644" s="170"/>
      <c r="AU644" s="310"/>
      <c r="AW644" s="294">
        <v>0.65051999999999999</v>
      </c>
      <c r="AX644" s="294"/>
      <c r="AY644" s="294"/>
      <c r="AZ644" s="294">
        <v>4.1700000000000001E-2</v>
      </c>
      <c r="BA644" s="294">
        <v>3.3360000000000001E-2</v>
      </c>
      <c r="BB644" s="294">
        <v>5.0039999999999994E-2</v>
      </c>
      <c r="BC644" s="294">
        <v>5.0039999999999994E-2</v>
      </c>
      <c r="BD644" s="294"/>
      <c r="BE644" s="294"/>
      <c r="BF644" s="382">
        <f>AW644</f>
        <v>0.65051999999999999</v>
      </c>
      <c r="BG644" s="383">
        <v>0.83399999999999996</v>
      </c>
      <c r="BH644" s="278"/>
      <c r="BI644" s="365" t="s">
        <v>1417</v>
      </c>
      <c r="BJ644" s="409"/>
    </row>
    <row r="645" spans="1:62" ht="15.75" customHeight="1" thickBot="1" x14ac:dyDescent="0.25">
      <c r="A645" s="154">
        <v>645</v>
      </c>
      <c r="B645" s="155">
        <v>1</v>
      </c>
      <c r="C645" s="148" t="s">
        <v>596</v>
      </c>
      <c r="D645" s="148" t="s">
        <v>1418</v>
      </c>
      <c r="E645" s="148" t="s">
        <v>13</v>
      </c>
      <c r="F645" s="148" t="s">
        <v>1419</v>
      </c>
      <c r="G645" s="148" t="s">
        <v>292</v>
      </c>
      <c r="H645" s="148" t="s">
        <v>492</v>
      </c>
      <c r="I645" s="161">
        <v>2009</v>
      </c>
      <c r="J645" s="161" t="s">
        <v>1414</v>
      </c>
      <c r="K645" s="161" t="s">
        <v>1415</v>
      </c>
      <c r="L645" s="161" t="s">
        <v>19</v>
      </c>
      <c r="M645" s="453" t="s">
        <v>4241</v>
      </c>
      <c r="N645" s="186" t="s">
        <v>20</v>
      </c>
      <c r="O645" s="186" t="s">
        <v>15</v>
      </c>
      <c r="P645" s="186" t="s">
        <v>20</v>
      </c>
      <c r="Q645" s="186" t="s">
        <v>20</v>
      </c>
      <c r="R645" s="186" t="s">
        <v>20</v>
      </c>
      <c r="S645" s="186" t="s">
        <v>20</v>
      </c>
      <c r="T645" s="186" t="s">
        <v>20</v>
      </c>
      <c r="U645" s="186" t="s">
        <v>20</v>
      </c>
      <c r="V645" s="186" t="s">
        <v>15</v>
      </c>
      <c r="W645" s="186" t="s">
        <v>15</v>
      </c>
      <c r="X645" s="186" t="s">
        <v>15</v>
      </c>
      <c r="Y645" s="186" t="s">
        <v>15</v>
      </c>
      <c r="Z645" s="186"/>
      <c r="AA645" s="186" t="s">
        <v>999</v>
      </c>
      <c r="AB645" s="186" t="s">
        <v>1416</v>
      </c>
      <c r="AC645" s="186" t="s">
        <v>122</v>
      </c>
      <c r="AD645" s="268" t="s">
        <v>1410</v>
      </c>
      <c r="AE645" s="268"/>
      <c r="AF645" s="144" t="str">
        <f t="shared" si="49"/>
        <v/>
      </c>
      <c r="AG645" s="144" t="str">
        <f t="shared" si="48"/>
        <v/>
      </c>
      <c r="AH645" s="146">
        <f t="shared" si="50"/>
        <v>0.10740000000000001</v>
      </c>
      <c r="AI645" s="146" t="str">
        <f t="shared" si="51"/>
        <v/>
      </c>
      <c r="AJ645" s="303"/>
      <c r="AK645" s="303"/>
      <c r="AL645" s="303"/>
      <c r="AM645" s="303"/>
      <c r="AN645" s="303"/>
      <c r="AO645" s="303"/>
      <c r="AP645" s="303"/>
      <c r="AQ645" s="303"/>
      <c r="AR645" s="303"/>
      <c r="AS645" s="170"/>
      <c r="AT645" s="170"/>
      <c r="AU645" s="310"/>
      <c r="AW645" s="294">
        <f>BG645*0.2</f>
        <v>0.10740000000000001</v>
      </c>
      <c r="AX645" s="294"/>
      <c r="AY645" s="294"/>
      <c r="AZ645" s="294"/>
      <c r="BA645" s="294"/>
      <c r="BB645" s="294">
        <f>0.28*BG645</f>
        <v>0.15036000000000002</v>
      </c>
      <c r="BC645" s="294">
        <f>0.52*BG645</f>
        <v>0.27924000000000004</v>
      </c>
      <c r="BD645" s="294"/>
      <c r="BE645" s="294"/>
      <c r="BF645" s="383">
        <v>0.10740000000000001</v>
      </c>
      <c r="BG645" s="383">
        <v>0.53700000000000003</v>
      </c>
      <c r="BH645" s="278"/>
      <c r="BI645" s="365" t="s">
        <v>1417</v>
      </c>
      <c r="BJ645" s="409"/>
    </row>
    <row r="646" spans="1:62" ht="15.75" customHeight="1" thickBot="1" x14ac:dyDescent="0.25">
      <c r="A646" s="156">
        <v>646</v>
      </c>
      <c r="B646" s="155">
        <v>1</v>
      </c>
      <c r="C646" s="148" t="s">
        <v>162</v>
      </c>
      <c r="D646" s="148" t="s">
        <v>3061</v>
      </c>
      <c r="E646" s="148" t="s">
        <v>13</v>
      </c>
      <c r="F646" s="148"/>
      <c r="G646" s="148" t="s">
        <v>292</v>
      </c>
      <c r="H646" s="148" t="s">
        <v>492</v>
      </c>
      <c r="I646" s="161">
        <v>2009</v>
      </c>
      <c r="J646" s="161" t="s">
        <v>1414</v>
      </c>
      <c r="K646" s="161" t="s">
        <v>1415</v>
      </c>
      <c r="L646" s="161" t="s">
        <v>19</v>
      </c>
      <c r="M646" s="453" t="s">
        <v>4241</v>
      </c>
      <c r="N646" s="186" t="s">
        <v>20</v>
      </c>
      <c r="O646" s="186" t="s">
        <v>15</v>
      </c>
      <c r="P646" s="186" t="s">
        <v>20</v>
      </c>
      <c r="Q646" s="186" t="s">
        <v>20</v>
      </c>
      <c r="R646" s="186" t="s">
        <v>20</v>
      </c>
      <c r="S646" s="186" t="s">
        <v>20</v>
      </c>
      <c r="T646" s="186" t="s">
        <v>20</v>
      </c>
      <c r="U646" s="186" t="s">
        <v>20</v>
      </c>
      <c r="V646" s="186" t="s">
        <v>15</v>
      </c>
      <c r="W646" s="186" t="s">
        <v>15</v>
      </c>
      <c r="X646" s="186" t="s">
        <v>15</v>
      </c>
      <c r="Y646" s="186" t="s">
        <v>15</v>
      </c>
      <c r="Z646" s="186"/>
      <c r="AA646" s="186" t="s">
        <v>999</v>
      </c>
      <c r="AB646" s="186" t="s">
        <v>1416</v>
      </c>
      <c r="AC646" s="186" t="s">
        <v>122</v>
      </c>
      <c r="AD646" s="268" t="s">
        <v>1410</v>
      </c>
      <c r="AE646" s="268"/>
      <c r="AF646" s="144" t="str">
        <f t="shared" si="49"/>
        <v/>
      </c>
      <c r="AG646" s="144" t="str">
        <f t="shared" si="48"/>
        <v/>
      </c>
      <c r="AH646" s="146">
        <f t="shared" si="50"/>
        <v>0.38279999999999997</v>
      </c>
      <c r="AI646" s="146" t="str">
        <f t="shared" si="51"/>
        <v/>
      </c>
      <c r="AJ646" s="303"/>
      <c r="AK646" s="303"/>
      <c r="AL646" s="303"/>
      <c r="AM646" s="303"/>
      <c r="AN646" s="303"/>
      <c r="AO646" s="303"/>
      <c r="AP646" s="303"/>
      <c r="AQ646" s="303"/>
      <c r="AR646" s="303"/>
      <c r="AS646" s="170"/>
      <c r="AT646" s="170"/>
      <c r="AU646" s="310"/>
      <c r="AW646" s="294">
        <f>0.58*BG646</f>
        <v>0.38279999999999997</v>
      </c>
      <c r="AX646" s="294"/>
      <c r="AY646" s="294"/>
      <c r="AZ646" s="294">
        <f>0.09*BG646</f>
        <v>5.9400000000000001E-2</v>
      </c>
      <c r="BA646" s="294"/>
      <c r="BB646" s="294">
        <f>0.21*BG646</f>
        <v>0.1386</v>
      </c>
      <c r="BC646" s="294">
        <f>BG646*0.03</f>
        <v>1.9800000000000002E-2</v>
      </c>
      <c r="BD646" s="294">
        <f>0.09*BG646</f>
        <v>5.9400000000000001E-2</v>
      </c>
      <c r="BE646" s="294"/>
      <c r="BF646" s="383">
        <v>0.38279999999999997</v>
      </c>
      <c r="BG646" s="383">
        <v>0.66</v>
      </c>
      <c r="BH646" s="278"/>
      <c r="BI646" s="365" t="s">
        <v>1417</v>
      </c>
      <c r="BJ646" s="409"/>
    </row>
    <row r="647" spans="1:62" ht="15.75" customHeight="1" thickBot="1" x14ac:dyDescent="0.25">
      <c r="A647" s="154">
        <v>647</v>
      </c>
      <c r="B647" s="155">
        <v>1</v>
      </c>
      <c r="C647" s="148" t="s">
        <v>162</v>
      </c>
      <c r="D647" s="148" t="s">
        <v>4059</v>
      </c>
      <c r="E647" s="148" t="s">
        <v>13</v>
      </c>
      <c r="F647" s="148" t="s">
        <v>1420</v>
      </c>
      <c r="G647" s="148" t="s">
        <v>292</v>
      </c>
      <c r="H647" s="148" t="s">
        <v>492</v>
      </c>
      <c r="I647" s="161">
        <v>2009</v>
      </c>
      <c r="J647" s="161" t="s">
        <v>1414</v>
      </c>
      <c r="K647" s="161" t="s">
        <v>1415</v>
      </c>
      <c r="L647" s="161" t="s">
        <v>19</v>
      </c>
      <c r="M647" s="453" t="s">
        <v>4241</v>
      </c>
      <c r="N647" s="186" t="s">
        <v>20</v>
      </c>
      <c r="O647" s="186" t="s">
        <v>15</v>
      </c>
      <c r="P647" s="186" t="s">
        <v>20</v>
      </c>
      <c r="Q647" s="186" t="s">
        <v>20</v>
      </c>
      <c r="R647" s="186" t="s">
        <v>20</v>
      </c>
      <c r="S647" s="186" t="s">
        <v>20</v>
      </c>
      <c r="T647" s="186" t="s">
        <v>20</v>
      </c>
      <c r="U647" s="186" t="s">
        <v>20</v>
      </c>
      <c r="V647" s="186" t="s">
        <v>15</v>
      </c>
      <c r="W647" s="186" t="s">
        <v>15</v>
      </c>
      <c r="X647" s="186" t="s">
        <v>15</v>
      </c>
      <c r="Y647" s="186" t="s">
        <v>15</v>
      </c>
      <c r="Z647" s="186"/>
      <c r="AA647" s="186" t="s">
        <v>999</v>
      </c>
      <c r="AB647" s="186" t="s">
        <v>1416</v>
      </c>
      <c r="AC647" s="186" t="s">
        <v>122</v>
      </c>
      <c r="AD647" s="268" t="s">
        <v>1410</v>
      </c>
      <c r="AE647" s="268"/>
      <c r="AF647" s="144" t="str">
        <f t="shared" si="49"/>
        <v/>
      </c>
      <c r="AG647" s="144" t="str">
        <f t="shared" si="48"/>
        <v/>
      </c>
      <c r="AH647" s="146">
        <f t="shared" si="50"/>
        <v>3.8605999999999998</v>
      </c>
      <c r="AI647" s="146" t="str">
        <f t="shared" si="51"/>
        <v/>
      </c>
      <c r="AJ647" s="304"/>
      <c r="AK647" s="304"/>
      <c r="AL647" s="304"/>
      <c r="AM647" s="304"/>
      <c r="AN647" s="304"/>
      <c r="AO647" s="304"/>
      <c r="AP647" s="304"/>
      <c r="AQ647" s="304"/>
      <c r="AR647" s="304"/>
      <c r="AS647" s="170"/>
      <c r="AT647" s="170"/>
      <c r="AU647" s="310"/>
      <c r="AW647" s="350">
        <f>0.97*BG647</f>
        <v>3.8605999999999998</v>
      </c>
      <c r="AX647" s="350"/>
      <c r="AY647" s="350"/>
      <c r="AZ647" s="350"/>
      <c r="BA647" s="350"/>
      <c r="BB647" s="350"/>
      <c r="BC647" s="350">
        <f>0.03*BG647</f>
        <v>0.11939999999999999</v>
      </c>
      <c r="BD647" s="350"/>
      <c r="BE647" s="350"/>
      <c r="BF647" s="383">
        <v>3.8605999999999998</v>
      </c>
      <c r="BG647" s="383">
        <v>3.98</v>
      </c>
      <c r="BH647" s="278"/>
      <c r="BI647" s="365" t="s">
        <v>1417</v>
      </c>
      <c r="BJ647" s="409"/>
    </row>
    <row r="648" spans="1:62" ht="15.75" customHeight="1" thickBot="1" x14ac:dyDescent="0.25">
      <c r="A648" s="156">
        <v>648</v>
      </c>
      <c r="B648" s="155">
        <v>1</v>
      </c>
      <c r="C648" s="148" t="s">
        <v>11</v>
      </c>
      <c r="D648" s="148" t="s">
        <v>426</v>
      </c>
      <c r="E648" s="148" t="s">
        <v>13</v>
      </c>
      <c r="F648" s="148"/>
      <c r="G648" s="148" t="s">
        <v>292</v>
      </c>
      <c r="H648" s="148" t="s">
        <v>492</v>
      </c>
      <c r="I648" s="161">
        <v>2009</v>
      </c>
      <c r="J648" s="161" t="s">
        <v>1414</v>
      </c>
      <c r="K648" s="161" t="s">
        <v>1415</v>
      </c>
      <c r="L648" s="161" t="s">
        <v>19</v>
      </c>
      <c r="M648" s="453" t="s">
        <v>4241</v>
      </c>
      <c r="N648" s="186" t="s">
        <v>20</v>
      </c>
      <c r="O648" s="186" t="s">
        <v>15</v>
      </c>
      <c r="P648" s="186" t="s">
        <v>20</v>
      </c>
      <c r="Q648" s="186" t="s">
        <v>20</v>
      </c>
      <c r="R648" s="186" t="s">
        <v>20</v>
      </c>
      <c r="S648" s="186" t="s">
        <v>20</v>
      </c>
      <c r="T648" s="186" t="s">
        <v>20</v>
      </c>
      <c r="U648" s="186" t="s">
        <v>20</v>
      </c>
      <c r="V648" s="186" t="s">
        <v>15</v>
      </c>
      <c r="W648" s="186" t="s">
        <v>15</v>
      </c>
      <c r="X648" s="186" t="s">
        <v>15</v>
      </c>
      <c r="Y648" s="186" t="s">
        <v>15</v>
      </c>
      <c r="Z648" s="186"/>
      <c r="AA648" s="186" t="s">
        <v>999</v>
      </c>
      <c r="AB648" s="186" t="s">
        <v>1416</v>
      </c>
      <c r="AC648" s="186" t="s">
        <v>122</v>
      </c>
      <c r="AD648" s="268" t="s">
        <v>1410</v>
      </c>
      <c r="AE648" s="268"/>
      <c r="AF648" s="144" t="str">
        <f t="shared" si="49"/>
        <v/>
      </c>
      <c r="AG648" s="144" t="str">
        <f t="shared" si="48"/>
        <v/>
      </c>
      <c r="AH648" s="146">
        <f t="shared" si="50"/>
        <v>11.802700000000002</v>
      </c>
      <c r="AI648" s="146" t="str">
        <f t="shared" si="51"/>
        <v/>
      </c>
      <c r="AJ648" s="303"/>
      <c r="AK648" s="303"/>
      <c r="AL648" s="303"/>
      <c r="AM648" s="303"/>
      <c r="AN648" s="303"/>
      <c r="AO648" s="303"/>
      <c r="AP648" s="303"/>
      <c r="AQ648" s="303"/>
      <c r="AR648" s="303"/>
      <c r="AS648" s="170"/>
      <c r="AT648" s="170"/>
      <c r="AU648" s="310"/>
      <c r="AW648" s="294">
        <v>11.791700000000001</v>
      </c>
      <c r="AX648" s="294"/>
      <c r="AY648" s="294"/>
      <c r="AZ648" s="294"/>
      <c r="BA648" s="294">
        <v>0.12870000000000001</v>
      </c>
      <c r="BB648" s="294">
        <v>1.0276000000000001</v>
      </c>
      <c r="BC648" s="294">
        <v>0.1217</v>
      </c>
      <c r="BD648" s="294"/>
      <c r="BE648" s="294"/>
      <c r="BF648" s="383">
        <v>11.802700000000002</v>
      </c>
      <c r="BG648" s="383">
        <v>12.97</v>
      </c>
      <c r="BH648" s="278"/>
      <c r="BI648" s="365" t="s">
        <v>1417</v>
      </c>
      <c r="BJ648" s="409"/>
    </row>
    <row r="649" spans="1:62" ht="15.75" customHeight="1" thickBot="1" x14ac:dyDescent="0.25">
      <c r="A649" s="154">
        <v>649</v>
      </c>
      <c r="B649" s="155">
        <v>1</v>
      </c>
      <c r="C649" s="148" t="s">
        <v>24</v>
      </c>
      <c r="D649" s="148" t="s">
        <v>2432</v>
      </c>
      <c r="E649" s="148" t="s">
        <v>13</v>
      </c>
      <c r="F649" s="149" t="s">
        <v>2418</v>
      </c>
      <c r="G649" s="148" t="s">
        <v>292</v>
      </c>
      <c r="H649" s="148" t="s">
        <v>87</v>
      </c>
      <c r="I649" s="161">
        <v>2016</v>
      </c>
      <c r="J649" s="161" t="s">
        <v>1421</v>
      </c>
      <c r="K649" s="161" t="s">
        <v>1422</v>
      </c>
      <c r="L649" s="161" t="s">
        <v>19</v>
      </c>
      <c r="M649" s="453" t="s">
        <v>4242</v>
      </c>
      <c r="N649" s="186" t="s">
        <v>20</v>
      </c>
      <c r="O649" s="186" t="s">
        <v>15</v>
      </c>
      <c r="P649" s="186" t="s">
        <v>15</v>
      </c>
      <c r="Q649" s="186" t="s">
        <v>20</v>
      </c>
      <c r="R649" s="186" t="s">
        <v>20</v>
      </c>
      <c r="S649" s="186" t="s">
        <v>15</v>
      </c>
      <c r="T649" s="186" t="s">
        <v>15</v>
      </c>
      <c r="U649" s="186" t="s">
        <v>15</v>
      </c>
      <c r="V649" s="186" t="s">
        <v>15</v>
      </c>
      <c r="W649" s="186" t="s">
        <v>15</v>
      </c>
      <c r="X649" s="186" t="s">
        <v>15</v>
      </c>
      <c r="Y649" s="186" t="s">
        <v>15</v>
      </c>
      <c r="Z649" s="186"/>
      <c r="AA649" s="186" t="s">
        <v>303</v>
      </c>
      <c r="AB649" s="186" t="s">
        <v>292</v>
      </c>
      <c r="AC649" s="186" t="s">
        <v>122</v>
      </c>
      <c r="AD649" s="268" t="s">
        <v>1423</v>
      </c>
      <c r="AE649" s="268"/>
      <c r="AF649" s="144" t="str">
        <f t="shared" si="49"/>
        <v/>
      </c>
      <c r="AG649" s="144" t="str">
        <f t="shared" si="48"/>
        <v/>
      </c>
      <c r="AH649" s="146">
        <f t="shared" si="50"/>
        <v>0.7</v>
      </c>
      <c r="AI649" s="146" t="str">
        <f t="shared" si="51"/>
        <v/>
      </c>
      <c r="AJ649" s="303"/>
      <c r="AK649" s="303"/>
      <c r="AL649" s="303"/>
      <c r="AM649" s="303"/>
      <c r="AN649" s="303"/>
      <c r="AO649" s="303"/>
      <c r="AP649" s="303"/>
      <c r="AQ649" s="303"/>
      <c r="AR649" s="303"/>
      <c r="AS649" s="170"/>
      <c r="AT649" s="170"/>
      <c r="AU649" s="310"/>
      <c r="AW649" s="294">
        <v>0.7</v>
      </c>
      <c r="AX649" s="294"/>
      <c r="AY649" s="294"/>
      <c r="AZ649" s="294">
        <f>0.01*BF649</f>
        <v>6.9999999999999993E-3</v>
      </c>
      <c r="BA649" s="294"/>
      <c r="BB649" s="294"/>
      <c r="BC649" s="294"/>
      <c r="BD649" s="294"/>
      <c r="BE649" s="294"/>
      <c r="BF649" s="383">
        <v>0.7</v>
      </c>
      <c r="BG649" s="383"/>
      <c r="BH649" s="278"/>
      <c r="BI649" s="365" t="s">
        <v>1308</v>
      </c>
      <c r="BJ649" s="412" t="s">
        <v>3099</v>
      </c>
    </row>
    <row r="650" spans="1:62" ht="15.75" customHeight="1" thickBot="1" x14ac:dyDescent="0.25">
      <c r="A650" s="154">
        <v>651</v>
      </c>
      <c r="B650" s="155">
        <v>1</v>
      </c>
      <c r="C650" s="148" t="s">
        <v>1110</v>
      </c>
      <c r="D650" s="148" t="s">
        <v>3063</v>
      </c>
      <c r="E650" s="148"/>
      <c r="F650" s="148"/>
      <c r="G650" s="148" t="s">
        <v>292</v>
      </c>
      <c r="H650" s="148" t="s">
        <v>87</v>
      </c>
      <c r="I650" s="161">
        <v>2014</v>
      </c>
      <c r="J650" s="161" t="s">
        <v>1424</v>
      </c>
      <c r="K650" s="161" t="s">
        <v>1425</v>
      </c>
      <c r="L650" s="161" t="s">
        <v>19</v>
      </c>
      <c r="M650" s="453" t="s">
        <v>4243</v>
      </c>
      <c r="N650" s="186" t="s">
        <v>20</v>
      </c>
      <c r="O650" s="186" t="s">
        <v>15</v>
      </c>
      <c r="P650" s="186" t="s">
        <v>15</v>
      </c>
      <c r="Q650" s="186" t="s">
        <v>15</v>
      </c>
      <c r="R650" s="186" t="s">
        <v>15</v>
      </c>
      <c r="S650" s="186" t="s">
        <v>15</v>
      </c>
      <c r="T650" s="186" t="s">
        <v>15</v>
      </c>
      <c r="U650" s="186" t="s">
        <v>15</v>
      </c>
      <c r="V650" s="186" t="s">
        <v>15</v>
      </c>
      <c r="W650" s="186" t="s">
        <v>15</v>
      </c>
      <c r="X650" s="186" t="s">
        <v>15</v>
      </c>
      <c r="Y650" s="186" t="s">
        <v>15</v>
      </c>
      <c r="Z650" s="186"/>
      <c r="AA650" s="186" t="s">
        <v>1426</v>
      </c>
      <c r="AB650" s="186" t="s">
        <v>292</v>
      </c>
      <c r="AC650" s="186" t="s">
        <v>292</v>
      </c>
      <c r="AD650" s="268" t="s">
        <v>518</v>
      </c>
      <c r="AE650" s="268" t="s">
        <v>1427</v>
      </c>
      <c r="AF650" s="144" t="str">
        <f t="shared" si="49"/>
        <v/>
      </c>
      <c r="AG650" s="144" t="str">
        <f t="shared" si="48"/>
        <v/>
      </c>
      <c r="AH650" s="146">
        <f t="shared" si="50"/>
        <v>1.4</v>
      </c>
      <c r="AI650" s="146" t="str">
        <f t="shared" si="51"/>
        <v/>
      </c>
      <c r="AJ650" s="303"/>
      <c r="AK650" s="303"/>
      <c r="AL650" s="303"/>
      <c r="AM650" s="303"/>
      <c r="AN650" s="303"/>
      <c r="AO650" s="303"/>
      <c r="AP650" s="303"/>
      <c r="AQ650" s="303"/>
      <c r="AR650" s="303"/>
      <c r="AS650" s="170"/>
      <c r="AT650" s="170"/>
      <c r="AU650" s="310"/>
      <c r="AW650" s="294"/>
      <c r="AX650" s="294"/>
      <c r="AY650" s="294"/>
      <c r="AZ650" s="294"/>
      <c r="BA650" s="294"/>
      <c r="BB650" s="294"/>
      <c r="BC650" s="294"/>
      <c r="BD650" s="294"/>
      <c r="BE650" s="294"/>
      <c r="BF650" s="383">
        <v>1.4</v>
      </c>
      <c r="BG650" s="383"/>
      <c r="BH650" s="278"/>
      <c r="BI650" s="365" t="s">
        <v>1428</v>
      </c>
      <c r="BJ650" s="409"/>
    </row>
    <row r="651" spans="1:62" ht="15.75" customHeight="1" thickBot="1" x14ac:dyDescent="0.25">
      <c r="A651" s="156">
        <v>652</v>
      </c>
      <c r="B651" s="155">
        <v>1</v>
      </c>
      <c r="C651" s="148" t="s">
        <v>236</v>
      </c>
      <c r="D651" s="148" t="s">
        <v>859</v>
      </c>
      <c r="E651" s="148" t="s">
        <v>13</v>
      </c>
      <c r="F651" s="148" t="s">
        <v>379</v>
      </c>
      <c r="G651" s="148" t="s">
        <v>292</v>
      </c>
      <c r="H651" s="148" t="s">
        <v>1429</v>
      </c>
      <c r="I651" s="161">
        <v>2014</v>
      </c>
      <c r="J651" s="161" t="s">
        <v>1430</v>
      </c>
      <c r="K651" s="161" t="s">
        <v>1431</v>
      </c>
      <c r="L651" s="161" t="s">
        <v>19</v>
      </c>
      <c r="M651" s="453" t="s">
        <v>4244</v>
      </c>
      <c r="N651" s="186" t="s">
        <v>20</v>
      </c>
      <c r="O651" s="186" t="s">
        <v>15</v>
      </c>
      <c r="P651" s="186" t="s">
        <v>15</v>
      </c>
      <c r="Q651" s="186" t="s">
        <v>15</v>
      </c>
      <c r="R651" s="186" t="s">
        <v>15</v>
      </c>
      <c r="S651" s="186" t="s">
        <v>15</v>
      </c>
      <c r="T651" s="186" t="s">
        <v>15</v>
      </c>
      <c r="U651" s="186" t="s">
        <v>15</v>
      </c>
      <c r="V651" s="186" t="s">
        <v>15</v>
      </c>
      <c r="W651" s="186" t="s">
        <v>15</v>
      </c>
      <c r="X651" s="186" t="s">
        <v>15</v>
      </c>
      <c r="Y651" s="186" t="s">
        <v>15</v>
      </c>
      <c r="Z651" s="186"/>
      <c r="AA651" s="186" t="s">
        <v>1432</v>
      </c>
      <c r="AB651" s="186" t="s">
        <v>292</v>
      </c>
      <c r="AC651" s="186" t="s">
        <v>292</v>
      </c>
      <c r="AD651" s="268" t="s">
        <v>1433</v>
      </c>
      <c r="AE651" s="268"/>
      <c r="AF651" s="144">
        <f t="shared" si="49"/>
        <v>5.61</v>
      </c>
      <c r="AG651" s="144" t="str">
        <f t="shared" si="48"/>
        <v/>
      </c>
      <c r="AH651" s="146">
        <f t="shared" si="50"/>
        <v>0.41399999999999998</v>
      </c>
      <c r="AI651" s="146" t="str">
        <f t="shared" si="51"/>
        <v/>
      </c>
      <c r="AJ651" s="303"/>
      <c r="AK651" s="303"/>
      <c r="AL651" s="303"/>
      <c r="AM651" s="303"/>
      <c r="AN651" s="303"/>
      <c r="AO651" s="303"/>
      <c r="AP651" s="303"/>
      <c r="AQ651" s="303"/>
      <c r="AR651" s="303"/>
      <c r="AS651" s="427">
        <v>5.61</v>
      </c>
      <c r="AT651" s="170"/>
      <c r="AU651" s="310"/>
      <c r="AW651" s="294"/>
      <c r="AX651" s="294"/>
      <c r="AY651" s="294"/>
      <c r="AZ651" s="294"/>
      <c r="BA651" s="294"/>
      <c r="BB651" s="294"/>
      <c r="BC651" s="294"/>
      <c r="BD651" s="294"/>
      <c r="BE651" s="294"/>
      <c r="BF651" s="382">
        <v>0.41399999999999998</v>
      </c>
      <c r="BG651" s="383"/>
      <c r="BH651" s="278"/>
      <c r="BI651" s="365"/>
      <c r="BJ651" s="409"/>
    </row>
    <row r="652" spans="1:62" ht="15.75" customHeight="1" thickBot="1" x14ac:dyDescent="0.25">
      <c r="A652" s="154">
        <v>653</v>
      </c>
      <c r="B652" s="155">
        <v>1</v>
      </c>
      <c r="C652" s="148" t="s">
        <v>236</v>
      </c>
      <c r="D652" s="148" t="s">
        <v>859</v>
      </c>
      <c r="E652" s="148" t="s">
        <v>13</v>
      </c>
      <c r="F652" s="148" t="s">
        <v>378</v>
      </c>
      <c r="G652" s="148" t="s">
        <v>292</v>
      </c>
      <c r="H652" s="148" t="s">
        <v>1429</v>
      </c>
      <c r="I652" s="161">
        <v>2014</v>
      </c>
      <c r="J652" s="161" t="s">
        <v>1430</v>
      </c>
      <c r="K652" s="161" t="s">
        <v>1431</v>
      </c>
      <c r="L652" s="161" t="s">
        <v>19</v>
      </c>
      <c r="M652" s="453" t="s">
        <v>4244</v>
      </c>
      <c r="N652" s="186" t="s">
        <v>20</v>
      </c>
      <c r="O652" s="186" t="s">
        <v>15</v>
      </c>
      <c r="P652" s="186" t="s">
        <v>15</v>
      </c>
      <c r="Q652" s="186" t="s">
        <v>15</v>
      </c>
      <c r="R652" s="186" t="s">
        <v>15</v>
      </c>
      <c r="S652" s="186" t="s">
        <v>15</v>
      </c>
      <c r="T652" s="186" t="s">
        <v>15</v>
      </c>
      <c r="U652" s="186" t="s">
        <v>15</v>
      </c>
      <c r="V652" s="186" t="s">
        <v>15</v>
      </c>
      <c r="W652" s="186" t="s">
        <v>15</v>
      </c>
      <c r="X652" s="186" t="s">
        <v>15</v>
      </c>
      <c r="Y652" s="186" t="s">
        <v>15</v>
      </c>
      <c r="Z652" s="186"/>
      <c r="AA652" s="186" t="s">
        <v>1432</v>
      </c>
      <c r="AB652" s="186" t="s">
        <v>292</v>
      </c>
      <c r="AC652" s="186" t="s">
        <v>292</v>
      </c>
      <c r="AD652" s="268" t="s">
        <v>1433</v>
      </c>
      <c r="AE652" s="268"/>
      <c r="AF652" s="144">
        <f t="shared" si="49"/>
        <v>8</v>
      </c>
      <c r="AG652" s="144" t="str">
        <f t="shared" si="48"/>
        <v/>
      </c>
      <c r="AH652" s="146">
        <f t="shared" si="50"/>
        <v>0.53600000000000003</v>
      </c>
      <c r="AI652" s="146" t="str">
        <f t="shared" si="51"/>
        <v/>
      </c>
      <c r="AJ652" s="303"/>
      <c r="AK652" s="303"/>
      <c r="AL652" s="303"/>
      <c r="AM652" s="303"/>
      <c r="AN652" s="303"/>
      <c r="AO652" s="303"/>
      <c r="AP652" s="303"/>
      <c r="AQ652" s="303"/>
      <c r="AR652" s="303"/>
      <c r="AS652" s="230">
        <v>8</v>
      </c>
      <c r="AT652" s="170"/>
      <c r="AU652" s="310"/>
      <c r="AW652" s="294"/>
      <c r="AX652" s="294"/>
      <c r="AY652" s="294"/>
      <c r="AZ652" s="294"/>
      <c r="BA652" s="294"/>
      <c r="BB652" s="294"/>
      <c r="BC652" s="294"/>
      <c r="BD652" s="294"/>
      <c r="BE652" s="294"/>
      <c r="BF652" s="382">
        <v>0.53600000000000003</v>
      </c>
      <c r="BG652" s="383"/>
      <c r="BH652" s="278"/>
      <c r="BI652" s="365"/>
      <c r="BJ652" s="409"/>
    </row>
    <row r="653" spans="1:62" ht="15.75" customHeight="1" thickBot="1" x14ac:dyDescent="0.25">
      <c r="A653" s="156">
        <v>654</v>
      </c>
      <c r="B653" s="155">
        <v>1</v>
      </c>
      <c r="C653" s="148" t="s">
        <v>1110</v>
      </c>
      <c r="D653" s="148" t="s">
        <v>1434</v>
      </c>
      <c r="E653" s="148" t="s">
        <v>1309</v>
      </c>
      <c r="F653" s="148" t="s">
        <v>1435</v>
      </c>
      <c r="G653" s="148" t="s">
        <v>292</v>
      </c>
      <c r="H653" s="148" t="s">
        <v>1436</v>
      </c>
      <c r="I653" s="161">
        <v>2015</v>
      </c>
      <c r="J653" s="161" t="s">
        <v>1437</v>
      </c>
      <c r="K653" s="161" t="s">
        <v>1438</v>
      </c>
      <c r="L653" s="161" t="s">
        <v>19</v>
      </c>
      <c r="M653" s="453" t="s">
        <v>4245</v>
      </c>
      <c r="N653" s="186" t="s">
        <v>20</v>
      </c>
      <c r="O653" s="186" t="s">
        <v>15</v>
      </c>
      <c r="P653" s="186" t="s">
        <v>20</v>
      </c>
      <c r="Q653" s="186" t="s">
        <v>20</v>
      </c>
      <c r="R653" s="186" t="s">
        <v>15</v>
      </c>
      <c r="S653" s="186" t="s">
        <v>15</v>
      </c>
      <c r="T653" s="186" t="s">
        <v>15</v>
      </c>
      <c r="U653" s="186" t="s">
        <v>15</v>
      </c>
      <c r="V653" s="186" t="s">
        <v>15</v>
      </c>
      <c r="W653" s="186" t="s">
        <v>15</v>
      </c>
      <c r="X653" s="186" t="s">
        <v>15</v>
      </c>
      <c r="Y653" s="186" t="s">
        <v>15</v>
      </c>
      <c r="Z653" s="186"/>
      <c r="AA653" s="186" t="s">
        <v>1439</v>
      </c>
      <c r="AB653" s="186" t="s">
        <v>292</v>
      </c>
      <c r="AC653" s="186" t="s">
        <v>122</v>
      </c>
      <c r="AD653" s="268" t="s">
        <v>1440</v>
      </c>
      <c r="AE653" s="268" t="s">
        <v>485</v>
      </c>
      <c r="AF653" s="144" t="str">
        <f t="shared" si="49"/>
        <v/>
      </c>
      <c r="AG653" s="144" t="str">
        <f t="shared" si="48"/>
        <v/>
      </c>
      <c r="AH653" s="146">
        <f t="shared" si="50"/>
        <v>0.30199999999999999</v>
      </c>
      <c r="AI653" s="146">
        <f t="shared" si="51"/>
        <v>0.59399999999999997</v>
      </c>
      <c r="AJ653" s="304"/>
      <c r="AK653" s="304"/>
      <c r="AL653" s="304"/>
      <c r="AM653" s="304"/>
      <c r="AN653" s="304"/>
      <c r="AO653" s="304"/>
      <c r="AP653" s="304"/>
      <c r="AQ653" s="304"/>
      <c r="AR653" s="304"/>
      <c r="AS653" s="169"/>
      <c r="AT653" s="170"/>
      <c r="AU653" s="310"/>
      <c r="AW653" s="350">
        <v>0.30199999999999999</v>
      </c>
      <c r="AX653" s="350"/>
      <c r="AY653" s="350">
        <v>0.29199999999999998</v>
      </c>
      <c r="AZ653" s="350"/>
      <c r="BA653" s="350"/>
      <c r="BB653" s="350"/>
      <c r="BC653" s="350"/>
      <c r="BD653" s="350"/>
      <c r="BE653" s="350"/>
      <c r="BF653" s="382">
        <v>0.30199999999999999</v>
      </c>
      <c r="BG653" s="383">
        <v>0.59399999999999997</v>
      </c>
      <c r="BH653" s="278"/>
      <c r="BI653" s="365"/>
      <c r="BJ653" s="409"/>
    </row>
    <row r="654" spans="1:62" s="166" customFormat="1" ht="15.75" customHeight="1" thickBot="1" x14ac:dyDescent="0.25">
      <c r="A654" s="415">
        <v>655</v>
      </c>
      <c r="B654" s="155">
        <v>1</v>
      </c>
      <c r="C654" s="148" t="s">
        <v>542</v>
      </c>
      <c r="D654" s="148" t="s">
        <v>2114</v>
      </c>
      <c r="E654" s="148" t="s">
        <v>13</v>
      </c>
      <c r="F654" s="148"/>
      <c r="G654" s="148" t="s">
        <v>292</v>
      </c>
      <c r="H654" s="148" t="s">
        <v>1441</v>
      </c>
      <c r="I654" s="161">
        <v>2015</v>
      </c>
      <c r="J654" s="161" t="s">
        <v>1442</v>
      </c>
      <c r="K654" s="161" t="s">
        <v>1443</v>
      </c>
      <c r="L654" s="161" t="s">
        <v>19</v>
      </c>
      <c r="M654" s="453" t="s">
        <v>4246</v>
      </c>
      <c r="N654" s="186" t="s">
        <v>20</v>
      </c>
      <c r="O654" s="186" t="s">
        <v>20</v>
      </c>
      <c r="P654" s="186" t="s">
        <v>20</v>
      </c>
      <c r="Q654" s="186" t="s">
        <v>20</v>
      </c>
      <c r="R654" s="186" t="s">
        <v>15</v>
      </c>
      <c r="S654" s="186" t="s">
        <v>15</v>
      </c>
      <c r="T654" s="186" t="s">
        <v>15</v>
      </c>
      <c r="U654" s="186" t="s">
        <v>15</v>
      </c>
      <c r="V654" s="186" t="s">
        <v>15</v>
      </c>
      <c r="W654" s="186" t="s">
        <v>15</v>
      </c>
      <c r="X654" s="186" t="s">
        <v>15</v>
      </c>
      <c r="Y654" s="186" t="s">
        <v>15</v>
      </c>
      <c r="Z654" s="186"/>
      <c r="AA654" s="186" t="s">
        <v>1444</v>
      </c>
      <c r="AB654" s="186" t="s">
        <v>292</v>
      </c>
      <c r="AC654" s="186" t="s">
        <v>122</v>
      </c>
      <c r="AD654" s="268" t="s">
        <v>1445</v>
      </c>
      <c r="AE654" s="268" t="s">
        <v>485</v>
      </c>
      <c r="AF654" s="144" t="str">
        <f t="shared" si="49"/>
        <v/>
      </c>
      <c r="AG654" s="144" t="str">
        <f t="shared" si="48"/>
        <v/>
      </c>
      <c r="AH654" s="146">
        <f t="shared" si="50"/>
        <v>3.2585000000000002</v>
      </c>
      <c r="AI654" s="146">
        <f t="shared" si="51"/>
        <v>4.2419000000000002</v>
      </c>
      <c r="AJ654" s="311"/>
      <c r="AK654" s="311"/>
      <c r="AL654" s="311"/>
      <c r="AM654" s="311"/>
      <c r="AN654" s="311"/>
      <c r="AO654" s="311"/>
      <c r="AP654" s="311"/>
      <c r="AQ654" s="311"/>
      <c r="AR654" s="311"/>
      <c r="AS654" s="174"/>
      <c r="AT654" s="174"/>
      <c r="AU654" s="333"/>
      <c r="AV654" s="334"/>
      <c r="AW654" s="355">
        <v>3.2585000000000002</v>
      </c>
      <c r="AX654" s="355"/>
      <c r="AY654" s="355">
        <v>0.98340000000000005</v>
      </c>
      <c r="AZ654" s="355"/>
      <c r="BA654" s="355"/>
      <c r="BB654" s="355"/>
      <c r="BC654" s="355"/>
      <c r="BD654" s="355"/>
      <c r="BE654" s="355"/>
      <c r="BF654" s="396">
        <v>3.2585000000000002</v>
      </c>
      <c r="BG654" s="396">
        <v>4.2418999999999993</v>
      </c>
      <c r="BH654" s="370"/>
      <c r="BI654" s="371"/>
      <c r="BJ654" s="413"/>
    </row>
    <row r="655" spans="1:62" ht="15.75" customHeight="1" thickBot="1" x14ac:dyDescent="0.25">
      <c r="A655" s="416">
        <v>656</v>
      </c>
      <c r="B655" s="155">
        <v>1</v>
      </c>
      <c r="C655" s="148" t="s">
        <v>542</v>
      </c>
      <c r="D655" s="141" t="s">
        <v>2228</v>
      </c>
      <c r="E655" s="148" t="s">
        <v>13</v>
      </c>
      <c r="F655" s="148"/>
      <c r="G655" s="148" t="s">
        <v>292</v>
      </c>
      <c r="H655" s="148" t="s">
        <v>1446</v>
      </c>
      <c r="I655" s="161">
        <v>2015</v>
      </c>
      <c r="J655" s="161" t="s">
        <v>1442</v>
      </c>
      <c r="K655" s="161" t="s">
        <v>1443</v>
      </c>
      <c r="L655" s="161" t="s">
        <v>19</v>
      </c>
      <c r="M655" s="453" t="s">
        <v>4246</v>
      </c>
      <c r="N655" s="186" t="s">
        <v>20</v>
      </c>
      <c r="O655" s="186" t="s">
        <v>20</v>
      </c>
      <c r="P655" s="186" t="s">
        <v>20</v>
      </c>
      <c r="Q655" s="186" t="s">
        <v>20</v>
      </c>
      <c r="R655" s="186" t="s">
        <v>15</v>
      </c>
      <c r="S655" s="186" t="s">
        <v>15</v>
      </c>
      <c r="T655" s="186" t="s">
        <v>15</v>
      </c>
      <c r="U655" s="186" t="s">
        <v>15</v>
      </c>
      <c r="V655" s="186" t="s">
        <v>15</v>
      </c>
      <c r="W655" s="186" t="s">
        <v>15</v>
      </c>
      <c r="X655" s="186" t="s">
        <v>15</v>
      </c>
      <c r="Y655" s="186" t="s">
        <v>15</v>
      </c>
      <c r="Z655" s="186"/>
      <c r="AA655" s="186" t="s">
        <v>1444</v>
      </c>
      <c r="AB655" s="186" t="s">
        <v>292</v>
      </c>
      <c r="AC655" s="186" t="s">
        <v>122</v>
      </c>
      <c r="AD655" s="268" t="s">
        <v>1445</v>
      </c>
      <c r="AE655" s="268" t="s">
        <v>485</v>
      </c>
      <c r="AF655" s="144" t="str">
        <f t="shared" si="49"/>
        <v/>
      </c>
      <c r="AG655" s="144" t="str">
        <f t="shared" si="48"/>
        <v/>
      </c>
      <c r="AH655" s="146">
        <f t="shared" si="50"/>
        <v>2.2469999999999999</v>
      </c>
      <c r="AI655" s="146">
        <f t="shared" si="51"/>
        <v>2.63</v>
      </c>
      <c r="AJ655" s="303"/>
      <c r="AK655" s="303"/>
      <c r="AL655" s="303"/>
      <c r="AM655" s="303"/>
      <c r="AN655" s="303"/>
      <c r="AO655" s="303"/>
      <c r="AP655" s="303"/>
      <c r="AQ655" s="303"/>
      <c r="AR655" s="303"/>
      <c r="AS655" s="170"/>
      <c r="AT655" s="170"/>
      <c r="AU655" s="335"/>
      <c r="AW655" s="294">
        <v>2.2469999999999999</v>
      </c>
      <c r="AX655" s="294"/>
      <c r="AY655" s="294">
        <v>0.38300000000000001</v>
      </c>
      <c r="AZ655" s="294"/>
      <c r="BA655" s="294"/>
      <c r="BB655" s="294"/>
      <c r="BC655" s="294"/>
      <c r="BD655" s="294"/>
      <c r="BE655" s="294"/>
      <c r="BF655" s="383">
        <v>2.2469999999999999</v>
      </c>
      <c r="BG655" s="383">
        <v>2.7280000000000002</v>
      </c>
      <c r="BH655" s="372"/>
      <c r="BI655" s="373"/>
      <c r="BJ655" s="409"/>
    </row>
    <row r="656" spans="1:62" ht="15.75" customHeight="1" thickBot="1" x14ac:dyDescent="0.25">
      <c r="A656" s="154">
        <v>657</v>
      </c>
      <c r="B656" s="155">
        <v>1</v>
      </c>
      <c r="C656" s="148" t="s">
        <v>542</v>
      </c>
      <c r="D656" s="141" t="s">
        <v>2289</v>
      </c>
      <c r="E656" s="148" t="s">
        <v>13</v>
      </c>
      <c r="F656" s="148"/>
      <c r="G656" s="148" t="s">
        <v>292</v>
      </c>
      <c r="H656" s="148" t="s">
        <v>1447</v>
      </c>
      <c r="I656" s="161">
        <v>2015</v>
      </c>
      <c r="J656" s="161" t="s">
        <v>1442</v>
      </c>
      <c r="K656" s="161" t="s">
        <v>1443</v>
      </c>
      <c r="L656" s="161" t="s">
        <v>19</v>
      </c>
      <c r="M656" s="453" t="s">
        <v>4246</v>
      </c>
      <c r="N656" s="186" t="s">
        <v>20</v>
      </c>
      <c r="O656" s="186" t="s">
        <v>20</v>
      </c>
      <c r="P656" s="186" t="s">
        <v>20</v>
      </c>
      <c r="Q656" s="186" t="s">
        <v>20</v>
      </c>
      <c r="R656" s="186" t="s">
        <v>15</v>
      </c>
      <c r="S656" s="186" t="s">
        <v>15</v>
      </c>
      <c r="T656" s="186" t="s">
        <v>15</v>
      </c>
      <c r="U656" s="186" t="s">
        <v>15</v>
      </c>
      <c r="V656" s="186" t="s">
        <v>15</v>
      </c>
      <c r="W656" s="186" t="s">
        <v>15</v>
      </c>
      <c r="X656" s="186" t="s">
        <v>15</v>
      </c>
      <c r="Y656" s="186" t="s">
        <v>15</v>
      </c>
      <c r="Z656" s="186"/>
      <c r="AA656" s="186" t="s">
        <v>1444</v>
      </c>
      <c r="AB656" s="186" t="s">
        <v>292</v>
      </c>
      <c r="AC656" s="186" t="s">
        <v>122</v>
      </c>
      <c r="AD656" s="268" t="s">
        <v>1445</v>
      </c>
      <c r="AE656" s="268" t="s">
        <v>485</v>
      </c>
      <c r="AF656" s="144" t="str">
        <f t="shared" si="49"/>
        <v/>
      </c>
      <c r="AG656" s="144" t="str">
        <f t="shared" si="48"/>
        <v/>
      </c>
      <c r="AH656" s="146">
        <f t="shared" si="50"/>
        <v>1.968</v>
      </c>
      <c r="AI656" s="146">
        <f t="shared" si="51"/>
        <v>2.6459999999999999</v>
      </c>
      <c r="AJ656" s="303"/>
      <c r="AK656" s="303"/>
      <c r="AL656" s="303"/>
      <c r="AM656" s="303"/>
      <c r="AN656" s="303"/>
      <c r="AO656" s="303"/>
      <c r="AP656" s="303"/>
      <c r="AQ656" s="303"/>
      <c r="AR656" s="303"/>
      <c r="AS656" s="170"/>
      <c r="AT656" s="170"/>
      <c r="AU656" s="310"/>
      <c r="AW656" s="294">
        <v>1.968</v>
      </c>
      <c r="AX656" s="294"/>
      <c r="AY656" s="294">
        <v>0.67800000000000005</v>
      </c>
      <c r="AZ656" s="294"/>
      <c r="BA656" s="294"/>
      <c r="BB656" s="294"/>
      <c r="BC656" s="294"/>
      <c r="BD656" s="294"/>
      <c r="BE656" s="294"/>
      <c r="BF656" s="383">
        <v>1.968</v>
      </c>
      <c r="BG656" s="383">
        <v>2.6360000000000001</v>
      </c>
      <c r="BH656" s="278"/>
      <c r="BI656" s="365"/>
      <c r="BJ656" s="409"/>
    </row>
    <row r="657" spans="1:62" ht="15.75" customHeight="1" thickBot="1" x14ac:dyDescent="0.25">
      <c r="A657" s="156">
        <v>658</v>
      </c>
      <c r="B657" s="155">
        <v>1</v>
      </c>
      <c r="C657" s="148" t="s">
        <v>542</v>
      </c>
      <c r="D657" s="148" t="s">
        <v>3067</v>
      </c>
      <c r="E657" s="148" t="s">
        <v>13</v>
      </c>
      <c r="F657" s="148"/>
      <c r="G657" s="148" t="s">
        <v>292</v>
      </c>
      <c r="H657" s="148" t="s">
        <v>1034</v>
      </c>
      <c r="I657" s="161">
        <v>2015</v>
      </c>
      <c r="J657" s="161" t="s">
        <v>1442</v>
      </c>
      <c r="K657" s="161" t="s">
        <v>1443</v>
      </c>
      <c r="L657" s="161" t="s">
        <v>19</v>
      </c>
      <c r="M657" s="453" t="s">
        <v>4246</v>
      </c>
      <c r="N657" s="186" t="s">
        <v>20</v>
      </c>
      <c r="O657" s="186" t="s">
        <v>20</v>
      </c>
      <c r="P657" s="186" t="s">
        <v>20</v>
      </c>
      <c r="Q657" s="186" t="s">
        <v>20</v>
      </c>
      <c r="R657" s="186" t="s">
        <v>15</v>
      </c>
      <c r="S657" s="186" t="s">
        <v>15</v>
      </c>
      <c r="T657" s="186" t="s">
        <v>15</v>
      </c>
      <c r="U657" s="186" t="s">
        <v>15</v>
      </c>
      <c r="V657" s="186" t="s">
        <v>15</v>
      </c>
      <c r="W657" s="186" t="s">
        <v>15</v>
      </c>
      <c r="X657" s="186" t="s">
        <v>15</v>
      </c>
      <c r="Y657" s="186" t="s">
        <v>15</v>
      </c>
      <c r="Z657" s="186"/>
      <c r="AA657" s="186" t="s">
        <v>1444</v>
      </c>
      <c r="AB657" s="186" t="s">
        <v>292</v>
      </c>
      <c r="AC657" s="186" t="s">
        <v>122</v>
      </c>
      <c r="AD657" s="268" t="s">
        <v>1445</v>
      </c>
      <c r="AE657" s="268" t="s">
        <v>485</v>
      </c>
      <c r="AF657" s="144" t="str">
        <f t="shared" si="49"/>
        <v/>
      </c>
      <c r="AG657" s="144" t="str">
        <f t="shared" si="48"/>
        <v/>
      </c>
      <c r="AH657" s="146">
        <f t="shared" si="50"/>
        <v>2.714</v>
      </c>
      <c r="AI657" s="146">
        <f t="shared" si="51"/>
        <v>4.9488000000000003</v>
      </c>
      <c r="AJ657" s="303"/>
      <c r="AK657" s="303"/>
      <c r="AL657" s="303"/>
      <c r="AM657" s="303"/>
      <c r="AN657" s="303"/>
      <c r="AO657" s="303"/>
      <c r="AP657" s="303"/>
      <c r="AQ657" s="303"/>
      <c r="AR657" s="303"/>
      <c r="AS657" s="170"/>
      <c r="AT657" s="170"/>
      <c r="AU657" s="310"/>
      <c r="AW657" s="294">
        <v>2.714</v>
      </c>
      <c r="AX657" s="294"/>
      <c r="AY657" s="294">
        <v>2.2347999999999999</v>
      </c>
      <c r="AZ657" s="294"/>
      <c r="BA657" s="294"/>
      <c r="BB657" s="294"/>
      <c r="BC657" s="294"/>
      <c r="BD657" s="294"/>
      <c r="BE657" s="294"/>
      <c r="BF657" s="383">
        <v>2.714</v>
      </c>
      <c r="BG657" s="383">
        <v>4.9487999999999994</v>
      </c>
      <c r="BH657" s="278"/>
      <c r="BI657" s="365"/>
      <c r="BJ657" s="409"/>
    </row>
    <row r="658" spans="1:62" ht="15.75" customHeight="1" thickBot="1" x14ac:dyDescent="0.25">
      <c r="A658" s="154">
        <v>659</v>
      </c>
      <c r="B658" s="155">
        <v>1</v>
      </c>
      <c r="C658" s="148" t="s">
        <v>542</v>
      </c>
      <c r="D658" s="141" t="s">
        <v>2100</v>
      </c>
      <c r="E658" s="148" t="s">
        <v>13</v>
      </c>
      <c r="F658" s="148"/>
      <c r="G658" s="148" t="s">
        <v>292</v>
      </c>
      <c r="H658" s="148" t="s">
        <v>173</v>
      </c>
      <c r="I658" s="161">
        <v>2011</v>
      </c>
      <c r="J658" s="161" t="s">
        <v>1448</v>
      </c>
      <c r="K658" s="161" t="s">
        <v>1449</v>
      </c>
      <c r="L658" s="161" t="s">
        <v>19</v>
      </c>
      <c r="M658" s="453" t="s">
        <v>4247</v>
      </c>
      <c r="N658" s="186" t="s">
        <v>20</v>
      </c>
      <c r="O658" s="186" t="s">
        <v>15</v>
      </c>
      <c r="P658" s="186" t="s">
        <v>20</v>
      </c>
      <c r="Q658" s="186" t="s">
        <v>20</v>
      </c>
      <c r="R658" s="186" t="s">
        <v>20</v>
      </c>
      <c r="S658" s="186" t="s">
        <v>20</v>
      </c>
      <c r="T658" s="186" t="s">
        <v>15</v>
      </c>
      <c r="U658" s="186" t="s">
        <v>15</v>
      </c>
      <c r="V658" s="186" t="s">
        <v>15</v>
      </c>
      <c r="W658" s="186" t="s">
        <v>15</v>
      </c>
      <c r="X658" s="186" t="s">
        <v>15</v>
      </c>
      <c r="Y658" s="186" t="s">
        <v>15</v>
      </c>
      <c r="Z658" s="186"/>
      <c r="AA658" s="186" t="s">
        <v>1450</v>
      </c>
      <c r="AB658" s="186" t="s">
        <v>292</v>
      </c>
      <c r="AC658" s="186" t="s">
        <v>122</v>
      </c>
      <c r="AD658" s="268" t="s">
        <v>1451</v>
      </c>
      <c r="AE658" s="268" t="s">
        <v>485</v>
      </c>
      <c r="AF658" s="144">
        <f t="shared" si="49"/>
        <v>8.5329999999999995</v>
      </c>
      <c r="AG658" s="144">
        <f t="shared" si="48"/>
        <v>8.8000699999999998</v>
      </c>
      <c r="AH658" s="146" t="str">
        <f t="shared" si="50"/>
        <v/>
      </c>
      <c r="AI658" s="146" t="str">
        <f t="shared" si="51"/>
        <v/>
      </c>
      <c r="AJ658" s="303">
        <v>8.5329999999999995</v>
      </c>
      <c r="AK658" s="303"/>
      <c r="AL658" s="303">
        <f>(0.07+1.8+0.6+1.4+23.1+79.2+132+14+2+1.8+9.9+0.7+0.5)/1000</f>
        <v>0.26706999999999997</v>
      </c>
      <c r="AM658" s="303">
        <f>(1.4+470+0.1+535.5)/1000</f>
        <v>1.0069999999999999</v>
      </c>
      <c r="AN658" s="303">
        <f>222.1/1000</f>
        <v>0.22209999999999999</v>
      </c>
      <c r="AO658" s="303"/>
      <c r="AP658" s="303"/>
      <c r="AQ658" s="303"/>
      <c r="AR658" s="303"/>
      <c r="AS658" s="170">
        <v>8.5329999999999995</v>
      </c>
      <c r="AT658" s="170">
        <v>10.029</v>
      </c>
      <c r="AU658" s="310"/>
      <c r="AW658" s="294"/>
      <c r="AX658" s="294"/>
      <c r="AY658" s="294"/>
      <c r="AZ658" s="294"/>
      <c r="BA658" s="294"/>
      <c r="BB658" s="294"/>
      <c r="BC658" s="294"/>
      <c r="BD658" s="294"/>
      <c r="BE658" s="294"/>
      <c r="BF658" s="383"/>
      <c r="BG658" s="383"/>
      <c r="BH658" s="278"/>
      <c r="BI658" s="365"/>
      <c r="BJ658" s="409" t="s">
        <v>3100</v>
      </c>
    </row>
    <row r="659" spans="1:62" ht="15.75" customHeight="1" thickBot="1" x14ac:dyDescent="0.25">
      <c r="A659" s="156">
        <v>660</v>
      </c>
      <c r="B659" s="155">
        <v>1</v>
      </c>
      <c r="C659" s="148" t="s">
        <v>542</v>
      </c>
      <c r="D659" s="141" t="s">
        <v>2289</v>
      </c>
      <c r="E659" s="148" t="s">
        <v>13</v>
      </c>
      <c r="F659" s="148"/>
      <c r="G659" s="148" t="s">
        <v>292</v>
      </c>
      <c r="H659" s="148" t="s">
        <v>173</v>
      </c>
      <c r="I659" s="161">
        <v>2011</v>
      </c>
      <c r="J659" s="161" t="s">
        <v>1448</v>
      </c>
      <c r="K659" s="161" t="s">
        <v>1449</v>
      </c>
      <c r="L659" s="161" t="s">
        <v>19</v>
      </c>
      <c r="M659" s="453" t="s">
        <v>4247</v>
      </c>
      <c r="N659" s="186" t="s">
        <v>20</v>
      </c>
      <c r="O659" s="186" t="s">
        <v>15</v>
      </c>
      <c r="P659" s="186" t="s">
        <v>20</v>
      </c>
      <c r="Q659" s="186" t="s">
        <v>20</v>
      </c>
      <c r="R659" s="186" t="s">
        <v>20</v>
      </c>
      <c r="S659" s="186" t="s">
        <v>20</v>
      </c>
      <c r="T659" s="186" t="s">
        <v>15</v>
      </c>
      <c r="U659" s="186" t="s">
        <v>15</v>
      </c>
      <c r="V659" s="186" t="s">
        <v>15</v>
      </c>
      <c r="W659" s="186" t="s">
        <v>15</v>
      </c>
      <c r="X659" s="186" t="s">
        <v>15</v>
      </c>
      <c r="Y659" s="186" t="s">
        <v>15</v>
      </c>
      <c r="Z659" s="186"/>
      <c r="AA659" s="186" t="s">
        <v>1450</v>
      </c>
      <c r="AB659" s="186" t="s">
        <v>292</v>
      </c>
      <c r="AC659" s="186" t="s">
        <v>122</v>
      </c>
      <c r="AD659" s="268" t="s">
        <v>1451</v>
      </c>
      <c r="AE659" s="268" t="s">
        <v>485</v>
      </c>
      <c r="AF659" s="144">
        <f t="shared" si="49"/>
        <v>5.1790000000000003</v>
      </c>
      <c r="AG659" s="144">
        <f t="shared" ref="AG659:AG722" si="52">IF(AND(SUM(AJ659:AL659)&lt;&gt;0,SUM(AJ659:AL659)&lt;&gt;AJ659),SUM(AJ659:AL659),"")</f>
        <v>5.7941000000000003</v>
      </c>
      <c r="AH659" s="146" t="str">
        <f t="shared" si="50"/>
        <v/>
      </c>
      <c r="AI659" s="146" t="str">
        <f t="shared" si="51"/>
        <v/>
      </c>
      <c r="AJ659" s="303">
        <v>5.1790000000000003</v>
      </c>
      <c r="AK659" s="303">
        <f>80.9/1000</f>
        <v>8.09E-2</v>
      </c>
      <c r="AL659" s="303">
        <f>(342+43.6+132+11.1+1.8+3.7)/1000</f>
        <v>0.53420000000000001</v>
      </c>
      <c r="AM659" s="303">
        <f>(13.5+470+2.4+1007)/1000</f>
        <v>1.4929000000000001</v>
      </c>
      <c r="AN659" s="303">
        <f>444.2/1000</f>
        <v>0.44419999999999998</v>
      </c>
      <c r="AO659" s="303"/>
      <c r="AP659" s="303"/>
      <c r="AQ659" s="303"/>
      <c r="AR659" s="303"/>
      <c r="AS659" s="170">
        <v>5.1790000000000003</v>
      </c>
      <c r="AT659" s="170">
        <v>7.7949999999999999</v>
      </c>
      <c r="AU659" s="310"/>
      <c r="AW659" s="294"/>
      <c r="AX659" s="294"/>
      <c r="AY659" s="294"/>
      <c r="AZ659" s="294"/>
      <c r="BA659" s="294"/>
      <c r="BB659" s="294"/>
      <c r="BC659" s="294"/>
      <c r="BD659" s="294"/>
      <c r="BE659" s="294"/>
      <c r="BF659" s="383"/>
      <c r="BG659" s="383"/>
      <c r="BH659" s="278"/>
      <c r="BI659" s="365"/>
      <c r="BJ659" s="409" t="s">
        <v>3100</v>
      </c>
    </row>
    <row r="660" spans="1:62" ht="15.75" customHeight="1" thickBot="1" x14ac:dyDescent="0.25">
      <c r="A660" s="154">
        <v>661</v>
      </c>
      <c r="B660" s="155">
        <v>1</v>
      </c>
      <c r="C660" s="148" t="s">
        <v>542</v>
      </c>
      <c r="D660" s="141" t="s">
        <v>2969</v>
      </c>
      <c r="E660" s="148" t="s">
        <v>13</v>
      </c>
      <c r="F660" s="148"/>
      <c r="G660" s="148" t="s">
        <v>292</v>
      </c>
      <c r="H660" s="148" t="s">
        <v>173</v>
      </c>
      <c r="I660" s="161">
        <v>2011</v>
      </c>
      <c r="J660" s="161" t="s">
        <v>1448</v>
      </c>
      <c r="K660" s="161" t="s">
        <v>1449</v>
      </c>
      <c r="L660" s="161" t="s">
        <v>19</v>
      </c>
      <c r="M660" s="453" t="s">
        <v>4247</v>
      </c>
      <c r="N660" s="186" t="s">
        <v>20</v>
      </c>
      <c r="O660" s="186" t="s">
        <v>15</v>
      </c>
      <c r="P660" s="186" t="s">
        <v>20</v>
      </c>
      <c r="Q660" s="186" t="s">
        <v>20</v>
      </c>
      <c r="R660" s="186" t="s">
        <v>20</v>
      </c>
      <c r="S660" s="186" t="s">
        <v>20</v>
      </c>
      <c r="T660" s="186" t="s">
        <v>15</v>
      </c>
      <c r="U660" s="186" t="s">
        <v>15</v>
      </c>
      <c r="V660" s="186" t="s">
        <v>15</v>
      </c>
      <c r="W660" s="186" t="s">
        <v>15</v>
      </c>
      <c r="X660" s="186" t="s">
        <v>15</v>
      </c>
      <c r="Y660" s="186" t="s">
        <v>15</v>
      </c>
      <c r="Z660" s="186"/>
      <c r="AA660" s="186" t="s">
        <v>1450</v>
      </c>
      <c r="AB660" s="186" t="s">
        <v>292</v>
      </c>
      <c r="AC660" s="186" t="s">
        <v>122</v>
      </c>
      <c r="AD660" s="268" t="s">
        <v>1451</v>
      </c>
      <c r="AE660" s="268" t="s">
        <v>485</v>
      </c>
      <c r="AF660" s="144">
        <f t="shared" si="49"/>
        <v>6.0730000000000004</v>
      </c>
      <c r="AG660" s="144">
        <f t="shared" si="52"/>
        <v>6.4828999999999999</v>
      </c>
      <c r="AH660" s="146" t="str">
        <f t="shared" si="50"/>
        <v/>
      </c>
      <c r="AI660" s="146" t="str">
        <f t="shared" si="51"/>
        <v/>
      </c>
      <c r="AJ660" s="303">
        <v>6.0730000000000004</v>
      </c>
      <c r="AK660" s="303">
        <f>80.9/1000</f>
        <v>8.09E-2</v>
      </c>
      <c r="AL660" s="303">
        <f>(136.8+43.6+132+11.1+1.8+3.7)/1000</f>
        <v>0.32900000000000001</v>
      </c>
      <c r="AM660" s="303">
        <f>(5.4+470+1.1+482.4)/1000</f>
        <v>0.95889999999999997</v>
      </c>
      <c r="AN660" s="303">
        <f>177.7/1000</f>
        <v>0.1777</v>
      </c>
      <c r="AO660" s="303"/>
      <c r="AP660" s="303"/>
      <c r="AQ660" s="303"/>
      <c r="AR660" s="303"/>
      <c r="AS660" s="170">
        <v>6.0730000000000004</v>
      </c>
      <c r="AT660" s="170">
        <v>7.6189999999999998</v>
      </c>
      <c r="AU660" s="310"/>
      <c r="AW660" s="294"/>
      <c r="AX660" s="294"/>
      <c r="AY660" s="294"/>
      <c r="AZ660" s="294"/>
      <c r="BA660" s="294"/>
      <c r="BB660" s="294"/>
      <c r="BC660" s="294"/>
      <c r="BD660" s="294"/>
      <c r="BE660" s="294"/>
      <c r="BF660" s="383"/>
      <c r="BG660" s="383"/>
      <c r="BH660" s="278"/>
      <c r="BI660" s="365"/>
      <c r="BJ660" s="409" t="s">
        <v>3100</v>
      </c>
    </row>
    <row r="661" spans="1:62" ht="15.75" customHeight="1" thickBot="1" x14ac:dyDescent="0.25">
      <c r="A661" s="156">
        <v>662</v>
      </c>
      <c r="B661" s="155">
        <v>1</v>
      </c>
      <c r="C661" s="148" t="s">
        <v>760</v>
      </c>
      <c r="D661" s="148" t="s">
        <v>2029</v>
      </c>
      <c r="E661" s="148" t="s">
        <v>13</v>
      </c>
      <c r="F661" s="148" t="s">
        <v>1452</v>
      </c>
      <c r="G661" s="148" t="s">
        <v>15</v>
      </c>
      <c r="H661" s="148" t="s">
        <v>87</v>
      </c>
      <c r="I661" s="161">
        <v>2015</v>
      </c>
      <c r="J661" s="161" t="s">
        <v>1453</v>
      </c>
      <c r="K661" s="161" t="s">
        <v>1454</v>
      </c>
      <c r="L661" s="161" t="s">
        <v>19</v>
      </c>
      <c r="M661" s="453" t="s">
        <v>4248</v>
      </c>
      <c r="N661" s="186" t="s">
        <v>20</v>
      </c>
      <c r="O661" s="186" t="s">
        <v>15</v>
      </c>
      <c r="P661" s="186" t="s">
        <v>20</v>
      </c>
      <c r="Q661" s="186" t="s">
        <v>20</v>
      </c>
      <c r="R661" s="186" t="s">
        <v>20</v>
      </c>
      <c r="S661" s="186" t="s">
        <v>20</v>
      </c>
      <c r="T661" s="186" t="s">
        <v>20</v>
      </c>
      <c r="U661" s="186" t="s">
        <v>15</v>
      </c>
      <c r="V661" s="186" t="s">
        <v>20</v>
      </c>
      <c r="W661" s="186" t="s">
        <v>15</v>
      </c>
      <c r="X661" s="186" t="s">
        <v>15</v>
      </c>
      <c r="Y661" s="186" t="s">
        <v>15</v>
      </c>
      <c r="Z661" s="186"/>
      <c r="AA661" s="186" t="s">
        <v>1455</v>
      </c>
      <c r="AB661" s="186" t="s">
        <v>292</v>
      </c>
      <c r="AC661" s="186" t="s">
        <v>122</v>
      </c>
      <c r="AD661" s="268" t="s">
        <v>1456</v>
      </c>
      <c r="AE661" s="268" t="s">
        <v>1331</v>
      </c>
      <c r="AF661" s="144" t="str">
        <f t="shared" si="49"/>
        <v/>
      </c>
      <c r="AG661" s="144" t="str">
        <f t="shared" si="52"/>
        <v/>
      </c>
      <c r="AH661" s="146">
        <f t="shared" si="50"/>
        <v>0.52</v>
      </c>
      <c r="AI661" s="146">
        <f t="shared" si="51"/>
        <v>0.64</v>
      </c>
      <c r="AJ661" s="303"/>
      <c r="AK661" s="303"/>
      <c r="AL661" s="303"/>
      <c r="AM661" s="303"/>
      <c r="AN661" s="303"/>
      <c r="AO661" s="303"/>
      <c r="AP661" s="303"/>
      <c r="AQ661" s="303"/>
      <c r="AR661" s="303"/>
      <c r="AS661" s="170"/>
      <c r="AT661" s="170"/>
      <c r="AU661" s="310"/>
      <c r="AW661" s="294">
        <v>0.52</v>
      </c>
      <c r="AX661" s="294">
        <v>0.03</v>
      </c>
      <c r="AY661" s="294">
        <v>0.09</v>
      </c>
      <c r="AZ661" s="294">
        <v>0.36</v>
      </c>
      <c r="BA661" s="294">
        <v>0.2</v>
      </c>
      <c r="BB661" s="294"/>
      <c r="BC661" s="294"/>
      <c r="BD661" s="294"/>
      <c r="BE661" s="294"/>
      <c r="BF661" s="383">
        <v>0.52</v>
      </c>
      <c r="BG661" s="383">
        <v>1.2</v>
      </c>
      <c r="BH661" s="278"/>
      <c r="BI661" s="365"/>
      <c r="BJ661" s="409"/>
    </row>
    <row r="662" spans="1:62" ht="15.75" customHeight="1" thickBot="1" x14ac:dyDescent="0.25">
      <c r="A662" s="154">
        <v>663</v>
      </c>
      <c r="B662" s="155">
        <v>1</v>
      </c>
      <c r="C662" s="148" t="s">
        <v>760</v>
      </c>
      <c r="D662" s="148" t="s">
        <v>2140</v>
      </c>
      <c r="E662" s="148" t="s">
        <v>13</v>
      </c>
      <c r="F662" s="148" t="s">
        <v>1457</v>
      </c>
      <c r="G662" s="148" t="s">
        <v>15</v>
      </c>
      <c r="H662" s="148" t="s">
        <v>1458</v>
      </c>
      <c r="I662" s="161">
        <v>2015</v>
      </c>
      <c r="J662" s="161" t="s">
        <v>1453</v>
      </c>
      <c r="K662" s="161" t="s">
        <v>1454</v>
      </c>
      <c r="L662" s="161" t="s">
        <v>19</v>
      </c>
      <c r="M662" s="453" t="s">
        <v>4248</v>
      </c>
      <c r="N662" s="186" t="s">
        <v>20</v>
      </c>
      <c r="O662" s="186" t="s">
        <v>15</v>
      </c>
      <c r="P662" s="186" t="s">
        <v>20</v>
      </c>
      <c r="Q662" s="186" t="s">
        <v>20</v>
      </c>
      <c r="R662" s="186" t="s">
        <v>20</v>
      </c>
      <c r="S662" s="186" t="s">
        <v>20</v>
      </c>
      <c r="T662" s="186" t="s">
        <v>20</v>
      </c>
      <c r="U662" s="186" t="s">
        <v>15</v>
      </c>
      <c r="V662" s="186" t="s">
        <v>20</v>
      </c>
      <c r="W662" s="186" t="s">
        <v>15</v>
      </c>
      <c r="X662" s="186" t="s">
        <v>15</v>
      </c>
      <c r="Y662" s="186" t="s">
        <v>15</v>
      </c>
      <c r="Z662" s="186"/>
      <c r="AA662" s="186" t="s">
        <v>1455</v>
      </c>
      <c r="AB662" s="186" t="s">
        <v>292</v>
      </c>
      <c r="AC662" s="186" t="s">
        <v>122</v>
      </c>
      <c r="AD662" s="268" t="s">
        <v>1456</v>
      </c>
      <c r="AE662" s="268" t="s">
        <v>1331</v>
      </c>
      <c r="AF662" s="144" t="str">
        <f t="shared" si="49"/>
        <v/>
      </c>
      <c r="AG662" s="144" t="str">
        <f t="shared" si="52"/>
        <v/>
      </c>
      <c r="AH662" s="146">
        <f t="shared" si="50"/>
        <v>0.62</v>
      </c>
      <c r="AI662" s="146">
        <f t="shared" si="51"/>
        <v>0.82</v>
      </c>
      <c r="AJ662" s="303"/>
      <c r="AK662" s="303"/>
      <c r="AL662" s="303"/>
      <c r="AM662" s="303"/>
      <c r="AN662" s="303"/>
      <c r="AO662" s="303"/>
      <c r="AP662" s="303"/>
      <c r="AQ662" s="303"/>
      <c r="AR662" s="303"/>
      <c r="AS662" s="170"/>
      <c r="AT662" s="170"/>
      <c r="AU662" s="310"/>
      <c r="AW662" s="294">
        <v>0.62</v>
      </c>
      <c r="AX662" s="294">
        <v>0.09</v>
      </c>
      <c r="AY662" s="294">
        <v>0.11</v>
      </c>
      <c r="AZ662" s="294">
        <v>0.33</v>
      </c>
      <c r="BA662" s="294">
        <v>0.2</v>
      </c>
      <c r="BB662" s="294"/>
      <c r="BC662" s="294"/>
      <c r="BD662" s="294"/>
      <c r="BE662" s="294"/>
      <c r="BF662" s="383">
        <v>0.62</v>
      </c>
      <c r="BG662" s="383">
        <v>1.36</v>
      </c>
      <c r="BH662" s="278"/>
      <c r="BI662" s="365"/>
      <c r="BJ662" s="409"/>
    </row>
    <row r="663" spans="1:62" ht="15.75" customHeight="1" thickBot="1" x14ac:dyDescent="0.25">
      <c r="A663" s="156">
        <v>664</v>
      </c>
      <c r="B663" s="155">
        <v>1</v>
      </c>
      <c r="C663" s="148" t="s">
        <v>760</v>
      </c>
      <c r="D663" s="148" t="s">
        <v>2431</v>
      </c>
      <c r="E663" s="148" t="s">
        <v>13</v>
      </c>
      <c r="F663" s="148" t="s">
        <v>1459</v>
      </c>
      <c r="G663" s="148" t="s">
        <v>15</v>
      </c>
      <c r="H663" s="148" t="s">
        <v>87</v>
      </c>
      <c r="I663" s="161">
        <v>2015</v>
      </c>
      <c r="J663" s="161" t="s">
        <v>1453</v>
      </c>
      <c r="K663" s="161" t="s">
        <v>1454</v>
      </c>
      <c r="L663" s="161" t="s">
        <v>19</v>
      </c>
      <c r="M663" s="453" t="s">
        <v>4248</v>
      </c>
      <c r="N663" s="186" t="s">
        <v>20</v>
      </c>
      <c r="O663" s="186" t="s">
        <v>15</v>
      </c>
      <c r="P663" s="186" t="s">
        <v>20</v>
      </c>
      <c r="Q663" s="186" t="s">
        <v>20</v>
      </c>
      <c r="R663" s="186" t="s">
        <v>20</v>
      </c>
      <c r="S663" s="186" t="s">
        <v>20</v>
      </c>
      <c r="T663" s="186" t="s">
        <v>20</v>
      </c>
      <c r="U663" s="186" t="s">
        <v>15</v>
      </c>
      <c r="V663" s="186" t="s">
        <v>20</v>
      </c>
      <c r="W663" s="186" t="s">
        <v>15</v>
      </c>
      <c r="X663" s="186" t="s">
        <v>15</v>
      </c>
      <c r="Y663" s="186" t="s">
        <v>15</v>
      </c>
      <c r="Z663" s="186"/>
      <c r="AA663" s="186" t="s">
        <v>1455</v>
      </c>
      <c r="AB663" s="186" t="s">
        <v>292</v>
      </c>
      <c r="AC663" s="186" t="s">
        <v>122</v>
      </c>
      <c r="AD663" s="268" t="s">
        <v>1456</v>
      </c>
      <c r="AE663" s="268" t="s">
        <v>1331</v>
      </c>
      <c r="AF663" s="144" t="str">
        <f t="shared" si="49"/>
        <v/>
      </c>
      <c r="AG663" s="144" t="str">
        <f t="shared" si="52"/>
        <v/>
      </c>
      <c r="AH663" s="146">
        <f t="shared" si="50"/>
        <v>0.52</v>
      </c>
      <c r="AI663" s="146">
        <f t="shared" si="51"/>
        <v>0.75</v>
      </c>
      <c r="AJ663" s="303"/>
      <c r="AK663" s="303"/>
      <c r="AL663" s="303"/>
      <c r="AM663" s="303"/>
      <c r="AN663" s="303"/>
      <c r="AO663" s="303"/>
      <c r="AP663" s="303"/>
      <c r="AQ663" s="303"/>
      <c r="AR663" s="303"/>
      <c r="AS663" s="170"/>
      <c r="AT663" s="170"/>
      <c r="AU663" s="310"/>
      <c r="AW663" s="294">
        <v>0.52</v>
      </c>
      <c r="AX663" s="294">
        <v>0.04</v>
      </c>
      <c r="AY663" s="294">
        <v>0.19</v>
      </c>
      <c r="AZ663" s="294">
        <v>0.78</v>
      </c>
      <c r="BA663" s="294">
        <v>7.0000000000000007E-2</v>
      </c>
      <c r="BB663" s="294"/>
      <c r="BC663" s="294"/>
      <c r="BD663" s="294"/>
      <c r="BE663" s="294"/>
      <c r="BF663" s="383">
        <v>0.52</v>
      </c>
      <c r="BG663" s="383">
        <v>1.59</v>
      </c>
      <c r="BH663" s="278"/>
      <c r="BI663" s="365"/>
      <c r="BJ663" s="409"/>
    </row>
    <row r="664" spans="1:62" ht="15.75" customHeight="1" thickBot="1" x14ac:dyDescent="0.25">
      <c r="A664" s="154">
        <v>665</v>
      </c>
      <c r="B664" s="155">
        <v>1</v>
      </c>
      <c r="C664" s="148" t="s">
        <v>760</v>
      </c>
      <c r="D664" s="148" t="s">
        <v>2142</v>
      </c>
      <c r="E664" s="148" t="s">
        <v>13</v>
      </c>
      <c r="F664" s="148" t="s">
        <v>1460</v>
      </c>
      <c r="G664" s="148" t="s">
        <v>15</v>
      </c>
      <c r="H664" s="148" t="s">
        <v>1458</v>
      </c>
      <c r="I664" s="161">
        <v>2015</v>
      </c>
      <c r="J664" s="161" t="s">
        <v>1453</v>
      </c>
      <c r="K664" s="161" t="s">
        <v>1454</v>
      </c>
      <c r="L664" s="161" t="s">
        <v>19</v>
      </c>
      <c r="M664" s="453" t="s">
        <v>4248</v>
      </c>
      <c r="N664" s="186" t="s">
        <v>20</v>
      </c>
      <c r="O664" s="186" t="s">
        <v>15</v>
      </c>
      <c r="P664" s="186" t="s">
        <v>20</v>
      </c>
      <c r="Q664" s="186" t="s">
        <v>20</v>
      </c>
      <c r="R664" s="186" t="s">
        <v>20</v>
      </c>
      <c r="S664" s="186" t="s">
        <v>20</v>
      </c>
      <c r="T664" s="186" t="s">
        <v>20</v>
      </c>
      <c r="U664" s="186" t="s">
        <v>15</v>
      </c>
      <c r="V664" s="186" t="s">
        <v>20</v>
      </c>
      <c r="W664" s="186" t="s">
        <v>15</v>
      </c>
      <c r="X664" s="186" t="s">
        <v>15</v>
      </c>
      <c r="Y664" s="186" t="s">
        <v>15</v>
      </c>
      <c r="Z664" s="186"/>
      <c r="AA664" s="186" t="s">
        <v>1455</v>
      </c>
      <c r="AB664" s="186" t="s">
        <v>292</v>
      </c>
      <c r="AC664" s="186" t="s">
        <v>122</v>
      </c>
      <c r="AD664" s="268" t="s">
        <v>1456</v>
      </c>
      <c r="AE664" s="268" t="s">
        <v>1331</v>
      </c>
      <c r="AF664" s="144" t="str">
        <f t="shared" si="49"/>
        <v/>
      </c>
      <c r="AG664" s="144" t="str">
        <f t="shared" si="52"/>
        <v/>
      </c>
      <c r="AH664" s="146">
        <f t="shared" si="50"/>
        <v>0.62</v>
      </c>
      <c r="AI664" s="146">
        <f t="shared" si="51"/>
        <v>0.89999999999999991</v>
      </c>
      <c r="AJ664" s="303"/>
      <c r="AK664" s="303"/>
      <c r="AL664" s="303"/>
      <c r="AM664" s="303"/>
      <c r="AN664" s="303"/>
      <c r="AO664" s="303"/>
      <c r="AP664" s="303"/>
      <c r="AQ664" s="303"/>
      <c r="AR664" s="303"/>
      <c r="AS664" s="170"/>
      <c r="AT664" s="170"/>
      <c r="AU664" s="310"/>
      <c r="AW664" s="294">
        <v>0.62</v>
      </c>
      <c r="AX664" s="294">
        <v>0.09</v>
      </c>
      <c r="AY664" s="294">
        <v>0.19</v>
      </c>
      <c r="AZ664" s="294">
        <v>0.78</v>
      </c>
      <c r="BA664" s="294">
        <v>7.0000000000000007E-2</v>
      </c>
      <c r="BB664" s="294"/>
      <c r="BC664" s="294"/>
      <c r="BD664" s="294"/>
      <c r="BE664" s="294"/>
      <c r="BF664" s="383">
        <v>0.62</v>
      </c>
      <c r="BG664" s="383">
        <v>1.75</v>
      </c>
      <c r="BH664" s="278"/>
      <c r="BI664" s="365"/>
      <c r="BJ664" s="409"/>
    </row>
    <row r="665" spans="1:62" ht="15.75" customHeight="1" thickBot="1" x14ac:dyDescent="0.25">
      <c r="A665" s="156">
        <v>666</v>
      </c>
      <c r="B665" s="155">
        <v>1</v>
      </c>
      <c r="C665" s="148" t="s">
        <v>760</v>
      </c>
      <c r="D665" s="148" t="s">
        <v>2431</v>
      </c>
      <c r="E665" s="148" t="s">
        <v>13</v>
      </c>
      <c r="F665" s="148" t="s">
        <v>1461</v>
      </c>
      <c r="G665" s="148" t="s">
        <v>15</v>
      </c>
      <c r="H665" s="148" t="s">
        <v>87</v>
      </c>
      <c r="I665" s="161">
        <v>2015</v>
      </c>
      <c r="J665" s="161" t="s">
        <v>1453</v>
      </c>
      <c r="K665" s="161" t="s">
        <v>1454</v>
      </c>
      <c r="L665" s="161" t="s">
        <v>19</v>
      </c>
      <c r="M665" s="453" t="s">
        <v>4248</v>
      </c>
      <c r="N665" s="186" t="s">
        <v>20</v>
      </c>
      <c r="O665" s="186" t="s">
        <v>15</v>
      </c>
      <c r="P665" s="186" t="s">
        <v>20</v>
      </c>
      <c r="Q665" s="186" t="s">
        <v>20</v>
      </c>
      <c r="R665" s="186" t="s">
        <v>20</v>
      </c>
      <c r="S665" s="186" t="s">
        <v>20</v>
      </c>
      <c r="T665" s="186" t="s">
        <v>20</v>
      </c>
      <c r="U665" s="186" t="s">
        <v>15</v>
      </c>
      <c r="V665" s="186" t="s">
        <v>20</v>
      </c>
      <c r="W665" s="186" t="s">
        <v>15</v>
      </c>
      <c r="X665" s="186" t="s">
        <v>15</v>
      </c>
      <c r="Y665" s="186" t="s">
        <v>15</v>
      </c>
      <c r="Z665" s="186"/>
      <c r="AA665" s="186" t="s">
        <v>1455</v>
      </c>
      <c r="AB665" s="186" t="s">
        <v>292</v>
      </c>
      <c r="AC665" s="186" t="s">
        <v>122</v>
      </c>
      <c r="AD665" s="268" t="s">
        <v>1456</v>
      </c>
      <c r="AE665" s="268" t="s">
        <v>1331</v>
      </c>
      <c r="AF665" s="144" t="str">
        <f t="shared" si="49"/>
        <v/>
      </c>
      <c r="AG665" s="144" t="str">
        <f t="shared" si="52"/>
        <v/>
      </c>
      <c r="AH665" s="146">
        <f t="shared" si="50"/>
        <v>0.52</v>
      </c>
      <c r="AI665" s="146">
        <f t="shared" si="51"/>
        <v>0.75</v>
      </c>
      <c r="AJ665" s="303"/>
      <c r="AK665" s="303"/>
      <c r="AL665" s="303"/>
      <c r="AM665" s="303"/>
      <c r="AN665" s="303"/>
      <c r="AO665" s="303"/>
      <c r="AP665" s="303"/>
      <c r="AQ665" s="303"/>
      <c r="AR665" s="303"/>
      <c r="AS665" s="170"/>
      <c r="AT665" s="170"/>
      <c r="AU665" s="310"/>
      <c r="AW665" s="294">
        <v>0.52</v>
      </c>
      <c r="AX665" s="294">
        <v>0.04</v>
      </c>
      <c r="AY665" s="294">
        <v>0.19</v>
      </c>
      <c r="AZ665" s="294">
        <v>0.83</v>
      </c>
      <c r="BA665" s="294">
        <v>0.2</v>
      </c>
      <c r="BB665" s="294"/>
      <c r="BC665" s="294"/>
      <c r="BD665" s="294"/>
      <c r="BE665" s="294"/>
      <c r="BF665" s="383">
        <v>0.52</v>
      </c>
      <c r="BG665" s="383">
        <v>1.78</v>
      </c>
      <c r="BH665" s="278"/>
      <c r="BI665" s="365"/>
      <c r="BJ665" s="409"/>
    </row>
    <row r="666" spans="1:62" ht="15.75" customHeight="1" thickBot="1" x14ac:dyDescent="0.25">
      <c r="A666" s="154">
        <v>667</v>
      </c>
      <c r="B666" s="155">
        <v>1</v>
      </c>
      <c r="C666" s="148" t="s">
        <v>760</v>
      </c>
      <c r="D666" s="148" t="s">
        <v>2142</v>
      </c>
      <c r="E666" s="148" t="s">
        <v>13</v>
      </c>
      <c r="F666" s="148" t="s">
        <v>1462</v>
      </c>
      <c r="G666" s="148" t="s">
        <v>15</v>
      </c>
      <c r="H666" s="148" t="s">
        <v>1458</v>
      </c>
      <c r="I666" s="161">
        <v>2015</v>
      </c>
      <c r="J666" s="161" t="s">
        <v>1453</v>
      </c>
      <c r="K666" s="161" t="s">
        <v>1454</v>
      </c>
      <c r="L666" s="161" t="s">
        <v>19</v>
      </c>
      <c r="M666" s="453" t="s">
        <v>4248</v>
      </c>
      <c r="N666" s="186" t="s">
        <v>20</v>
      </c>
      <c r="O666" s="186" t="s">
        <v>15</v>
      </c>
      <c r="P666" s="186" t="s">
        <v>20</v>
      </c>
      <c r="Q666" s="186" t="s">
        <v>20</v>
      </c>
      <c r="R666" s="186" t="s">
        <v>20</v>
      </c>
      <c r="S666" s="186" t="s">
        <v>20</v>
      </c>
      <c r="T666" s="186" t="s">
        <v>20</v>
      </c>
      <c r="U666" s="186" t="s">
        <v>15</v>
      </c>
      <c r="V666" s="186" t="s">
        <v>20</v>
      </c>
      <c r="W666" s="186" t="s">
        <v>15</v>
      </c>
      <c r="X666" s="186" t="s">
        <v>15</v>
      </c>
      <c r="Y666" s="186" t="s">
        <v>15</v>
      </c>
      <c r="Z666" s="186"/>
      <c r="AA666" s="186" t="s">
        <v>1455</v>
      </c>
      <c r="AB666" s="186" t="s">
        <v>292</v>
      </c>
      <c r="AC666" s="186" t="s">
        <v>122</v>
      </c>
      <c r="AD666" s="268" t="s">
        <v>1456</v>
      </c>
      <c r="AE666" s="268" t="s">
        <v>1331</v>
      </c>
      <c r="AF666" s="144" t="str">
        <f t="shared" si="49"/>
        <v/>
      </c>
      <c r="AG666" s="144" t="str">
        <f t="shared" si="52"/>
        <v/>
      </c>
      <c r="AH666" s="146">
        <f t="shared" si="50"/>
        <v>0.62</v>
      </c>
      <c r="AI666" s="146">
        <f t="shared" si="51"/>
        <v>0.89999999999999991</v>
      </c>
      <c r="AJ666" s="303"/>
      <c r="AK666" s="303"/>
      <c r="AL666" s="303"/>
      <c r="AM666" s="303"/>
      <c r="AN666" s="303"/>
      <c r="AO666" s="303"/>
      <c r="AP666" s="303"/>
      <c r="AQ666" s="303"/>
      <c r="AR666" s="303"/>
      <c r="AS666" s="170"/>
      <c r="AT666" s="170"/>
      <c r="AU666" s="310"/>
      <c r="AW666" s="294">
        <v>0.62</v>
      </c>
      <c r="AX666" s="294">
        <v>0.09</v>
      </c>
      <c r="AY666" s="294">
        <v>0.19</v>
      </c>
      <c r="AZ666" s="294">
        <v>0.82</v>
      </c>
      <c r="BA666" s="294">
        <v>0.2</v>
      </c>
      <c r="BB666" s="294"/>
      <c r="BC666" s="294"/>
      <c r="BD666" s="294"/>
      <c r="BE666" s="294"/>
      <c r="BF666" s="383">
        <v>0.62</v>
      </c>
      <c r="BG666" s="383">
        <v>1.93</v>
      </c>
      <c r="BH666" s="278"/>
      <c r="BI666" s="365"/>
      <c r="BJ666" s="409"/>
    </row>
    <row r="667" spans="1:62" ht="15.75" customHeight="1" thickBot="1" x14ac:dyDescent="0.25">
      <c r="A667" s="156">
        <v>668</v>
      </c>
      <c r="B667" s="155">
        <v>1</v>
      </c>
      <c r="C667" s="148" t="s">
        <v>760</v>
      </c>
      <c r="D667" s="148" t="s">
        <v>1463</v>
      </c>
      <c r="E667" s="148" t="s">
        <v>13</v>
      </c>
      <c r="F667" s="148" t="s">
        <v>1464</v>
      </c>
      <c r="G667" s="148" t="s">
        <v>15</v>
      </c>
      <c r="H667" s="148" t="s">
        <v>87</v>
      </c>
      <c r="I667" s="161">
        <v>2015</v>
      </c>
      <c r="J667" s="161" t="s">
        <v>1453</v>
      </c>
      <c r="K667" s="161" t="s">
        <v>1454</v>
      </c>
      <c r="L667" s="161" t="s">
        <v>19</v>
      </c>
      <c r="M667" s="453" t="s">
        <v>4248</v>
      </c>
      <c r="N667" s="186" t="s">
        <v>20</v>
      </c>
      <c r="O667" s="186" t="s">
        <v>15</v>
      </c>
      <c r="P667" s="186" t="s">
        <v>20</v>
      </c>
      <c r="Q667" s="186" t="s">
        <v>20</v>
      </c>
      <c r="R667" s="186" t="s">
        <v>20</v>
      </c>
      <c r="S667" s="186" t="s">
        <v>20</v>
      </c>
      <c r="T667" s="186" t="s">
        <v>20</v>
      </c>
      <c r="U667" s="186" t="s">
        <v>15</v>
      </c>
      <c r="V667" s="186" t="s">
        <v>20</v>
      </c>
      <c r="W667" s="186" t="s">
        <v>15</v>
      </c>
      <c r="X667" s="186" t="s">
        <v>15</v>
      </c>
      <c r="Y667" s="186" t="s">
        <v>15</v>
      </c>
      <c r="Z667" s="186"/>
      <c r="AA667" s="186" t="s">
        <v>1455</v>
      </c>
      <c r="AB667" s="186" t="s">
        <v>292</v>
      </c>
      <c r="AC667" s="186" t="s">
        <v>122</v>
      </c>
      <c r="AD667" s="268" t="s">
        <v>1456</v>
      </c>
      <c r="AE667" s="268" t="s">
        <v>1331</v>
      </c>
      <c r="AF667" s="144" t="str">
        <f t="shared" si="49"/>
        <v/>
      </c>
      <c r="AG667" s="144" t="str">
        <f t="shared" si="52"/>
        <v/>
      </c>
      <c r="AH667" s="146">
        <f t="shared" si="50"/>
        <v>1.74</v>
      </c>
      <c r="AI667" s="146">
        <f t="shared" si="51"/>
        <v>1.84</v>
      </c>
      <c r="AJ667" s="303"/>
      <c r="AK667" s="303"/>
      <c r="AL667" s="303"/>
      <c r="AM667" s="303"/>
      <c r="AN667" s="303"/>
      <c r="AO667" s="303"/>
      <c r="AP667" s="303"/>
      <c r="AQ667" s="303"/>
      <c r="AR667" s="303"/>
      <c r="AS667" s="170"/>
      <c r="AT667" s="170"/>
      <c r="AU667" s="310"/>
      <c r="AW667" s="294">
        <v>1.74</v>
      </c>
      <c r="AX667" s="294">
        <v>0.04</v>
      </c>
      <c r="AY667" s="294">
        <v>0.06</v>
      </c>
      <c r="AZ667" s="294">
        <v>0.3</v>
      </c>
      <c r="BA667" s="294">
        <v>0.2</v>
      </c>
      <c r="BB667" s="294"/>
      <c r="BC667" s="294"/>
      <c r="BD667" s="294"/>
      <c r="BE667" s="294"/>
      <c r="BF667" s="383">
        <v>1.74</v>
      </c>
      <c r="BG667" s="383">
        <v>2.33</v>
      </c>
      <c r="BH667" s="278"/>
      <c r="BI667" s="365"/>
      <c r="BJ667" s="409"/>
    </row>
    <row r="668" spans="1:62" ht="15.75" customHeight="1" thickBot="1" x14ac:dyDescent="0.25">
      <c r="A668" s="154">
        <v>669</v>
      </c>
      <c r="B668" s="155">
        <v>1</v>
      </c>
      <c r="C668" s="148" t="s">
        <v>760</v>
      </c>
      <c r="D668" s="148" t="s">
        <v>1728</v>
      </c>
      <c r="E668" s="148" t="s">
        <v>13</v>
      </c>
      <c r="F668" s="148" t="s">
        <v>1465</v>
      </c>
      <c r="G668" s="148" t="s">
        <v>15</v>
      </c>
      <c r="H668" s="148" t="s">
        <v>87</v>
      </c>
      <c r="I668" s="161">
        <v>2015</v>
      </c>
      <c r="J668" s="161" t="s">
        <v>1453</v>
      </c>
      <c r="K668" s="161" t="s">
        <v>1454</v>
      </c>
      <c r="L668" s="161" t="s">
        <v>19</v>
      </c>
      <c r="M668" s="453" t="s">
        <v>4248</v>
      </c>
      <c r="N668" s="186" t="s">
        <v>20</v>
      </c>
      <c r="O668" s="186" t="s">
        <v>15</v>
      </c>
      <c r="P668" s="186" t="s">
        <v>20</v>
      </c>
      <c r="Q668" s="186" t="s">
        <v>20</v>
      </c>
      <c r="R668" s="186" t="s">
        <v>20</v>
      </c>
      <c r="S668" s="186" t="s">
        <v>20</v>
      </c>
      <c r="T668" s="186" t="s">
        <v>20</v>
      </c>
      <c r="U668" s="186" t="s">
        <v>15</v>
      </c>
      <c r="V668" s="186" t="s">
        <v>20</v>
      </c>
      <c r="W668" s="186" t="s">
        <v>15</v>
      </c>
      <c r="X668" s="186" t="s">
        <v>15</v>
      </c>
      <c r="Y668" s="186" t="s">
        <v>15</v>
      </c>
      <c r="Z668" s="186"/>
      <c r="AA668" s="186" t="s">
        <v>1455</v>
      </c>
      <c r="AB668" s="186" t="s">
        <v>292</v>
      </c>
      <c r="AC668" s="186" t="s">
        <v>122</v>
      </c>
      <c r="AD668" s="268" t="s">
        <v>1456</v>
      </c>
      <c r="AE668" s="268" t="s">
        <v>1331</v>
      </c>
      <c r="AF668" s="144" t="str">
        <f t="shared" si="49"/>
        <v/>
      </c>
      <c r="AG668" s="144" t="str">
        <f t="shared" si="52"/>
        <v/>
      </c>
      <c r="AH668" s="146">
        <f t="shared" si="50"/>
        <v>1.95</v>
      </c>
      <c r="AI668" s="146">
        <f t="shared" si="51"/>
        <v>2.08</v>
      </c>
      <c r="AJ668" s="303"/>
      <c r="AK668" s="303"/>
      <c r="AL668" s="303"/>
      <c r="AM668" s="303"/>
      <c r="AN668" s="303"/>
      <c r="AO668" s="303"/>
      <c r="AP668" s="303"/>
      <c r="AQ668" s="303"/>
      <c r="AR668" s="303"/>
      <c r="AS668" s="170"/>
      <c r="AT668" s="170"/>
      <c r="AU668" s="310"/>
      <c r="AW668" s="294">
        <v>1.95</v>
      </c>
      <c r="AX668" s="294">
        <v>0.03</v>
      </c>
      <c r="AY668" s="294">
        <v>0.1</v>
      </c>
      <c r="AZ668" s="294">
        <v>0.34</v>
      </c>
      <c r="BA668" s="294">
        <v>0.2</v>
      </c>
      <c r="BB668" s="294"/>
      <c r="BC668" s="294"/>
      <c r="BD668" s="294"/>
      <c r="BE668" s="294"/>
      <c r="BF668" s="383">
        <v>1.95</v>
      </c>
      <c r="BG668" s="383">
        <v>2.61</v>
      </c>
      <c r="BH668" s="278"/>
      <c r="BI668" s="365"/>
      <c r="BJ668" s="409"/>
    </row>
    <row r="669" spans="1:62" ht="15.75" customHeight="1" thickBot="1" x14ac:dyDescent="0.25">
      <c r="A669" s="156">
        <v>670</v>
      </c>
      <c r="B669" s="155">
        <v>1</v>
      </c>
      <c r="C669" s="148" t="s">
        <v>760</v>
      </c>
      <c r="D669" s="148" t="s">
        <v>1466</v>
      </c>
      <c r="E669" s="148" t="s">
        <v>13</v>
      </c>
      <c r="F669" s="148" t="s">
        <v>1467</v>
      </c>
      <c r="G669" s="148" t="s">
        <v>15</v>
      </c>
      <c r="H669" s="148" t="s">
        <v>87</v>
      </c>
      <c r="I669" s="161">
        <v>2015</v>
      </c>
      <c r="J669" s="161" t="s">
        <v>1453</v>
      </c>
      <c r="K669" s="161" t="s">
        <v>1454</v>
      </c>
      <c r="L669" s="161" t="s">
        <v>19</v>
      </c>
      <c r="M669" s="453" t="s">
        <v>4248</v>
      </c>
      <c r="N669" s="186" t="s">
        <v>20</v>
      </c>
      <c r="O669" s="186" t="s">
        <v>15</v>
      </c>
      <c r="P669" s="186" t="s">
        <v>20</v>
      </c>
      <c r="Q669" s="186" t="s">
        <v>20</v>
      </c>
      <c r="R669" s="186" t="s">
        <v>20</v>
      </c>
      <c r="S669" s="186" t="s">
        <v>20</v>
      </c>
      <c r="T669" s="186" t="s">
        <v>20</v>
      </c>
      <c r="U669" s="186" t="s">
        <v>15</v>
      </c>
      <c r="V669" s="186" t="s">
        <v>20</v>
      </c>
      <c r="W669" s="186" t="s">
        <v>15</v>
      </c>
      <c r="X669" s="186" t="s">
        <v>15</v>
      </c>
      <c r="Y669" s="186" t="s">
        <v>15</v>
      </c>
      <c r="Z669" s="186"/>
      <c r="AA669" s="186" t="s">
        <v>1455</v>
      </c>
      <c r="AB669" s="186" t="s">
        <v>292</v>
      </c>
      <c r="AC669" s="186" t="s">
        <v>122</v>
      </c>
      <c r="AD669" s="268" t="s">
        <v>1456</v>
      </c>
      <c r="AE669" s="268" t="s">
        <v>1331</v>
      </c>
      <c r="AF669" s="144" t="str">
        <f t="shared" si="49"/>
        <v/>
      </c>
      <c r="AG669" s="144" t="str">
        <f t="shared" si="52"/>
        <v/>
      </c>
      <c r="AH669" s="146">
        <f t="shared" si="50"/>
        <v>1.1300000000000001</v>
      </c>
      <c r="AI669" s="146">
        <f t="shared" si="51"/>
        <v>1.77</v>
      </c>
      <c r="AJ669" s="303"/>
      <c r="AK669" s="303"/>
      <c r="AL669" s="303"/>
      <c r="AM669" s="303"/>
      <c r="AN669" s="303"/>
      <c r="AO669" s="303"/>
      <c r="AP669" s="303"/>
      <c r="AQ669" s="303"/>
      <c r="AR669" s="303"/>
      <c r="AS669" s="170"/>
      <c r="AT669" s="170"/>
      <c r="AU669" s="310"/>
      <c r="AW669" s="294">
        <v>1.1300000000000001</v>
      </c>
      <c r="AX669" s="294">
        <v>0.04</v>
      </c>
      <c r="AY669" s="294">
        <v>0.6</v>
      </c>
      <c r="AZ669" s="294">
        <v>0.78</v>
      </c>
      <c r="BA669" s="294">
        <v>7.0000000000000007E-2</v>
      </c>
      <c r="BB669" s="294"/>
      <c r="BC669" s="294"/>
      <c r="BD669" s="294"/>
      <c r="BE669" s="294"/>
      <c r="BF669" s="383">
        <v>1.1300000000000001</v>
      </c>
      <c r="BG669" s="383">
        <v>2.61</v>
      </c>
      <c r="BH669" s="278"/>
      <c r="BI669" s="365"/>
      <c r="BJ669" s="409"/>
    </row>
    <row r="670" spans="1:62" ht="15.75" customHeight="1" thickBot="1" x14ac:dyDescent="0.25">
      <c r="A670" s="154">
        <v>671</v>
      </c>
      <c r="B670" s="155">
        <v>1</v>
      </c>
      <c r="C670" s="148" t="s">
        <v>760</v>
      </c>
      <c r="D670" s="148" t="s">
        <v>1466</v>
      </c>
      <c r="E670" s="148" t="s">
        <v>13</v>
      </c>
      <c r="F670" s="148" t="s">
        <v>1468</v>
      </c>
      <c r="G670" s="148" t="s">
        <v>15</v>
      </c>
      <c r="H670" s="148" t="s">
        <v>87</v>
      </c>
      <c r="I670" s="161">
        <v>2015</v>
      </c>
      <c r="J670" s="161" t="s">
        <v>1453</v>
      </c>
      <c r="K670" s="161" t="s">
        <v>1454</v>
      </c>
      <c r="L670" s="161" t="s">
        <v>19</v>
      </c>
      <c r="M670" s="453" t="s">
        <v>4248</v>
      </c>
      <c r="N670" s="186" t="s">
        <v>20</v>
      </c>
      <c r="O670" s="186" t="s">
        <v>15</v>
      </c>
      <c r="P670" s="186" t="s">
        <v>20</v>
      </c>
      <c r="Q670" s="186" t="s">
        <v>20</v>
      </c>
      <c r="R670" s="186" t="s">
        <v>20</v>
      </c>
      <c r="S670" s="186" t="s">
        <v>20</v>
      </c>
      <c r="T670" s="186" t="s">
        <v>20</v>
      </c>
      <c r="U670" s="186" t="s">
        <v>15</v>
      </c>
      <c r="V670" s="186" t="s">
        <v>20</v>
      </c>
      <c r="W670" s="186" t="s">
        <v>15</v>
      </c>
      <c r="X670" s="186" t="s">
        <v>15</v>
      </c>
      <c r="Y670" s="186" t="s">
        <v>15</v>
      </c>
      <c r="Z670" s="186"/>
      <c r="AA670" s="186" t="s">
        <v>1455</v>
      </c>
      <c r="AB670" s="186" t="s">
        <v>292</v>
      </c>
      <c r="AC670" s="186" t="s">
        <v>122</v>
      </c>
      <c r="AD670" s="268" t="s">
        <v>1456</v>
      </c>
      <c r="AE670" s="268" t="s">
        <v>1331</v>
      </c>
      <c r="AF670" s="144" t="str">
        <f t="shared" si="49"/>
        <v/>
      </c>
      <c r="AG670" s="144" t="str">
        <f t="shared" si="52"/>
        <v/>
      </c>
      <c r="AH670" s="146">
        <f t="shared" si="50"/>
        <v>1.1399999999999999</v>
      </c>
      <c r="AI670" s="146">
        <f t="shared" si="51"/>
        <v>1.7799999999999998</v>
      </c>
      <c r="AJ670" s="303"/>
      <c r="AK670" s="303"/>
      <c r="AL670" s="303"/>
      <c r="AM670" s="303"/>
      <c r="AN670" s="303"/>
      <c r="AO670" s="303"/>
      <c r="AP670" s="303"/>
      <c r="AQ670" s="303"/>
      <c r="AR670" s="303"/>
      <c r="AS670" s="170"/>
      <c r="AT670" s="170"/>
      <c r="AU670" s="310"/>
      <c r="AW670" s="294">
        <v>1.1399999999999999</v>
      </c>
      <c r="AX670" s="294">
        <v>0.04</v>
      </c>
      <c r="AY670" s="294">
        <v>0.6</v>
      </c>
      <c r="AZ670" s="294">
        <v>0.82</v>
      </c>
      <c r="BA670" s="294">
        <v>0.2</v>
      </c>
      <c r="BB670" s="294"/>
      <c r="BC670" s="294"/>
      <c r="BD670" s="294"/>
      <c r="BE670" s="294"/>
      <c r="BF670" s="383">
        <v>1.1399999999999999</v>
      </c>
      <c r="BG670" s="383">
        <v>2.81</v>
      </c>
      <c r="BH670" s="278"/>
      <c r="BI670" s="365"/>
      <c r="BJ670" s="409"/>
    </row>
    <row r="671" spans="1:62" ht="15.75" customHeight="1" thickBot="1" x14ac:dyDescent="0.25">
      <c r="A671" s="156">
        <v>672</v>
      </c>
      <c r="B671" s="155">
        <v>1</v>
      </c>
      <c r="C671" s="148" t="s">
        <v>760</v>
      </c>
      <c r="D671" s="148" t="s">
        <v>1728</v>
      </c>
      <c r="E671" s="148" t="s">
        <v>13</v>
      </c>
      <c r="F671" s="148" t="s">
        <v>1469</v>
      </c>
      <c r="G671" s="148" t="s">
        <v>15</v>
      </c>
      <c r="H671" s="148" t="s">
        <v>87</v>
      </c>
      <c r="I671" s="161">
        <v>2015</v>
      </c>
      <c r="J671" s="161" t="s">
        <v>1453</v>
      </c>
      <c r="K671" s="161" t="s">
        <v>1454</v>
      </c>
      <c r="L671" s="161" t="s">
        <v>19</v>
      </c>
      <c r="M671" s="453" t="s">
        <v>4248</v>
      </c>
      <c r="N671" s="186" t="s">
        <v>20</v>
      </c>
      <c r="O671" s="186" t="s">
        <v>15</v>
      </c>
      <c r="P671" s="186" t="s">
        <v>20</v>
      </c>
      <c r="Q671" s="186" t="s">
        <v>20</v>
      </c>
      <c r="R671" s="186" t="s">
        <v>20</v>
      </c>
      <c r="S671" s="186" t="s">
        <v>20</v>
      </c>
      <c r="T671" s="186" t="s">
        <v>20</v>
      </c>
      <c r="U671" s="186" t="s">
        <v>15</v>
      </c>
      <c r="V671" s="186" t="s">
        <v>20</v>
      </c>
      <c r="W671" s="186" t="s">
        <v>15</v>
      </c>
      <c r="X671" s="186" t="s">
        <v>15</v>
      </c>
      <c r="Y671" s="186" t="s">
        <v>15</v>
      </c>
      <c r="Z671" s="186"/>
      <c r="AA671" s="186" t="s">
        <v>1455</v>
      </c>
      <c r="AB671" s="186" t="s">
        <v>292</v>
      </c>
      <c r="AC671" s="186" t="s">
        <v>122</v>
      </c>
      <c r="AD671" s="268" t="s">
        <v>1456</v>
      </c>
      <c r="AE671" s="268" t="s">
        <v>1331</v>
      </c>
      <c r="AF671" s="144" t="str">
        <f t="shared" si="49"/>
        <v/>
      </c>
      <c r="AG671" s="144" t="str">
        <f t="shared" si="52"/>
        <v/>
      </c>
      <c r="AH671" s="146">
        <f t="shared" si="50"/>
        <v>1.93</v>
      </c>
      <c r="AI671" s="146">
        <f t="shared" si="51"/>
        <v>2.06</v>
      </c>
      <c r="AJ671" s="303"/>
      <c r="AK671" s="303"/>
      <c r="AL671" s="303"/>
      <c r="AM671" s="303"/>
      <c r="AN671" s="303"/>
      <c r="AO671" s="303"/>
      <c r="AP671" s="303"/>
      <c r="AQ671" s="303"/>
      <c r="AR671" s="303"/>
      <c r="AS671" s="170"/>
      <c r="AT671" s="170"/>
      <c r="AU671" s="310"/>
      <c r="AW671" s="294">
        <v>1.93</v>
      </c>
      <c r="AX671" s="294">
        <v>0.04</v>
      </c>
      <c r="AY671" s="294">
        <v>0.09</v>
      </c>
      <c r="AZ671" s="294">
        <v>0.78</v>
      </c>
      <c r="BA671" s="294">
        <v>7.0000000000000007E-2</v>
      </c>
      <c r="BB671" s="294"/>
      <c r="BC671" s="294"/>
      <c r="BD671" s="294"/>
      <c r="BE671" s="294"/>
      <c r="BF671" s="383">
        <v>1.93</v>
      </c>
      <c r="BG671" s="383">
        <v>2.89</v>
      </c>
      <c r="BH671" s="278"/>
      <c r="BI671" s="365"/>
      <c r="BJ671" s="409"/>
    </row>
    <row r="672" spans="1:62" ht="15.75" customHeight="1" thickBot="1" x14ac:dyDescent="0.25">
      <c r="A672" s="154">
        <v>673</v>
      </c>
      <c r="B672" s="155">
        <v>1</v>
      </c>
      <c r="C672" s="148" t="s">
        <v>760</v>
      </c>
      <c r="D672" s="148" t="s">
        <v>1728</v>
      </c>
      <c r="E672" s="148" t="s">
        <v>13</v>
      </c>
      <c r="F672" s="148" t="s">
        <v>1470</v>
      </c>
      <c r="G672" s="148" t="s">
        <v>15</v>
      </c>
      <c r="H672" s="148" t="s">
        <v>87</v>
      </c>
      <c r="I672" s="161">
        <v>2015</v>
      </c>
      <c r="J672" s="161" t="s">
        <v>1453</v>
      </c>
      <c r="K672" s="161" t="s">
        <v>1454</v>
      </c>
      <c r="L672" s="161" t="s">
        <v>19</v>
      </c>
      <c r="M672" s="453" t="s">
        <v>4248</v>
      </c>
      <c r="N672" s="186" t="s">
        <v>20</v>
      </c>
      <c r="O672" s="186" t="s">
        <v>15</v>
      </c>
      <c r="P672" s="186" t="s">
        <v>20</v>
      </c>
      <c r="Q672" s="186" t="s">
        <v>20</v>
      </c>
      <c r="R672" s="186" t="s">
        <v>20</v>
      </c>
      <c r="S672" s="186" t="s">
        <v>20</v>
      </c>
      <c r="T672" s="186" t="s">
        <v>20</v>
      </c>
      <c r="U672" s="186" t="s">
        <v>15</v>
      </c>
      <c r="V672" s="186" t="s">
        <v>20</v>
      </c>
      <c r="W672" s="186" t="s">
        <v>15</v>
      </c>
      <c r="X672" s="186" t="s">
        <v>15</v>
      </c>
      <c r="Y672" s="186" t="s">
        <v>15</v>
      </c>
      <c r="Z672" s="186"/>
      <c r="AA672" s="186" t="s">
        <v>1455</v>
      </c>
      <c r="AB672" s="186" t="s">
        <v>292</v>
      </c>
      <c r="AC672" s="186" t="s">
        <v>122</v>
      </c>
      <c r="AD672" s="268" t="s">
        <v>1456</v>
      </c>
      <c r="AE672" s="268" t="s">
        <v>1331</v>
      </c>
      <c r="AF672" s="144" t="str">
        <f t="shared" si="49"/>
        <v/>
      </c>
      <c r="AG672" s="144" t="str">
        <f t="shared" si="52"/>
        <v/>
      </c>
      <c r="AH672" s="146">
        <f t="shared" si="50"/>
        <v>1.93</v>
      </c>
      <c r="AI672" s="146">
        <f t="shared" si="51"/>
        <v>2.06</v>
      </c>
      <c r="AJ672" s="303"/>
      <c r="AK672" s="303"/>
      <c r="AL672" s="303"/>
      <c r="AM672" s="303"/>
      <c r="AN672" s="303"/>
      <c r="AO672" s="303"/>
      <c r="AP672" s="303"/>
      <c r="AQ672" s="303"/>
      <c r="AR672" s="303"/>
      <c r="AS672" s="170"/>
      <c r="AT672" s="170"/>
      <c r="AU672" s="310"/>
      <c r="AW672" s="294">
        <v>1.93</v>
      </c>
      <c r="AX672" s="294">
        <v>0.04</v>
      </c>
      <c r="AY672" s="294">
        <v>0.09</v>
      </c>
      <c r="AZ672" s="294">
        <v>0.83</v>
      </c>
      <c r="BA672" s="294">
        <v>0.2</v>
      </c>
      <c r="BB672" s="294"/>
      <c r="BC672" s="294"/>
      <c r="BD672" s="294"/>
      <c r="BE672" s="294"/>
      <c r="BF672" s="383">
        <v>1.93</v>
      </c>
      <c r="BG672" s="383">
        <v>3.07</v>
      </c>
      <c r="BH672" s="278"/>
      <c r="BI672" s="365"/>
      <c r="BJ672" s="409"/>
    </row>
    <row r="673" spans="1:62" ht="15.75" customHeight="1" thickBot="1" x14ac:dyDescent="0.25">
      <c r="A673" s="156">
        <v>674</v>
      </c>
      <c r="B673" s="155">
        <v>1</v>
      </c>
      <c r="C673" s="148" t="s">
        <v>760</v>
      </c>
      <c r="D673" s="148" t="s">
        <v>1471</v>
      </c>
      <c r="E673" s="148" t="s">
        <v>13</v>
      </c>
      <c r="F673" s="148" t="s">
        <v>1472</v>
      </c>
      <c r="G673" s="148" t="s">
        <v>15</v>
      </c>
      <c r="H673" s="148" t="s">
        <v>87</v>
      </c>
      <c r="I673" s="161">
        <v>2015</v>
      </c>
      <c r="J673" s="161" t="s">
        <v>1453</v>
      </c>
      <c r="K673" s="161" t="s">
        <v>1454</v>
      </c>
      <c r="L673" s="161" t="s">
        <v>19</v>
      </c>
      <c r="M673" s="453" t="s">
        <v>4248</v>
      </c>
      <c r="N673" s="186" t="s">
        <v>20</v>
      </c>
      <c r="O673" s="186" t="s">
        <v>15</v>
      </c>
      <c r="P673" s="186" t="s">
        <v>20</v>
      </c>
      <c r="Q673" s="186" t="s">
        <v>20</v>
      </c>
      <c r="R673" s="186" t="s">
        <v>20</v>
      </c>
      <c r="S673" s="186" t="s">
        <v>20</v>
      </c>
      <c r="T673" s="186" t="s">
        <v>20</v>
      </c>
      <c r="U673" s="186" t="s">
        <v>15</v>
      </c>
      <c r="V673" s="186" t="s">
        <v>20</v>
      </c>
      <c r="W673" s="186" t="s">
        <v>15</v>
      </c>
      <c r="X673" s="186" t="s">
        <v>15</v>
      </c>
      <c r="Y673" s="186" t="s">
        <v>15</v>
      </c>
      <c r="Z673" s="186"/>
      <c r="AA673" s="186" t="s">
        <v>1455</v>
      </c>
      <c r="AB673" s="186" t="s">
        <v>292</v>
      </c>
      <c r="AC673" s="186" t="s">
        <v>122</v>
      </c>
      <c r="AD673" s="268" t="s">
        <v>1456</v>
      </c>
      <c r="AE673" s="268" t="s">
        <v>1331</v>
      </c>
      <c r="AF673" s="144" t="str">
        <f t="shared" si="49"/>
        <v/>
      </c>
      <c r="AG673" s="144" t="str">
        <f t="shared" si="52"/>
        <v/>
      </c>
      <c r="AH673" s="146">
        <f t="shared" si="50"/>
        <v>2.41</v>
      </c>
      <c r="AI673" s="146">
        <f t="shared" si="51"/>
        <v>2.6100000000000003</v>
      </c>
      <c r="AJ673" s="303"/>
      <c r="AK673" s="303"/>
      <c r="AL673" s="303"/>
      <c r="AM673" s="303"/>
      <c r="AN673" s="303"/>
      <c r="AO673" s="303"/>
      <c r="AP673" s="303"/>
      <c r="AQ673" s="303"/>
      <c r="AR673" s="303"/>
      <c r="AS673" s="170"/>
      <c r="AT673" s="170"/>
      <c r="AU673" s="310"/>
      <c r="AW673" s="294">
        <v>2.41</v>
      </c>
      <c r="AX673" s="294">
        <v>0.04</v>
      </c>
      <c r="AY673" s="294">
        <v>0.16</v>
      </c>
      <c r="AZ673" s="294">
        <v>0.61</v>
      </c>
      <c r="BA673" s="294">
        <v>0.2</v>
      </c>
      <c r="BB673" s="294"/>
      <c r="BC673" s="294"/>
      <c r="BD673" s="294"/>
      <c r="BE673" s="294"/>
      <c r="BF673" s="383">
        <v>2.41</v>
      </c>
      <c r="BG673" s="383">
        <v>3.43</v>
      </c>
      <c r="BH673" s="278"/>
      <c r="BI673" s="365"/>
      <c r="BJ673" s="409"/>
    </row>
    <row r="674" spans="1:62" ht="15.75" customHeight="1" thickBot="1" x14ac:dyDescent="0.25">
      <c r="A674" s="154">
        <v>675</v>
      </c>
      <c r="B674" s="155">
        <v>1</v>
      </c>
      <c r="C674" s="148" t="s">
        <v>760</v>
      </c>
      <c r="D674" s="148" t="s">
        <v>1728</v>
      </c>
      <c r="E674" s="148" t="s">
        <v>13</v>
      </c>
      <c r="F674" s="148" t="s">
        <v>1473</v>
      </c>
      <c r="G674" s="148" t="s">
        <v>15</v>
      </c>
      <c r="H674" s="148" t="s">
        <v>87</v>
      </c>
      <c r="I674" s="161">
        <v>2015</v>
      </c>
      <c r="J674" s="161" t="s">
        <v>1453</v>
      </c>
      <c r="K674" s="161" t="s">
        <v>1454</v>
      </c>
      <c r="L674" s="161" t="s">
        <v>19</v>
      </c>
      <c r="M674" s="453" t="s">
        <v>4248</v>
      </c>
      <c r="N674" s="186" t="s">
        <v>20</v>
      </c>
      <c r="O674" s="186" t="s">
        <v>15</v>
      </c>
      <c r="P674" s="186" t="s">
        <v>20</v>
      </c>
      <c r="Q674" s="186" t="s">
        <v>20</v>
      </c>
      <c r="R674" s="186" t="s">
        <v>20</v>
      </c>
      <c r="S674" s="186" t="s">
        <v>20</v>
      </c>
      <c r="T674" s="186" t="s">
        <v>20</v>
      </c>
      <c r="U674" s="186" t="s">
        <v>15</v>
      </c>
      <c r="V674" s="186" t="s">
        <v>20</v>
      </c>
      <c r="W674" s="186" t="s">
        <v>15</v>
      </c>
      <c r="X674" s="186" t="s">
        <v>15</v>
      </c>
      <c r="Y674" s="186" t="s">
        <v>15</v>
      </c>
      <c r="Z674" s="186"/>
      <c r="AA674" s="186" t="s">
        <v>1455</v>
      </c>
      <c r="AB674" s="186" t="s">
        <v>292</v>
      </c>
      <c r="AC674" s="186" t="s">
        <v>122</v>
      </c>
      <c r="AD674" s="268" t="s">
        <v>1456</v>
      </c>
      <c r="AE674" s="268" t="s">
        <v>1331</v>
      </c>
      <c r="AF674" s="144" t="str">
        <f t="shared" si="49"/>
        <v/>
      </c>
      <c r="AG674" s="144" t="str">
        <f t="shared" si="52"/>
        <v/>
      </c>
      <c r="AH674" s="146">
        <f t="shared" si="50"/>
        <v>4.16</v>
      </c>
      <c r="AI674" s="146">
        <f t="shared" si="51"/>
        <v>4.3100000000000005</v>
      </c>
      <c r="AJ674" s="303"/>
      <c r="AK674" s="303"/>
      <c r="AL674" s="303"/>
      <c r="AM674" s="303"/>
      <c r="AN674" s="303"/>
      <c r="AO674" s="303"/>
      <c r="AP674" s="303"/>
      <c r="AQ674" s="303"/>
      <c r="AR674" s="303"/>
      <c r="AS674" s="170"/>
      <c r="AT674" s="170"/>
      <c r="AU674" s="310"/>
      <c r="AW674" s="294">
        <v>4.16</v>
      </c>
      <c r="AX674" s="294">
        <v>0.04</v>
      </c>
      <c r="AY674" s="294">
        <v>0.11</v>
      </c>
      <c r="AZ674" s="294">
        <v>0.28999999999999998</v>
      </c>
      <c r="BA674" s="294">
        <v>0.2</v>
      </c>
      <c r="BB674" s="294"/>
      <c r="BC674" s="294"/>
      <c r="BD674" s="294"/>
      <c r="BE674" s="294"/>
      <c r="BF674" s="383">
        <v>4.16</v>
      </c>
      <c r="BG674" s="383">
        <v>4.8</v>
      </c>
      <c r="BH674" s="278"/>
      <c r="BI674" s="365"/>
      <c r="BJ674" s="409"/>
    </row>
    <row r="675" spans="1:62" ht="15.75" customHeight="1" thickBot="1" x14ac:dyDescent="0.25">
      <c r="A675" s="156">
        <v>676</v>
      </c>
      <c r="B675" s="155">
        <v>1</v>
      </c>
      <c r="C675" s="148" t="s">
        <v>760</v>
      </c>
      <c r="D675" s="148" t="s">
        <v>1867</v>
      </c>
      <c r="E675" s="148" t="s">
        <v>13</v>
      </c>
      <c r="F675" s="148" t="s">
        <v>1474</v>
      </c>
      <c r="G675" s="148" t="s">
        <v>15</v>
      </c>
      <c r="H675" s="148" t="s">
        <v>1475</v>
      </c>
      <c r="I675" s="161">
        <v>2015</v>
      </c>
      <c r="J675" s="161" t="s">
        <v>1476</v>
      </c>
      <c r="K675" s="161" t="s">
        <v>1477</v>
      </c>
      <c r="L675" s="161" t="s">
        <v>19</v>
      </c>
      <c r="M675" s="453" t="s">
        <v>4249</v>
      </c>
      <c r="N675" s="186" t="s">
        <v>20</v>
      </c>
      <c r="O675" s="186" t="s">
        <v>15</v>
      </c>
      <c r="P675" s="186" t="s">
        <v>20</v>
      </c>
      <c r="Q675" s="186" t="s">
        <v>20</v>
      </c>
      <c r="R675" s="186" t="s">
        <v>20</v>
      </c>
      <c r="S675" s="186" t="s">
        <v>20</v>
      </c>
      <c r="T675" s="186" t="s">
        <v>20</v>
      </c>
      <c r="U675" s="186" t="s">
        <v>15</v>
      </c>
      <c r="V675" s="186" t="s">
        <v>15</v>
      </c>
      <c r="W675" s="186" t="s">
        <v>15</v>
      </c>
      <c r="X675" s="186" t="s">
        <v>15</v>
      </c>
      <c r="Y675" s="186" t="s">
        <v>15</v>
      </c>
      <c r="Z675" s="186"/>
      <c r="AA675" s="186" t="s">
        <v>1478</v>
      </c>
      <c r="AB675" s="186" t="s">
        <v>292</v>
      </c>
      <c r="AC675" s="186" t="s">
        <v>122</v>
      </c>
      <c r="AD675" s="268" t="s">
        <v>1479</v>
      </c>
      <c r="AE675" s="268" t="s">
        <v>604</v>
      </c>
      <c r="AF675" s="144" t="str">
        <f t="shared" si="49"/>
        <v/>
      </c>
      <c r="AG675" s="144" t="str">
        <f t="shared" si="52"/>
        <v/>
      </c>
      <c r="AH675" s="146" t="str">
        <f t="shared" si="50"/>
        <v/>
      </c>
      <c r="AI675" s="146">
        <f t="shared" si="51"/>
        <v>0.41424</v>
      </c>
      <c r="AJ675" s="303"/>
      <c r="AK675" s="303"/>
      <c r="AL675" s="303"/>
      <c r="AM675" s="303"/>
      <c r="AN675" s="303"/>
      <c r="AO675" s="303"/>
      <c r="AP675" s="303"/>
      <c r="AQ675" s="303"/>
      <c r="AR675" s="303"/>
      <c r="AS675" s="170"/>
      <c r="AT675" s="170"/>
      <c r="AU675" s="310"/>
      <c r="AW675" s="294"/>
      <c r="AX675" s="294">
        <v>8.702E-2</v>
      </c>
      <c r="AY675" s="294">
        <v>0.32722000000000001</v>
      </c>
      <c r="AZ675" s="294">
        <v>2.1930000000000002E-2</v>
      </c>
      <c r="BA675" s="294">
        <v>0.21873999999999999</v>
      </c>
      <c r="BB675" s="294"/>
      <c r="BC675" s="294"/>
      <c r="BD675" s="294"/>
      <c r="BE675" s="294"/>
      <c r="BF675" s="383"/>
      <c r="BG675" s="383">
        <f t="shared" ref="BG675:BG686" si="53">SUM(AV675:BB675)</f>
        <v>0.65490999999999999</v>
      </c>
      <c r="BH675" s="278"/>
      <c r="BI675" s="365" t="s">
        <v>47</v>
      </c>
      <c r="BJ675" s="411" t="s">
        <v>3098</v>
      </c>
    </row>
    <row r="676" spans="1:62" ht="15.75" customHeight="1" thickBot="1" x14ac:dyDescent="0.25">
      <c r="A676" s="154">
        <v>677</v>
      </c>
      <c r="B676" s="155">
        <v>1</v>
      </c>
      <c r="C676" s="148" t="s">
        <v>760</v>
      </c>
      <c r="D676" s="148" t="s">
        <v>1867</v>
      </c>
      <c r="E676" s="148" t="s">
        <v>13</v>
      </c>
      <c r="F676" s="148" t="s">
        <v>1480</v>
      </c>
      <c r="G676" s="148" t="s">
        <v>15</v>
      </c>
      <c r="H676" s="148" t="s">
        <v>1475</v>
      </c>
      <c r="I676" s="161">
        <v>2015</v>
      </c>
      <c r="J676" s="161" t="s">
        <v>1476</v>
      </c>
      <c r="K676" s="161" t="s">
        <v>1477</v>
      </c>
      <c r="L676" s="161" t="s">
        <v>19</v>
      </c>
      <c r="M676" s="453" t="s">
        <v>4249</v>
      </c>
      <c r="N676" s="186" t="s">
        <v>20</v>
      </c>
      <c r="O676" s="186" t="s">
        <v>15</v>
      </c>
      <c r="P676" s="186" t="s">
        <v>20</v>
      </c>
      <c r="Q676" s="186" t="s">
        <v>20</v>
      </c>
      <c r="R676" s="186" t="s">
        <v>20</v>
      </c>
      <c r="S676" s="186" t="s">
        <v>20</v>
      </c>
      <c r="T676" s="186" t="s">
        <v>20</v>
      </c>
      <c r="U676" s="186" t="s">
        <v>15</v>
      </c>
      <c r="V676" s="186" t="s">
        <v>15</v>
      </c>
      <c r="W676" s="186" t="s">
        <v>15</v>
      </c>
      <c r="X676" s="186" t="s">
        <v>15</v>
      </c>
      <c r="Y676" s="186" t="s">
        <v>15</v>
      </c>
      <c r="Z676" s="186"/>
      <c r="AA676" s="186" t="s">
        <v>1478</v>
      </c>
      <c r="AB676" s="186" t="s">
        <v>292</v>
      </c>
      <c r="AC676" s="186" t="s">
        <v>122</v>
      </c>
      <c r="AD676" s="268" t="s">
        <v>1479</v>
      </c>
      <c r="AE676" s="268" t="s">
        <v>604</v>
      </c>
      <c r="AF676" s="144" t="str">
        <f t="shared" si="49"/>
        <v/>
      </c>
      <c r="AG676" s="144" t="str">
        <f t="shared" si="52"/>
        <v/>
      </c>
      <c r="AH676" s="146" t="str">
        <f t="shared" si="50"/>
        <v/>
      </c>
      <c r="AI676" s="146">
        <f t="shared" si="51"/>
        <v>0.14235</v>
      </c>
      <c r="AJ676" s="303"/>
      <c r="AK676" s="303"/>
      <c r="AL676" s="303"/>
      <c r="AM676" s="303"/>
      <c r="AN676" s="303"/>
      <c r="AO676" s="303"/>
      <c r="AP676" s="303"/>
      <c r="AQ676" s="303"/>
      <c r="AR676" s="303"/>
      <c r="AS676" s="170"/>
      <c r="AT676" s="170"/>
      <c r="AU676" s="310"/>
      <c r="AW676" s="294"/>
      <c r="AX676" s="294">
        <v>8.702E-2</v>
      </c>
      <c r="AY676" s="294">
        <v>5.5329999999999997E-2</v>
      </c>
      <c r="AZ676" s="294">
        <v>2.1930000000000002E-2</v>
      </c>
      <c r="BA676" s="294">
        <v>0.21873999999999999</v>
      </c>
      <c r="BB676" s="294"/>
      <c r="BC676" s="294"/>
      <c r="BD676" s="294"/>
      <c r="BE676" s="294"/>
      <c r="BF676" s="383"/>
      <c r="BG676" s="383">
        <f t="shared" si="53"/>
        <v>0.38302000000000003</v>
      </c>
      <c r="BH676" s="278"/>
      <c r="BI676" s="365" t="s">
        <v>47</v>
      </c>
      <c r="BJ676" s="411" t="s">
        <v>3098</v>
      </c>
    </row>
    <row r="677" spans="1:62" ht="15.75" customHeight="1" thickBot="1" x14ac:dyDescent="0.25">
      <c r="A677" s="156">
        <v>678</v>
      </c>
      <c r="B677" s="155">
        <v>1</v>
      </c>
      <c r="C677" s="148" t="s">
        <v>760</v>
      </c>
      <c r="D677" s="148" t="s">
        <v>1867</v>
      </c>
      <c r="E677" s="148" t="s">
        <v>13</v>
      </c>
      <c r="F677" s="148" t="s">
        <v>1481</v>
      </c>
      <c r="G677" s="148" t="s">
        <v>15</v>
      </c>
      <c r="H677" s="148" t="s">
        <v>1475</v>
      </c>
      <c r="I677" s="161">
        <v>2015</v>
      </c>
      <c r="J677" s="161" t="s">
        <v>1476</v>
      </c>
      <c r="K677" s="161" t="s">
        <v>1477</v>
      </c>
      <c r="L677" s="161" t="s">
        <v>19</v>
      </c>
      <c r="M677" s="453" t="s">
        <v>4249</v>
      </c>
      <c r="N677" s="186" t="s">
        <v>20</v>
      </c>
      <c r="O677" s="186" t="s">
        <v>15</v>
      </c>
      <c r="P677" s="186" t="s">
        <v>20</v>
      </c>
      <c r="Q677" s="186" t="s">
        <v>20</v>
      </c>
      <c r="R677" s="186" t="s">
        <v>20</v>
      </c>
      <c r="S677" s="186" t="s">
        <v>20</v>
      </c>
      <c r="T677" s="186" t="s">
        <v>20</v>
      </c>
      <c r="U677" s="186" t="s">
        <v>15</v>
      </c>
      <c r="V677" s="186" t="s">
        <v>15</v>
      </c>
      <c r="W677" s="186" t="s">
        <v>15</v>
      </c>
      <c r="X677" s="186" t="s">
        <v>15</v>
      </c>
      <c r="Y677" s="186" t="s">
        <v>15</v>
      </c>
      <c r="Z677" s="186"/>
      <c r="AA677" s="186" t="s">
        <v>1478</v>
      </c>
      <c r="AB677" s="186" t="s">
        <v>292</v>
      </c>
      <c r="AC677" s="186" t="s">
        <v>122</v>
      </c>
      <c r="AD677" s="268" t="s">
        <v>1479</v>
      </c>
      <c r="AE677" s="268" t="s">
        <v>604</v>
      </c>
      <c r="AF677" s="144" t="str">
        <f t="shared" si="49"/>
        <v/>
      </c>
      <c r="AG677" s="144" t="str">
        <f t="shared" si="52"/>
        <v/>
      </c>
      <c r="AH677" s="146" t="str">
        <f t="shared" si="50"/>
        <v/>
      </c>
      <c r="AI677" s="146">
        <f t="shared" si="51"/>
        <v>1.9833500000000002</v>
      </c>
      <c r="AJ677" s="303"/>
      <c r="AK677" s="303"/>
      <c r="AL677" s="303"/>
      <c r="AM677" s="303"/>
      <c r="AN677" s="303"/>
      <c r="AO677" s="303"/>
      <c r="AP677" s="303"/>
      <c r="AQ677" s="303"/>
      <c r="AR677" s="303"/>
      <c r="AS677" s="170"/>
      <c r="AT677" s="170"/>
      <c r="AU677" s="310"/>
      <c r="AW677" s="294"/>
      <c r="AX677" s="294">
        <v>8.702E-2</v>
      </c>
      <c r="AY677" s="294">
        <v>1.8963300000000001</v>
      </c>
      <c r="AZ677" s="294">
        <v>2.1930000000000002E-2</v>
      </c>
      <c r="BA677" s="294">
        <v>0.21873999999999999</v>
      </c>
      <c r="BB677" s="294"/>
      <c r="BC677" s="294"/>
      <c r="BD677" s="294"/>
      <c r="BE677" s="294"/>
      <c r="BF677" s="383"/>
      <c r="BG677" s="383">
        <f t="shared" si="53"/>
        <v>2.2240199999999999</v>
      </c>
      <c r="BH677" s="278"/>
      <c r="BI677" s="365" t="s">
        <v>47</v>
      </c>
      <c r="BJ677" s="411" t="s">
        <v>3098</v>
      </c>
    </row>
    <row r="678" spans="1:62" ht="15.75" customHeight="1" thickBot="1" x14ac:dyDescent="0.25">
      <c r="A678" s="154">
        <v>679</v>
      </c>
      <c r="B678" s="155">
        <v>1</v>
      </c>
      <c r="C678" s="148" t="s">
        <v>760</v>
      </c>
      <c r="D678" s="148" t="s">
        <v>1867</v>
      </c>
      <c r="E678" s="148" t="s">
        <v>13</v>
      </c>
      <c r="F678" s="148" t="s">
        <v>1482</v>
      </c>
      <c r="G678" s="148" t="s">
        <v>15</v>
      </c>
      <c r="H678" s="148" t="s">
        <v>1475</v>
      </c>
      <c r="I678" s="161">
        <v>2015</v>
      </c>
      <c r="J678" s="161" t="s">
        <v>1476</v>
      </c>
      <c r="K678" s="161" t="s">
        <v>1477</v>
      </c>
      <c r="L678" s="161" t="s">
        <v>19</v>
      </c>
      <c r="M678" s="453" t="s">
        <v>4249</v>
      </c>
      <c r="N678" s="186" t="s">
        <v>20</v>
      </c>
      <c r="O678" s="186" t="s">
        <v>15</v>
      </c>
      <c r="P678" s="186" t="s">
        <v>20</v>
      </c>
      <c r="Q678" s="186" t="s">
        <v>20</v>
      </c>
      <c r="R678" s="186" t="s">
        <v>20</v>
      </c>
      <c r="S678" s="186" t="s">
        <v>20</v>
      </c>
      <c r="T678" s="186" t="s">
        <v>20</v>
      </c>
      <c r="U678" s="186" t="s">
        <v>15</v>
      </c>
      <c r="V678" s="186" t="s">
        <v>15</v>
      </c>
      <c r="W678" s="186" t="s">
        <v>15</v>
      </c>
      <c r="X678" s="186" t="s">
        <v>15</v>
      </c>
      <c r="Y678" s="186" t="s">
        <v>15</v>
      </c>
      <c r="Z678" s="186"/>
      <c r="AA678" s="186" t="s">
        <v>1478</v>
      </c>
      <c r="AB678" s="186" t="s">
        <v>292</v>
      </c>
      <c r="AC678" s="186" t="s">
        <v>122</v>
      </c>
      <c r="AD678" s="268" t="s">
        <v>1479</v>
      </c>
      <c r="AE678" s="268" t="s">
        <v>604</v>
      </c>
      <c r="AF678" s="144" t="str">
        <f t="shared" si="49"/>
        <v/>
      </c>
      <c r="AG678" s="144" t="str">
        <f t="shared" si="52"/>
        <v/>
      </c>
      <c r="AH678" s="146" t="str">
        <f t="shared" si="50"/>
        <v/>
      </c>
      <c r="AI678" s="146">
        <f t="shared" si="51"/>
        <v>3.2003399999999997</v>
      </c>
      <c r="AJ678" s="303"/>
      <c r="AK678" s="303"/>
      <c r="AL678" s="303"/>
      <c r="AM678" s="303"/>
      <c r="AN678" s="303"/>
      <c r="AO678" s="303"/>
      <c r="AP678" s="303"/>
      <c r="AQ678" s="303"/>
      <c r="AR678" s="303"/>
      <c r="AS678" s="170"/>
      <c r="AT678" s="170"/>
      <c r="AU678" s="310"/>
      <c r="AW678" s="294"/>
      <c r="AX678" s="294">
        <v>8.702E-2</v>
      </c>
      <c r="AY678" s="294">
        <v>3.1133199999999999</v>
      </c>
      <c r="AZ678" s="294">
        <v>2.1930000000000002E-2</v>
      </c>
      <c r="BA678" s="294">
        <v>0.21873999999999999</v>
      </c>
      <c r="BB678" s="294"/>
      <c r="BC678" s="294"/>
      <c r="BD678" s="294"/>
      <c r="BE678" s="294"/>
      <c r="BF678" s="383"/>
      <c r="BG678" s="383">
        <f t="shared" si="53"/>
        <v>3.4410099999999995</v>
      </c>
      <c r="BH678" s="278"/>
      <c r="BI678" s="365" t="s">
        <v>47</v>
      </c>
      <c r="BJ678" s="411" t="s">
        <v>3098</v>
      </c>
    </row>
    <row r="679" spans="1:62" ht="15.75" customHeight="1" thickBot="1" x14ac:dyDescent="0.25">
      <c r="A679" s="156">
        <v>680</v>
      </c>
      <c r="B679" s="155">
        <v>1</v>
      </c>
      <c r="C679" s="148" t="s">
        <v>760</v>
      </c>
      <c r="D679" s="148" t="s">
        <v>1867</v>
      </c>
      <c r="E679" s="148" t="s">
        <v>13</v>
      </c>
      <c r="F679" s="148" t="s">
        <v>1483</v>
      </c>
      <c r="G679" s="148" t="s">
        <v>15</v>
      </c>
      <c r="H679" s="148" t="s">
        <v>1475</v>
      </c>
      <c r="I679" s="161">
        <v>2015</v>
      </c>
      <c r="J679" s="161" t="s">
        <v>1476</v>
      </c>
      <c r="K679" s="161" t="s">
        <v>1477</v>
      </c>
      <c r="L679" s="161" t="s">
        <v>19</v>
      </c>
      <c r="M679" s="453" t="s">
        <v>4249</v>
      </c>
      <c r="N679" s="186" t="s">
        <v>20</v>
      </c>
      <c r="O679" s="186" t="s">
        <v>15</v>
      </c>
      <c r="P679" s="186" t="s">
        <v>20</v>
      </c>
      <c r="Q679" s="186" t="s">
        <v>20</v>
      </c>
      <c r="R679" s="186" t="s">
        <v>20</v>
      </c>
      <c r="S679" s="186" t="s">
        <v>20</v>
      </c>
      <c r="T679" s="186" t="s">
        <v>20</v>
      </c>
      <c r="U679" s="186" t="s">
        <v>15</v>
      </c>
      <c r="V679" s="186" t="s">
        <v>15</v>
      </c>
      <c r="W679" s="186" t="s">
        <v>15</v>
      </c>
      <c r="X679" s="186" t="s">
        <v>15</v>
      </c>
      <c r="Y679" s="186" t="s">
        <v>15</v>
      </c>
      <c r="Z679" s="186"/>
      <c r="AA679" s="186" t="s">
        <v>1478</v>
      </c>
      <c r="AB679" s="186" t="s">
        <v>292</v>
      </c>
      <c r="AC679" s="186" t="s">
        <v>122</v>
      </c>
      <c r="AD679" s="268" t="s">
        <v>1479</v>
      </c>
      <c r="AE679" s="268" t="s">
        <v>604</v>
      </c>
      <c r="AF679" s="144" t="str">
        <f t="shared" si="49"/>
        <v/>
      </c>
      <c r="AG679" s="144" t="str">
        <f t="shared" si="52"/>
        <v/>
      </c>
      <c r="AH679" s="146" t="str">
        <f t="shared" si="50"/>
        <v/>
      </c>
      <c r="AI679" s="146">
        <f t="shared" si="51"/>
        <v>1.1412</v>
      </c>
      <c r="AJ679" s="303"/>
      <c r="AK679" s="303"/>
      <c r="AL679" s="303"/>
      <c r="AM679" s="303"/>
      <c r="AN679" s="303"/>
      <c r="AO679" s="303"/>
      <c r="AP679" s="303"/>
      <c r="AQ679" s="303"/>
      <c r="AR679" s="303"/>
      <c r="AS679" s="170"/>
      <c r="AT679" s="170"/>
      <c r="AU679" s="310"/>
      <c r="AW679" s="294"/>
      <c r="AX679" s="294">
        <v>8.702E-2</v>
      </c>
      <c r="AY679" s="294">
        <v>1.0541799999999999</v>
      </c>
      <c r="AZ679" s="294">
        <v>2.1930000000000002E-2</v>
      </c>
      <c r="BA679" s="294">
        <v>0.21873999999999999</v>
      </c>
      <c r="BB679" s="294"/>
      <c r="BC679" s="294"/>
      <c r="BD679" s="294"/>
      <c r="BE679" s="294"/>
      <c r="BF679" s="383"/>
      <c r="BG679" s="383">
        <f t="shared" si="53"/>
        <v>1.3818699999999999</v>
      </c>
      <c r="BH679" s="278"/>
      <c r="BI679" s="365" t="s">
        <v>47</v>
      </c>
      <c r="BJ679" s="411" t="s">
        <v>3098</v>
      </c>
    </row>
    <row r="680" spans="1:62" ht="15.75" customHeight="1" thickBot="1" x14ac:dyDescent="0.25">
      <c r="A680" s="154">
        <v>681</v>
      </c>
      <c r="B680" s="155">
        <v>1</v>
      </c>
      <c r="C680" s="148" t="s">
        <v>760</v>
      </c>
      <c r="D680" s="148" t="s">
        <v>1867</v>
      </c>
      <c r="E680" s="148" t="s">
        <v>13</v>
      </c>
      <c r="F680" s="148" t="s">
        <v>1484</v>
      </c>
      <c r="G680" s="148" t="s">
        <v>15</v>
      </c>
      <c r="H680" s="148" t="s">
        <v>1475</v>
      </c>
      <c r="I680" s="161">
        <v>2015</v>
      </c>
      <c r="J680" s="161" t="s">
        <v>1476</v>
      </c>
      <c r="K680" s="161" t="s">
        <v>1477</v>
      </c>
      <c r="L680" s="161" t="s">
        <v>19</v>
      </c>
      <c r="M680" s="453" t="s">
        <v>4249</v>
      </c>
      <c r="N680" s="186" t="s">
        <v>20</v>
      </c>
      <c r="O680" s="186" t="s">
        <v>15</v>
      </c>
      <c r="P680" s="186" t="s">
        <v>20</v>
      </c>
      <c r="Q680" s="186" t="s">
        <v>20</v>
      </c>
      <c r="R680" s="186" t="s">
        <v>20</v>
      </c>
      <c r="S680" s="186" t="s">
        <v>20</v>
      </c>
      <c r="T680" s="186" t="s">
        <v>20</v>
      </c>
      <c r="U680" s="186" t="s">
        <v>15</v>
      </c>
      <c r="V680" s="186" t="s">
        <v>15</v>
      </c>
      <c r="W680" s="186" t="s">
        <v>15</v>
      </c>
      <c r="X680" s="186" t="s">
        <v>15</v>
      </c>
      <c r="Y680" s="186" t="s">
        <v>15</v>
      </c>
      <c r="Z680" s="186"/>
      <c r="AA680" s="186" t="s">
        <v>1478</v>
      </c>
      <c r="AB680" s="186" t="s">
        <v>292</v>
      </c>
      <c r="AC680" s="186" t="s">
        <v>122</v>
      </c>
      <c r="AD680" s="268" t="s">
        <v>1479</v>
      </c>
      <c r="AE680" s="268" t="s">
        <v>604</v>
      </c>
      <c r="AF680" s="144" t="str">
        <f t="shared" si="49"/>
        <v/>
      </c>
      <c r="AG680" s="144" t="str">
        <f t="shared" si="52"/>
        <v/>
      </c>
      <c r="AH680" s="146" t="str">
        <f t="shared" si="50"/>
        <v/>
      </c>
      <c r="AI680" s="146">
        <f t="shared" si="51"/>
        <v>2.2345999999999999</v>
      </c>
      <c r="AJ680" s="303"/>
      <c r="AK680" s="303"/>
      <c r="AL680" s="303"/>
      <c r="AM680" s="303"/>
      <c r="AN680" s="303"/>
      <c r="AO680" s="303"/>
      <c r="AP680" s="303"/>
      <c r="AQ680" s="303"/>
      <c r="AR680" s="303"/>
      <c r="AS680" s="170"/>
      <c r="AT680" s="170"/>
      <c r="AU680" s="310"/>
      <c r="AW680" s="294"/>
      <c r="AX680" s="294">
        <v>8.702E-2</v>
      </c>
      <c r="AY680" s="294">
        <v>2.14758</v>
      </c>
      <c r="AZ680" s="294">
        <v>2.1930000000000002E-2</v>
      </c>
      <c r="BA680" s="294">
        <v>0.21873999999999999</v>
      </c>
      <c r="BB680" s="294"/>
      <c r="BC680" s="294"/>
      <c r="BD680" s="294"/>
      <c r="BE680" s="294"/>
      <c r="BF680" s="383"/>
      <c r="BG680" s="383">
        <f t="shared" si="53"/>
        <v>2.4752699999999996</v>
      </c>
      <c r="BH680" s="278"/>
      <c r="BI680" s="365" t="s">
        <v>47</v>
      </c>
      <c r="BJ680" s="411" t="s">
        <v>3098</v>
      </c>
    </row>
    <row r="681" spans="1:62" ht="15.75" customHeight="1" thickBot="1" x14ac:dyDescent="0.25">
      <c r="A681" s="156">
        <v>682</v>
      </c>
      <c r="B681" s="155">
        <v>1</v>
      </c>
      <c r="C681" s="148" t="s">
        <v>760</v>
      </c>
      <c r="D681" s="148" t="s">
        <v>1867</v>
      </c>
      <c r="E681" s="148" t="s">
        <v>13</v>
      </c>
      <c r="F681" s="148" t="s">
        <v>1485</v>
      </c>
      <c r="G681" s="148" t="s">
        <v>15</v>
      </c>
      <c r="H681" s="148" t="s">
        <v>1475</v>
      </c>
      <c r="I681" s="161">
        <v>2015</v>
      </c>
      <c r="J681" s="161" t="s">
        <v>1476</v>
      </c>
      <c r="K681" s="161" t="s">
        <v>1477</v>
      </c>
      <c r="L681" s="161" t="s">
        <v>19</v>
      </c>
      <c r="M681" s="453" t="s">
        <v>4249</v>
      </c>
      <c r="N681" s="186" t="s">
        <v>20</v>
      </c>
      <c r="O681" s="186" t="s">
        <v>15</v>
      </c>
      <c r="P681" s="186" t="s">
        <v>20</v>
      </c>
      <c r="Q681" s="186" t="s">
        <v>20</v>
      </c>
      <c r="R681" s="186" t="s">
        <v>20</v>
      </c>
      <c r="S681" s="186" t="s">
        <v>20</v>
      </c>
      <c r="T681" s="186" t="s">
        <v>20</v>
      </c>
      <c r="U681" s="186" t="s">
        <v>15</v>
      </c>
      <c r="V681" s="186" t="s">
        <v>15</v>
      </c>
      <c r="W681" s="186" t="s">
        <v>15</v>
      </c>
      <c r="X681" s="186" t="s">
        <v>15</v>
      </c>
      <c r="Y681" s="186" t="s">
        <v>15</v>
      </c>
      <c r="Z681" s="186"/>
      <c r="AA681" s="186" t="s">
        <v>1478</v>
      </c>
      <c r="AB681" s="186" t="s">
        <v>292</v>
      </c>
      <c r="AC681" s="186" t="s">
        <v>122</v>
      </c>
      <c r="AD681" s="268" t="s">
        <v>1479</v>
      </c>
      <c r="AE681" s="268" t="s">
        <v>604</v>
      </c>
      <c r="AF681" s="144" t="str">
        <f t="shared" si="49"/>
        <v/>
      </c>
      <c r="AG681" s="144" t="str">
        <f t="shared" si="52"/>
        <v/>
      </c>
      <c r="AH681" s="146" t="str">
        <f t="shared" si="50"/>
        <v/>
      </c>
      <c r="AI681" s="146">
        <f t="shared" si="51"/>
        <v>1.97007</v>
      </c>
      <c r="AJ681" s="303"/>
      <c r="AK681" s="303"/>
      <c r="AL681" s="303"/>
      <c r="AM681" s="303"/>
      <c r="AN681" s="303"/>
      <c r="AO681" s="303"/>
      <c r="AP681" s="303"/>
      <c r="AQ681" s="303"/>
      <c r="AR681" s="303"/>
      <c r="AS681" s="170"/>
      <c r="AT681" s="170"/>
      <c r="AU681" s="310"/>
      <c r="AW681" s="294"/>
      <c r="AX681" s="294">
        <v>1.6428499999999999</v>
      </c>
      <c r="AY681" s="294">
        <v>0.32722000000000001</v>
      </c>
      <c r="AZ681" s="294">
        <v>2.0310000000000002E-2</v>
      </c>
      <c r="BA681" s="294">
        <v>0.36062</v>
      </c>
      <c r="BB681" s="294"/>
      <c r="BC681" s="294"/>
      <c r="BD681" s="294"/>
      <c r="BE681" s="294"/>
      <c r="BF681" s="383"/>
      <c r="BG681" s="383">
        <f t="shared" si="53"/>
        <v>2.351</v>
      </c>
      <c r="BH681" s="278"/>
      <c r="BI681" s="365" t="s">
        <v>47</v>
      </c>
      <c r="BJ681" s="411" t="s">
        <v>3098</v>
      </c>
    </row>
    <row r="682" spans="1:62" ht="15.75" customHeight="1" thickBot="1" x14ac:dyDescent="0.25">
      <c r="A682" s="154">
        <v>683</v>
      </c>
      <c r="B682" s="155">
        <v>1</v>
      </c>
      <c r="C682" s="148" t="s">
        <v>760</v>
      </c>
      <c r="D682" s="148" t="s">
        <v>1867</v>
      </c>
      <c r="E682" s="148" t="s">
        <v>13</v>
      </c>
      <c r="F682" s="148" t="s">
        <v>1486</v>
      </c>
      <c r="G682" s="148" t="s">
        <v>15</v>
      </c>
      <c r="H682" s="148" t="s">
        <v>1475</v>
      </c>
      <c r="I682" s="161">
        <v>2015</v>
      </c>
      <c r="J682" s="161" t="s">
        <v>1476</v>
      </c>
      <c r="K682" s="161" t="s">
        <v>1477</v>
      </c>
      <c r="L682" s="161" t="s">
        <v>19</v>
      </c>
      <c r="M682" s="453" t="s">
        <v>4249</v>
      </c>
      <c r="N682" s="186" t="s">
        <v>20</v>
      </c>
      <c r="O682" s="186" t="s">
        <v>15</v>
      </c>
      <c r="P682" s="186" t="s">
        <v>20</v>
      </c>
      <c r="Q682" s="186" t="s">
        <v>20</v>
      </c>
      <c r="R682" s="186" t="s">
        <v>20</v>
      </c>
      <c r="S682" s="186" t="s">
        <v>20</v>
      </c>
      <c r="T682" s="186" t="s">
        <v>20</v>
      </c>
      <c r="U682" s="186" t="s">
        <v>15</v>
      </c>
      <c r="V682" s="186" t="s">
        <v>15</v>
      </c>
      <c r="W682" s="186" t="s">
        <v>15</v>
      </c>
      <c r="X682" s="186" t="s">
        <v>15</v>
      </c>
      <c r="Y682" s="186" t="s">
        <v>15</v>
      </c>
      <c r="Z682" s="186"/>
      <c r="AA682" s="186" t="s">
        <v>1478</v>
      </c>
      <c r="AB682" s="186" t="s">
        <v>292</v>
      </c>
      <c r="AC682" s="186" t="s">
        <v>122</v>
      </c>
      <c r="AD682" s="268" t="s">
        <v>1479</v>
      </c>
      <c r="AE682" s="268" t="s">
        <v>604</v>
      </c>
      <c r="AF682" s="144" t="str">
        <f t="shared" si="49"/>
        <v/>
      </c>
      <c r="AG682" s="144" t="str">
        <f t="shared" si="52"/>
        <v/>
      </c>
      <c r="AH682" s="146" t="str">
        <f t="shared" si="50"/>
        <v/>
      </c>
      <c r="AI682" s="146">
        <f t="shared" si="51"/>
        <v>1.69818</v>
      </c>
      <c r="AJ682" s="303"/>
      <c r="AK682" s="303"/>
      <c r="AL682" s="303"/>
      <c r="AM682" s="303"/>
      <c r="AN682" s="303"/>
      <c r="AO682" s="303"/>
      <c r="AP682" s="303"/>
      <c r="AQ682" s="303"/>
      <c r="AR682" s="303"/>
      <c r="AS682" s="170"/>
      <c r="AT682" s="170"/>
      <c r="AU682" s="310"/>
      <c r="AW682" s="294"/>
      <c r="AX682" s="294">
        <v>1.6428499999999999</v>
      </c>
      <c r="AY682" s="294">
        <v>5.5329999999999997E-2</v>
      </c>
      <c r="AZ682" s="294">
        <v>2.0310000000000002E-2</v>
      </c>
      <c r="BA682" s="294">
        <v>0.36062</v>
      </c>
      <c r="BB682" s="294"/>
      <c r="BC682" s="294"/>
      <c r="BD682" s="294"/>
      <c r="BE682" s="294"/>
      <c r="BF682" s="383"/>
      <c r="BG682" s="383">
        <f t="shared" si="53"/>
        <v>2.07911</v>
      </c>
      <c r="BH682" s="278"/>
      <c r="BI682" s="365" t="s">
        <v>47</v>
      </c>
      <c r="BJ682" s="411" t="s">
        <v>3098</v>
      </c>
    </row>
    <row r="683" spans="1:62" ht="15.75" customHeight="1" thickBot="1" x14ac:dyDescent="0.25">
      <c r="A683" s="156">
        <v>684</v>
      </c>
      <c r="B683" s="155">
        <v>1</v>
      </c>
      <c r="C683" s="148" t="s">
        <v>760</v>
      </c>
      <c r="D683" s="148" t="s">
        <v>1867</v>
      </c>
      <c r="E683" s="148" t="s">
        <v>13</v>
      </c>
      <c r="F683" s="148" t="s">
        <v>1481</v>
      </c>
      <c r="G683" s="148" t="s">
        <v>15</v>
      </c>
      <c r="H683" s="148" t="s">
        <v>1475</v>
      </c>
      <c r="I683" s="161">
        <v>2015</v>
      </c>
      <c r="J683" s="161" t="s">
        <v>1476</v>
      </c>
      <c r="K683" s="161" t="s">
        <v>1477</v>
      </c>
      <c r="L683" s="161" t="s">
        <v>19</v>
      </c>
      <c r="M683" s="453" t="s">
        <v>4249</v>
      </c>
      <c r="N683" s="186" t="s">
        <v>20</v>
      </c>
      <c r="O683" s="186" t="s">
        <v>15</v>
      </c>
      <c r="P683" s="186" t="s">
        <v>20</v>
      </c>
      <c r="Q683" s="186" t="s">
        <v>20</v>
      </c>
      <c r="R683" s="186" t="s">
        <v>20</v>
      </c>
      <c r="S683" s="186" t="s">
        <v>20</v>
      </c>
      <c r="T683" s="186" t="s">
        <v>20</v>
      </c>
      <c r="U683" s="186" t="s">
        <v>15</v>
      </c>
      <c r="V683" s="186" t="s">
        <v>15</v>
      </c>
      <c r="W683" s="186" t="s">
        <v>15</v>
      </c>
      <c r="X683" s="186" t="s">
        <v>15</v>
      </c>
      <c r="Y683" s="186" t="s">
        <v>15</v>
      </c>
      <c r="Z683" s="186"/>
      <c r="AA683" s="186" t="s">
        <v>1478</v>
      </c>
      <c r="AB683" s="186" t="s">
        <v>292</v>
      </c>
      <c r="AC683" s="186" t="s">
        <v>122</v>
      </c>
      <c r="AD683" s="268" t="s">
        <v>1479</v>
      </c>
      <c r="AE683" s="268" t="s">
        <v>604</v>
      </c>
      <c r="AF683" s="144" t="str">
        <f t="shared" si="49"/>
        <v/>
      </c>
      <c r="AG683" s="144" t="str">
        <f t="shared" si="52"/>
        <v/>
      </c>
      <c r="AH683" s="146" t="str">
        <f t="shared" si="50"/>
        <v/>
      </c>
      <c r="AI683" s="146">
        <f t="shared" si="51"/>
        <v>3.53918</v>
      </c>
      <c r="AJ683" s="303"/>
      <c r="AK683" s="303"/>
      <c r="AL683" s="303"/>
      <c r="AM683" s="303"/>
      <c r="AN683" s="303"/>
      <c r="AO683" s="303"/>
      <c r="AP683" s="303"/>
      <c r="AQ683" s="303"/>
      <c r="AR683" s="303"/>
      <c r="AS683" s="170"/>
      <c r="AT683" s="170"/>
      <c r="AU683" s="310"/>
      <c r="AW683" s="294"/>
      <c r="AX683" s="294">
        <v>1.6428499999999999</v>
      </c>
      <c r="AY683" s="294">
        <v>1.8963300000000001</v>
      </c>
      <c r="AZ683" s="294">
        <v>2.0310000000000002E-2</v>
      </c>
      <c r="BA683" s="294">
        <v>0.36062</v>
      </c>
      <c r="BB683" s="294"/>
      <c r="BC683" s="294"/>
      <c r="BD683" s="294"/>
      <c r="BE683" s="294"/>
      <c r="BF683" s="383"/>
      <c r="BG683" s="383">
        <f t="shared" si="53"/>
        <v>3.9201099999999998</v>
      </c>
      <c r="BH683" s="278"/>
      <c r="BI683" s="365" t="s">
        <v>47</v>
      </c>
      <c r="BJ683" s="411" t="s">
        <v>3098</v>
      </c>
    </row>
    <row r="684" spans="1:62" ht="15.75" customHeight="1" thickBot="1" x14ac:dyDescent="0.25">
      <c r="A684" s="154">
        <v>685</v>
      </c>
      <c r="B684" s="155">
        <v>1</v>
      </c>
      <c r="C684" s="148" t="s">
        <v>760</v>
      </c>
      <c r="D684" s="148" t="s">
        <v>1867</v>
      </c>
      <c r="E684" s="148" t="s">
        <v>13</v>
      </c>
      <c r="F684" s="148" t="s">
        <v>1482</v>
      </c>
      <c r="G684" s="148" t="s">
        <v>15</v>
      </c>
      <c r="H684" s="148" t="s">
        <v>1475</v>
      </c>
      <c r="I684" s="161">
        <v>2015</v>
      </c>
      <c r="J684" s="161" t="s">
        <v>1476</v>
      </c>
      <c r="K684" s="161" t="s">
        <v>1477</v>
      </c>
      <c r="L684" s="161" t="s">
        <v>19</v>
      </c>
      <c r="M684" s="453" t="s">
        <v>4249</v>
      </c>
      <c r="N684" s="186" t="s">
        <v>20</v>
      </c>
      <c r="O684" s="186" t="s">
        <v>15</v>
      </c>
      <c r="P684" s="186" t="s">
        <v>20</v>
      </c>
      <c r="Q684" s="186" t="s">
        <v>20</v>
      </c>
      <c r="R684" s="186" t="s">
        <v>20</v>
      </c>
      <c r="S684" s="186" t="s">
        <v>20</v>
      </c>
      <c r="T684" s="186" t="s">
        <v>20</v>
      </c>
      <c r="U684" s="186" t="s">
        <v>15</v>
      </c>
      <c r="V684" s="186" t="s">
        <v>15</v>
      </c>
      <c r="W684" s="186" t="s">
        <v>15</v>
      </c>
      <c r="X684" s="186" t="s">
        <v>15</v>
      </c>
      <c r="Y684" s="186" t="s">
        <v>15</v>
      </c>
      <c r="Z684" s="186"/>
      <c r="AA684" s="186" t="s">
        <v>1478</v>
      </c>
      <c r="AB684" s="186" t="s">
        <v>292</v>
      </c>
      <c r="AC684" s="186" t="s">
        <v>122</v>
      </c>
      <c r="AD684" s="268" t="s">
        <v>1479</v>
      </c>
      <c r="AE684" s="268" t="s">
        <v>604</v>
      </c>
      <c r="AF684" s="144" t="str">
        <f t="shared" si="49"/>
        <v/>
      </c>
      <c r="AG684" s="144" t="str">
        <f t="shared" si="52"/>
        <v/>
      </c>
      <c r="AH684" s="146" t="str">
        <f t="shared" si="50"/>
        <v/>
      </c>
      <c r="AI684" s="146">
        <f t="shared" si="51"/>
        <v>4.75617</v>
      </c>
      <c r="AJ684" s="303"/>
      <c r="AK684" s="303"/>
      <c r="AL684" s="303"/>
      <c r="AM684" s="303"/>
      <c r="AN684" s="303"/>
      <c r="AO684" s="303"/>
      <c r="AP684" s="303"/>
      <c r="AQ684" s="303"/>
      <c r="AR684" s="303"/>
      <c r="AS684" s="170"/>
      <c r="AT684" s="170"/>
      <c r="AU684" s="310"/>
      <c r="AW684" s="294"/>
      <c r="AX684" s="294">
        <v>1.6428499999999999</v>
      </c>
      <c r="AY684" s="294">
        <v>3.1133199999999999</v>
      </c>
      <c r="AZ684" s="294">
        <v>2.0310000000000002E-2</v>
      </c>
      <c r="BA684" s="294">
        <v>0.36062</v>
      </c>
      <c r="BB684" s="294"/>
      <c r="BC684" s="294"/>
      <c r="BD684" s="294"/>
      <c r="BE684" s="294"/>
      <c r="BF684" s="383"/>
      <c r="BG684" s="383">
        <f t="shared" si="53"/>
        <v>5.1371000000000002</v>
      </c>
      <c r="BH684" s="278"/>
      <c r="BI684" s="365" t="s">
        <v>47</v>
      </c>
      <c r="BJ684" s="411" t="s">
        <v>3098</v>
      </c>
    </row>
    <row r="685" spans="1:62" ht="15.75" customHeight="1" thickBot="1" x14ac:dyDescent="0.25">
      <c r="A685" s="156">
        <v>686</v>
      </c>
      <c r="B685" s="155">
        <v>1</v>
      </c>
      <c r="C685" s="148" t="s">
        <v>760</v>
      </c>
      <c r="D685" s="148" t="s">
        <v>1867</v>
      </c>
      <c r="E685" s="148" t="s">
        <v>13</v>
      </c>
      <c r="F685" s="148" t="s">
        <v>1483</v>
      </c>
      <c r="G685" s="148" t="s">
        <v>15</v>
      </c>
      <c r="H685" s="148" t="s">
        <v>1475</v>
      </c>
      <c r="I685" s="161">
        <v>2015</v>
      </c>
      <c r="J685" s="161" t="s">
        <v>1476</v>
      </c>
      <c r="K685" s="161" t="s">
        <v>1477</v>
      </c>
      <c r="L685" s="161" t="s">
        <v>19</v>
      </c>
      <c r="M685" s="453" t="s">
        <v>4249</v>
      </c>
      <c r="N685" s="186" t="s">
        <v>20</v>
      </c>
      <c r="O685" s="186" t="s">
        <v>15</v>
      </c>
      <c r="P685" s="186" t="s">
        <v>20</v>
      </c>
      <c r="Q685" s="186" t="s">
        <v>20</v>
      </c>
      <c r="R685" s="186" t="s">
        <v>20</v>
      </c>
      <c r="S685" s="186" t="s">
        <v>20</v>
      </c>
      <c r="T685" s="186" t="s">
        <v>20</v>
      </c>
      <c r="U685" s="186" t="s">
        <v>15</v>
      </c>
      <c r="V685" s="186" t="s">
        <v>15</v>
      </c>
      <c r="W685" s="186" t="s">
        <v>15</v>
      </c>
      <c r="X685" s="186" t="s">
        <v>15</v>
      </c>
      <c r="Y685" s="186" t="s">
        <v>15</v>
      </c>
      <c r="Z685" s="186"/>
      <c r="AA685" s="186" t="s">
        <v>1478</v>
      </c>
      <c r="AB685" s="186" t="s">
        <v>292</v>
      </c>
      <c r="AC685" s="186" t="s">
        <v>122</v>
      </c>
      <c r="AD685" s="268" t="s">
        <v>1479</v>
      </c>
      <c r="AE685" s="268" t="s">
        <v>604</v>
      </c>
      <c r="AF685" s="144" t="str">
        <f t="shared" si="49"/>
        <v/>
      </c>
      <c r="AG685" s="144" t="str">
        <f t="shared" si="52"/>
        <v/>
      </c>
      <c r="AH685" s="146" t="str">
        <f t="shared" si="50"/>
        <v/>
      </c>
      <c r="AI685" s="146">
        <f t="shared" si="51"/>
        <v>2.6970299999999998</v>
      </c>
      <c r="AJ685" s="303"/>
      <c r="AK685" s="303"/>
      <c r="AL685" s="303"/>
      <c r="AM685" s="303"/>
      <c r="AN685" s="303"/>
      <c r="AO685" s="303"/>
      <c r="AP685" s="303"/>
      <c r="AQ685" s="303"/>
      <c r="AR685" s="303"/>
      <c r="AS685" s="170"/>
      <c r="AT685" s="170"/>
      <c r="AU685" s="310"/>
      <c r="AW685" s="294"/>
      <c r="AX685" s="294">
        <v>1.6428499999999999</v>
      </c>
      <c r="AY685" s="294">
        <v>1.0541799999999999</v>
      </c>
      <c r="AZ685" s="294">
        <v>2.0310000000000002E-2</v>
      </c>
      <c r="BA685" s="294">
        <v>0.36062</v>
      </c>
      <c r="BB685" s="294"/>
      <c r="BC685" s="294"/>
      <c r="BD685" s="294"/>
      <c r="BE685" s="294"/>
      <c r="BF685" s="383"/>
      <c r="BG685" s="383">
        <f t="shared" si="53"/>
        <v>3.0779599999999996</v>
      </c>
      <c r="BH685" s="278"/>
      <c r="BI685" s="365" t="s">
        <v>47</v>
      </c>
      <c r="BJ685" s="411" t="s">
        <v>3098</v>
      </c>
    </row>
    <row r="686" spans="1:62" ht="15.75" customHeight="1" thickBot="1" x14ac:dyDescent="0.25">
      <c r="A686" s="154">
        <v>687</v>
      </c>
      <c r="B686" s="155">
        <v>1</v>
      </c>
      <c r="C686" s="148" t="s">
        <v>760</v>
      </c>
      <c r="D686" s="148" t="s">
        <v>1867</v>
      </c>
      <c r="E686" s="148" t="s">
        <v>13</v>
      </c>
      <c r="F686" s="148" t="s">
        <v>1484</v>
      </c>
      <c r="G686" s="148" t="s">
        <v>15</v>
      </c>
      <c r="H686" s="148" t="s">
        <v>1475</v>
      </c>
      <c r="I686" s="161">
        <v>2015</v>
      </c>
      <c r="J686" s="161" t="s">
        <v>1476</v>
      </c>
      <c r="K686" s="161" t="s">
        <v>1477</v>
      </c>
      <c r="L686" s="161" t="s">
        <v>19</v>
      </c>
      <c r="M686" s="453" t="s">
        <v>4249</v>
      </c>
      <c r="N686" s="186" t="s">
        <v>20</v>
      </c>
      <c r="O686" s="186" t="s">
        <v>15</v>
      </c>
      <c r="P686" s="186" t="s">
        <v>20</v>
      </c>
      <c r="Q686" s="186" t="s">
        <v>20</v>
      </c>
      <c r="R686" s="186" t="s">
        <v>20</v>
      </c>
      <c r="S686" s="186" t="s">
        <v>20</v>
      </c>
      <c r="T686" s="186" t="s">
        <v>20</v>
      </c>
      <c r="U686" s="186" t="s">
        <v>15</v>
      </c>
      <c r="V686" s="186" t="s">
        <v>15</v>
      </c>
      <c r="W686" s="186" t="s">
        <v>15</v>
      </c>
      <c r="X686" s="186" t="s">
        <v>15</v>
      </c>
      <c r="Y686" s="186" t="s">
        <v>15</v>
      </c>
      <c r="Z686" s="186"/>
      <c r="AA686" s="186" t="s">
        <v>1478</v>
      </c>
      <c r="AB686" s="186" t="s">
        <v>292</v>
      </c>
      <c r="AC686" s="186" t="s">
        <v>122</v>
      </c>
      <c r="AD686" s="268" t="s">
        <v>1479</v>
      </c>
      <c r="AE686" s="268" t="s">
        <v>604</v>
      </c>
      <c r="AF686" s="144" t="str">
        <f t="shared" si="49"/>
        <v/>
      </c>
      <c r="AG686" s="144" t="str">
        <f t="shared" si="52"/>
        <v/>
      </c>
      <c r="AH686" s="146" t="str">
        <f t="shared" si="50"/>
        <v/>
      </c>
      <c r="AI686" s="146">
        <f t="shared" si="51"/>
        <v>3.7904299999999997</v>
      </c>
      <c r="AJ686" s="303"/>
      <c r="AK686" s="303"/>
      <c r="AL686" s="303"/>
      <c r="AM686" s="303"/>
      <c r="AN686" s="303"/>
      <c r="AO686" s="303"/>
      <c r="AP686" s="303"/>
      <c r="AQ686" s="303"/>
      <c r="AR686" s="303"/>
      <c r="AS686" s="170"/>
      <c r="AT686" s="170"/>
      <c r="AU686" s="310"/>
      <c r="AW686" s="294"/>
      <c r="AX686" s="294">
        <v>1.6428499999999999</v>
      </c>
      <c r="AY686" s="294">
        <v>2.14758</v>
      </c>
      <c r="AZ686" s="294">
        <v>2.0310000000000002E-2</v>
      </c>
      <c r="BA686" s="294">
        <v>0.36062</v>
      </c>
      <c r="BB686" s="294"/>
      <c r="BC686" s="294"/>
      <c r="BD686" s="294"/>
      <c r="BE686" s="294"/>
      <c r="BF686" s="383"/>
      <c r="BG686" s="383">
        <f t="shared" si="53"/>
        <v>4.17136</v>
      </c>
      <c r="BH686" s="278"/>
      <c r="BI686" s="365" t="s">
        <v>47</v>
      </c>
      <c r="BJ686" s="411" t="s">
        <v>3098</v>
      </c>
    </row>
    <row r="687" spans="1:62" ht="15.75" customHeight="1" thickBot="1" x14ac:dyDescent="0.25">
      <c r="A687" s="156">
        <v>688</v>
      </c>
      <c r="B687" s="155">
        <v>1</v>
      </c>
      <c r="C687" s="148" t="s">
        <v>1110</v>
      </c>
      <c r="D687" s="148" t="s">
        <v>1487</v>
      </c>
      <c r="E687" s="148" t="s">
        <v>13</v>
      </c>
      <c r="F687" s="148"/>
      <c r="G687" s="148" t="s">
        <v>122</v>
      </c>
      <c r="H687" s="148" t="s">
        <v>87</v>
      </c>
      <c r="I687" s="161">
        <v>2010</v>
      </c>
      <c r="J687" s="161" t="s">
        <v>1488</v>
      </c>
      <c r="K687" s="161" t="s">
        <v>1489</v>
      </c>
      <c r="L687" s="161" t="s">
        <v>19</v>
      </c>
      <c r="M687" s="453" t="s">
        <v>4250</v>
      </c>
      <c r="N687" s="186" t="s">
        <v>20</v>
      </c>
      <c r="O687" s="186" t="s">
        <v>15</v>
      </c>
      <c r="P687" s="186" t="s">
        <v>20</v>
      </c>
      <c r="Q687" s="186" t="s">
        <v>20</v>
      </c>
      <c r="R687" s="186" t="s">
        <v>20</v>
      </c>
      <c r="S687" s="186" t="s">
        <v>20</v>
      </c>
      <c r="T687" s="186" t="s">
        <v>15</v>
      </c>
      <c r="U687" s="186" t="s">
        <v>15</v>
      </c>
      <c r="V687" s="186" t="s">
        <v>15</v>
      </c>
      <c r="W687" s="186" t="s">
        <v>15</v>
      </c>
      <c r="X687" s="186" t="s">
        <v>15</v>
      </c>
      <c r="Y687" s="186" t="s">
        <v>15</v>
      </c>
      <c r="Z687" s="186"/>
      <c r="AA687" s="186" t="s">
        <v>1490</v>
      </c>
      <c r="AB687" s="186" t="s">
        <v>292</v>
      </c>
      <c r="AC687" s="186" t="s">
        <v>292</v>
      </c>
      <c r="AD687" s="268" t="s">
        <v>755</v>
      </c>
      <c r="AE687" s="268"/>
      <c r="AF687" s="144" t="str">
        <f t="shared" si="49"/>
        <v/>
      </c>
      <c r="AG687" s="144" t="str">
        <f t="shared" si="52"/>
        <v/>
      </c>
      <c r="AH687" s="146" t="str">
        <f t="shared" si="50"/>
        <v/>
      </c>
      <c r="AI687" s="146" t="str">
        <f t="shared" si="51"/>
        <v/>
      </c>
      <c r="AJ687" s="303"/>
      <c r="AK687" s="303"/>
      <c r="AL687" s="303"/>
      <c r="AM687" s="303"/>
      <c r="AN687" s="303"/>
      <c r="AO687" s="303"/>
      <c r="AP687" s="303"/>
      <c r="AQ687" s="303"/>
      <c r="AR687" s="303"/>
      <c r="AS687" s="170"/>
      <c r="AT687" s="170">
        <v>1086</v>
      </c>
      <c r="AU687" s="310"/>
      <c r="AW687" s="294"/>
      <c r="AX687" s="294"/>
      <c r="AY687" s="294"/>
      <c r="AZ687" s="294"/>
      <c r="BA687" s="294"/>
      <c r="BB687" s="294"/>
      <c r="BC687" s="294"/>
      <c r="BD687" s="294"/>
      <c r="BE687" s="294"/>
      <c r="BF687" s="383"/>
      <c r="BG687" s="383">
        <v>72.5</v>
      </c>
      <c r="BH687" s="278"/>
      <c r="BI687" s="365"/>
      <c r="BJ687" s="411"/>
    </row>
    <row r="688" spans="1:62" ht="15.75" customHeight="1" thickBot="1" x14ac:dyDescent="0.25">
      <c r="A688" s="154">
        <v>689</v>
      </c>
      <c r="B688" s="155">
        <v>1</v>
      </c>
      <c r="C688" s="148" t="s">
        <v>1110</v>
      </c>
      <c r="D688" s="148" t="s">
        <v>1491</v>
      </c>
      <c r="E688" s="148" t="s">
        <v>13</v>
      </c>
      <c r="F688" s="148"/>
      <c r="G688" s="148" t="s">
        <v>122</v>
      </c>
      <c r="H688" s="148" t="s">
        <v>87</v>
      </c>
      <c r="I688" s="161">
        <v>2010</v>
      </c>
      <c r="J688" s="161" t="s">
        <v>1488</v>
      </c>
      <c r="K688" s="161" t="s">
        <v>1489</v>
      </c>
      <c r="L688" s="161" t="s">
        <v>19</v>
      </c>
      <c r="M688" s="453" t="s">
        <v>4250</v>
      </c>
      <c r="N688" s="186" t="s">
        <v>20</v>
      </c>
      <c r="O688" s="186" t="s">
        <v>15</v>
      </c>
      <c r="P688" s="186" t="s">
        <v>20</v>
      </c>
      <c r="Q688" s="186" t="s">
        <v>20</v>
      </c>
      <c r="R688" s="186" t="s">
        <v>20</v>
      </c>
      <c r="S688" s="186" t="s">
        <v>20</v>
      </c>
      <c r="T688" s="186" t="s">
        <v>15</v>
      </c>
      <c r="U688" s="186" t="s">
        <v>15</v>
      </c>
      <c r="V688" s="186" t="s">
        <v>15</v>
      </c>
      <c r="W688" s="186" t="s">
        <v>15</v>
      </c>
      <c r="X688" s="186" t="s">
        <v>15</v>
      </c>
      <c r="Y688" s="186" t="s">
        <v>15</v>
      </c>
      <c r="Z688" s="186"/>
      <c r="AA688" s="186" t="s">
        <v>1490</v>
      </c>
      <c r="AB688" s="186" t="s">
        <v>292</v>
      </c>
      <c r="AC688" s="186" t="s">
        <v>292</v>
      </c>
      <c r="AD688" s="268" t="s">
        <v>755</v>
      </c>
      <c r="AE688" s="268"/>
      <c r="AF688" s="144" t="str">
        <f t="shared" si="49"/>
        <v/>
      </c>
      <c r="AG688" s="144" t="str">
        <f t="shared" si="52"/>
        <v/>
      </c>
      <c r="AH688" s="146" t="str">
        <f t="shared" si="50"/>
        <v/>
      </c>
      <c r="AI688" s="146" t="str">
        <f t="shared" si="51"/>
        <v/>
      </c>
      <c r="AJ688" s="303"/>
      <c r="AK688" s="303"/>
      <c r="AL688" s="303"/>
      <c r="AM688" s="303"/>
      <c r="AN688" s="303"/>
      <c r="AO688" s="303"/>
      <c r="AP688" s="303"/>
      <c r="AQ688" s="303"/>
      <c r="AR688" s="303"/>
      <c r="AS688" s="170"/>
      <c r="AT688" s="169">
        <v>675</v>
      </c>
      <c r="AU688" s="310"/>
      <c r="AW688" s="294"/>
      <c r="AX688" s="294"/>
      <c r="AY688" s="294"/>
      <c r="AZ688" s="294"/>
      <c r="BA688" s="294"/>
      <c r="BB688" s="294"/>
      <c r="BC688" s="294"/>
      <c r="BD688" s="294"/>
      <c r="BE688" s="294"/>
      <c r="BF688" s="383"/>
      <c r="BG688" s="382">
        <v>43</v>
      </c>
      <c r="BH688" s="278"/>
      <c r="BI688" s="365"/>
      <c r="BJ688" s="411"/>
    </row>
    <row r="689" spans="1:62" ht="15.75" customHeight="1" thickBot="1" x14ac:dyDescent="0.25">
      <c r="A689" s="156">
        <v>690</v>
      </c>
      <c r="B689" s="155">
        <v>1</v>
      </c>
      <c r="C689" s="148" t="s">
        <v>596</v>
      </c>
      <c r="D689" s="148" t="s">
        <v>3064</v>
      </c>
      <c r="E689" s="148" t="s">
        <v>13</v>
      </c>
      <c r="F689" s="148" t="s">
        <v>1492</v>
      </c>
      <c r="G689" s="148" t="s">
        <v>122</v>
      </c>
      <c r="H689" s="148" t="s">
        <v>87</v>
      </c>
      <c r="I689" s="161">
        <v>2010</v>
      </c>
      <c r="J689" s="161" t="s">
        <v>1488</v>
      </c>
      <c r="K689" s="161" t="s">
        <v>1489</v>
      </c>
      <c r="L689" s="161" t="s">
        <v>19</v>
      </c>
      <c r="M689" s="453" t="s">
        <v>4250</v>
      </c>
      <c r="N689" s="186" t="s">
        <v>20</v>
      </c>
      <c r="O689" s="186" t="s">
        <v>15</v>
      </c>
      <c r="P689" s="186" t="s">
        <v>20</v>
      </c>
      <c r="Q689" s="186" t="s">
        <v>20</v>
      </c>
      <c r="R689" s="186" t="s">
        <v>20</v>
      </c>
      <c r="S689" s="186" t="s">
        <v>20</v>
      </c>
      <c r="T689" s="186" t="s">
        <v>15</v>
      </c>
      <c r="U689" s="186" t="s">
        <v>15</v>
      </c>
      <c r="V689" s="186" t="s">
        <v>15</v>
      </c>
      <c r="W689" s="186" t="s">
        <v>15</v>
      </c>
      <c r="X689" s="186" t="s">
        <v>15</v>
      </c>
      <c r="Y689" s="186" t="s">
        <v>15</v>
      </c>
      <c r="Z689" s="186"/>
      <c r="AA689" s="186" t="s">
        <v>1490</v>
      </c>
      <c r="AB689" s="186" t="s">
        <v>292</v>
      </c>
      <c r="AC689" s="186" t="s">
        <v>292</v>
      </c>
      <c r="AD689" s="268" t="s">
        <v>755</v>
      </c>
      <c r="AE689" s="268"/>
      <c r="AF689" s="144">
        <f t="shared" si="49"/>
        <v>5.6</v>
      </c>
      <c r="AG689" s="144">
        <f t="shared" si="52"/>
        <v>8.3999999999999986</v>
      </c>
      <c r="AH689" s="146">
        <f t="shared" si="50"/>
        <v>0.47399999999999998</v>
      </c>
      <c r="AI689" s="146">
        <f t="shared" si="51"/>
        <v>0.55120000000000002</v>
      </c>
      <c r="AJ689" s="303">
        <v>5.6</v>
      </c>
      <c r="AK689" s="303"/>
      <c r="AL689" s="303">
        <v>2.8</v>
      </c>
      <c r="AM689" s="303"/>
      <c r="AN689" s="303">
        <v>5.6</v>
      </c>
      <c r="AO689" s="303"/>
      <c r="AP689" s="303"/>
      <c r="AQ689" s="303"/>
      <c r="AR689" s="303"/>
      <c r="AS689" s="170">
        <f>AJ689</f>
        <v>5.6</v>
      </c>
      <c r="AT689" s="169">
        <v>14</v>
      </c>
      <c r="AU689" s="310"/>
      <c r="AW689" s="294">
        <v>0.47399999999999998</v>
      </c>
      <c r="AX689" s="294"/>
      <c r="AY689" s="294">
        <v>7.7200000000000005E-2</v>
      </c>
      <c r="AZ689" s="294"/>
      <c r="BA689" s="294">
        <v>0.30790000000000001</v>
      </c>
      <c r="BB689" s="294"/>
      <c r="BC689" s="294"/>
      <c r="BD689" s="294"/>
      <c r="BE689" s="294"/>
      <c r="BF689" s="383">
        <f>AW689</f>
        <v>0.47399999999999998</v>
      </c>
      <c r="BG689" s="382">
        <f>SUM(AW689:BE689)</f>
        <v>0.85909999999999997</v>
      </c>
      <c r="BH689" s="278"/>
      <c r="BI689" s="365"/>
      <c r="BJ689" s="411"/>
    </row>
    <row r="690" spans="1:62" ht="15.75" customHeight="1" thickBot="1" x14ac:dyDescent="0.25">
      <c r="A690" s="154">
        <v>691</v>
      </c>
      <c r="B690" s="155">
        <v>1</v>
      </c>
      <c r="C690" s="148" t="s">
        <v>596</v>
      </c>
      <c r="D690" s="148" t="s">
        <v>2050</v>
      </c>
      <c r="E690" s="148" t="s">
        <v>13</v>
      </c>
      <c r="F690" s="148" t="s">
        <v>1493</v>
      </c>
      <c r="G690" s="148" t="s">
        <v>122</v>
      </c>
      <c r="H690" s="148" t="s">
        <v>87</v>
      </c>
      <c r="I690" s="161">
        <v>2010</v>
      </c>
      <c r="J690" s="161" t="s">
        <v>1488</v>
      </c>
      <c r="K690" s="161" t="s">
        <v>1489</v>
      </c>
      <c r="L690" s="161" t="s">
        <v>19</v>
      </c>
      <c r="M690" s="453" t="s">
        <v>4250</v>
      </c>
      <c r="N690" s="186" t="s">
        <v>20</v>
      </c>
      <c r="O690" s="186" t="s">
        <v>15</v>
      </c>
      <c r="P690" s="186" t="s">
        <v>20</v>
      </c>
      <c r="Q690" s="186" t="s">
        <v>20</v>
      </c>
      <c r="R690" s="186" t="s">
        <v>20</v>
      </c>
      <c r="S690" s="186" t="s">
        <v>20</v>
      </c>
      <c r="T690" s="186" t="s">
        <v>15</v>
      </c>
      <c r="U690" s="186" t="s">
        <v>15</v>
      </c>
      <c r="V690" s="186" t="s">
        <v>15</v>
      </c>
      <c r="W690" s="186" t="s">
        <v>15</v>
      </c>
      <c r="X690" s="186" t="s">
        <v>15</v>
      </c>
      <c r="Y690" s="186" t="s">
        <v>15</v>
      </c>
      <c r="Z690" s="186"/>
      <c r="AA690" s="186" t="s">
        <v>1490</v>
      </c>
      <c r="AB690" s="186" t="s">
        <v>292</v>
      </c>
      <c r="AC690" s="186" t="s">
        <v>292</v>
      </c>
      <c r="AD690" s="268" t="s">
        <v>755</v>
      </c>
      <c r="AE690" s="268"/>
      <c r="AF690" s="144">
        <f t="shared" si="49"/>
        <v>4</v>
      </c>
      <c r="AG690" s="144">
        <f t="shared" si="52"/>
        <v>6</v>
      </c>
      <c r="AH690" s="146">
        <f t="shared" si="50"/>
        <v>0.26400000000000001</v>
      </c>
      <c r="AI690" s="146">
        <f t="shared" si="51"/>
        <v>0.33160000000000001</v>
      </c>
      <c r="AJ690" s="303">
        <f>4</f>
        <v>4</v>
      </c>
      <c r="AK690" s="303"/>
      <c r="AL690" s="303">
        <v>2</v>
      </c>
      <c r="AM690" s="303"/>
      <c r="AN690" s="303">
        <v>4</v>
      </c>
      <c r="AO690" s="303"/>
      <c r="AP690" s="303"/>
      <c r="AQ690" s="303"/>
      <c r="AR690" s="303"/>
      <c r="AS690" s="170">
        <f>AJ690</f>
        <v>4</v>
      </c>
      <c r="AT690" s="169">
        <v>9.8000000000000007</v>
      </c>
      <c r="AU690" s="310"/>
      <c r="AW690" s="294">
        <v>0.26400000000000001</v>
      </c>
      <c r="AX690" s="294"/>
      <c r="AY690" s="294">
        <v>6.7599999999999993E-2</v>
      </c>
      <c r="AZ690" s="294"/>
      <c r="BA690" s="294">
        <v>0.28999999999999998</v>
      </c>
      <c r="BB690" s="294"/>
      <c r="BC690" s="294"/>
      <c r="BD690" s="294"/>
      <c r="BE690" s="294"/>
      <c r="BF690" s="383">
        <f>AW690</f>
        <v>0.26400000000000001</v>
      </c>
      <c r="BG690" s="382">
        <f>SUM(AW690:BE690)</f>
        <v>0.62159999999999993</v>
      </c>
      <c r="BH690" s="278"/>
      <c r="BI690" s="365"/>
      <c r="BJ690" s="411"/>
    </row>
    <row r="691" spans="1:62" ht="15.75" customHeight="1" thickBot="1" x14ac:dyDescent="0.25">
      <c r="A691" s="156">
        <v>692</v>
      </c>
      <c r="B691" s="155">
        <v>1</v>
      </c>
      <c r="C691" s="148" t="s">
        <v>596</v>
      </c>
      <c r="D691" s="148" t="s">
        <v>3066</v>
      </c>
      <c r="E691" s="148" t="s">
        <v>1068</v>
      </c>
      <c r="F691" s="148" t="s">
        <v>1494</v>
      </c>
      <c r="G691" s="148" t="s">
        <v>122</v>
      </c>
      <c r="H691" s="148" t="s">
        <v>87</v>
      </c>
      <c r="I691" s="161">
        <v>2010</v>
      </c>
      <c r="J691" s="161" t="s">
        <v>1488</v>
      </c>
      <c r="K691" s="161" t="s">
        <v>1489</v>
      </c>
      <c r="L691" s="161" t="s">
        <v>19</v>
      </c>
      <c r="M691" s="453" t="s">
        <v>4250</v>
      </c>
      <c r="N691" s="186" t="s">
        <v>20</v>
      </c>
      <c r="O691" s="186" t="s">
        <v>15</v>
      </c>
      <c r="P691" s="186" t="s">
        <v>20</v>
      </c>
      <c r="Q691" s="186" t="s">
        <v>20</v>
      </c>
      <c r="R691" s="186" t="s">
        <v>20</v>
      </c>
      <c r="S691" s="186" t="s">
        <v>20</v>
      </c>
      <c r="T691" s="186" t="s">
        <v>15</v>
      </c>
      <c r="U691" s="186" t="s">
        <v>15</v>
      </c>
      <c r="V691" s="186" t="s">
        <v>15</v>
      </c>
      <c r="W691" s="186" t="s">
        <v>15</v>
      </c>
      <c r="X691" s="186" t="s">
        <v>15</v>
      </c>
      <c r="Y691" s="186" t="s">
        <v>15</v>
      </c>
      <c r="Z691" s="186"/>
      <c r="AA691" s="186" t="s">
        <v>1490</v>
      </c>
      <c r="AB691" s="186" t="s">
        <v>292</v>
      </c>
      <c r="AC691" s="186" t="s">
        <v>292</v>
      </c>
      <c r="AD691" s="268" t="s">
        <v>755</v>
      </c>
      <c r="AE691" s="268"/>
      <c r="AF691" s="144" t="str">
        <f t="shared" si="49"/>
        <v/>
      </c>
      <c r="AG691" s="144" t="str">
        <f t="shared" si="52"/>
        <v/>
      </c>
      <c r="AH691" s="146" t="str">
        <f t="shared" si="50"/>
        <v/>
      </c>
      <c r="AI691" s="146" t="str">
        <f t="shared" si="51"/>
        <v/>
      </c>
      <c r="AJ691" s="303"/>
      <c r="AK691" s="303"/>
      <c r="AL691" s="303"/>
      <c r="AM691" s="303"/>
      <c r="AN691" s="303"/>
      <c r="AO691" s="303"/>
      <c r="AP691" s="303"/>
      <c r="AQ691" s="303"/>
      <c r="AR691" s="303"/>
      <c r="AS691" s="170"/>
      <c r="AT691" s="169">
        <v>108</v>
      </c>
      <c r="AU691" s="310"/>
      <c r="AW691" s="294"/>
      <c r="AX691" s="294"/>
      <c r="AY691" s="294"/>
      <c r="AZ691" s="294"/>
      <c r="BA691" s="294"/>
      <c r="BB691" s="294"/>
      <c r="BC691" s="294"/>
      <c r="BD691" s="294"/>
      <c r="BE691" s="294"/>
      <c r="BF691" s="383"/>
      <c r="BG691" s="382">
        <v>5.7</v>
      </c>
      <c r="BH691" s="278"/>
      <c r="BI691" s="365"/>
      <c r="BJ691" s="411"/>
    </row>
    <row r="692" spans="1:62" ht="15.75" customHeight="1" thickBot="1" x14ac:dyDescent="0.25">
      <c r="A692" s="154">
        <v>693</v>
      </c>
      <c r="B692" s="155">
        <v>1</v>
      </c>
      <c r="C692" s="148" t="s">
        <v>596</v>
      </c>
      <c r="D692" s="148" t="s">
        <v>3065</v>
      </c>
      <c r="E692" s="148" t="s">
        <v>1068</v>
      </c>
      <c r="F692" s="148" t="s">
        <v>1495</v>
      </c>
      <c r="G692" s="148" t="s">
        <v>122</v>
      </c>
      <c r="H692" s="148" t="s">
        <v>87</v>
      </c>
      <c r="I692" s="161">
        <v>2010</v>
      </c>
      <c r="J692" s="161" t="s">
        <v>1488</v>
      </c>
      <c r="K692" s="161" t="s">
        <v>1489</v>
      </c>
      <c r="L692" s="161" t="s">
        <v>19</v>
      </c>
      <c r="M692" s="453" t="s">
        <v>4250</v>
      </c>
      <c r="N692" s="186" t="s">
        <v>20</v>
      </c>
      <c r="O692" s="186" t="s">
        <v>15</v>
      </c>
      <c r="P692" s="186" t="s">
        <v>20</v>
      </c>
      <c r="Q692" s="186" t="s">
        <v>20</v>
      </c>
      <c r="R692" s="186" t="s">
        <v>20</v>
      </c>
      <c r="S692" s="186" t="s">
        <v>20</v>
      </c>
      <c r="T692" s="186" t="s">
        <v>15</v>
      </c>
      <c r="U692" s="186" t="s">
        <v>15</v>
      </c>
      <c r="V692" s="186" t="s">
        <v>15</v>
      </c>
      <c r="W692" s="186" t="s">
        <v>15</v>
      </c>
      <c r="X692" s="186" t="s">
        <v>15</v>
      </c>
      <c r="Y692" s="186" t="s">
        <v>15</v>
      </c>
      <c r="Z692" s="186"/>
      <c r="AA692" s="186" t="s">
        <v>1490</v>
      </c>
      <c r="AB692" s="186" t="s">
        <v>292</v>
      </c>
      <c r="AC692" s="186" t="s">
        <v>292</v>
      </c>
      <c r="AD692" s="268" t="s">
        <v>755</v>
      </c>
      <c r="AE692" s="268"/>
      <c r="AF692" s="144" t="str">
        <f t="shared" si="49"/>
        <v/>
      </c>
      <c r="AG692" s="144" t="str">
        <f t="shared" si="52"/>
        <v/>
      </c>
      <c r="AH692" s="146" t="str">
        <f t="shared" si="50"/>
        <v/>
      </c>
      <c r="AI692" s="146" t="str">
        <f t="shared" si="51"/>
        <v/>
      </c>
      <c r="AJ692" s="303"/>
      <c r="AK692" s="303"/>
      <c r="AL692" s="303"/>
      <c r="AM692" s="303"/>
      <c r="AN692" s="303"/>
      <c r="AO692" s="303"/>
      <c r="AP692" s="303"/>
      <c r="AQ692" s="303"/>
      <c r="AR692" s="303"/>
      <c r="AS692" s="170"/>
      <c r="AT692" s="169">
        <v>76</v>
      </c>
      <c r="AU692" s="310"/>
      <c r="AW692" s="294"/>
      <c r="AX692" s="294"/>
      <c r="AY692" s="294"/>
      <c r="AZ692" s="294"/>
      <c r="BA692" s="294"/>
      <c r="BB692" s="294"/>
      <c r="BC692" s="294"/>
      <c r="BD692" s="294"/>
      <c r="BE692" s="294"/>
      <c r="BF692" s="383"/>
      <c r="BG692" s="382">
        <v>4</v>
      </c>
      <c r="BH692" s="278"/>
      <c r="BI692" s="365"/>
      <c r="BJ692" s="411"/>
    </row>
    <row r="693" spans="1:62" ht="15.75" customHeight="1" thickBot="1" x14ac:dyDescent="0.25">
      <c r="A693" s="156">
        <v>694</v>
      </c>
      <c r="B693" s="155">
        <v>1</v>
      </c>
      <c r="C693" s="148" t="s">
        <v>236</v>
      </c>
      <c r="D693" s="148" t="s">
        <v>2098</v>
      </c>
      <c r="E693" s="148" t="s">
        <v>1246</v>
      </c>
      <c r="F693" s="148" t="s">
        <v>1496</v>
      </c>
      <c r="G693" s="148" t="s">
        <v>122</v>
      </c>
      <c r="H693" s="148" t="s">
        <v>87</v>
      </c>
      <c r="I693" s="161">
        <v>2010</v>
      </c>
      <c r="J693" s="161" t="s">
        <v>1497</v>
      </c>
      <c r="K693" s="161" t="s">
        <v>1498</v>
      </c>
      <c r="L693" s="161" t="s">
        <v>19</v>
      </c>
      <c r="M693" s="453" t="s">
        <v>4251</v>
      </c>
      <c r="N693" s="186" t="s">
        <v>20</v>
      </c>
      <c r="O693" s="186" t="s">
        <v>15</v>
      </c>
      <c r="P693" s="186" t="s">
        <v>20</v>
      </c>
      <c r="Q693" s="186" t="s">
        <v>20</v>
      </c>
      <c r="R693" s="186" t="s">
        <v>20</v>
      </c>
      <c r="S693" s="186" t="s">
        <v>15</v>
      </c>
      <c r="T693" s="186" t="s">
        <v>15</v>
      </c>
      <c r="U693" s="186" t="s">
        <v>15</v>
      </c>
      <c r="V693" s="186" t="s">
        <v>15</v>
      </c>
      <c r="W693" s="186" t="s">
        <v>15</v>
      </c>
      <c r="X693" s="186" t="s">
        <v>15</v>
      </c>
      <c r="Y693" s="186" t="s">
        <v>15</v>
      </c>
      <c r="Z693" s="186"/>
      <c r="AA693" s="186" t="s">
        <v>1499</v>
      </c>
      <c r="AB693" s="186" t="s">
        <v>292</v>
      </c>
      <c r="AC693" s="186" t="s">
        <v>292</v>
      </c>
      <c r="AD693" s="271" t="s">
        <v>1500</v>
      </c>
      <c r="AE693" s="271" t="s">
        <v>1501</v>
      </c>
      <c r="AF693" s="144">
        <f t="shared" si="49"/>
        <v>7.7979999999999992</v>
      </c>
      <c r="AG693" s="144" t="str">
        <f t="shared" si="52"/>
        <v/>
      </c>
      <c r="AH693" s="146">
        <f t="shared" si="50"/>
        <v>0.56869999999999998</v>
      </c>
      <c r="AI693" s="146" t="str">
        <f t="shared" si="51"/>
        <v/>
      </c>
      <c r="AJ693" s="303"/>
      <c r="AK693" s="303"/>
      <c r="AL693" s="303"/>
      <c r="AM693" s="303"/>
      <c r="AN693" s="303"/>
      <c r="AO693" s="303"/>
      <c r="AP693" s="303"/>
      <c r="AQ693" s="303"/>
      <c r="AR693" s="303"/>
      <c r="AS693" s="170">
        <f>779.8/100</f>
        <v>7.7979999999999992</v>
      </c>
      <c r="AT693" s="169">
        <f>1684.1/100</f>
        <v>16.840999999999998</v>
      </c>
      <c r="AU693" s="310"/>
      <c r="AW693" s="294"/>
      <c r="AX693" s="294"/>
      <c r="AY693" s="294"/>
      <c r="AZ693" s="294"/>
      <c r="BA693" s="294"/>
      <c r="BB693" s="294"/>
      <c r="BC693" s="294"/>
      <c r="BD693" s="294"/>
      <c r="BE693" s="294"/>
      <c r="BF693" s="383">
        <f>56.87/100</f>
        <v>0.56869999999999998</v>
      </c>
      <c r="BG693" s="382">
        <f>913.1/100</f>
        <v>9.1310000000000002</v>
      </c>
      <c r="BH693" s="278"/>
      <c r="BI693" s="365"/>
      <c r="BJ693" s="411"/>
    </row>
    <row r="694" spans="1:62" ht="15.75" customHeight="1" thickBot="1" x14ac:dyDescent="0.25">
      <c r="A694" s="154">
        <v>695</v>
      </c>
      <c r="B694" s="155">
        <v>1</v>
      </c>
      <c r="C694" s="148" t="s">
        <v>236</v>
      </c>
      <c r="D694" s="148" t="s">
        <v>2098</v>
      </c>
      <c r="E694" s="148" t="s">
        <v>1246</v>
      </c>
      <c r="F694" s="148" t="s">
        <v>1502</v>
      </c>
      <c r="G694" s="148" t="s">
        <v>122</v>
      </c>
      <c r="H694" s="148" t="s">
        <v>87</v>
      </c>
      <c r="I694" s="161">
        <v>2010</v>
      </c>
      <c r="J694" s="161" t="s">
        <v>1497</v>
      </c>
      <c r="K694" s="161" t="s">
        <v>1498</v>
      </c>
      <c r="L694" s="161" t="s">
        <v>19</v>
      </c>
      <c r="M694" s="453" t="s">
        <v>4251</v>
      </c>
      <c r="N694" s="186" t="s">
        <v>20</v>
      </c>
      <c r="O694" s="186" t="s">
        <v>15</v>
      </c>
      <c r="P694" s="186" t="s">
        <v>20</v>
      </c>
      <c r="Q694" s="186" t="s">
        <v>20</v>
      </c>
      <c r="R694" s="186" t="s">
        <v>20</v>
      </c>
      <c r="S694" s="186" t="s">
        <v>15</v>
      </c>
      <c r="T694" s="186" t="s">
        <v>15</v>
      </c>
      <c r="U694" s="186" t="s">
        <v>15</v>
      </c>
      <c r="V694" s="186" t="s">
        <v>15</v>
      </c>
      <c r="W694" s="186" t="s">
        <v>15</v>
      </c>
      <c r="X694" s="186" t="s">
        <v>15</v>
      </c>
      <c r="Y694" s="186" t="s">
        <v>15</v>
      </c>
      <c r="Z694" s="186"/>
      <c r="AA694" s="186" t="s">
        <v>1499</v>
      </c>
      <c r="AB694" s="186" t="s">
        <v>292</v>
      </c>
      <c r="AC694" s="186" t="s">
        <v>292</v>
      </c>
      <c r="AD694" s="271" t="s">
        <v>1500</v>
      </c>
      <c r="AE694" s="271" t="s">
        <v>1501</v>
      </c>
      <c r="AF694" s="144">
        <f t="shared" si="49"/>
        <v>7.7979999999999992</v>
      </c>
      <c r="AG694" s="144" t="str">
        <f t="shared" si="52"/>
        <v/>
      </c>
      <c r="AH694" s="146">
        <f t="shared" si="50"/>
        <v>0.56869999999999998</v>
      </c>
      <c r="AI694" s="146" t="str">
        <f t="shared" si="51"/>
        <v/>
      </c>
      <c r="AJ694" s="303"/>
      <c r="AK694" s="303"/>
      <c r="AL694" s="303"/>
      <c r="AM694" s="303"/>
      <c r="AN694" s="303"/>
      <c r="AO694" s="303"/>
      <c r="AP694" s="303"/>
      <c r="AQ694" s="303"/>
      <c r="AR694" s="303"/>
      <c r="AS694" s="169">
        <f>779.8/100</f>
        <v>7.7979999999999992</v>
      </c>
      <c r="AT694" s="169">
        <f>1977.5/100</f>
        <v>19.774999999999999</v>
      </c>
      <c r="AU694" s="310"/>
      <c r="AW694" s="294"/>
      <c r="AX694" s="294"/>
      <c r="AY694" s="294"/>
      <c r="AZ694" s="294"/>
      <c r="BA694" s="294"/>
      <c r="BB694" s="294"/>
      <c r="BC694" s="294"/>
      <c r="BD694" s="294"/>
      <c r="BE694" s="294"/>
      <c r="BF694" s="382">
        <f>56.87/100</f>
        <v>0.56869999999999998</v>
      </c>
      <c r="BG694" s="382">
        <f>838.4/100</f>
        <v>8.3840000000000003</v>
      </c>
      <c r="BH694" s="278"/>
      <c r="BI694" s="365"/>
      <c r="BJ694" s="411"/>
    </row>
    <row r="695" spans="1:62" ht="15.75" customHeight="1" thickBot="1" x14ac:dyDescent="0.25">
      <c r="A695" s="156">
        <v>696</v>
      </c>
      <c r="B695" s="155">
        <v>1</v>
      </c>
      <c r="C695" s="148" t="s">
        <v>236</v>
      </c>
      <c r="D695" s="148" t="s">
        <v>2282</v>
      </c>
      <c r="E695" s="148" t="s">
        <v>13</v>
      </c>
      <c r="F695" s="148" t="s">
        <v>670</v>
      </c>
      <c r="G695" s="148" t="s">
        <v>20</v>
      </c>
      <c r="H695" s="148" t="s">
        <v>87</v>
      </c>
      <c r="I695" s="161">
        <v>2015</v>
      </c>
      <c r="J695" s="161" t="s">
        <v>1503</v>
      </c>
      <c r="K695" s="161" t="s">
        <v>1504</v>
      </c>
      <c r="L695" s="161" t="s">
        <v>19</v>
      </c>
      <c r="M695" s="453" t="s">
        <v>4252</v>
      </c>
      <c r="N695" s="186" t="s">
        <v>20</v>
      </c>
      <c r="O695" s="186" t="s">
        <v>20</v>
      </c>
      <c r="P695" s="186" t="s">
        <v>20</v>
      </c>
      <c r="Q695" s="186" t="s">
        <v>20</v>
      </c>
      <c r="R695" s="186" t="s">
        <v>20</v>
      </c>
      <c r="S695" s="186" t="s">
        <v>20</v>
      </c>
      <c r="T695" s="186" t="s">
        <v>20</v>
      </c>
      <c r="U695" s="186" t="s">
        <v>15</v>
      </c>
      <c r="V695" s="186" t="s">
        <v>15</v>
      </c>
      <c r="W695" s="186" t="s">
        <v>15</v>
      </c>
      <c r="X695" s="186" t="s">
        <v>15</v>
      </c>
      <c r="Y695" s="186" t="s">
        <v>15</v>
      </c>
      <c r="Z695" s="186" t="s">
        <v>1505</v>
      </c>
      <c r="AA695" s="186"/>
      <c r="AB695" s="186" t="s">
        <v>122</v>
      </c>
      <c r="AC695" s="186" t="s">
        <v>122</v>
      </c>
      <c r="AD695" s="268" t="s">
        <v>2446</v>
      </c>
      <c r="AE695" s="268" t="s">
        <v>1506</v>
      </c>
      <c r="AF695" s="144">
        <f t="shared" si="49"/>
        <v>9.6999999999999993</v>
      </c>
      <c r="AG695" s="144" t="str">
        <f t="shared" si="52"/>
        <v/>
      </c>
      <c r="AH695" s="146">
        <f t="shared" si="50"/>
        <v>0.32400000000000001</v>
      </c>
      <c r="AI695" s="146" t="str">
        <f t="shared" si="51"/>
        <v/>
      </c>
      <c r="AJ695" s="303">
        <v>9.6999999999999993</v>
      </c>
      <c r="AK695" s="303"/>
      <c r="AL695" s="303"/>
      <c r="AM695" s="303">
        <v>4.484</v>
      </c>
      <c r="AN695" s="303">
        <v>0.6</v>
      </c>
      <c r="AO695" s="303"/>
      <c r="AP695" s="303"/>
      <c r="AQ695" s="303">
        <f>0.005/0.25</f>
        <v>0.02</v>
      </c>
      <c r="AR695" s="303"/>
      <c r="AS695" s="169">
        <v>9.6999999999999993</v>
      </c>
      <c r="AT695" s="169">
        <v>14.8</v>
      </c>
      <c r="AU695" s="310" t="s">
        <v>1507</v>
      </c>
      <c r="AW695" s="294">
        <v>0.32400000000000001</v>
      </c>
      <c r="AX695" s="294"/>
      <c r="AY695" s="294"/>
      <c r="AZ695" s="294">
        <v>0.16400000000000001</v>
      </c>
      <c r="BA695" s="294">
        <v>0.04</v>
      </c>
      <c r="BB695" s="294"/>
      <c r="BC695" s="294"/>
      <c r="BD695" s="294">
        <f>0.006/0.25</f>
        <v>2.4E-2</v>
      </c>
      <c r="BE695" s="294"/>
      <c r="BF695" s="382">
        <f>AW695</f>
        <v>0.32400000000000001</v>
      </c>
      <c r="BG695" s="382">
        <v>0.55200000000000005</v>
      </c>
      <c r="BH695" s="278"/>
      <c r="BI695" s="365" t="s">
        <v>1508</v>
      </c>
      <c r="BJ695" s="409"/>
    </row>
    <row r="696" spans="1:62" ht="15.75" customHeight="1" thickBot="1" x14ac:dyDescent="0.25">
      <c r="A696" s="154">
        <v>697</v>
      </c>
      <c r="B696" s="155">
        <v>1</v>
      </c>
      <c r="C696" s="148" t="s">
        <v>236</v>
      </c>
      <c r="D696" s="148" t="s">
        <v>1837</v>
      </c>
      <c r="E696" s="148" t="s">
        <v>13</v>
      </c>
      <c r="F696" s="148" t="s">
        <v>1509</v>
      </c>
      <c r="G696" s="148" t="s">
        <v>20</v>
      </c>
      <c r="H696" s="148" t="s">
        <v>87</v>
      </c>
      <c r="I696" s="161">
        <v>2015</v>
      </c>
      <c r="J696" s="161" t="s">
        <v>1503</v>
      </c>
      <c r="K696" s="161" t="s">
        <v>1504</v>
      </c>
      <c r="L696" s="161" t="s">
        <v>19</v>
      </c>
      <c r="M696" s="453" t="s">
        <v>4252</v>
      </c>
      <c r="N696" s="186" t="s">
        <v>20</v>
      </c>
      <c r="O696" s="186" t="s">
        <v>20</v>
      </c>
      <c r="P696" s="186" t="s">
        <v>20</v>
      </c>
      <c r="Q696" s="186" t="s">
        <v>20</v>
      </c>
      <c r="R696" s="186" t="s">
        <v>20</v>
      </c>
      <c r="S696" s="186" t="s">
        <v>20</v>
      </c>
      <c r="T696" s="186" t="s">
        <v>20</v>
      </c>
      <c r="U696" s="186" t="s">
        <v>15</v>
      </c>
      <c r="V696" s="186" t="s">
        <v>15</v>
      </c>
      <c r="W696" s="186" t="s">
        <v>15</v>
      </c>
      <c r="X696" s="186" t="s">
        <v>15</v>
      </c>
      <c r="Y696" s="186" t="s">
        <v>15</v>
      </c>
      <c r="Z696" s="186" t="s">
        <v>1505</v>
      </c>
      <c r="AA696" s="186"/>
      <c r="AB696" s="186" t="s">
        <v>122</v>
      </c>
      <c r="AC696" s="186" t="s">
        <v>122</v>
      </c>
      <c r="AD696" s="268" t="s">
        <v>1510</v>
      </c>
      <c r="AE696" s="268" t="s">
        <v>1511</v>
      </c>
      <c r="AF696" s="144">
        <f t="shared" si="49"/>
        <v>3.2320000000000002</v>
      </c>
      <c r="AG696" s="144" t="str">
        <f t="shared" si="52"/>
        <v/>
      </c>
      <c r="AH696" s="146">
        <f t="shared" si="50"/>
        <v>0.16800000000000001</v>
      </c>
      <c r="AI696" s="146" t="str">
        <f t="shared" si="51"/>
        <v/>
      </c>
      <c r="AJ696" s="303">
        <v>3.2320000000000002</v>
      </c>
      <c r="AK696" s="303"/>
      <c r="AL696" s="303"/>
      <c r="AM696" s="303">
        <v>4.4880000000000004</v>
      </c>
      <c r="AN696" s="303">
        <v>1.248</v>
      </c>
      <c r="AO696" s="303"/>
      <c r="AP696" s="303"/>
      <c r="AQ696" s="303">
        <f>0.002/0.125</f>
        <v>1.6E-2</v>
      </c>
      <c r="AR696" s="303"/>
      <c r="AS696" s="170">
        <v>3.2320000000000002</v>
      </c>
      <c r="AT696" s="170">
        <v>8.984</v>
      </c>
      <c r="AU696" s="310" t="s">
        <v>1507</v>
      </c>
      <c r="AW696" s="294">
        <v>0.16800000000000001</v>
      </c>
      <c r="AX696" s="294"/>
      <c r="AY696" s="294"/>
      <c r="AZ696" s="294">
        <v>0.16800000000000001</v>
      </c>
      <c r="BA696" s="294">
        <v>0.08</v>
      </c>
      <c r="BB696" s="294"/>
      <c r="BC696" s="294"/>
      <c r="BD696" s="294">
        <v>2.4E-2</v>
      </c>
      <c r="BE696" s="294"/>
      <c r="BF696" s="383">
        <v>0.16800000000000001</v>
      </c>
      <c r="BG696" s="383">
        <v>0.44</v>
      </c>
      <c r="BH696" s="278"/>
      <c r="BI696" s="365" t="s">
        <v>1508</v>
      </c>
      <c r="BJ696" s="409"/>
    </row>
    <row r="697" spans="1:62" ht="15.75" customHeight="1" thickBot="1" x14ac:dyDescent="0.25">
      <c r="A697" s="156">
        <v>698</v>
      </c>
      <c r="B697" s="155">
        <v>1</v>
      </c>
      <c r="C697" s="148" t="s">
        <v>236</v>
      </c>
      <c r="D697" s="148" t="s">
        <v>2230</v>
      </c>
      <c r="E697" s="148" t="s">
        <v>13</v>
      </c>
      <c r="F697" s="148" t="s">
        <v>2230</v>
      </c>
      <c r="G697" s="148" t="s">
        <v>20</v>
      </c>
      <c r="H697" s="148" t="s">
        <v>87</v>
      </c>
      <c r="I697" s="161">
        <v>2015</v>
      </c>
      <c r="J697" s="161" t="s">
        <v>1503</v>
      </c>
      <c r="K697" s="161" t="s">
        <v>1504</v>
      </c>
      <c r="L697" s="161" t="s">
        <v>19</v>
      </c>
      <c r="M697" s="453" t="s">
        <v>4252</v>
      </c>
      <c r="N697" s="186" t="s">
        <v>20</v>
      </c>
      <c r="O697" s="186" t="s">
        <v>20</v>
      </c>
      <c r="P697" s="186" t="s">
        <v>20</v>
      </c>
      <c r="Q697" s="186" t="s">
        <v>20</v>
      </c>
      <c r="R697" s="186" t="s">
        <v>20</v>
      </c>
      <c r="S697" s="186" t="s">
        <v>20</v>
      </c>
      <c r="T697" s="186" t="s">
        <v>20</v>
      </c>
      <c r="U697" s="186" t="s">
        <v>15</v>
      </c>
      <c r="V697" s="186" t="s">
        <v>15</v>
      </c>
      <c r="W697" s="186" t="s">
        <v>15</v>
      </c>
      <c r="X697" s="186" t="s">
        <v>15</v>
      </c>
      <c r="Y697" s="186" t="s">
        <v>15</v>
      </c>
      <c r="Z697" s="186" t="s">
        <v>1505</v>
      </c>
      <c r="AA697" s="186"/>
      <c r="AB697" s="186" t="s">
        <v>122</v>
      </c>
      <c r="AC697" s="186" t="s">
        <v>122</v>
      </c>
      <c r="AD697" s="268" t="s">
        <v>1510</v>
      </c>
      <c r="AE697" s="268" t="s">
        <v>1511</v>
      </c>
      <c r="AF697" s="144">
        <f t="shared" si="49"/>
        <v>3.8479999999999999</v>
      </c>
      <c r="AG697" s="144" t="str">
        <f t="shared" si="52"/>
        <v/>
      </c>
      <c r="AH697" s="146">
        <f t="shared" si="50"/>
        <v>0.192</v>
      </c>
      <c r="AI697" s="146" t="str">
        <f t="shared" si="51"/>
        <v/>
      </c>
      <c r="AJ697" s="303">
        <v>3.8479999999999999</v>
      </c>
      <c r="AK697" s="303"/>
      <c r="AL697" s="303"/>
      <c r="AM697" s="303">
        <v>4.4880000000000004</v>
      </c>
      <c r="AN697" s="303">
        <v>0.6</v>
      </c>
      <c r="AO697" s="303"/>
      <c r="AP697" s="303"/>
      <c r="AQ697" s="303">
        <f>0.002/0.125</f>
        <v>1.6E-2</v>
      </c>
      <c r="AR697" s="303"/>
      <c r="AS697" s="170">
        <v>3.8479999999999999</v>
      </c>
      <c r="AT697" s="170">
        <v>8.952</v>
      </c>
      <c r="AU697" s="310" t="s">
        <v>1507</v>
      </c>
      <c r="AW697" s="294">
        <f>0.024/0.125</f>
        <v>0.192</v>
      </c>
      <c r="AX697" s="294"/>
      <c r="AY697" s="294"/>
      <c r="AZ697" s="294">
        <f>(0.016+0.005)/0.125</f>
        <v>0.16800000000000001</v>
      </c>
      <c r="BA697" s="294">
        <f>0.004/0.125</f>
        <v>3.2000000000000001E-2</v>
      </c>
      <c r="BB697" s="294"/>
      <c r="BC697" s="294"/>
      <c r="BD697" s="294">
        <f>0.003/0.125</f>
        <v>2.4E-2</v>
      </c>
      <c r="BE697" s="294"/>
      <c r="BF697" s="383">
        <v>0.192</v>
      </c>
      <c r="BG697" s="383">
        <v>0.41599999999999998</v>
      </c>
      <c r="BH697" s="278"/>
      <c r="BI697" s="365" t="s">
        <v>1508</v>
      </c>
      <c r="BJ697" s="409"/>
    </row>
    <row r="698" spans="1:62" ht="15.75" customHeight="1" thickBot="1" x14ac:dyDescent="0.25">
      <c r="A698" s="154">
        <v>699</v>
      </c>
      <c r="B698" s="155">
        <v>1</v>
      </c>
      <c r="C698" s="148" t="s">
        <v>760</v>
      </c>
      <c r="D698" s="148" t="s">
        <v>2029</v>
      </c>
      <c r="E698" s="148" t="s">
        <v>13</v>
      </c>
      <c r="F698" s="148" t="s">
        <v>1512</v>
      </c>
      <c r="G698" s="148" t="s">
        <v>122</v>
      </c>
      <c r="H698" s="148" t="s">
        <v>1161</v>
      </c>
      <c r="I698" s="161">
        <v>2015</v>
      </c>
      <c r="J698" s="161" t="s">
        <v>1513</v>
      </c>
      <c r="K698" s="161" t="s">
        <v>1514</v>
      </c>
      <c r="L698" s="161" t="s">
        <v>19</v>
      </c>
      <c r="M698" s="453" t="s">
        <v>4253</v>
      </c>
      <c r="N698" s="186" t="s">
        <v>20</v>
      </c>
      <c r="O698" s="186" t="s">
        <v>15</v>
      </c>
      <c r="P698" s="186" t="s">
        <v>15</v>
      </c>
      <c r="Q698" s="186" t="s">
        <v>15</v>
      </c>
      <c r="R698" s="186" t="s">
        <v>15</v>
      </c>
      <c r="S698" s="186" t="s">
        <v>15</v>
      </c>
      <c r="T698" s="186" t="s">
        <v>15</v>
      </c>
      <c r="U698" s="186" t="s">
        <v>15</v>
      </c>
      <c r="V698" s="186" t="s">
        <v>15</v>
      </c>
      <c r="W698" s="186" t="s">
        <v>15</v>
      </c>
      <c r="X698" s="186" t="s">
        <v>15</v>
      </c>
      <c r="Y698" s="186" t="s">
        <v>20</v>
      </c>
      <c r="Z698" s="186"/>
      <c r="AA698" s="186" t="s">
        <v>1515</v>
      </c>
      <c r="AB698" s="186" t="s">
        <v>292</v>
      </c>
      <c r="AC698" s="186" t="s">
        <v>292</v>
      </c>
      <c r="AD698" s="268" t="s">
        <v>1516</v>
      </c>
      <c r="AE698" s="268" t="s">
        <v>485</v>
      </c>
      <c r="AF698" s="144" t="str">
        <f t="shared" si="49"/>
        <v/>
      </c>
      <c r="AG698" s="144" t="str">
        <f t="shared" si="52"/>
        <v/>
      </c>
      <c r="AH698" s="146" t="str">
        <f t="shared" si="50"/>
        <v/>
      </c>
      <c r="AI698" s="146" t="str">
        <f t="shared" si="51"/>
        <v/>
      </c>
      <c r="AJ698" s="303"/>
      <c r="AK698" s="303"/>
      <c r="AL698" s="303"/>
      <c r="AM698" s="303"/>
      <c r="AN698" s="303"/>
      <c r="AO698" s="303"/>
      <c r="AP698" s="303"/>
      <c r="AQ698" s="303"/>
      <c r="AR698" s="303"/>
      <c r="AS698" s="170"/>
      <c r="AT698" s="170"/>
      <c r="AU698" s="310"/>
      <c r="AW698" s="294"/>
      <c r="AX698" s="294"/>
      <c r="AY698" s="294"/>
      <c r="AZ698" s="294"/>
      <c r="BA698" s="294"/>
      <c r="BB698" s="294"/>
      <c r="BC698" s="294"/>
      <c r="BD698" s="294"/>
      <c r="BE698" s="294"/>
      <c r="BF698" s="383"/>
      <c r="BG698" s="383">
        <f>775.23/1000</f>
        <v>0.77522999999999997</v>
      </c>
      <c r="BH698" s="278"/>
      <c r="BI698" s="365" t="s">
        <v>1517</v>
      </c>
      <c r="BJ698" s="409"/>
    </row>
    <row r="699" spans="1:62" ht="15.75" customHeight="1" thickBot="1" x14ac:dyDescent="0.25">
      <c r="A699" s="156">
        <v>700</v>
      </c>
      <c r="B699" s="155">
        <v>1</v>
      </c>
      <c r="C699" s="148" t="s">
        <v>760</v>
      </c>
      <c r="D699" s="148" t="s">
        <v>2029</v>
      </c>
      <c r="E699" s="148" t="s">
        <v>13</v>
      </c>
      <c r="F699" s="148" t="s">
        <v>1518</v>
      </c>
      <c r="G699" s="148" t="s">
        <v>122</v>
      </c>
      <c r="H699" s="148" t="s">
        <v>1161</v>
      </c>
      <c r="I699" s="161">
        <v>2015</v>
      </c>
      <c r="J699" s="161" t="s">
        <v>1513</v>
      </c>
      <c r="K699" s="161" t="s">
        <v>1514</v>
      </c>
      <c r="L699" s="161" t="s">
        <v>19</v>
      </c>
      <c r="M699" s="453" t="s">
        <v>4253</v>
      </c>
      <c r="N699" s="186" t="s">
        <v>20</v>
      </c>
      <c r="O699" s="186" t="s">
        <v>15</v>
      </c>
      <c r="P699" s="186" t="s">
        <v>15</v>
      </c>
      <c r="Q699" s="186" t="s">
        <v>15</v>
      </c>
      <c r="R699" s="186" t="s">
        <v>15</v>
      </c>
      <c r="S699" s="186" t="s">
        <v>15</v>
      </c>
      <c r="T699" s="186" t="s">
        <v>15</v>
      </c>
      <c r="U699" s="186" t="s">
        <v>15</v>
      </c>
      <c r="V699" s="186" t="s">
        <v>15</v>
      </c>
      <c r="W699" s="186" t="s">
        <v>15</v>
      </c>
      <c r="X699" s="186" t="s">
        <v>15</v>
      </c>
      <c r="Y699" s="186" t="s">
        <v>20</v>
      </c>
      <c r="Z699" s="186"/>
      <c r="AA699" s="186" t="s">
        <v>1515</v>
      </c>
      <c r="AB699" s="186" t="s">
        <v>292</v>
      </c>
      <c r="AC699" s="186" t="s">
        <v>292</v>
      </c>
      <c r="AD699" s="268" t="s">
        <v>1516</v>
      </c>
      <c r="AE699" s="268" t="s">
        <v>485</v>
      </c>
      <c r="AF699" s="144" t="str">
        <f t="shared" si="49"/>
        <v/>
      </c>
      <c r="AG699" s="144" t="str">
        <f t="shared" si="52"/>
        <v/>
      </c>
      <c r="AH699" s="146" t="str">
        <f t="shared" si="50"/>
        <v/>
      </c>
      <c r="AI699" s="146" t="str">
        <f t="shared" si="51"/>
        <v/>
      </c>
      <c r="AJ699" s="303"/>
      <c r="AK699" s="303"/>
      <c r="AL699" s="303"/>
      <c r="AM699" s="303"/>
      <c r="AN699" s="303"/>
      <c r="AO699" s="303"/>
      <c r="AP699" s="303"/>
      <c r="AQ699" s="303"/>
      <c r="AR699" s="303"/>
      <c r="AS699" s="170"/>
      <c r="AT699" s="170"/>
      <c r="AU699" s="310"/>
      <c r="AW699" s="294"/>
      <c r="AX699" s="294"/>
      <c r="AY699" s="294"/>
      <c r="AZ699" s="294"/>
      <c r="BA699" s="294"/>
      <c r="BB699" s="294"/>
      <c r="BC699" s="294"/>
      <c r="BD699" s="294"/>
      <c r="BE699" s="294"/>
      <c r="BF699" s="383"/>
      <c r="BG699" s="382">
        <f>665.99/1000</f>
        <v>0.66598999999999997</v>
      </c>
      <c r="BH699" s="278"/>
      <c r="BI699" s="365" t="s">
        <v>1517</v>
      </c>
      <c r="BJ699" s="409"/>
    </row>
    <row r="700" spans="1:62" ht="15.75" customHeight="1" thickBot="1" x14ac:dyDescent="0.25">
      <c r="A700" s="154">
        <v>701</v>
      </c>
      <c r="B700" s="155">
        <v>1</v>
      </c>
      <c r="C700" s="148" t="s">
        <v>760</v>
      </c>
      <c r="D700" s="148" t="s">
        <v>2029</v>
      </c>
      <c r="E700" s="148" t="s">
        <v>13</v>
      </c>
      <c r="F700" s="148" t="s">
        <v>1519</v>
      </c>
      <c r="G700" s="148" t="s">
        <v>122</v>
      </c>
      <c r="H700" s="148" t="s">
        <v>1161</v>
      </c>
      <c r="I700" s="161">
        <v>2015</v>
      </c>
      <c r="J700" s="161" t="s">
        <v>1513</v>
      </c>
      <c r="K700" s="161" t="s">
        <v>1514</v>
      </c>
      <c r="L700" s="161" t="s">
        <v>19</v>
      </c>
      <c r="M700" s="453" t="s">
        <v>4253</v>
      </c>
      <c r="N700" s="186" t="s">
        <v>20</v>
      </c>
      <c r="O700" s="186" t="s">
        <v>15</v>
      </c>
      <c r="P700" s="186" t="s">
        <v>15</v>
      </c>
      <c r="Q700" s="186" t="s">
        <v>15</v>
      </c>
      <c r="R700" s="186" t="s">
        <v>15</v>
      </c>
      <c r="S700" s="186" t="s">
        <v>15</v>
      </c>
      <c r="T700" s="186" t="s">
        <v>15</v>
      </c>
      <c r="U700" s="186" t="s">
        <v>15</v>
      </c>
      <c r="V700" s="186" t="s">
        <v>15</v>
      </c>
      <c r="W700" s="186" t="s">
        <v>15</v>
      </c>
      <c r="X700" s="186" t="s">
        <v>15</v>
      </c>
      <c r="Y700" s="186" t="s">
        <v>20</v>
      </c>
      <c r="Z700" s="186"/>
      <c r="AA700" s="186" t="s">
        <v>1515</v>
      </c>
      <c r="AB700" s="186" t="s">
        <v>292</v>
      </c>
      <c r="AC700" s="186" t="s">
        <v>292</v>
      </c>
      <c r="AD700" s="268" t="s">
        <v>1516</v>
      </c>
      <c r="AE700" s="268" t="s">
        <v>485</v>
      </c>
      <c r="AF700" s="144" t="str">
        <f t="shared" si="49"/>
        <v/>
      </c>
      <c r="AG700" s="144" t="str">
        <f t="shared" si="52"/>
        <v/>
      </c>
      <c r="AH700" s="146" t="str">
        <f t="shared" si="50"/>
        <v/>
      </c>
      <c r="AI700" s="146" t="str">
        <f t="shared" si="51"/>
        <v/>
      </c>
      <c r="AJ700" s="303"/>
      <c r="AK700" s="303"/>
      <c r="AL700" s="303"/>
      <c r="AM700" s="303"/>
      <c r="AN700" s="303"/>
      <c r="AO700" s="303"/>
      <c r="AP700" s="303"/>
      <c r="AQ700" s="303"/>
      <c r="AR700" s="303"/>
      <c r="AS700" s="170"/>
      <c r="AT700" s="170"/>
      <c r="AU700" s="310"/>
      <c r="AW700" s="294"/>
      <c r="AX700" s="294"/>
      <c r="AY700" s="294"/>
      <c r="AZ700" s="294"/>
      <c r="BA700" s="294"/>
      <c r="BB700" s="294"/>
      <c r="BC700" s="294"/>
      <c r="BD700" s="294"/>
      <c r="BE700" s="294"/>
      <c r="BF700" s="383"/>
      <c r="BG700" s="382">
        <f>750.46/1000</f>
        <v>0.75046000000000002</v>
      </c>
      <c r="BH700" s="278"/>
      <c r="BI700" s="365" t="s">
        <v>1517</v>
      </c>
      <c r="BJ700" s="409"/>
    </row>
    <row r="701" spans="1:62" ht="15.75" customHeight="1" thickBot="1" x14ac:dyDescent="0.25">
      <c r="A701" s="156">
        <v>702</v>
      </c>
      <c r="B701" s="155">
        <v>1</v>
      </c>
      <c r="C701" s="148" t="s">
        <v>596</v>
      </c>
      <c r="D701" s="148" t="s">
        <v>3064</v>
      </c>
      <c r="E701" s="148" t="s">
        <v>1317</v>
      </c>
      <c r="F701" s="148" t="s">
        <v>1520</v>
      </c>
      <c r="G701" s="148" t="s">
        <v>122</v>
      </c>
      <c r="H701" s="148" t="s">
        <v>375</v>
      </c>
      <c r="I701" s="161">
        <v>2011</v>
      </c>
      <c r="J701" s="161" t="s">
        <v>1521</v>
      </c>
      <c r="K701" s="161" t="s">
        <v>1522</v>
      </c>
      <c r="L701" s="161" t="s">
        <v>19</v>
      </c>
      <c r="M701" s="453" t="s">
        <v>4254</v>
      </c>
      <c r="N701" s="186" t="s">
        <v>20</v>
      </c>
      <c r="O701" s="186" t="s">
        <v>20</v>
      </c>
      <c r="P701" s="186" t="s">
        <v>15</v>
      </c>
      <c r="Q701" s="186" t="s">
        <v>15</v>
      </c>
      <c r="R701" s="186" t="s">
        <v>15</v>
      </c>
      <c r="S701" s="186" t="s">
        <v>15</v>
      </c>
      <c r="T701" s="186" t="s">
        <v>15</v>
      </c>
      <c r="U701" s="186" t="s">
        <v>15</v>
      </c>
      <c r="V701" s="186" t="s">
        <v>15</v>
      </c>
      <c r="W701" s="186" t="s">
        <v>15</v>
      </c>
      <c r="X701" s="186" t="s">
        <v>15</v>
      </c>
      <c r="Y701" s="186" t="s">
        <v>15</v>
      </c>
      <c r="Z701" s="186"/>
      <c r="AA701" s="186" t="s">
        <v>1523</v>
      </c>
      <c r="AB701" s="186" t="s">
        <v>292</v>
      </c>
      <c r="AC701" s="186" t="s">
        <v>122</v>
      </c>
      <c r="AD701" s="268" t="s">
        <v>1524</v>
      </c>
      <c r="AE701" s="268" t="s">
        <v>485</v>
      </c>
      <c r="AF701" s="144">
        <f t="shared" si="49"/>
        <v>0.95199999999999996</v>
      </c>
      <c r="AG701" s="144" t="str">
        <f t="shared" si="52"/>
        <v/>
      </c>
      <c r="AH701" s="146">
        <f t="shared" si="50"/>
        <v>0.114</v>
      </c>
      <c r="AI701" s="146" t="str">
        <f t="shared" si="51"/>
        <v/>
      </c>
      <c r="AJ701" s="303"/>
      <c r="AK701" s="303"/>
      <c r="AL701" s="303"/>
      <c r="AM701" s="303"/>
      <c r="AN701" s="303"/>
      <c r="AO701" s="303"/>
      <c r="AP701" s="303"/>
      <c r="AQ701" s="303"/>
      <c r="AR701" s="303"/>
      <c r="AS701" s="170">
        <f>952/1000</f>
        <v>0.95199999999999996</v>
      </c>
      <c r="AT701" s="170"/>
      <c r="AU701" s="310"/>
      <c r="AW701" s="294"/>
      <c r="AX701" s="294"/>
      <c r="AY701" s="294"/>
      <c r="AZ701" s="294"/>
      <c r="BA701" s="294"/>
      <c r="BB701" s="294"/>
      <c r="BC701" s="294"/>
      <c r="BD701" s="294"/>
      <c r="BE701" s="294"/>
      <c r="BF701" s="383">
        <f>114/1000</f>
        <v>0.114</v>
      </c>
      <c r="BG701" s="382"/>
      <c r="BH701" s="278"/>
      <c r="BI701" s="365" t="s">
        <v>1525</v>
      </c>
      <c r="BJ701" s="409"/>
    </row>
    <row r="702" spans="1:62" ht="15.75" customHeight="1" thickBot="1" x14ac:dyDescent="0.25">
      <c r="A702" s="154">
        <v>703</v>
      </c>
      <c r="B702" s="155">
        <v>1</v>
      </c>
      <c r="C702" s="148" t="s">
        <v>596</v>
      </c>
      <c r="D702" s="148" t="s">
        <v>3064</v>
      </c>
      <c r="E702" s="148" t="s">
        <v>13</v>
      </c>
      <c r="F702" s="148" t="s">
        <v>1526</v>
      </c>
      <c r="G702" s="148" t="s">
        <v>122</v>
      </c>
      <c r="H702" s="148" t="s">
        <v>375</v>
      </c>
      <c r="I702" s="161">
        <v>2011</v>
      </c>
      <c r="J702" s="161" t="s">
        <v>1521</v>
      </c>
      <c r="K702" s="161" t="s">
        <v>1522</v>
      </c>
      <c r="L702" s="161" t="s">
        <v>19</v>
      </c>
      <c r="M702" s="453" t="s">
        <v>4254</v>
      </c>
      <c r="N702" s="186" t="s">
        <v>20</v>
      </c>
      <c r="O702" s="186" t="s">
        <v>20</v>
      </c>
      <c r="P702" s="186" t="s">
        <v>20</v>
      </c>
      <c r="Q702" s="186" t="s">
        <v>20</v>
      </c>
      <c r="R702" s="186" t="s">
        <v>20</v>
      </c>
      <c r="S702" s="186" t="s">
        <v>20</v>
      </c>
      <c r="T702" s="186" t="s">
        <v>15</v>
      </c>
      <c r="U702" s="186" t="s">
        <v>15</v>
      </c>
      <c r="V702" s="186" t="s">
        <v>15</v>
      </c>
      <c r="W702" s="186" t="s">
        <v>15</v>
      </c>
      <c r="X702" s="186" t="s">
        <v>15</v>
      </c>
      <c r="Y702" s="186" t="s">
        <v>15</v>
      </c>
      <c r="Z702" s="186"/>
      <c r="AA702" s="186" t="s">
        <v>1527</v>
      </c>
      <c r="AB702" s="186" t="s">
        <v>292</v>
      </c>
      <c r="AC702" s="186" t="s">
        <v>292</v>
      </c>
      <c r="AD702" s="268" t="s">
        <v>1528</v>
      </c>
      <c r="AE702" s="268" t="s">
        <v>1529</v>
      </c>
      <c r="AF702" s="144">
        <f t="shared" si="49"/>
        <v>0.89312977099236635</v>
      </c>
      <c r="AG702" s="144">
        <f t="shared" si="52"/>
        <v>2.7452290076335877</v>
      </c>
      <c r="AH702" s="146">
        <f t="shared" si="50"/>
        <v>0.10305343511450381</v>
      </c>
      <c r="AI702" s="146">
        <f t="shared" si="51"/>
        <v>0.17080152671755722</v>
      </c>
      <c r="AJ702" s="303">
        <f>(0.227+0.709)/1.048</f>
        <v>0.89312977099236635</v>
      </c>
      <c r="AK702" s="303"/>
      <c r="AL702" s="303">
        <f>1.941/1.048</f>
        <v>1.8520992366412214</v>
      </c>
      <c r="AM702" s="303"/>
      <c r="AN702" s="303">
        <f>3.822/1.048</f>
        <v>3.646946564885496</v>
      </c>
      <c r="AO702" s="303"/>
      <c r="AP702" s="303"/>
      <c r="AQ702" s="303"/>
      <c r="AR702" s="303"/>
      <c r="AS702" s="169">
        <f>AJ702</f>
        <v>0.89312977099236635</v>
      </c>
      <c r="AT702" s="170">
        <f>6.699/1.048</f>
        <v>6.3921755725190836</v>
      </c>
      <c r="AU702" s="310"/>
      <c r="AW702" s="294">
        <f>(0.012+0.096)/1.048</f>
        <v>0.10305343511450381</v>
      </c>
      <c r="AX702" s="294"/>
      <c r="AY702" s="294">
        <f>0.071/1.048</f>
        <v>6.7748091603053423E-2</v>
      </c>
      <c r="AZ702" s="294"/>
      <c r="BA702" s="294">
        <f>0.244/1.048</f>
        <v>0.23282442748091603</v>
      </c>
      <c r="BB702" s="294"/>
      <c r="BC702" s="294"/>
      <c r="BD702" s="294"/>
      <c r="BE702" s="294"/>
      <c r="BF702" s="382">
        <f>AW702</f>
        <v>0.10305343511450381</v>
      </c>
      <c r="BG702" s="382">
        <f>0.424/1.048</f>
        <v>0.40458015267175568</v>
      </c>
      <c r="BH702" s="278"/>
      <c r="BI702" s="365" t="s">
        <v>1525</v>
      </c>
      <c r="BJ702" s="409"/>
    </row>
    <row r="703" spans="1:62" ht="15.75" customHeight="1" thickBot="1" x14ac:dyDescent="0.25">
      <c r="A703" s="156">
        <v>704</v>
      </c>
      <c r="B703" s="155">
        <v>1</v>
      </c>
      <c r="C703" s="148" t="s">
        <v>596</v>
      </c>
      <c r="D703" s="148" t="s">
        <v>3064</v>
      </c>
      <c r="E703" s="148" t="s">
        <v>13</v>
      </c>
      <c r="F703" s="148" t="s">
        <v>1530</v>
      </c>
      <c r="G703" s="148" t="s">
        <v>122</v>
      </c>
      <c r="H703" s="148" t="s">
        <v>375</v>
      </c>
      <c r="I703" s="161">
        <v>2011</v>
      </c>
      <c r="J703" s="161" t="s">
        <v>1521</v>
      </c>
      <c r="K703" s="161" t="s">
        <v>1522</v>
      </c>
      <c r="L703" s="161" t="s">
        <v>19</v>
      </c>
      <c r="M703" s="453" t="s">
        <v>4254</v>
      </c>
      <c r="N703" s="186" t="s">
        <v>20</v>
      </c>
      <c r="O703" s="186" t="s">
        <v>20</v>
      </c>
      <c r="P703" s="186" t="s">
        <v>15</v>
      </c>
      <c r="Q703" s="186" t="s">
        <v>15</v>
      </c>
      <c r="R703" s="186" t="s">
        <v>15</v>
      </c>
      <c r="S703" s="186" t="s">
        <v>15</v>
      </c>
      <c r="T703" s="186" t="s">
        <v>15</v>
      </c>
      <c r="U703" s="186" t="s">
        <v>15</v>
      </c>
      <c r="V703" s="186" t="s">
        <v>15</v>
      </c>
      <c r="W703" s="186" t="s">
        <v>15</v>
      </c>
      <c r="X703" s="186" t="s">
        <v>15</v>
      </c>
      <c r="Y703" s="186" t="s">
        <v>15</v>
      </c>
      <c r="Z703" s="186"/>
      <c r="AA703" s="186" t="s">
        <v>1527</v>
      </c>
      <c r="AB703" s="186" t="s">
        <v>292</v>
      </c>
      <c r="AC703" s="186" t="s">
        <v>292</v>
      </c>
      <c r="AD703" s="268" t="s">
        <v>1524</v>
      </c>
      <c r="AE703" s="268" t="s">
        <v>485</v>
      </c>
      <c r="AF703" s="144">
        <f t="shared" si="49"/>
        <v>1.2649999999999999</v>
      </c>
      <c r="AG703" s="144" t="str">
        <f t="shared" si="52"/>
        <v/>
      </c>
      <c r="AH703" s="146">
        <f t="shared" si="50"/>
        <v>0.112</v>
      </c>
      <c r="AI703" s="146" t="str">
        <f t="shared" si="51"/>
        <v/>
      </c>
      <c r="AJ703" s="303"/>
      <c r="AK703" s="303"/>
      <c r="AL703" s="303"/>
      <c r="AM703" s="303"/>
      <c r="AN703" s="303"/>
      <c r="AO703" s="303"/>
      <c r="AP703" s="303"/>
      <c r="AQ703" s="303"/>
      <c r="AR703" s="303"/>
      <c r="AS703" s="169">
        <f>1265/1000</f>
        <v>1.2649999999999999</v>
      </c>
      <c r="AT703" s="169"/>
      <c r="AU703" s="310"/>
      <c r="AW703" s="294"/>
      <c r="AX703" s="294"/>
      <c r="AY703" s="294"/>
      <c r="AZ703" s="294"/>
      <c r="BA703" s="294"/>
      <c r="BB703" s="294"/>
      <c r="BC703" s="294"/>
      <c r="BD703" s="294"/>
      <c r="BE703" s="294"/>
      <c r="BF703" s="382">
        <f>112/1000</f>
        <v>0.112</v>
      </c>
      <c r="BG703" s="382"/>
      <c r="BH703" s="278"/>
      <c r="BI703" s="365" t="s">
        <v>1525</v>
      </c>
      <c r="BJ703" s="409"/>
    </row>
    <row r="704" spans="1:62" ht="15.75" customHeight="1" thickBot="1" x14ac:dyDescent="0.25">
      <c r="A704" s="154">
        <v>705</v>
      </c>
      <c r="B704" s="155">
        <v>1</v>
      </c>
      <c r="C704" s="148" t="s">
        <v>236</v>
      </c>
      <c r="D704" s="148" t="s">
        <v>2136</v>
      </c>
      <c r="E704" s="148" t="s">
        <v>13</v>
      </c>
      <c r="F704" s="250" t="s">
        <v>1531</v>
      </c>
      <c r="G704" s="148" t="s">
        <v>20</v>
      </c>
      <c r="H704" s="148" t="s">
        <v>73</v>
      </c>
      <c r="I704" s="161">
        <v>2015</v>
      </c>
      <c r="J704" s="161" t="s">
        <v>1532</v>
      </c>
      <c r="K704" s="161" t="s">
        <v>1533</v>
      </c>
      <c r="L704" s="161" t="s">
        <v>19</v>
      </c>
      <c r="M704" s="453" t="s">
        <v>4255</v>
      </c>
      <c r="N704" s="186" t="s">
        <v>20</v>
      </c>
      <c r="O704" s="186" t="s">
        <v>20</v>
      </c>
      <c r="P704" s="186" t="s">
        <v>15</v>
      </c>
      <c r="Q704" s="186" t="s">
        <v>15</v>
      </c>
      <c r="R704" s="186" t="s">
        <v>15</v>
      </c>
      <c r="S704" s="186" t="s">
        <v>15</v>
      </c>
      <c r="T704" s="186" t="s">
        <v>15</v>
      </c>
      <c r="U704" s="186" t="s">
        <v>15</v>
      </c>
      <c r="V704" s="186" t="s">
        <v>15</v>
      </c>
      <c r="W704" s="186" t="s">
        <v>15</v>
      </c>
      <c r="X704" s="186" t="s">
        <v>15</v>
      </c>
      <c r="Y704" s="186" t="s">
        <v>20</v>
      </c>
      <c r="Z704" s="186"/>
      <c r="AA704" s="186" t="s">
        <v>1534</v>
      </c>
      <c r="AB704" s="186" t="s">
        <v>292</v>
      </c>
      <c r="AC704" s="186" t="s">
        <v>292</v>
      </c>
      <c r="AD704" s="268" t="s">
        <v>1535</v>
      </c>
      <c r="AE704" s="268"/>
      <c r="AF704" s="144">
        <f t="shared" si="49"/>
        <v>2.38</v>
      </c>
      <c r="AG704" s="144" t="str">
        <f t="shared" si="52"/>
        <v/>
      </c>
      <c r="AH704" s="146">
        <f t="shared" si="50"/>
        <v>0.125</v>
      </c>
      <c r="AI704" s="146" t="str">
        <f t="shared" si="51"/>
        <v/>
      </c>
      <c r="AJ704" s="303"/>
      <c r="AK704" s="303"/>
      <c r="AL704" s="303"/>
      <c r="AM704" s="303"/>
      <c r="AN704" s="303"/>
      <c r="AO704" s="303"/>
      <c r="AP704" s="303"/>
      <c r="AQ704" s="303"/>
      <c r="AR704" s="303"/>
      <c r="AS704" s="169">
        <v>2.38</v>
      </c>
      <c r="AT704" s="170"/>
      <c r="AU704" s="310"/>
      <c r="AW704" s="294"/>
      <c r="AX704" s="294"/>
      <c r="AY704" s="294"/>
      <c r="AZ704" s="294"/>
      <c r="BA704" s="294"/>
      <c r="BB704" s="294"/>
      <c r="BC704" s="294"/>
      <c r="BD704" s="294"/>
      <c r="BE704" s="294"/>
      <c r="BF704" s="382">
        <v>0.125</v>
      </c>
      <c r="BG704" s="383"/>
      <c r="BH704" s="278"/>
      <c r="BI704" s="365"/>
      <c r="BJ704" s="409"/>
    </row>
    <row r="705" spans="1:62" ht="15.75" customHeight="1" thickBot="1" x14ac:dyDescent="0.25">
      <c r="A705" s="156">
        <v>706</v>
      </c>
      <c r="B705" s="155">
        <v>1</v>
      </c>
      <c r="C705" s="148" t="s">
        <v>236</v>
      </c>
      <c r="D705" s="148" t="s">
        <v>2136</v>
      </c>
      <c r="E705" s="148" t="s">
        <v>13</v>
      </c>
      <c r="F705" s="250" t="s">
        <v>1536</v>
      </c>
      <c r="G705" s="148" t="s">
        <v>20</v>
      </c>
      <c r="H705" s="148" t="s">
        <v>73</v>
      </c>
      <c r="I705" s="161">
        <v>2015</v>
      </c>
      <c r="J705" s="161" t="s">
        <v>1532</v>
      </c>
      <c r="K705" s="161" t="s">
        <v>1533</v>
      </c>
      <c r="L705" s="161" t="s">
        <v>19</v>
      </c>
      <c r="M705" s="453" t="s">
        <v>4255</v>
      </c>
      <c r="N705" s="186" t="s">
        <v>20</v>
      </c>
      <c r="O705" s="186" t="s">
        <v>20</v>
      </c>
      <c r="P705" s="186" t="s">
        <v>15</v>
      </c>
      <c r="Q705" s="186" t="s">
        <v>15</v>
      </c>
      <c r="R705" s="186" t="s">
        <v>15</v>
      </c>
      <c r="S705" s="186" t="s">
        <v>15</v>
      </c>
      <c r="T705" s="186" t="s">
        <v>15</v>
      </c>
      <c r="U705" s="186" t="s">
        <v>15</v>
      </c>
      <c r="V705" s="186" t="s">
        <v>15</v>
      </c>
      <c r="W705" s="186" t="s">
        <v>15</v>
      </c>
      <c r="X705" s="186" t="s">
        <v>15</v>
      </c>
      <c r="Y705" s="186" t="s">
        <v>20</v>
      </c>
      <c r="Z705" s="186"/>
      <c r="AA705" s="186" t="s">
        <v>1534</v>
      </c>
      <c r="AB705" s="186" t="s">
        <v>292</v>
      </c>
      <c r="AC705" s="186" t="s">
        <v>292</v>
      </c>
      <c r="AD705" s="268" t="s">
        <v>1535</v>
      </c>
      <c r="AE705" s="268"/>
      <c r="AF705" s="144">
        <f t="shared" si="49"/>
        <v>1.76</v>
      </c>
      <c r="AG705" s="144" t="str">
        <f t="shared" si="52"/>
        <v/>
      </c>
      <c r="AH705" s="146">
        <f t="shared" si="50"/>
        <v>0.183</v>
      </c>
      <c r="AI705" s="146" t="str">
        <f t="shared" si="51"/>
        <v/>
      </c>
      <c r="AJ705" s="303"/>
      <c r="AK705" s="303"/>
      <c r="AL705" s="303"/>
      <c r="AM705" s="303"/>
      <c r="AN705" s="303"/>
      <c r="AO705" s="303"/>
      <c r="AP705" s="303"/>
      <c r="AQ705" s="303"/>
      <c r="AR705" s="303"/>
      <c r="AS705" s="169">
        <v>1.76</v>
      </c>
      <c r="AT705" s="170"/>
      <c r="AU705" s="310"/>
      <c r="AW705" s="294"/>
      <c r="AX705" s="294"/>
      <c r="AY705" s="294"/>
      <c r="AZ705" s="294"/>
      <c r="BA705" s="294"/>
      <c r="BB705" s="294"/>
      <c r="BC705" s="294"/>
      <c r="BD705" s="294"/>
      <c r="BE705" s="294"/>
      <c r="BF705" s="382">
        <v>0.183</v>
      </c>
      <c r="BG705" s="383"/>
      <c r="BH705" s="278"/>
      <c r="BI705" s="365"/>
      <c r="BJ705" s="409"/>
    </row>
    <row r="706" spans="1:62" ht="15.75" customHeight="1" thickBot="1" x14ac:dyDescent="0.25">
      <c r="A706" s="154">
        <v>707</v>
      </c>
      <c r="B706" s="155">
        <v>1</v>
      </c>
      <c r="C706" s="148" t="s">
        <v>236</v>
      </c>
      <c r="D706" s="148" t="s">
        <v>2136</v>
      </c>
      <c r="E706" s="148" t="s">
        <v>13</v>
      </c>
      <c r="F706" s="250" t="s">
        <v>1537</v>
      </c>
      <c r="G706" s="148" t="s">
        <v>20</v>
      </c>
      <c r="H706" s="148" t="s">
        <v>73</v>
      </c>
      <c r="I706" s="161">
        <v>2015</v>
      </c>
      <c r="J706" s="161" t="s">
        <v>1532</v>
      </c>
      <c r="K706" s="161" t="s">
        <v>1533</v>
      </c>
      <c r="L706" s="161" t="s">
        <v>19</v>
      </c>
      <c r="M706" s="453" t="s">
        <v>4255</v>
      </c>
      <c r="N706" s="186" t="s">
        <v>20</v>
      </c>
      <c r="O706" s="186" t="s">
        <v>20</v>
      </c>
      <c r="P706" s="186" t="s">
        <v>15</v>
      </c>
      <c r="Q706" s="186" t="s">
        <v>15</v>
      </c>
      <c r="R706" s="186" t="s">
        <v>15</v>
      </c>
      <c r="S706" s="186" t="s">
        <v>15</v>
      </c>
      <c r="T706" s="186" t="s">
        <v>15</v>
      </c>
      <c r="U706" s="186" t="s">
        <v>15</v>
      </c>
      <c r="V706" s="186" t="s">
        <v>15</v>
      </c>
      <c r="W706" s="186" t="s">
        <v>15</v>
      </c>
      <c r="X706" s="186" t="s">
        <v>15</v>
      </c>
      <c r="Y706" s="186" t="s">
        <v>20</v>
      </c>
      <c r="Z706" s="186"/>
      <c r="AA706" s="186" t="s">
        <v>1534</v>
      </c>
      <c r="AB706" s="186" t="s">
        <v>292</v>
      </c>
      <c r="AC706" s="186" t="s">
        <v>292</v>
      </c>
      <c r="AD706" s="268" t="s">
        <v>1535</v>
      </c>
      <c r="AE706" s="268"/>
      <c r="AF706" s="144">
        <f t="shared" ref="AF706:AF769" si="54">IF(AS706&lt;&gt;0,AS706,"")</f>
        <v>1.0900000000000001</v>
      </c>
      <c r="AG706" s="144" t="str">
        <f t="shared" si="52"/>
        <v/>
      </c>
      <c r="AH706" s="146">
        <f t="shared" ref="AH706:AH769" si="55">IF(BF706&lt;&gt;0,BF706,"")</f>
        <v>0.125</v>
      </c>
      <c r="AI706" s="146" t="str">
        <f t="shared" ref="AI706:AI769" si="56">IF(AND(SUM(AW706:AY706)&lt;&gt;0,SUM(AW706:AY706)&lt;&gt;AW706),SUM(AW706:AY706),"")</f>
        <v/>
      </c>
      <c r="AJ706" s="303"/>
      <c r="AK706" s="303"/>
      <c r="AL706" s="303"/>
      <c r="AM706" s="303"/>
      <c r="AN706" s="303"/>
      <c r="AO706" s="303"/>
      <c r="AP706" s="303"/>
      <c r="AQ706" s="303"/>
      <c r="AR706" s="303"/>
      <c r="AS706" s="169">
        <v>1.0900000000000001</v>
      </c>
      <c r="AT706" s="170"/>
      <c r="AU706" s="310"/>
      <c r="AW706" s="294"/>
      <c r="AX706" s="294"/>
      <c r="AY706" s="294"/>
      <c r="AZ706" s="294"/>
      <c r="BA706" s="294"/>
      <c r="BB706" s="294"/>
      <c r="BC706" s="294"/>
      <c r="BD706" s="294"/>
      <c r="BE706" s="294"/>
      <c r="BF706" s="382">
        <v>0.125</v>
      </c>
      <c r="BG706" s="383"/>
      <c r="BH706" s="278"/>
      <c r="BI706" s="365"/>
      <c r="BJ706" s="409"/>
    </row>
    <row r="707" spans="1:62" ht="15.75" customHeight="1" thickBot="1" x14ac:dyDescent="0.25">
      <c r="A707" s="156">
        <v>708</v>
      </c>
      <c r="B707" s="155">
        <v>1</v>
      </c>
      <c r="C707" s="148" t="s">
        <v>236</v>
      </c>
      <c r="D707" s="148" t="s">
        <v>2136</v>
      </c>
      <c r="E707" s="148" t="s">
        <v>13</v>
      </c>
      <c r="F707" s="250" t="s">
        <v>1538</v>
      </c>
      <c r="G707" s="148" t="s">
        <v>20</v>
      </c>
      <c r="H707" s="148" t="s">
        <v>73</v>
      </c>
      <c r="I707" s="161">
        <v>2015</v>
      </c>
      <c r="J707" s="161" t="s">
        <v>1532</v>
      </c>
      <c r="K707" s="161" t="s">
        <v>1533</v>
      </c>
      <c r="L707" s="161" t="s">
        <v>19</v>
      </c>
      <c r="M707" s="453" t="s">
        <v>4255</v>
      </c>
      <c r="N707" s="186" t="s">
        <v>20</v>
      </c>
      <c r="O707" s="186" t="s">
        <v>20</v>
      </c>
      <c r="P707" s="186" t="s">
        <v>15</v>
      </c>
      <c r="Q707" s="186" t="s">
        <v>15</v>
      </c>
      <c r="R707" s="186" t="s">
        <v>15</v>
      </c>
      <c r="S707" s="186" t="s">
        <v>15</v>
      </c>
      <c r="T707" s="186" t="s">
        <v>15</v>
      </c>
      <c r="U707" s="186" t="s">
        <v>15</v>
      </c>
      <c r="V707" s="186" t="s">
        <v>15</v>
      </c>
      <c r="W707" s="186" t="s">
        <v>15</v>
      </c>
      <c r="X707" s="186" t="s">
        <v>15</v>
      </c>
      <c r="Y707" s="186" t="s">
        <v>20</v>
      </c>
      <c r="Z707" s="186"/>
      <c r="AA707" s="186" t="s">
        <v>1534</v>
      </c>
      <c r="AB707" s="186" t="s">
        <v>292</v>
      </c>
      <c r="AC707" s="186" t="s">
        <v>292</v>
      </c>
      <c r="AD707" s="268" t="s">
        <v>1535</v>
      </c>
      <c r="AE707" s="268"/>
      <c r="AF707" s="144">
        <f t="shared" si="54"/>
        <v>1.62</v>
      </c>
      <c r="AG707" s="144" t="str">
        <f t="shared" si="52"/>
        <v/>
      </c>
      <c r="AH707" s="146">
        <f t="shared" si="55"/>
        <v>0.16200000000000001</v>
      </c>
      <c r="AI707" s="146" t="str">
        <f t="shared" si="56"/>
        <v/>
      </c>
      <c r="AJ707" s="303"/>
      <c r="AK707" s="303"/>
      <c r="AL707" s="303"/>
      <c r="AM707" s="303"/>
      <c r="AN707" s="303"/>
      <c r="AO707" s="303"/>
      <c r="AP707" s="303"/>
      <c r="AQ707" s="303"/>
      <c r="AR707" s="303"/>
      <c r="AS707" s="169">
        <v>1.62</v>
      </c>
      <c r="AT707" s="170"/>
      <c r="AU707" s="310"/>
      <c r="AW707" s="294"/>
      <c r="AX707" s="294"/>
      <c r="AY707" s="294"/>
      <c r="AZ707" s="294"/>
      <c r="BA707" s="294"/>
      <c r="BB707" s="294"/>
      <c r="BC707" s="294"/>
      <c r="BD707" s="294"/>
      <c r="BE707" s="294"/>
      <c r="BF707" s="382">
        <v>0.16200000000000001</v>
      </c>
      <c r="BG707" s="383"/>
      <c r="BH707" s="278"/>
      <c r="BI707" s="365"/>
      <c r="BJ707" s="409"/>
    </row>
    <row r="708" spans="1:62" ht="15.75" customHeight="1" thickBot="1" x14ac:dyDescent="0.25">
      <c r="A708" s="154">
        <v>709</v>
      </c>
      <c r="B708" s="155">
        <v>1</v>
      </c>
      <c r="C708" s="148" t="s">
        <v>236</v>
      </c>
      <c r="D708" s="148" t="s">
        <v>1539</v>
      </c>
      <c r="E708" s="148" t="s">
        <v>13</v>
      </c>
      <c r="F708" s="148" t="s">
        <v>1540</v>
      </c>
      <c r="G708" s="148" t="s">
        <v>292</v>
      </c>
      <c r="H708" s="148" t="s">
        <v>1541</v>
      </c>
      <c r="I708" s="161">
        <v>2013</v>
      </c>
      <c r="J708" s="161" t="s">
        <v>1542</v>
      </c>
      <c r="K708" s="161" t="s">
        <v>1543</v>
      </c>
      <c r="L708" s="161" t="s">
        <v>19</v>
      </c>
      <c r="M708" s="453" t="s">
        <v>4256</v>
      </c>
      <c r="N708" s="186" t="s">
        <v>20</v>
      </c>
      <c r="O708" s="186" t="s">
        <v>15</v>
      </c>
      <c r="P708" s="186" t="s">
        <v>15</v>
      </c>
      <c r="Q708" s="186" t="s">
        <v>15</v>
      </c>
      <c r="R708" s="186" t="s">
        <v>15</v>
      </c>
      <c r="S708" s="186" t="s">
        <v>15</v>
      </c>
      <c r="T708" s="186" t="s">
        <v>15</v>
      </c>
      <c r="U708" s="186" t="s">
        <v>15</v>
      </c>
      <c r="V708" s="186" t="s">
        <v>15</v>
      </c>
      <c r="W708" s="186" t="s">
        <v>15</v>
      </c>
      <c r="X708" s="186" t="s">
        <v>15</v>
      </c>
      <c r="Y708" s="186" t="s">
        <v>15</v>
      </c>
      <c r="Z708" s="186"/>
      <c r="AA708" s="186" t="s">
        <v>1131</v>
      </c>
      <c r="AB708" s="186" t="s">
        <v>15</v>
      </c>
      <c r="AC708" s="186" t="s">
        <v>15</v>
      </c>
      <c r="AD708" s="268" t="s">
        <v>1544</v>
      </c>
      <c r="AE708" s="268" t="s">
        <v>1545</v>
      </c>
      <c r="AF708" s="144" t="str">
        <f t="shared" si="54"/>
        <v/>
      </c>
      <c r="AG708" s="144" t="str">
        <f t="shared" si="52"/>
        <v/>
      </c>
      <c r="AH708" s="146">
        <f t="shared" si="55"/>
        <v>0.17</v>
      </c>
      <c r="AI708" s="146" t="str">
        <f t="shared" si="56"/>
        <v/>
      </c>
      <c r="AJ708" s="303"/>
      <c r="AK708" s="303"/>
      <c r="AL708" s="303"/>
      <c r="AM708" s="303"/>
      <c r="AN708" s="303"/>
      <c r="AO708" s="303"/>
      <c r="AP708" s="303"/>
      <c r="AQ708" s="303"/>
      <c r="AR708" s="303"/>
      <c r="AS708" s="169"/>
      <c r="AT708" s="170"/>
      <c r="AU708" s="310"/>
      <c r="AW708" s="294"/>
      <c r="AX708" s="294"/>
      <c r="AY708" s="294"/>
      <c r="AZ708" s="294"/>
      <c r="BA708" s="294"/>
      <c r="BB708" s="294"/>
      <c r="BC708" s="294"/>
      <c r="BD708" s="294"/>
      <c r="BE708" s="294"/>
      <c r="BF708" s="382">
        <v>0.17</v>
      </c>
      <c r="BG708" s="383"/>
      <c r="BH708" s="278"/>
      <c r="BI708" s="365"/>
      <c r="BJ708" s="409"/>
    </row>
    <row r="709" spans="1:62" ht="15.75" customHeight="1" thickBot="1" x14ac:dyDescent="0.25">
      <c r="A709" s="156">
        <v>710</v>
      </c>
      <c r="B709" s="155">
        <v>1</v>
      </c>
      <c r="C709" s="148" t="s">
        <v>236</v>
      </c>
      <c r="D709" s="148" t="s">
        <v>1546</v>
      </c>
      <c r="E709" s="148" t="s">
        <v>13</v>
      </c>
      <c r="F709" s="148" t="s">
        <v>1546</v>
      </c>
      <c r="G709" s="148" t="s">
        <v>292</v>
      </c>
      <c r="H709" s="148" t="s">
        <v>1541</v>
      </c>
      <c r="I709" s="161">
        <v>2013</v>
      </c>
      <c r="J709" s="161" t="s">
        <v>1542</v>
      </c>
      <c r="K709" s="161" t="s">
        <v>1543</v>
      </c>
      <c r="L709" s="161" t="s">
        <v>19</v>
      </c>
      <c r="M709" s="453" t="s">
        <v>4256</v>
      </c>
      <c r="N709" s="186" t="s">
        <v>20</v>
      </c>
      <c r="O709" s="186" t="s">
        <v>15</v>
      </c>
      <c r="P709" s="186" t="s">
        <v>15</v>
      </c>
      <c r="Q709" s="186" t="s">
        <v>15</v>
      </c>
      <c r="R709" s="186" t="s">
        <v>15</v>
      </c>
      <c r="S709" s="186" t="s">
        <v>15</v>
      </c>
      <c r="T709" s="186" t="s">
        <v>15</v>
      </c>
      <c r="U709" s="186" t="s">
        <v>15</v>
      </c>
      <c r="V709" s="186" t="s">
        <v>15</v>
      </c>
      <c r="W709" s="186" t="s">
        <v>15</v>
      </c>
      <c r="X709" s="186" t="s">
        <v>15</v>
      </c>
      <c r="Y709" s="186" t="s">
        <v>15</v>
      </c>
      <c r="Z709" s="186"/>
      <c r="AA709" s="186" t="s">
        <v>1131</v>
      </c>
      <c r="AB709" s="186" t="s">
        <v>15</v>
      </c>
      <c r="AC709" s="186" t="s">
        <v>15</v>
      </c>
      <c r="AD709" s="268" t="s">
        <v>1544</v>
      </c>
      <c r="AE709" s="268" t="s">
        <v>1545</v>
      </c>
      <c r="AF709" s="144" t="str">
        <f t="shared" si="54"/>
        <v/>
      </c>
      <c r="AG709" s="144" t="str">
        <f t="shared" si="52"/>
        <v/>
      </c>
      <c r="AH709" s="146">
        <f t="shared" si="55"/>
        <v>0.38700000000000001</v>
      </c>
      <c r="AI709" s="146" t="str">
        <f t="shared" si="56"/>
        <v/>
      </c>
      <c r="AJ709" s="303"/>
      <c r="AK709" s="303"/>
      <c r="AL709" s="303"/>
      <c r="AM709" s="303"/>
      <c r="AN709" s="303"/>
      <c r="AO709" s="303"/>
      <c r="AP709" s="303"/>
      <c r="AQ709" s="303"/>
      <c r="AR709" s="303"/>
      <c r="AS709" s="170"/>
      <c r="AT709" s="170"/>
      <c r="AU709" s="310"/>
      <c r="AW709" s="294"/>
      <c r="AX709" s="294"/>
      <c r="AY709" s="294"/>
      <c r="AZ709" s="294"/>
      <c r="BA709" s="294"/>
      <c r="BB709" s="294"/>
      <c r="BC709" s="294"/>
      <c r="BD709" s="294"/>
      <c r="BE709" s="294"/>
      <c r="BF709" s="382">
        <v>0.38700000000000001</v>
      </c>
      <c r="BG709" s="383"/>
      <c r="BH709" s="278"/>
      <c r="BI709" s="365"/>
      <c r="BJ709" s="409"/>
    </row>
    <row r="710" spans="1:62" ht="15.75" customHeight="1" thickBot="1" x14ac:dyDescent="0.25">
      <c r="A710" s="154">
        <v>711</v>
      </c>
      <c r="B710" s="155">
        <v>1</v>
      </c>
      <c r="C710" s="148" t="s">
        <v>236</v>
      </c>
      <c r="D710" s="148" t="s">
        <v>1547</v>
      </c>
      <c r="E710" s="148" t="s">
        <v>13</v>
      </c>
      <c r="F710" s="148" t="s">
        <v>1547</v>
      </c>
      <c r="G710" s="148" t="s">
        <v>292</v>
      </c>
      <c r="H710" s="148" t="s">
        <v>1541</v>
      </c>
      <c r="I710" s="161">
        <v>2013</v>
      </c>
      <c r="J710" s="161" t="s">
        <v>1542</v>
      </c>
      <c r="K710" s="161" t="s">
        <v>1543</v>
      </c>
      <c r="L710" s="161" t="s">
        <v>19</v>
      </c>
      <c r="M710" s="453" t="s">
        <v>4256</v>
      </c>
      <c r="N710" s="186" t="s">
        <v>20</v>
      </c>
      <c r="O710" s="186" t="s">
        <v>15</v>
      </c>
      <c r="P710" s="186" t="s">
        <v>15</v>
      </c>
      <c r="Q710" s="186" t="s">
        <v>15</v>
      </c>
      <c r="R710" s="186" t="s">
        <v>15</v>
      </c>
      <c r="S710" s="186" t="s">
        <v>15</v>
      </c>
      <c r="T710" s="186" t="s">
        <v>15</v>
      </c>
      <c r="U710" s="186" t="s">
        <v>15</v>
      </c>
      <c r="V710" s="186" t="s">
        <v>15</v>
      </c>
      <c r="W710" s="186" t="s">
        <v>15</v>
      </c>
      <c r="X710" s="186" t="s">
        <v>15</v>
      </c>
      <c r="Y710" s="186" t="s">
        <v>15</v>
      </c>
      <c r="Z710" s="186"/>
      <c r="AA710" s="186" t="s">
        <v>1131</v>
      </c>
      <c r="AB710" s="186" t="s">
        <v>15</v>
      </c>
      <c r="AC710" s="186" t="s">
        <v>15</v>
      </c>
      <c r="AD710" s="268" t="s">
        <v>1544</v>
      </c>
      <c r="AE710" s="268" t="s">
        <v>1545</v>
      </c>
      <c r="AF710" s="144" t="str">
        <f t="shared" si="54"/>
        <v/>
      </c>
      <c r="AG710" s="144" t="str">
        <f t="shared" si="52"/>
        <v/>
      </c>
      <c r="AH710" s="146">
        <f t="shared" si="55"/>
        <v>0.125</v>
      </c>
      <c r="AI710" s="146" t="str">
        <f t="shared" si="56"/>
        <v/>
      </c>
      <c r="AJ710" s="303"/>
      <c r="AK710" s="303"/>
      <c r="AL710" s="303"/>
      <c r="AM710" s="303"/>
      <c r="AN710" s="303"/>
      <c r="AO710" s="303"/>
      <c r="AP710" s="303"/>
      <c r="AQ710" s="303"/>
      <c r="AR710" s="303"/>
      <c r="AS710" s="170"/>
      <c r="AT710" s="170"/>
      <c r="AU710" s="310"/>
      <c r="AW710" s="294"/>
      <c r="AX710" s="294"/>
      <c r="AY710" s="294"/>
      <c r="AZ710" s="294"/>
      <c r="BA710" s="294"/>
      <c r="BB710" s="294"/>
      <c r="BC710" s="294"/>
      <c r="BD710" s="294"/>
      <c r="BE710" s="294"/>
      <c r="BF710" s="382">
        <v>0.125</v>
      </c>
      <c r="BG710" s="383"/>
      <c r="BH710" s="278"/>
      <c r="BI710" s="365"/>
      <c r="BJ710" s="409"/>
    </row>
    <row r="711" spans="1:62" ht="15.75" customHeight="1" thickBot="1" x14ac:dyDescent="0.25">
      <c r="A711" s="156">
        <v>712</v>
      </c>
      <c r="B711" s="155">
        <v>1</v>
      </c>
      <c r="C711" s="148" t="s">
        <v>236</v>
      </c>
      <c r="D711" s="148" t="s">
        <v>1548</v>
      </c>
      <c r="E711" s="148" t="s">
        <v>13</v>
      </c>
      <c r="F711" s="148" t="s">
        <v>1548</v>
      </c>
      <c r="G711" s="148" t="s">
        <v>292</v>
      </c>
      <c r="H711" s="148" t="s">
        <v>1541</v>
      </c>
      <c r="I711" s="161">
        <v>2013</v>
      </c>
      <c r="J711" s="161" t="s">
        <v>1542</v>
      </c>
      <c r="K711" s="161" t="s">
        <v>1543</v>
      </c>
      <c r="L711" s="161" t="s">
        <v>19</v>
      </c>
      <c r="M711" s="453" t="s">
        <v>4256</v>
      </c>
      <c r="N711" s="186" t="s">
        <v>20</v>
      </c>
      <c r="O711" s="186" t="s">
        <v>15</v>
      </c>
      <c r="P711" s="186" t="s">
        <v>15</v>
      </c>
      <c r="Q711" s="186" t="s">
        <v>15</v>
      </c>
      <c r="R711" s="186" t="s">
        <v>15</v>
      </c>
      <c r="S711" s="186" t="s">
        <v>15</v>
      </c>
      <c r="T711" s="186" t="s">
        <v>15</v>
      </c>
      <c r="U711" s="186" t="s">
        <v>15</v>
      </c>
      <c r="V711" s="186" t="s">
        <v>15</v>
      </c>
      <c r="W711" s="186" t="s">
        <v>15</v>
      </c>
      <c r="X711" s="186" t="s">
        <v>15</v>
      </c>
      <c r="Y711" s="186" t="s">
        <v>15</v>
      </c>
      <c r="Z711" s="186"/>
      <c r="AA711" s="186" t="s">
        <v>1131</v>
      </c>
      <c r="AB711" s="186" t="s">
        <v>15</v>
      </c>
      <c r="AC711" s="186" t="s">
        <v>15</v>
      </c>
      <c r="AD711" s="268" t="s">
        <v>1544</v>
      </c>
      <c r="AE711" s="268" t="s">
        <v>1545</v>
      </c>
      <c r="AF711" s="144" t="str">
        <f t="shared" si="54"/>
        <v/>
      </c>
      <c r="AG711" s="144" t="str">
        <f t="shared" si="52"/>
        <v/>
      </c>
      <c r="AH711" s="146">
        <f t="shared" si="55"/>
        <v>0.34499999999999997</v>
      </c>
      <c r="AI711" s="146" t="str">
        <f t="shared" si="56"/>
        <v/>
      </c>
      <c r="AJ711" s="303"/>
      <c r="AK711" s="303"/>
      <c r="AL711" s="303"/>
      <c r="AM711" s="303"/>
      <c r="AN711" s="303"/>
      <c r="AO711" s="303"/>
      <c r="AP711" s="303"/>
      <c r="AQ711" s="303"/>
      <c r="AR711" s="303"/>
      <c r="AS711" s="170"/>
      <c r="AT711" s="170"/>
      <c r="AU711" s="310"/>
      <c r="AW711" s="294"/>
      <c r="AX711" s="294"/>
      <c r="AY711" s="294"/>
      <c r="AZ711" s="294"/>
      <c r="BA711" s="294"/>
      <c r="BB711" s="294"/>
      <c r="BC711" s="294"/>
      <c r="BD711" s="294"/>
      <c r="BE711" s="294"/>
      <c r="BF711" s="382">
        <v>0.34499999999999997</v>
      </c>
      <c r="BG711" s="383"/>
      <c r="BH711" s="278"/>
      <c r="BI711" s="365"/>
      <c r="BJ711" s="409"/>
    </row>
    <row r="712" spans="1:62" ht="15.75" customHeight="1" thickBot="1" x14ac:dyDescent="0.25">
      <c r="A712" s="154">
        <v>713</v>
      </c>
      <c r="B712" s="155">
        <v>1</v>
      </c>
      <c r="C712" s="148" t="s">
        <v>236</v>
      </c>
      <c r="D712" s="148" t="s">
        <v>1549</v>
      </c>
      <c r="E712" s="148" t="s">
        <v>13</v>
      </c>
      <c r="F712" s="148" t="s">
        <v>1549</v>
      </c>
      <c r="G712" s="148" t="s">
        <v>292</v>
      </c>
      <c r="H712" s="148" t="s">
        <v>1541</v>
      </c>
      <c r="I712" s="161">
        <v>2013</v>
      </c>
      <c r="J712" s="161" t="s">
        <v>1542</v>
      </c>
      <c r="K712" s="161" t="s">
        <v>1543</v>
      </c>
      <c r="L712" s="161" t="s">
        <v>19</v>
      </c>
      <c r="M712" s="453" t="s">
        <v>4256</v>
      </c>
      <c r="N712" s="186" t="s">
        <v>20</v>
      </c>
      <c r="O712" s="186" t="s">
        <v>15</v>
      </c>
      <c r="P712" s="186" t="s">
        <v>15</v>
      </c>
      <c r="Q712" s="186" t="s">
        <v>15</v>
      </c>
      <c r="R712" s="186" t="s">
        <v>15</v>
      </c>
      <c r="S712" s="186" t="s">
        <v>15</v>
      </c>
      <c r="T712" s="186" t="s">
        <v>15</v>
      </c>
      <c r="U712" s="186" t="s">
        <v>15</v>
      </c>
      <c r="V712" s="186" t="s">
        <v>15</v>
      </c>
      <c r="W712" s="186" t="s">
        <v>15</v>
      </c>
      <c r="X712" s="186" t="s">
        <v>15</v>
      </c>
      <c r="Y712" s="186" t="s">
        <v>15</v>
      </c>
      <c r="Z712" s="186"/>
      <c r="AA712" s="186" t="s">
        <v>1131</v>
      </c>
      <c r="AB712" s="186" t="s">
        <v>15</v>
      </c>
      <c r="AC712" s="186" t="s">
        <v>15</v>
      </c>
      <c r="AD712" s="268" t="s">
        <v>1544</v>
      </c>
      <c r="AE712" s="268" t="s">
        <v>1545</v>
      </c>
      <c r="AF712" s="144" t="str">
        <f t="shared" si="54"/>
        <v/>
      </c>
      <c r="AG712" s="144" t="str">
        <f t="shared" si="52"/>
        <v/>
      </c>
      <c r="AH712" s="146">
        <f t="shared" si="55"/>
        <v>0.189</v>
      </c>
      <c r="AI712" s="146" t="str">
        <f t="shared" si="56"/>
        <v/>
      </c>
      <c r="AJ712" s="303"/>
      <c r="AK712" s="303"/>
      <c r="AL712" s="303"/>
      <c r="AM712" s="303"/>
      <c r="AN712" s="303"/>
      <c r="AO712" s="303"/>
      <c r="AP712" s="303"/>
      <c r="AQ712" s="303"/>
      <c r="AR712" s="303"/>
      <c r="AS712" s="170"/>
      <c r="AT712" s="170"/>
      <c r="AU712" s="310"/>
      <c r="AW712" s="294"/>
      <c r="AX712" s="294"/>
      <c r="AY712" s="294"/>
      <c r="AZ712" s="294"/>
      <c r="BA712" s="294"/>
      <c r="BB712" s="294"/>
      <c r="BC712" s="294"/>
      <c r="BD712" s="294"/>
      <c r="BE712" s="294"/>
      <c r="BF712" s="382">
        <v>0.189</v>
      </c>
      <c r="BG712" s="383"/>
      <c r="BH712" s="278"/>
      <c r="BI712" s="365"/>
      <c r="BJ712" s="409"/>
    </row>
    <row r="713" spans="1:62" ht="15.75" customHeight="1" thickBot="1" x14ac:dyDescent="0.25">
      <c r="A713" s="156">
        <v>714</v>
      </c>
      <c r="B713" s="155">
        <v>1</v>
      </c>
      <c r="C713" s="148" t="s">
        <v>236</v>
      </c>
      <c r="D713" s="148" t="s">
        <v>480</v>
      </c>
      <c r="E713" s="148" t="s">
        <v>13</v>
      </c>
      <c r="F713" s="148" t="s">
        <v>480</v>
      </c>
      <c r="G713" s="148" t="s">
        <v>292</v>
      </c>
      <c r="H713" s="148" t="s">
        <v>1541</v>
      </c>
      <c r="I713" s="161">
        <v>2013</v>
      </c>
      <c r="J713" s="161" t="s">
        <v>1542</v>
      </c>
      <c r="K713" s="161" t="s">
        <v>1543</v>
      </c>
      <c r="L713" s="161" t="s">
        <v>19</v>
      </c>
      <c r="M713" s="453" t="s">
        <v>4256</v>
      </c>
      <c r="N713" s="186" t="s">
        <v>20</v>
      </c>
      <c r="O713" s="186" t="s">
        <v>15</v>
      </c>
      <c r="P713" s="186" t="s">
        <v>15</v>
      </c>
      <c r="Q713" s="186" t="s">
        <v>15</v>
      </c>
      <c r="R713" s="186" t="s">
        <v>15</v>
      </c>
      <c r="S713" s="186" t="s">
        <v>15</v>
      </c>
      <c r="T713" s="186" t="s">
        <v>15</v>
      </c>
      <c r="U713" s="186" t="s">
        <v>15</v>
      </c>
      <c r="V713" s="186" t="s">
        <v>15</v>
      </c>
      <c r="W713" s="186" t="s">
        <v>15</v>
      </c>
      <c r="X713" s="186" t="s">
        <v>15</v>
      </c>
      <c r="Y713" s="186" t="s">
        <v>15</v>
      </c>
      <c r="Z713" s="186"/>
      <c r="AA713" s="186" t="s">
        <v>1131</v>
      </c>
      <c r="AB713" s="186" t="s">
        <v>15</v>
      </c>
      <c r="AC713" s="186" t="s">
        <v>15</v>
      </c>
      <c r="AD713" s="268" t="s">
        <v>1544</v>
      </c>
      <c r="AE713" s="268" t="s">
        <v>1545</v>
      </c>
      <c r="AF713" s="144" t="str">
        <f t="shared" si="54"/>
        <v/>
      </c>
      <c r="AG713" s="144" t="str">
        <f t="shared" si="52"/>
        <v/>
      </c>
      <c r="AH713" s="146">
        <f t="shared" si="55"/>
        <v>0.60499999999999998</v>
      </c>
      <c r="AI713" s="146" t="str">
        <f t="shared" si="56"/>
        <v/>
      </c>
      <c r="AJ713" s="303"/>
      <c r="AK713" s="303"/>
      <c r="AL713" s="303"/>
      <c r="AM713" s="303"/>
      <c r="AN713" s="303"/>
      <c r="AO713" s="303"/>
      <c r="AP713" s="303"/>
      <c r="AQ713" s="303"/>
      <c r="AR713" s="303"/>
      <c r="AS713" s="170"/>
      <c r="AT713" s="170"/>
      <c r="AU713" s="310"/>
      <c r="AW713" s="294"/>
      <c r="AX713" s="294"/>
      <c r="AY713" s="294"/>
      <c r="AZ713" s="294"/>
      <c r="BA713" s="294"/>
      <c r="BB713" s="294"/>
      <c r="BC713" s="294"/>
      <c r="BD713" s="294"/>
      <c r="BE713" s="294"/>
      <c r="BF713" s="382">
        <v>0.60499999999999998</v>
      </c>
      <c r="BG713" s="383"/>
      <c r="BH713" s="278"/>
      <c r="BI713" s="365"/>
      <c r="BJ713" s="409"/>
    </row>
    <row r="714" spans="1:62" ht="15.75" customHeight="1" thickBot="1" x14ac:dyDescent="0.25">
      <c r="A714" s="154">
        <v>715</v>
      </c>
      <c r="B714" s="155">
        <v>1</v>
      </c>
      <c r="C714" s="148" t="s">
        <v>236</v>
      </c>
      <c r="D714" s="148" t="s">
        <v>859</v>
      </c>
      <c r="E714" s="148" t="s">
        <v>13</v>
      </c>
      <c r="F714" s="148" t="s">
        <v>1550</v>
      </c>
      <c r="G714" s="148" t="s">
        <v>292</v>
      </c>
      <c r="H714" s="148" t="s">
        <v>1541</v>
      </c>
      <c r="I714" s="161">
        <v>2013</v>
      </c>
      <c r="J714" s="161" t="s">
        <v>1542</v>
      </c>
      <c r="K714" s="161" t="s">
        <v>1543</v>
      </c>
      <c r="L714" s="161" t="s">
        <v>19</v>
      </c>
      <c r="M714" s="453" t="s">
        <v>4256</v>
      </c>
      <c r="N714" s="186" t="s">
        <v>20</v>
      </c>
      <c r="O714" s="186" t="s">
        <v>15</v>
      </c>
      <c r="P714" s="186" t="s">
        <v>15</v>
      </c>
      <c r="Q714" s="186" t="s">
        <v>15</v>
      </c>
      <c r="R714" s="186" t="s">
        <v>15</v>
      </c>
      <c r="S714" s="186" t="s">
        <v>15</v>
      </c>
      <c r="T714" s="186" t="s">
        <v>15</v>
      </c>
      <c r="U714" s="186" t="s">
        <v>15</v>
      </c>
      <c r="V714" s="186" t="s">
        <v>15</v>
      </c>
      <c r="W714" s="186" t="s">
        <v>15</v>
      </c>
      <c r="X714" s="186" t="s">
        <v>15</v>
      </c>
      <c r="Y714" s="186" t="s">
        <v>15</v>
      </c>
      <c r="Z714" s="186"/>
      <c r="AA714" s="186" t="s">
        <v>1131</v>
      </c>
      <c r="AB714" s="186" t="s">
        <v>15</v>
      </c>
      <c r="AC714" s="186" t="s">
        <v>15</v>
      </c>
      <c r="AD714" s="268" t="s">
        <v>1544</v>
      </c>
      <c r="AE714" s="268" t="s">
        <v>1545</v>
      </c>
      <c r="AF714" s="144" t="str">
        <f t="shared" si="54"/>
        <v/>
      </c>
      <c r="AG714" s="144" t="str">
        <f t="shared" si="52"/>
        <v/>
      </c>
      <c r="AH714" s="146">
        <f t="shared" si="55"/>
        <v>0.17</v>
      </c>
      <c r="AI714" s="146" t="str">
        <f t="shared" si="56"/>
        <v/>
      </c>
      <c r="AJ714" s="303"/>
      <c r="AK714" s="303"/>
      <c r="AL714" s="303"/>
      <c r="AM714" s="303"/>
      <c r="AN714" s="303"/>
      <c r="AO714" s="303"/>
      <c r="AP714" s="303"/>
      <c r="AQ714" s="303"/>
      <c r="AR714" s="303"/>
      <c r="AS714" s="170"/>
      <c r="AT714" s="170"/>
      <c r="AU714" s="310"/>
      <c r="AW714" s="294"/>
      <c r="AX714" s="294"/>
      <c r="AY714" s="294"/>
      <c r="AZ714" s="294"/>
      <c r="BA714" s="294"/>
      <c r="BB714" s="294"/>
      <c r="BC714" s="294"/>
      <c r="BD714" s="294"/>
      <c r="BE714" s="294"/>
      <c r="BF714" s="382">
        <v>0.17</v>
      </c>
      <c r="BG714" s="383"/>
      <c r="BH714" s="278"/>
      <c r="BI714" s="365"/>
      <c r="BJ714" s="409"/>
    </row>
    <row r="715" spans="1:62" ht="15.75" customHeight="1" thickBot="1" x14ac:dyDescent="0.25">
      <c r="A715" s="156">
        <v>716</v>
      </c>
      <c r="B715" s="155">
        <v>1</v>
      </c>
      <c r="C715" s="148" t="s">
        <v>236</v>
      </c>
      <c r="D715" s="148" t="s">
        <v>1551</v>
      </c>
      <c r="E715" s="148" t="s">
        <v>13</v>
      </c>
      <c r="F715" s="148" t="s">
        <v>1551</v>
      </c>
      <c r="G715" s="148" t="s">
        <v>292</v>
      </c>
      <c r="H715" s="148" t="s">
        <v>1541</v>
      </c>
      <c r="I715" s="161">
        <v>2013</v>
      </c>
      <c r="J715" s="161" t="s">
        <v>1542</v>
      </c>
      <c r="K715" s="161" t="s">
        <v>1543</v>
      </c>
      <c r="L715" s="161" t="s">
        <v>19</v>
      </c>
      <c r="M715" s="453" t="s">
        <v>4256</v>
      </c>
      <c r="N715" s="186" t="s">
        <v>20</v>
      </c>
      <c r="O715" s="186" t="s">
        <v>15</v>
      </c>
      <c r="P715" s="186" t="s">
        <v>15</v>
      </c>
      <c r="Q715" s="186" t="s">
        <v>15</v>
      </c>
      <c r="R715" s="186" t="s">
        <v>15</v>
      </c>
      <c r="S715" s="186" t="s">
        <v>15</v>
      </c>
      <c r="T715" s="186" t="s">
        <v>15</v>
      </c>
      <c r="U715" s="186" t="s">
        <v>15</v>
      </c>
      <c r="V715" s="186" t="s">
        <v>15</v>
      </c>
      <c r="W715" s="186" t="s">
        <v>15</v>
      </c>
      <c r="X715" s="186" t="s">
        <v>15</v>
      </c>
      <c r="Y715" s="186" t="s">
        <v>15</v>
      </c>
      <c r="Z715" s="186"/>
      <c r="AA715" s="186" t="s">
        <v>1131</v>
      </c>
      <c r="AB715" s="186" t="s">
        <v>15</v>
      </c>
      <c r="AC715" s="186" t="s">
        <v>15</v>
      </c>
      <c r="AD715" s="268" t="s">
        <v>1544</v>
      </c>
      <c r="AE715" s="268" t="s">
        <v>1545</v>
      </c>
      <c r="AF715" s="144" t="str">
        <f t="shared" si="54"/>
        <v/>
      </c>
      <c r="AG715" s="144" t="str">
        <f t="shared" si="52"/>
        <v/>
      </c>
      <c r="AH715" s="146">
        <f t="shared" si="55"/>
        <v>0.441</v>
      </c>
      <c r="AI715" s="146" t="str">
        <f t="shared" si="56"/>
        <v/>
      </c>
      <c r="AJ715" s="303"/>
      <c r="AK715" s="303"/>
      <c r="AL715" s="303"/>
      <c r="AM715" s="303"/>
      <c r="AN715" s="303"/>
      <c r="AO715" s="303"/>
      <c r="AP715" s="303"/>
      <c r="AQ715" s="303"/>
      <c r="AR715" s="303"/>
      <c r="AS715" s="170"/>
      <c r="AT715" s="170"/>
      <c r="AU715" s="310"/>
      <c r="AW715" s="294"/>
      <c r="AX715" s="294"/>
      <c r="AY715" s="294"/>
      <c r="AZ715" s="294"/>
      <c r="BA715" s="294"/>
      <c r="BB715" s="294"/>
      <c r="BC715" s="294"/>
      <c r="BD715" s="294"/>
      <c r="BE715" s="294"/>
      <c r="BF715" s="382">
        <v>0.441</v>
      </c>
      <c r="BG715" s="383"/>
      <c r="BH715" s="278"/>
      <c r="BI715" s="365"/>
      <c r="BJ715" s="409"/>
    </row>
    <row r="716" spans="1:62" ht="15.75" customHeight="1" thickBot="1" x14ac:dyDescent="0.25">
      <c r="A716" s="154">
        <v>717</v>
      </c>
      <c r="B716" s="155">
        <v>1</v>
      </c>
      <c r="C716" s="148" t="s">
        <v>236</v>
      </c>
      <c r="D716" s="141" t="s">
        <v>1739</v>
      </c>
      <c r="E716" s="148" t="s">
        <v>13</v>
      </c>
      <c r="F716" s="148" t="s">
        <v>1552</v>
      </c>
      <c r="G716" s="148" t="s">
        <v>292</v>
      </c>
      <c r="H716" s="148" t="s">
        <v>108</v>
      </c>
      <c r="I716" s="161">
        <v>2015</v>
      </c>
      <c r="J716" s="161" t="s">
        <v>1553</v>
      </c>
      <c r="K716" s="161" t="s">
        <v>1554</v>
      </c>
      <c r="L716" s="161" t="s">
        <v>19</v>
      </c>
      <c r="M716" s="453" t="s">
        <v>4257</v>
      </c>
      <c r="N716" s="186" t="s">
        <v>20</v>
      </c>
      <c r="O716" s="186" t="s">
        <v>15</v>
      </c>
      <c r="P716" s="186" t="s">
        <v>20</v>
      </c>
      <c r="Q716" s="186" t="s">
        <v>20</v>
      </c>
      <c r="R716" s="186" t="s">
        <v>15</v>
      </c>
      <c r="S716" s="186" t="s">
        <v>20</v>
      </c>
      <c r="T716" s="186" t="s">
        <v>15</v>
      </c>
      <c r="U716" s="186" t="s">
        <v>15</v>
      </c>
      <c r="V716" s="186" t="s">
        <v>15</v>
      </c>
      <c r="W716" s="186" t="s">
        <v>20</v>
      </c>
      <c r="X716" s="186" t="s">
        <v>15</v>
      </c>
      <c r="Y716" s="186" t="s">
        <v>15</v>
      </c>
      <c r="Z716" s="186"/>
      <c r="AA716" s="186" t="s">
        <v>1555</v>
      </c>
      <c r="AB716" s="186" t="s">
        <v>15</v>
      </c>
      <c r="AC716" s="186" t="s">
        <v>15</v>
      </c>
      <c r="AD716" s="268" t="s">
        <v>1556</v>
      </c>
      <c r="AE716" s="268"/>
      <c r="AF716" s="144" t="str">
        <f t="shared" si="54"/>
        <v/>
      </c>
      <c r="AG716" s="144" t="str">
        <f t="shared" si="52"/>
        <v/>
      </c>
      <c r="AH716" s="146">
        <f t="shared" si="55"/>
        <v>0.32</v>
      </c>
      <c r="AI716" s="146" t="str">
        <f t="shared" si="56"/>
        <v/>
      </c>
      <c r="AJ716" s="303"/>
      <c r="AK716" s="303"/>
      <c r="AL716" s="303"/>
      <c r="AM716" s="303"/>
      <c r="AN716" s="303"/>
      <c r="AO716" s="303"/>
      <c r="AP716" s="303"/>
      <c r="AQ716" s="303"/>
      <c r="AR716" s="303"/>
      <c r="AS716" s="170"/>
      <c r="AT716" s="170"/>
      <c r="AU716" s="310"/>
      <c r="AW716" s="294"/>
      <c r="AX716" s="294"/>
      <c r="AY716" s="294"/>
      <c r="AZ716" s="294"/>
      <c r="BA716" s="294"/>
      <c r="BB716" s="294"/>
      <c r="BC716" s="294"/>
      <c r="BD716" s="294"/>
      <c r="BE716" s="294"/>
      <c r="BF716" s="382">
        <v>0.32</v>
      </c>
      <c r="BG716" s="383">
        <v>0.41799999999999998</v>
      </c>
      <c r="BH716" s="278"/>
      <c r="BI716" s="365" t="s">
        <v>1557</v>
      </c>
      <c r="BJ716" s="409"/>
    </row>
    <row r="717" spans="1:62" ht="15.75" customHeight="1" thickBot="1" x14ac:dyDescent="0.25">
      <c r="A717" s="156">
        <v>718</v>
      </c>
      <c r="B717" s="155">
        <v>1</v>
      </c>
      <c r="C717" s="148" t="s">
        <v>236</v>
      </c>
      <c r="D717" s="148" t="s">
        <v>1879</v>
      </c>
      <c r="E717" s="148" t="s">
        <v>13</v>
      </c>
      <c r="F717" s="148" t="s">
        <v>1558</v>
      </c>
      <c r="G717" s="148" t="s">
        <v>292</v>
      </c>
      <c r="H717" s="148" t="s">
        <v>108</v>
      </c>
      <c r="I717" s="161">
        <v>2015</v>
      </c>
      <c r="J717" s="161" t="s">
        <v>1553</v>
      </c>
      <c r="K717" s="161" t="s">
        <v>1554</v>
      </c>
      <c r="L717" s="161" t="s">
        <v>19</v>
      </c>
      <c r="M717" s="453" t="s">
        <v>4257</v>
      </c>
      <c r="N717" s="186" t="s">
        <v>20</v>
      </c>
      <c r="O717" s="186" t="s">
        <v>15</v>
      </c>
      <c r="P717" s="186" t="s">
        <v>20</v>
      </c>
      <c r="Q717" s="186" t="s">
        <v>20</v>
      </c>
      <c r="R717" s="186" t="s">
        <v>15</v>
      </c>
      <c r="S717" s="186" t="s">
        <v>20</v>
      </c>
      <c r="T717" s="186" t="s">
        <v>15</v>
      </c>
      <c r="U717" s="186" t="s">
        <v>15</v>
      </c>
      <c r="V717" s="186" t="s">
        <v>15</v>
      </c>
      <c r="W717" s="186" t="s">
        <v>20</v>
      </c>
      <c r="X717" s="186" t="s">
        <v>15</v>
      </c>
      <c r="Y717" s="186" t="s">
        <v>15</v>
      </c>
      <c r="Z717" s="186"/>
      <c r="AA717" s="186" t="s">
        <v>1555</v>
      </c>
      <c r="AB717" s="186" t="s">
        <v>15</v>
      </c>
      <c r="AC717" s="186" t="s">
        <v>15</v>
      </c>
      <c r="AD717" s="268" t="s">
        <v>1556</v>
      </c>
      <c r="AE717" s="268"/>
      <c r="AF717" s="144" t="str">
        <f t="shared" si="54"/>
        <v/>
      </c>
      <c r="AG717" s="144" t="str">
        <f t="shared" si="52"/>
        <v/>
      </c>
      <c r="AH717" s="146">
        <f t="shared" si="55"/>
        <v>0.32</v>
      </c>
      <c r="AI717" s="146" t="str">
        <f t="shared" si="56"/>
        <v/>
      </c>
      <c r="AJ717" s="303"/>
      <c r="AK717" s="303"/>
      <c r="AL717" s="303"/>
      <c r="AM717" s="303"/>
      <c r="AN717" s="303"/>
      <c r="AO717" s="303"/>
      <c r="AP717" s="303"/>
      <c r="AQ717" s="303"/>
      <c r="AR717" s="303"/>
      <c r="AS717" s="170"/>
      <c r="AT717" s="170"/>
      <c r="AU717" s="310"/>
      <c r="AW717" s="294"/>
      <c r="AX717" s="294"/>
      <c r="AY717" s="294"/>
      <c r="AZ717" s="294"/>
      <c r="BA717" s="294"/>
      <c r="BB717" s="294"/>
      <c r="BC717" s="294"/>
      <c r="BD717" s="294"/>
      <c r="BE717" s="294"/>
      <c r="BF717" s="382">
        <v>0.32</v>
      </c>
      <c r="BG717" s="382">
        <v>0.41799999999999998</v>
      </c>
      <c r="BH717" s="278"/>
      <c r="BI717" s="365" t="s">
        <v>1557</v>
      </c>
      <c r="BJ717" s="409"/>
    </row>
    <row r="718" spans="1:62" ht="15.75" customHeight="1" thickBot="1" x14ac:dyDescent="0.25">
      <c r="A718" s="154">
        <v>719</v>
      </c>
      <c r="B718" s="155">
        <v>1</v>
      </c>
      <c r="C718" s="148" t="s">
        <v>236</v>
      </c>
      <c r="D718" s="148" t="s">
        <v>2282</v>
      </c>
      <c r="E718" s="148" t="s">
        <v>13</v>
      </c>
      <c r="F718" s="148" t="s">
        <v>1559</v>
      </c>
      <c r="G718" s="148" t="s">
        <v>292</v>
      </c>
      <c r="H718" s="148" t="s">
        <v>108</v>
      </c>
      <c r="I718" s="161">
        <v>2015</v>
      </c>
      <c r="J718" s="161" t="s">
        <v>1553</v>
      </c>
      <c r="K718" s="161" t="s">
        <v>1554</v>
      </c>
      <c r="L718" s="161" t="s">
        <v>19</v>
      </c>
      <c r="M718" s="453" t="s">
        <v>4257</v>
      </c>
      <c r="N718" s="186" t="s">
        <v>20</v>
      </c>
      <c r="O718" s="186" t="s">
        <v>15</v>
      </c>
      <c r="P718" s="186" t="s">
        <v>20</v>
      </c>
      <c r="Q718" s="186" t="s">
        <v>20</v>
      </c>
      <c r="R718" s="186" t="s">
        <v>15</v>
      </c>
      <c r="S718" s="186" t="s">
        <v>20</v>
      </c>
      <c r="T718" s="186" t="s">
        <v>15</v>
      </c>
      <c r="U718" s="186" t="s">
        <v>15</v>
      </c>
      <c r="V718" s="186" t="s">
        <v>15</v>
      </c>
      <c r="W718" s="186" t="s">
        <v>20</v>
      </c>
      <c r="X718" s="186" t="s">
        <v>15</v>
      </c>
      <c r="Y718" s="186" t="s">
        <v>15</v>
      </c>
      <c r="Z718" s="186"/>
      <c r="AA718" s="186" t="s">
        <v>1555</v>
      </c>
      <c r="AB718" s="186" t="s">
        <v>15</v>
      </c>
      <c r="AC718" s="186" t="s">
        <v>15</v>
      </c>
      <c r="AD718" s="268" t="s">
        <v>1556</v>
      </c>
      <c r="AE718" s="268"/>
      <c r="AF718" s="144" t="str">
        <f t="shared" si="54"/>
        <v/>
      </c>
      <c r="AG718" s="144" t="str">
        <f t="shared" si="52"/>
        <v/>
      </c>
      <c r="AH718" s="146">
        <f t="shared" si="55"/>
        <v>0.84</v>
      </c>
      <c r="AI718" s="146" t="str">
        <f t="shared" si="56"/>
        <v/>
      </c>
      <c r="AJ718" s="303"/>
      <c r="AK718" s="303"/>
      <c r="AL718" s="303"/>
      <c r="AM718" s="303"/>
      <c r="AN718" s="303"/>
      <c r="AO718" s="303"/>
      <c r="AP718" s="303"/>
      <c r="AQ718" s="303"/>
      <c r="AR718" s="303"/>
      <c r="AS718" s="170"/>
      <c r="AT718" s="170"/>
      <c r="AU718" s="310"/>
      <c r="AW718" s="294"/>
      <c r="AX718" s="294"/>
      <c r="AY718" s="294"/>
      <c r="AZ718" s="294"/>
      <c r="BA718" s="294"/>
      <c r="BB718" s="294"/>
      <c r="BC718" s="294"/>
      <c r="BD718" s="294"/>
      <c r="BE718" s="294"/>
      <c r="BF718" s="382">
        <v>0.84</v>
      </c>
      <c r="BG718" s="382">
        <v>0.93799999999999994</v>
      </c>
      <c r="BH718" s="278"/>
      <c r="BI718" s="365" t="s">
        <v>1557</v>
      </c>
      <c r="BJ718" s="409"/>
    </row>
    <row r="719" spans="1:62" ht="15.75" customHeight="1" thickBot="1" x14ac:dyDescent="0.25">
      <c r="A719" s="156">
        <v>720</v>
      </c>
      <c r="B719" s="155">
        <v>1</v>
      </c>
      <c r="C719" s="148" t="s">
        <v>162</v>
      </c>
      <c r="D719" s="148" t="s">
        <v>1995</v>
      </c>
      <c r="E719" s="148" t="s">
        <v>13</v>
      </c>
      <c r="F719" s="148" t="s">
        <v>1560</v>
      </c>
      <c r="G719" s="148" t="s">
        <v>292</v>
      </c>
      <c r="H719" s="148" t="s">
        <v>108</v>
      </c>
      <c r="I719" s="161">
        <v>2015</v>
      </c>
      <c r="J719" s="161" t="s">
        <v>1553</v>
      </c>
      <c r="K719" s="161" t="s">
        <v>1554</v>
      </c>
      <c r="L719" s="161" t="s">
        <v>19</v>
      </c>
      <c r="M719" s="453" t="s">
        <v>4257</v>
      </c>
      <c r="N719" s="186" t="s">
        <v>20</v>
      </c>
      <c r="O719" s="186" t="s">
        <v>15</v>
      </c>
      <c r="P719" s="186" t="s">
        <v>20</v>
      </c>
      <c r="Q719" s="186" t="s">
        <v>20</v>
      </c>
      <c r="R719" s="186" t="s">
        <v>15</v>
      </c>
      <c r="S719" s="186" t="s">
        <v>20</v>
      </c>
      <c r="T719" s="186" t="s">
        <v>15</v>
      </c>
      <c r="U719" s="186" t="s">
        <v>15</v>
      </c>
      <c r="V719" s="186" t="s">
        <v>15</v>
      </c>
      <c r="W719" s="186" t="s">
        <v>20</v>
      </c>
      <c r="X719" s="186" t="s">
        <v>15</v>
      </c>
      <c r="Y719" s="186" t="s">
        <v>15</v>
      </c>
      <c r="Z719" s="186"/>
      <c r="AA719" s="186" t="s">
        <v>1555</v>
      </c>
      <c r="AB719" s="186" t="s">
        <v>15</v>
      </c>
      <c r="AC719" s="186" t="s">
        <v>15</v>
      </c>
      <c r="AD719" s="268" t="s">
        <v>1556</v>
      </c>
      <c r="AE719" s="268"/>
      <c r="AF719" s="144" t="str">
        <f t="shared" si="54"/>
        <v/>
      </c>
      <c r="AG719" s="144" t="str">
        <f t="shared" si="52"/>
        <v/>
      </c>
      <c r="AH719" s="146">
        <f t="shared" si="55"/>
        <v>0.56999999999999995</v>
      </c>
      <c r="AI719" s="146" t="str">
        <f t="shared" si="56"/>
        <v/>
      </c>
      <c r="AJ719" s="303"/>
      <c r="AK719" s="303"/>
      <c r="AL719" s="303"/>
      <c r="AM719" s="303"/>
      <c r="AN719" s="303"/>
      <c r="AO719" s="303"/>
      <c r="AP719" s="303"/>
      <c r="AQ719" s="303"/>
      <c r="AR719" s="303"/>
      <c r="AS719" s="170"/>
      <c r="AT719" s="170"/>
      <c r="AU719" s="310"/>
      <c r="AW719" s="294"/>
      <c r="AX719" s="294"/>
      <c r="AY719" s="294"/>
      <c r="AZ719" s="294"/>
      <c r="BA719" s="294"/>
      <c r="BB719" s="294"/>
      <c r="BC719" s="294"/>
      <c r="BD719" s="294"/>
      <c r="BE719" s="294"/>
      <c r="BF719" s="382">
        <v>0.56999999999999995</v>
      </c>
      <c r="BG719" s="382">
        <v>0.66800000000000004</v>
      </c>
      <c r="BH719" s="278"/>
      <c r="BI719" s="365" t="s">
        <v>1557</v>
      </c>
      <c r="BJ719" s="409"/>
    </row>
    <row r="720" spans="1:62" ht="15.75" customHeight="1" thickBot="1" x14ac:dyDescent="0.25">
      <c r="A720" s="154">
        <v>721</v>
      </c>
      <c r="B720" s="155">
        <v>1</v>
      </c>
      <c r="C720" s="148" t="s">
        <v>162</v>
      </c>
      <c r="D720" s="141" t="s">
        <v>2134</v>
      </c>
      <c r="E720" s="148" t="s">
        <v>13</v>
      </c>
      <c r="F720" s="148" t="s">
        <v>1561</v>
      </c>
      <c r="G720" s="148" t="s">
        <v>292</v>
      </c>
      <c r="H720" s="148" t="s">
        <v>108</v>
      </c>
      <c r="I720" s="161">
        <v>2015</v>
      </c>
      <c r="J720" s="161" t="s">
        <v>1553</v>
      </c>
      <c r="K720" s="161" t="s">
        <v>1554</v>
      </c>
      <c r="L720" s="161" t="s">
        <v>19</v>
      </c>
      <c r="M720" s="453" t="s">
        <v>4257</v>
      </c>
      <c r="N720" s="186" t="s">
        <v>20</v>
      </c>
      <c r="O720" s="186" t="s">
        <v>15</v>
      </c>
      <c r="P720" s="186" t="s">
        <v>20</v>
      </c>
      <c r="Q720" s="186" t="s">
        <v>20</v>
      </c>
      <c r="R720" s="186" t="s">
        <v>15</v>
      </c>
      <c r="S720" s="186" t="s">
        <v>20</v>
      </c>
      <c r="T720" s="186" t="s">
        <v>15</v>
      </c>
      <c r="U720" s="186" t="s">
        <v>15</v>
      </c>
      <c r="V720" s="186" t="s">
        <v>15</v>
      </c>
      <c r="W720" s="186" t="s">
        <v>20</v>
      </c>
      <c r="X720" s="186" t="s">
        <v>15</v>
      </c>
      <c r="Y720" s="186" t="s">
        <v>15</v>
      </c>
      <c r="Z720" s="186"/>
      <c r="AA720" s="186" t="s">
        <v>1555</v>
      </c>
      <c r="AB720" s="186" t="s">
        <v>15</v>
      </c>
      <c r="AC720" s="186" t="s">
        <v>15</v>
      </c>
      <c r="AD720" s="268" t="s">
        <v>1556</v>
      </c>
      <c r="AE720" s="268"/>
      <c r="AF720" s="144" t="str">
        <f t="shared" si="54"/>
        <v/>
      </c>
      <c r="AG720" s="144" t="str">
        <f t="shared" si="52"/>
        <v/>
      </c>
      <c r="AH720" s="146">
        <f t="shared" si="55"/>
        <v>0.28999999999999998</v>
      </c>
      <c r="AI720" s="146" t="str">
        <f t="shared" si="56"/>
        <v/>
      </c>
      <c r="AJ720" s="303"/>
      <c r="AK720" s="303"/>
      <c r="AL720" s="303"/>
      <c r="AM720" s="303"/>
      <c r="AN720" s="303"/>
      <c r="AO720" s="303"/>
      <c r="AP720" s="303"/>
      <c r="AQ720" s="303"/>
      <c r="AR720" s="303"/>
      <c r="AS720" s="170"/>
      <c r="AT720" s="170"/>
      <c r="AU720" s="310"/>
      <c r="AW720" s="294"/>
      <c r="AX720" s="294"/>
      <c r="AY720" s="294"/>
      <c r="AZ720" s="294"/>
      <c r="BA720" s="294"/>
      <c r="BB720" s="294"/>
      <c r="BC720" s="294"/>
      <c r="BD720" s="294"/>
      <c r="BE720" s="294"/>
      <c r="BF720" s="382">
        <v>0.28999999999999998</v>
      </c>
      <c r="BG720" s="382">
        <v>0.38800000000000001</v>
      </c>
      <c r="BH720" s="278"/>
      <c r="BI720" s="365" t="s">
        <v>1557</v>
      </c>
      <c r="BJ720" s="409"/>
    </row>
    <row r="721" spans="1:62" ht="15.75" customHeight="1" thickBot="1" x14ac:dyDescent="0.25">
      <c r="A721" s="156">
        <v>722</v>
      </c>
      <c r="B721" s="155">
        <v>1</v>
      </c>
      <c r="C721" s="148" t="s">
        <v>236</v>
      </c>
      <c r="D721" s="141" t="s">
        <v>1739</v>
      </c>
      <c r="E721" s="148" t="s">
        <v>13</v>
      </c>
      <c r="F721" s="148" t="s">
        <v>1562</v>
      </c>
      <c r="G721" s="148" t="s">
        <v>292</v>
      </c>
      <c r="H721" s="148" t="s">
        <v>108</v>
      </c>
      <c r="I721" s="161">
        <v>2015</v>
      </c>
      <c r="J721" s="161" t="s">
        <v>1553</v>
      </c>
      <c r="K721" s="161" t="s">
        <v>1554</v>
      </c>
      <c r="L721" s="161" t="s">
        <v>19</v>
      </c>
      <c r="M721" s="453" t="s">
        <v>4257</v>
      </c>
      <c r="N721" s="186" t="s">
        <v>20</v>
      </c>
      <c r="O721" s="186" t="s">
        <v>15</v>
      </c>
      <c r="P721" s="186" t="s">
        <v>20</v>
      </c>
      <c r="Q721" s="186" t="s">
        <v>20</v>
      </c>
      <c r="R721" s="186" t="s">
        <v>15</v>
      </c>
      <c r="S721" s="186" t="s">
        <v>20</v>
      </c>
      <c r="T721" s="186" t="s">
        <v>15</v>
      </c>
      <c r="U721" s="186" t="s">
        <v>15</v>
      </c>
      <c r="V721" s="186" t="s">
        <v>15</v>
      </c>
      <c r="W721" s="186" t="s">
        <v>20</v>
      </c>
      <c r="X721" s="186" t="s">
        <v>15</v>
      </c>
      <c r="Y721" s="186" t="s">
        <v>15</v>
      </c>
      <c r="Z721" s="186"/>
      <c r="AA721" s="186" t="s">
        <v>1555</v>
      </c>
      <c r="AB721" s="186" t="s">
        <v>15</v>
      </c>
      <c r="AC721" s="186" t="s">
        <v>15</v>
      </c>
      <c r="AD721" s="268" t="s">
        <v>1556</v>
      </c>
      <c r="AE721" s="268"/>
      <c r="AF721" s="144" t="str">
        <f t="shared" si="54"/>
        <v/>
      </c>
      <c r="AG721" s="144" t="str">
        <f t="shared" si="52"/>
        <v/>
      </c>
      <c r="AH721" s="146">
        <f t="shared" si="55"/>
        <v>0.43</v>
      </c>
      <c r="AI721" s="146" t="str">
        <f t="shared" si="56"/>
        <v/>
      </c>
      <c r="AJ721" s="303"/>
      <c r="AK721" s="303"/>
      <c r="AL721" s="303"/>
      <c r="AM721" s="303"/>
      <c r="AN721" s="303"/>
      <c r="AO721" s="303"/>
      <c r="AP721" s="303"/>
      <c r="AQ721" s="303"/>
      <c r="AR721" s="303"/>
      <c r="AS721" s="170"/>
      <c r="AT721" s="170"/>
      <c r="AU721" s="310"/>
      <c r="AW721" s="294"/>
      <c r="AX721" s="294"/>
      <c r="AY721" s="294"/>
      <c r="AZ721" s="294"/>
      <c r="BA721" s="294"/>
      <c r="BB721" s="294"/>
      <c r="BC721" s="294"/>
      <c r="BD721" s="294"/>
      <c r="BE721" s="294"/>
      <c r="BF721" s="382">
        <v>0.43</v>
      </c>
      <c r="BG721" s="382">
        <v>0.55000000000000004</v>
      </c>
      <c r="BH721" s="278"/>
      <c r="BI721" s="365" t="s">
        <v>1557</v>
      </c>
      <c r="BJ721" s="409"/>
    </row>
    <row r="722" spans="1:62" ht="15.75" customHeight="1" thickBot="1" x14ac:dyDescent="0.25">
      <c r="A722" s="154">
        <v>723</v>
      </c>
      <c r="B722" s="155">
        <v>1</v>
      </c>
      <c r="C722" s="148" t="s">
        <v>236</v>
      </c>
      <c r="D722" s="148" t="s">
        <v>1879</v>
      </c>
      <c r="E722" s="148" t="s">
        <v>13</v>
      </c>
      <c r="F722" s="148" t="s">
        <v>1563</v>
      </c>
      <c r="G722" s="148" t="s">
        <v>292</v>
      </c>
      <c r="H722" s="148" t="s">
        <v>108</v>
      </c>
      <c r="I722" s="161">
        <v>2015</v>
      </c>
      <c r="J722" s="161" t="s">
        <v>1553</v>
      </c>
      <c r="K722" s="161" t="s">
        <v>1554</v>
      </c>
      <c r="L722" s="161" t="s">
        <v>19</v>
      </c>
      <c r="M722" s="453" t="s">
        <v>4257</v>
      </c>
      <c r="N722" s="186" t="s">
        <v>20</v>
      </c>
      <c r="O722" s="186" t="s">
        <v>15</v>
      </c>
      <c r="P722" s="186" t="s">
        <v>20</v>
      </c>
      <c r="Q722" s="186" t="s">
        <v>20</v>
      </c>
      <c r="R722" s="186" t="s">
        <v>15</v>
      </c>
      <c r="S722" s="186" t="s">
        <v>20</v>
      </c>
      <c r="T722" s="186" t="s">
        <v>15</v>
      </c>
      <c r="U722" s="186" t="s">
        <v>15</v>
      </c>
      <c r="V722" s="186" t="s">
        <v>15</v>
      </c>
      <c r="W722" s="186" t="s">
        <v>20</v>
      </c>
      <c r="X722" s="186" t="s">
        <v>15</v>
      </c>
      <c r="Y722" s="186" t="s">
        <v>15</v>
      </c>
      <c r="Z722" s="186"/>
      <c r="AA722" s="186" t="s">
        <v>1555</v>
      </c>
      <c r="AB722" s="186" t="s">
        <v>15</v>
      </c>
      <c r="AC722" s="186" t="s">
        <v>15</v>
      </c>
      <c r="AD722" s="268" t="s">
        <v>1556</v>
      </c>
      <c r="AE722" s="268"/>
      <c r="AF722" s="144" t="str">
        <f t="shared" si="54"/>
        <v/>
      </c>
      <c r="AG722" s="144" t="str">
        <f t="shared" si="52"/>
        <v/>
      </c>
      <c r="AH722" s="146">
        <f t="shared" si="55"/>
        <v>0.43</v>
      </c>
      <c r="AI722" s="146" t="str">
        <f t="shared" si="56"/>
        <v/>
      </c>
      <c r="AJ722" s="303"/>
      <c r="AK722" s="303"/>
      <c r="AL722" s="303"/>
      <c r="AM722" s="303"/>
      <c r="AN722" s="303"/>
      <c r="AO722" s="303"/>
      <c r="AP722" s="303"/>
      <c r="AQ722" s="303"/>
      <c r="AR722" s="303"/>
      <c r="AS722" s="170"/>
      <c r="AT722" s="170"/>
      <c r="AU722" s="310"/>
      <c r="AW722" s="294"/>
      <c r="AX722" s="294"/>
      <c r="AY722" s="294"/>
      <c r="AZ722" s="294"/>
      <c r="BA722" s="294"/>
      <c r="BB722" s="294"/>
      <c r="BC722" s="294"/>
      <c r="BD722" s="294"/>
      <c r="BE722" s="294"/>
      <c r="BF722" s="382">
        <v>0.43</v>
      </c>
      <c r="BG722" s="382">
        <v>0.67600000000000005</v>
      </c>
      <c r="BH722" s="278"/>
      <c r="BI722" s="365" t="s">
        <v>1557</v>
      </c>
      <c r="BJ722" s="409"/>
    </row>
    <row r="723" spans="1:62" ht="15.75" customHeight="1" thickBot="1" x14ac:dyDescent="0.25">
      <c r="A723" s="156">
        <v>724</v>
      </c>
      <c r="B723" s="155">
        <v>1</v>
      </c>
      <c r="C723" s="148" t="s">
        <v>236</v>
      </c>
      <c r="D723" s="148" t="s">
        <v>2282</v>
      </c>
      <c r="E723" s="148" t="s">
        <v>13</v>
      </c>
      <c r="F723" s="148" t="s">
        <v>1564</v>
      </c>
      <c r="G723" s="148" t="s">
        <v>292</v>
      </c>
      <c r="H723" s="148" t="s">
        <v>108</v>
      </c>
      <c r="I723" s="161">
        <v>2015</v>
      </c>
      <c r="J723" s="161" t="s">
        <v>1553</v>
      </c>
      <c r="K723" s="161" t="s">
        <v>1554</v>
      </c>
      <c r="L723" s="161" t="s">
        <v>19</v>
      </c>
      <c r="M723" s="453" t="s">
        <v>4257</v>
      </c>
      <c r="N723" s="186" t="s">
        <v>20</v>
      </c>
      <c r="O723" s="186" t="s">
        <v>15</v>
      </c>
      <c r="P723" s="186" t="s">
        <v>20</v>
      </c>
      <c r="Q723" s="186" t="s">
        <v>20</v>
      </c>
      <c r="R723" s="186" t="s">
        <v>15</v>
      </c>
      <c r="S723" s="186" t="s">
        <v>20</v>
      </c>
      <c r="T723" s="186" t="s">
        <v>15</v>
      </c>
      <c r="U723" s="186" t="s">
        <v>15</v>
      </c>
      <c r="V723" s="186" t="s">
        <v>15</v>
      </c>
      <c r="W723" s="186" t="s">
        <v>20</v>
      </c>
      <c r="X723" s="186" t="s">
        <v>15</v>
      </c>
      <c r="Y723" s="186" t="s">
        <v>15</v>
      </c>
      <c r="Z723" s="186"/>
      <c r="AA723" s="186" t="s">
        <v>1555</v>
      </c>
      <c r="AB723" s="186" t="s">
        <v>15</v>
      </c>
      <c r="AC723" s="186" t="s">
        <v>15</v>
      </c>
      <c r="AD723" s="268" t="s">
        <v>1556</v>
      </c>
      <c r="AE723" s="268"/>
      <c r="AF723" s="144" t="str">
        <f t="shared" si="54"/>
        <v/>
      </c>
      <c r="AG723" s="144" t="str">
        <f t="shared" ref="AG723:AG786" si="57">IF(AND(SUM(AJ723:AL723)&lt;&gt;0,SUM(AJ723:AL723)&lt;&gt;AJ723),SUM(AJ723:AL723),"")</f>
        <v/>
      </c>
      <c r="AH723" s="146">
        <f t="shared" si="55"/>
        <v>1.06</v>
      </c>
      <c r="AI723" s="146" t="str">
        <f t="shared" si="56"/>
        <v/>
      </c>
      <c r="AJ723" s="303"/>
      <c r="AK723" s="303"/>
      <c r="AL723" s="303"/>
      <c r="AM723" s="303"/>
      <c r="AN723" s="303"/>
      <c r="AO723" s="303"/>
      <c r="AP723" s="303"/>
      <c r="AQ723" s="303"/>
      <c r="AR723" s="303"/>
      <c r="AS723" s="170"/>
      <c r="AT723" s="170"/>
      <c r="AU723" s="310"/>
      <c r="AW723" s="294"/>
      <c r="AX723" s="294"/>
      <c r="AY723" s="294"/>
      <c r="AZ723" s="294"/>
      <c r="BA723" s="294"/>
      <c r="BB723" s="294"/>
      <c r="BC723" s="294"/>
      <c r="BD723" s="294"/>
      <c r="BE723" s="294"/>
      <c r="BF723" s="382">
        <v>1.06</v>
      </c>
      <c r="BG723" s="382">
        <v>1.2270000000000001</v>
      </c>
      <c r="BH723" s="278"/>
      <c r="BI723" s="365" t="s">
        <v>1557</v>
      </c>
      <c r="BJ723" s="409"/>
    </row>
    <row r="724" spans="1:62" ht="15.75" customHeight="1" thickBot="1" x14ac:dyDescent="0.25">
      <c r="A724" s="154">
        <v>725</v>
      </c>
      <c r="B724" s="155">
        <v>1</v>
      </c>
      <c r="C724" s="148" t="s">
        <v>162</v>
      </c>
      <c r="D724" s="148" t="s">
        <v>1995</v>
      </c>
      <c r="E724" s="148" t="s">
        <v>13</v>
      </c>
      <c r="F724" s="148" t="s">
        <v>1565</v>
      </c>
      <c r="G724" s="148" t="s">
        <v>292</v>
      </c>
      <c r="H724" s="148" t="s">
        <v>108</v>
      </c>
      <c r="I724" s="161">
        <v>2015</v>
      </c>
      <c r="J724" s="161" t="s">
        <v>1553</v>
      </c>
      <c r="K724" s="161" t="s">
        <v>1554</v>
      </c>
      <c r="L724" s="161" t="s">
        <v>19</v>
      </c>
      <c r="M724" s="453" t="s">
        <v>4257</v>
      </c>
      <c r="N724" s="186" t="s">
        <v>20</v>
      </c>
      <c r="O724" s="186" t="s">
        <v>15</v>
      </c>
      <c r="P724" s="186" t="s">
        <v>20</v>
      </c>
      <c r="Q724" s="186" t="s">
        <v>20</v>
      </c>
      <c r="R724" s="186" t="s">
        <v>15</v>
      </c>
      <c r="S724" s="186" t="s">
        <v>20</v>
      </c>
      <c r="T724" s="186" t="s">
        <v>15</v>
      </c>
      <c r="U724" s="186" t="s">
        <v>15</v>
      </c>
      <c r="V724" s="186" t="s">
        <v>15</v>
      </c>
      <c r="W724" s="186" t="s">
        <v>20</v>
      </c>
      <c r="X724" s="186" t="s">
        <v>15</v>
      </c>
      <c r="Y724" s="186" t="s">
        <v>15</v>
      </c>
      <c r="Z724" s="186"/>
      <c r="AA724" s="186" t="s">
        <v>1555</v>
      </c>
      <c r="AB724" s="186" t="s">
        <v>15</v>
      </c>
      <c r="AC724" s="186" t="s">
        <v>15</v>
      </c>
      <c r="AD724" s="268" t="s">
        <v>1556</v>
      </c>
      <c r="AE724" s="268"/>
      <c r="AF724" s="144" t="str">
        <f t="shared" si="54"/>
        <v/>
      </c>
      <c r="AG724" s="144" t="str">
        <f t="shared" si="57"/>
        <v/>
      </c>
      <c r="AH724" s="146">
        <f t="shared" si="55"/>
        <v>0.68</v>
      </c>
      <c r="AI724" s="146" t="str">
        <f t="shared" si="56"/>
        <v/>
      </c>
      <c r="AJ724" s="303"/>
      <c r="AK724" s="303"/>
      <c r="AL724" s="303"/>
      <c r="AM724" s="303"/>
      <c r="AN724" s="303"/>
      <c r="AO724" s="303"/>
      <c r="AP724" s="303"/>
      <c r="AQ724" s="303"/>
      <c r="AR724" s="303"/>
      <c r="AS724" s="170"/>
      <c r="AT724" s="170"/>
      <c r="AU724" s="310"/>
      <c r="AW724" s="294"/>
      <c r="AX724" s="294"/>
      <c r="AY724" s="294"/>
      <c r="AZ724" s="294"/>
      <c r="BA724" s="294"/>
      <c r="BB724" s="294"/>
      <c r="BC724" s="294"/>
      <c r="BD724" s="294"/>
      <c r="BE724" s="294"/>
      <c r="BF724" s="382">
        <v>0.68</v>
      </c>
      <c r="BG724" s="382">
        <v>0.874</v>
      </c>
      <c r="BH724" s="278"/>
      <c r="BI724" s="365" t="s">
        <v>1557</v>
      </c>
      <c r="BJ724" s="409"/>
    </row>
    <row r="725" spans="1:62" ht="15.75" customHeight="1" thickBot="1" x14ac:dyDescent="0.25">
      <c r="A725" s="156">
        <v>726</v>
      </c>
      <c r="B725" s="155">
        <v>1</v>
      </c>
      <c r="C725" s="148" t="s">
        <v>162</v>
      </c>
      <c r="D725" s="141" t="s">
        <v>2134</v>
      </c>
      <c r="E725" s="148" t="s">
        <v>13</v>
      </c>
      <c r="F725" s="148" t="s">
        <v>1566</v>
      </c>
      <c r="G725" s="148" t="s">
        <v>292</v>
      </c>
      <c r="H725" s="148" t="s">
        <v>108</v>
      </c>
      <c r="I725" s="161">
        <v>2015</v>
      </c>
      <c r="J725" s="161" t="s">
        <v>1553</v>
      </c>
      <c r="K725" s="161" t="s">
        <v>1554</v>
      </c>
      <c r="L725" s="161" t="s">
        <v>19</v>
      </c>
      <c r="M725" s="453" t="s">
        <v>4257</v>
      </c>
      <c r="N725" s="186" t="s">
        <v>20</v>
      </c>
      <c r="O725" s="186" t="s">
        <v>15</v>
      </c>
      <c r="P725" s="186" t="s">
        <v>20</v>
      </c>
      <c r="Q725" s="186" t="s">
        <v>20</v>
      </c>
      <c r="R725" s="186" t="s">
        <v>15</v>
      </c>
      <c r="S725" s="186" t="s">
        <v>20</v>
      </c>
      <c r="T725" s="186" t="s">
        <v>15</v>
      </c>
      <c r="U725" s="186" t="s">
        <v>15</v>
      </c>
      <c r="V725" s="186" t="s">
        <v>15</v>
      </c>
      <c r="W725" s="186" t="s">
        <v>20</v>
      </c>
      <c r="X725" s="186" t="s">
        <v>15</v>
      </c>
      <c r="Y725" s="186" t="s">
        <v>15</v>
      </c>
      <c r="Z725" s="186"/>
      <c r="AA725" s="186" t="s">
        <v>1555</v>
      </c>
      <c r="AB725" s="186" t="s">
        <v>15</v>
      </c>
      <c r="AC725" s="186" t="s">
        <v>15</v>
      </c>
      <c r="AD725" s="268" t="s">
        <v>1556</v>
      </c>
      <c r="AE725" s="268"/>
      <c r="AF725" s="144" t="str">
        <f t="shared" si="54"/>
        <v/>
      </c>
      <c r="AG725" s="144" t="str">
        <f t="shared" si="57"/>
        <v/>
      </c>
      <c r="AH725" s="146">
        <f t="shared" si="55"/>
        <v>0.4</v>
      </c>
      <c r="AI725" s="146" t="str">
        <f t="shared" si="56"/>
        <v/>
      </c>
      <c r="AJ725" s="303"/>
      <c r="AK725" s="303"/>
      <c r="AL725" s="303"/>
      <c r="AM725" s="303"/>
      <c r="AN725" s="303"/>
      <c r="AO725" s="303"/>
      <c r="AP725" s="303"/>
      <c r="AQ725" s="303"/>
      <c r="AR725" s="303"/>
      <c r="AS725" s="170"/>
      <c r="AT725" s="170"/>
      <c r="AU725" s="310"/>
      <c r="AW725" s="294"/>
      <c r="AX725" s="294"/>
      <c r="AY725" s="294"/>
      <c r="AZ725" s="294"/>
      <c r="BA725" s="294"/>
      <c r="BB725" s="294"/>
      <c r="BC725" s="294"/>
      <c r="BD725" s="294"/>
      <c r="BE725" s="294"/>
      <c r="BF725" s="382">
        <v>0.4</v>
      </c>
      <c r="BG725" s="382">
        <v>0.59699999999999998</v>
      </c>
      <c r="BH725" s="278"/>
      <c r="BI725" s="365" t="s">
        <v>1557</v>
      </c>
      <c r="BJ725" s="409"/>
    </row>
    <row r="726" spans="1:62" ht="15.75" customHeight="1" thickBot="1" x14ac:dyDescent="0.25">
      <c r="A726" s="154">
        <v>727</v>
      </c>
      <c r="B726" s="155">
        <v>1</v>
      </c>
      <c r="C726" s="148" t="s">
        <v>236</v>
      </c>
      <c r="D726" s="141" t="s">
        <v>1739</v>
      </c>
      <c r="E726" s="148" t="s">
        <v>13</v>
      </c>
      <c r="F726" s="148" t="s">
        <v>1567</v>
      </c>
      <c r="G726" s="148" t="s">
        <v>292</v>
      </c>
      <c r="H726" s="148" t="s">
        <v>108</v>
      </c>
      <c r="I726" s="161">
        <v>2015</v>
      </c>
      <c r="J726" s="161" t="s">
        <v>1553</v>
      </c>
      <c r="K726" s="161" t="s">
        <v>1554</v>
      </c>
      <c r="L726" s="161" t="s">
        <v>19</v>
      </c>
      <c r="M726" s="453" t="s">
        <v>4257</v>
      </c>
      <c r="N726" s="186" t="s">
        <v>20</v>
      </c>
      <c r="O726" s="186" t="s">
        <v>15</v>
      </c>
      <c r="P726" s="186" t="s">
        <v>20</v>
      </c>
      <c r="Q726" s="186" t="s">
        <v>20</v>
      </c>
      <c r="R726" s="186" t="s">
        <v>15</v>
      </c>
      <c r="S726" s="186" t="s">
        <v>20</v>
      </c>
      <c r="T726" s="186" t="s">
        <v>15</v>
      </c>
      <c r="U726" s="186" t="s">
        <v>15</v>
      </c>
      <c r="V726" s="186" t="s">
        <v>15</v>
      </c>
      <c r="W726" s="186" t="s">
        <v>20</v>
      </c>
      <c r="X726" s="186" t="s">
        <v>15</v>
      </c>
      <c r="Y726" s="186" t="s">
        <v>15</v>
      </c>
      <c r="Z726" s="186"/>
      <c r="AA726" s="186" t="s">
        <v>1555</v>
      </c>
      <c r="AB726" s="186" t="s">
        <v>15</v>
      </c>
      <c r="AC726" s="186" t="s">
        <v>15</v>
      </c>
      <c r="AD726" s="268" t="s">
        <v>1556</v>
      </c>
      <c r="AE726" s="268"/>
      <c r="AF726" s="144" t="str">
        <f t="shared" si="54"/>
        <v/>
      </c>
      <c r="AG726" s="144" t="str">
        <f t="shared" si="57"/>
        <v/>
      </c>
      <c r="AH726" s="146">
        <f t="shared" si="55"/>
        <v>0.88</v>
      </c>
      <c r="AI726" s="146" t="str">
        <f t="shared" si="56"/>
        <v/>
      </c>
      <c r="AJ726" s="303"/>
      <c r="AK726" s="303"/>
      <c r="AL726" s="303"/>
      <c r="AM726" s="303"/>
      <c r="AN726" s="303"/>
      <c r="AO726" s="303"/>
      <c r="AP726" s="303"/>
      <c r="AQ726" s="303"/>
      <c r="AR726" s="303"/>
      <c r="AS726" s="170"/>
      <c r="AT726" s="170"/>
      <c r="AU726" s="310"/>
      <c r="AW726" s="294"/>
      <c r="AX726" s="294"/>
      <c r="AY726" s="294"/>
      <c r="AZ726" s="294"/>
      <c r="BA726" s="294"/>
      <c r="BB726" s="294"/>
      <c r="BC726" s="294"/>
      <c r="BD726" s="294"/>
      <c r="BE726" s="294"/>
      <c r="BF726" s="382">
        <v>0.88</v>
      </c>
      <c r="BG726" s="382">
        <v>13.093</v>
      </c>
      <c r="BH726" s="278"/>
      <c r="BI726" s="365" t="s">
        <v>1557</v>
      </c>
      <c r="BJ726" s="409"/>
    </row>
    <row r="727" spans="1:62" ht="15.75" customHeight="1" thickBot="1" x14ac:dyDescent="0.25">
      <c r="A727" s="156">
        <v>728</v>
      </c>
      <c r="B727" s="155">
        <v>1</v>
      </c>
      <c r="C727" s="148" t="s">
        <v>236</v>
      </c>
      <c r="D727" s="148" t="s">
        <v>1879</v>
      </c>
      <c r="E727" s="148" t="s">
        <v>13</v>
      </c>
      <c r="F727" s="148" t="s">
        <v>1568</v>
      </c>
      <c r="G727" s="148" t="s">
        <v>292</v>
      </c>
      <c r="H727" s="148" t="s">
        <v>108</v>
      </c>
      <c r="I727" s="161">
        <v>2015</v>
      </c>
      <c r="J727" s="161" t="s">
        <v>1553</v>
      </c>
      <c r="K727" s="161" t="s">
        <v>1554</v>
      </c>
      <c r="L727" s="161" t="s">
        <v>19</v>
      </c>
      <c r="M727" s="453" t="s">
        <v>4257</v>
      </c>
      <c r="N727" s="186" t="s">
        <v>20</v>
      </c>
      <c r="O727" s="186" t="s">
        <v>15</v>
      </c>
      <c r="P727" s="186" t="s">
        <v>20</v>
      </c>
      <c r="Q727" s="186" t="s">
        <v>20</v>
      </c>
      <c r="R727" s="186" t="s">
        <v>15</v>
      </c>
      <c r="S727" s="186" t="s">
        <v>20</v>
      </c>
      <c r="T727" s="186" t="s">
        <v>15</v>
      </c>
      <c r="U727" s="186" t="s">
        <v>15</v>
      </c>
      <c r="V727" s="186" t="s">
        <v>15</v>
      </c>
      <c r="W727" s="186" t="s">
        <v>20</v>
      </c>
      <c r="X727" s="186" t="s">
        <v>15</v>
      </c>
      <c r="Y727" s="186" t="s">
        <v>15</v>
      </c>
      <c r="Z727" s="186"/>
      <c r="AA727" s="186" t="s">
        <v>1555</v>
      </c>
      <c r="AB727" s="186" t="s">
        <v>15</v>
      </c>
      <c r="AC727" s="186" t="s">
        <v>15</v>
      </c>
      <c r="AD727" s="268" t="s">
        <v>1556</v>
      </c>
      <c r="AE727" s="268"/>
      <c r="AF727" s="144" t="str">
        <f t="shared" si="54"/>
        <v/>
      </c>
      <c r="AG727" s="144" t="str">
        <f t="shared" si="57"/>
        <v/>
      </c>
      <c r="AH727" s="146">
        <f t="shared" si="55"/>
        <v>0.88</v>
      </c>
      <c r="AI727" s="146" t="str">
        <f t="shared" si="56"/>
        <v/>
      </c>
      <c r="AJ727" s="303"/>
      <c r="AK727" s="303"/>
      <c r="AL727" s="303"/>
      <c r="AM727" s="303"/>
      <c r="AN727" s="303"/>
      <c r="AO727" s="303"/>
      <c r="AP727" s="303"/>
      <c r="AQ727" s="303"/>
      <c r="AR727" s="303"/>
      <c r="AS727" s="170"/>
      <c r="AT727" s="170"/>
      <c r="AU727" s="310"/>
      <c r="AW727" s="294"/>
      <c r="AX727" s="294"/>
      <c r="AY727" s="294"/>
      <c r="AZ727" s="294"/>
      <c r="BA727" s="294"/>
      <c r="BB727" s="294"/>
      <c r="BC727" s="294"/>
      <c r="BD727" s="294"/>
      <c r="BE727" s="294"/>
      <c r="BF727" s="382">
        <v>0.88</v>
      </c>
      <c r="BG727" s="382">
        <v>12.157</v>
      </c>
      <c r="BH727" s="278"/>
      <c r="BI727" s="365" t="s">
        <v>1557</v>
      </c>
      <c r="BJ727" s="409"/>
    </row>
    <row r="728" spans="1:62" ht="15.75" customHeight="1" thickBot="1" x14ac:dyDescent="0.25">
      <c r="A728" s="154">
        <v>729</v>
      </c>
      <c r="B728" s="155">
        <v>1</v>
      </c>
      <c r="C728" s="148" t="s">
        <v>236</v>
      </c>
      <c r="D728" s="148" t="s">
        <v>2282</v>
      </c>
      <c r="E728" s="148" t="s">
        <v>13</v>
      </c>
      <c r="F728" s="148" t="s">
        <v>1569</v>
      </c>
      <c r="G728" s="148" t="s">
        <v>292</v>
      </c>
      <c r="H728" s="148" t="s">
        <v>108</v>
      </c>
      <c r="I728" s="161">
        <v>2015</v>
      </c>
      <c r="J728" s="161" t="s">
        <v>1553</v>
      </c>
      <c r="K728" s="161" t="s">
        <v>1554</v>
      </c>
      <c r="L728" s="161" t="s">
        <v>19</v>
      </c>
      <c r="M728" s="453" t="s">
        <v>4257</v>
      </c>
      <c r="N728" s="186" t="s">
        <v>20</v>
      </c>
      <c r="O728" s="186" t="s">
        <v>15</v>
      </c>
      <c r="P728" s="186" t="s">
        <v>20</v>
      </c>
      <c r="Q728" s="186" t="s">
        <v>20</v>
      </c>
      <c r="R728" s="186" t="s">
        <v>15</v>
      </c>
      <c r="S728" s="186" t="s">
        <v>20</v>
      </c>
      <c r="T728" s="186" t="s">
        <v>15</v>
      </c>
      <c r="U728" s="186" t="s">
        <v>15</v>
      </c>
      <c r="V728" s="186" t="s">
        <v>15</v>
      </c>
      <c r="W728" s="186" t="s">
        <v>20</v>
      </c>
      <c r="X728" s="186" t="s">
        <v>15</v>
      </c>
      <c r="Y728" s="186" t="s">
        <v>15</v>
      </c>
      <c r="Z728" s="186"/>
      <c r="AA728" s="186" t="s">
        <v>1555</v>
      </c>
      <c r="AB728" s="186" t="s">
        <v>15</v>
      </c>
      <c r="AC728" s="186" t="s">
        <v>15</v>
      </c>
      <c r="AD728" s="268" t="s">
        <v>1556</v>
      </c>
      <c r="AE728" s="268"/>
      <c r="AF728" s="144" t="str">
        <f t="shared" si="54"/>
        <v/>
      </c>
      <c r="AG728" s="144" t="str">
        <f t="shared" si="57"/>
        <v/>
      </c>
      <c r="AH728" s="146">
        <f t="shared" si="55"/>
        <v>1.39</v>
      </c>
      <c r="AI728" s="146" t="str">
        <f t="shared" si="56"/>
        <v/>
      </c>
      <c r="AJ728" s="303"/>
      <c r="AK728" s="303"/>
      <c r="AL728" s="303"/>
      <c r="AM728" s="303"/>
      <c r="AN728" s="303"/>
      <c r="AO728" s="303"/>
      <c r="AP728" s="303"/>
      <c r="AQ728" s="303"/>
      <c r="AR728" s="303"/>
      <c r="AS728" s="170"/>
      <c r="AT728" s="170"/>
      <c r="AU728" s="310"/>
      <c r="AW728" s="294"/>
      <c r="AX728" s="294"/>
      <c r="AY728" s="294"/>
      <c r="AZ728" s="294"/>
      <c r="BA728" s="294"/>
      <c r="BB728" s="294"/>
      <c r="BC728" s="294"/>
      <c r="BD728" s="294"/>
      <c r="BE728" s="294"/>
      <c r="BF728" s="382">
        <v>1.39</v>
      </c>
      <c r="BG728" s="382">
        <v>7.3520000000000003</v>
      </c>
      <c r="BH728" s="278"/>
      <c r="BI728" s="365" t="s">
        <v>1557</v>
      </c>
      <c r="BJ728" s="409"/>
    </row>
    <row r="729" spans="1:62" ht="15.75" customHeight="1" thickBot="1" x14ac:dyDescent="0.25">
      <c r="A729" s="156">
        <v>730</v>
      </c>
      <c r="B729" s="155">
        <v>1</v>
      </c>
      <c r="C729" s="148" t="s">
        <v>162</v>
      </c>
      <c r="D729" s="148" t="s">
        <v>1995</v>
      </c>
      <c r="E729" s="148" t="s">
        <v>13</v>
      </c>
      <c r="F729" s="148" t="s">
        <v>1570</v>
      </c>
      <c r="G729" s="148" t="s">
        <v>292</v>
      </c>
      <c r="H729" s="148" t="s">
        <v>108</v>
      </c>
      <c r="I729" s="161">
        <v>2015</v>
      </c>
      <c r="J729" s="161" t="s">
        <v>1553</v>
      </c>
      <c r="K729" s="161" t="s">
        <v>1554</v>
      </c>
      <c r="L729" s="161" t="s">
        <v>19</v>
      </c>
      <c r="M729" s="453" t="s">
        <v>4257</v>
      </c>
      <c r="N729" s="186" t="s">
        <v>20</v>
      </c>
      <c r="O729" s="186" t="s">
        <v>15</v>
      </c>
      <c r="P729" s="186" t="s">
        <v>20</v>
      </c>
      <c r="Q729" s="186" t="s">
        <v>20</v>
      </c>
      <c r="R729" s="186" t="s">
        <v>15</v>
      </c>
      <c r="S729" s="186" t="s">
        <v>20</v>
      </c>
      <c r="T729" s="186" t="s">
        <v>15</v>
      </c>
      <c r="U729" s="186" t="s">
        <v>15</v>
      </c>
      <c r="V729" s="186" t="s">
        <v>15</v>
      </c>
      <c r="W729" s="186" t="s">
        <v>20</v>
      </c>
      <c r="X729" s="186" t="s">
        <v>15</v>
      </c>
      <c r="Y729" s="186" t="s">
        <v>15</v>
      </c>
      <c r="Z729" s="186"/>
      <c r="AA729" s="186" t="s">
        <v>1555</v>
      </c>
      <c r="AB729" s="186" t="s">
        <v>15</v>
      </c>
      <c r="AC729" s="186" t="s">
        <v>15</v>
      </c>
      <c r="AD729" s="268" t="s">
        <v>1556</v>
      </c>
      <c r="AE729" s="268"/>
      <c r="AF729" s="144" t="str">
        <f t="shared" si="54"/>
        <v/>
      </c>
      <c r="AG729" s="144" t="str">
        <f t="shared" si="57"/>
        <v/>
      </c>
      <c r="AH729" s="146">
        <f t="shared" si="55"/>
        <v>0.68700000000000006</v>
      </c>
      <c r="AI729" s="146" t="str">
        <f t="shared" si="56"/>
        <v/>
      </c>
      <c r="AJ729" s="303"/>
      <c r="AK729" s="303"/>
      <c r="AL729" s="303"/>
      <c r="AM729" s="303"/>
      <c r="AN729" s="303"/>
      <c r="AO729" s="303"/>
      <c r="AP729" s="303"/>
      <c r="AQ729" s="303"/>
      <c r="AR729" s="303"/>
      <c r="AS729" s="170"/>
      <c r="AT729" s="170"/>
      <c r="AU729" s="310"/>
      <c r="AW729" s="294"/>
      <c r="AX729" s="294"/>
      <c r="AY729" s="294"/>
      <c r="AZ729" s="294"/>
      <c r="BA729" s="294"/>
      <c r="BB729" s="294"/>
      <c r="BC729" s="294"/>
      <c r="BD729" s="294"/>
      <c r="BE729" s="294"/>
      <c r="BF729" s="382">
        <v>0.68700000000000006</v>
      </c>
      <c r="BG729" s="382">
        <v>11.420999999999999</v>
      </c>
      <c r="BH729" s="278"/>
      <c r="BI729" s="365" t="s">
        <v>1557</v>
      </c>
      <c r="BJ729" s="409"/>
    </row>
    <row r="730" spans="1:62" ht="15.75" customHeight="1" thickBot="1" x14ac:dyDescent="0.25">
      <c r="A730" s="154">
        <v>731</v>
      </c>
      <c r="B730" s="155">
        <v>1</v>
      </c>
      <c r="C730" s="148" t="s">
        <v>162</v>
      </c>
      <c r="D730" s="141" t="s">
        <v>2134</v>
      </c>
      <c r="E730" s="148" t="s">
        <v>13</v>
      </c>
      <c r="F730" s="148" t="s">
        <v>1571</v>
      </c>
      <c r="G730" s="148" t="s">
        <v>292</v>
      </c>
      <c r="H730" s="148" t="s">
        <v>108</v>
      </c>
      <c r="I730" s="161">
        <v>2015</v>
      </c>
      <c r="J730" s="161" t="s">
        <v>1553</v>
      </c>
      <c r="K730" s="161" t="s">
        <v>1554</v>
      </c>
      <c r="L730" s="161" t="s">
        <v>19</v>
      </c>
      <c r="M730" s="453" t="s">
        <v>4257</v>
      </c>
      <c r="N730" s="186" t="s">
        <v>20</v>
      </c>
      <c r="O730" s="186" t="s">
        <v>15</v>
      </c>
      <c r="P730" s="186" t="s">
        <v>20</v>
      </c>
      <c r="Q730" s="186" t="s">
        <v>20</v>
      </c>
      <c r="R730" s="186" t="s">
        <v>15</v>
      </c>
      <c r="S730" s="186" t="s">
        <v>20</v>
      </c>
      <c r="T730" s="186" t="s">
        <v>15</v>
      </c>
      <c r="U730" s="186" t="s">
        <v>15</v>
      </c>
      <c r="V730" s="186" t="s">
        <v>15</v>
      </c>
      <c r="W730" s="186" t="s">
        <v>20</v>
      </c>
      <c r="X730" s="186" t="s">
        <v>15</v>
      </c>
      <c r="Y730" s="186" t="s">
        <v>15</v>
      </c>
      <c r="Z730" s="186"/>
      <c r="AA730" s="186" t="s">
        <v>1555</v>
      </c>
      <c r="AB730" s="186" t="s">
        <v>15</v>
      </c>
      <c r="AC730" s="186" t="s">
        <v>15</v>
      </c>
      <c r="AD730" s="268" t="s">
        <v>1556</v>
      </c>
      <c r="AE730" s="268"/>
      <c r="AF730" s="144" t="str">
        <f t="shared" si="54"/>
        <v/>
      </c>
      <c r="AG730" s="144" t="str">
        <f t="shared" si="57"/>
        <v/>
      </c>
      <c r="AH730" s="146">
        <f t="shared" si="55"/>
        <v>0.4</v>
      </c>
      <c r="AI730" s="146" t="str">
        <f t="shared" si="56"/>
        <v/>
      </c>
      <c r="AJ730" s="303"/>
      <c r="AK730" s="303"/>
      <c r="AL730" s="303"/>
      <c r="AM730" s="303"/>
      <c r="AN730" s="303"/>
      <c r="AO730" s="303"/>
      <c r="AP730" s="303"/>
      <c r="AQ730" s="303"/>
      <c r="AR730" s="303"/>
      <c r="AS730" s="170"/>
      <c r="AT730" s="170"/>
      <c r="AU730" s="310"/>
      <c r="AW730" s="294"/>
      <c r="AX730" s="294"/>
      <c r="AY730" s="294"/>
      <c r="AZ730" s="294"/>
      <c r="BA730" s="294"/>
      <c r="BB730" s="294"/>
      <c r="BC730" s="294"/>
      <c r="BD730" s="294"/>
      <c r="BE730" s="294"/>
      <c r="BF730" s="382">
        <v>0.4</v>
      </c>
      <c r="BG730" s="382">
        <v>10.635</v>
      </c>
      <c r="BH730" s="278"/>
      <c r="BI730" s="365" t="s">
        <v>1557</v>
      </c>
      <c r="BJ730" s="409"/>
    </row>
    <row r="731" spans="1:62" ht="15.75" customHeight="1" thickBot="1" x14ac:dyDescent="0.25">
      <c r="A731" s="156">
        <v>732</v>
      </c>
      <c r="B731" s="155">
        <v>1</v>
      </c>
      <c r="C731" s="148" t="s">
        <v>236</v>
      </c>
      <c r="D731" s="142" t="s">
        <v>2042</v>
      </c>
      <c r="E731" s="148" t="s">
        <v>13</v>
      </c>
      <c r="F731" s="148" t="s">
        <v>1572</v>
      </c>
      <c r="G731" s="148" t="s">
        <v>122</v>
      </c>
      <c r="H731" s="148" t="s">
        <v>700</v>
      </c>
      <c r="I731" s="161">
        <v>2014</v>
      </c>
      <c r="J731" s="161" t="s">
        <v>1573</v>
      </c>
      <c r="K731" s="161" t="s">
        <v>1574</v>
      </c>
      <c r="L731" s="161" t="s">
        <v>19</v>
      </c>
      <c r="M731" s="453" t="s">
        <v>4258</v>
      </c>
      <c r="N731" s="186" t="s">
        <v>20</v>
      </c>
      <c r="O731" s="186" t="s">
        <v>15</v>
      </c>
      <c r="P731" s="186" t="s">
        <v>15</v>
      </c>
      <c r="Q731" s="186" t="s">
        <v>15</v>
      </c>
      <c r="R731" s="186" t="s">
        <v>15</v>
      </c>
      <c r="S731" s="186" t="s">
        <v>15</v>
      </c>
      <c r="T731" s="186" t="s">
        <v>15</v>
      </c>
      <c r="U731" s="186" t="s">
        <v>15</v>
      </c>
      <c r="V731" s="186" t="s">
        <v>15</v>
      </c>
      <c r="W731" s="186" t="s">
        <v>15</v>
      </c>
      <c r="X731" s="186" t="s">
        <v>15</v>
      </c>
      <c r="Y731" s="186" t="s">
        <v>15</v>
      </c>
      <c r="Z731" s="186"/>
      <c r="AA731" s="186" t="s">
        <v>1131</v>
      </c>
      <c r="AB731" s="186" t="s">
        <v>15</v>
      </c>
      <c r="AC731" s="186" t="s">
        <v>15</v>
      </c>
      <c r="AD731" s="268" t="s">
        <v>1575</v>
      </c>
      <c r="AE731" s="268"/>
      <c r="AF731" s="144" t="str">
        <f t="shared" si="54"/>
        <v/>
      </c>
      <c r="AG731" s="144" t="str">
        <f t="shared" si="57"/>
        <v/>
      </c>
      <c r="AH731" s="146">
        <f t="shared" si="55"/>
        <v>0.217</v>
      </c>
      <c r="AI731" s="146" t="str">
        <f t="shared" si="56"/>
        <v/>
      </c>
      <c r="AJ731" s="303"/>
      <c r="AK731" s="303"/>
      <c r="AL731" s="303"/>
      <c r="AM731" s="303"/>
      <c r="AN731" s="303"/>
      <c r="AO731" s="303"/>
      <c r="AP731" s="303"/>
      <c r="AQ731" s="303"/>
      <c r="AR731" s="303"/>
      <c r="AS731" s="170"/>
      <c r="AT731" s="170"/>
      <c r="AU731" s="310"/>
      <c r="AW731" s="294"/>
      <c r="AX731" s="294"/>
      <c r="AY731" s="294"/>
      <c r="AZ731" s="294"/>
      <c r="BA731" s="294"/>
      <c r="BB731" s="294"/>
      <c r="BC731" s="294"/>
      <c r="BD731" s="294"/>
      <c r="BE731" s="294"/>
      <c r="BF731" s="382">
        <v>0.217</v>
      </c>
      <c r="BG731" s="382"/>
      <c r="BH731" s="278" t="s">
        <v>1576</v>
      </c>
      <c r="BI731" s="365" t="s">
        <v>638</v>
      </c>
      <c r="BJ731" s="409"/>
    </row>
    <row r="732" spans="1:62" ht="15.75" customHeight="1" thickBot="1" x14ac:dyDescent="0.25">
      <c r="A732" s="154">
        <v>733</v>
      </c>
      <c r="B732" s="155">
        <v>1</v>
      </c>
      <c r="C732" s="148" t="s">
        <v>236</v>
      </c>
      <c r="D732" s="142" t="s">
        <v>2042</v>
      </c>
      <c r="E732" s="148" t="s">
        <v>13</v>
      </c>
      <c r="F732" s="148" t="s">
        <v>1577</v>
      </c>
      <c r="G732" s="148" t="s">
        <v>122</v>
      </c>
      <c r="H732" s="148" t="s">
        <v>700</v>
      </c>
      <c r="I732" s="161">
        <v>2014</v>
      </c>
      <c r="J732" s="161" t="s">
        <v>1573</v>
      </c>
      <c r="K732" s="161" t="s">
        <v>1574</v>
      </c>
      <c r="L732" s="161" t="s">
        <v>19</v>
      </c>
      <c r="M732" s="453" t="s">
        <v>4258</v>
      </c>
      <c r="N732" s="186" t="s">
        <v>20</v>
      </c>
      <c r="O732" s="186" t="s">
        <v>15</v>
      </c>
      <c r="P732" s="186" t="s">
        <v>15</v>
      </c>
      <c r="Q732" s="186" t="s">
        <v>15</v>
      </c>
      <c r="R732" s="186" t="s">
        <v>15</v>
      </c>
      <c r="S732" s="186" t="s">
        <v>15</v>
      </c>
      <c r="T732" s="186" t="s">
        <v>15</v>
      </c>
      <c r="U732" s="186" t="s">
        <v>15</v>
      </c>
      <c r="V732" s="186" t="s">
        <v>15</v>
      </c>
      <c r="W732" s="186" t="s">
        <v>15</v>
      </c>
      <c r="X732" s="186" t="s">
        <v>15</v>
      </c>
      <c r="Y732" s="186" t="s">
        <v>15</v>
      </c>
      <c r="Z732" s="186"/>
      <c r="AA732" s="186" t="s">
        <v>1131</v>
      </c>
      <c r="AB732" s="186" t="s">
        <v>15</v>
      </c>
      <c r="AC732" s="186" t="s">
        <v>15</v>
      </c>
      <c r="AD732" s="268" t="s">
        <v>1575</v>
      </c>
      <c r="AE732" s="268"/>
      <c r="AF732" s="144" t="str">
        <f t="shared" si="54"/>
        <v/>
      </c>
      <c r="AG732" s="144" t="str">
        <f t="shared" si="57"/>
        <v/>
      </c>
      <c r="AH732" s="146">
        <f t="shared" si="55"/>
        <v>0.13500000000000001</v>
      </c>
      <c r="AI732" s="146" t="str">
        <f t="shared" si="56"/>
        <v/>
      </c>
      <c r="AJ732" s="303"/>
      <c r="AK732" s="303"/>
      <c r="AL732" s="303"/>
      <c r="AM732" s="303"/>
      <c r="AN732" s="303"/>
      <c r="AO732" s="303"/>
      <c r="AP732" s="303"/>
      <c r="AQ732" s="303"/>
      <c r="AR732" s="303"/>
      <c r="AS732" s="170"/>
      <c r="AT732" s="170"/>
      <c r="AU732" s="310"/>
      <c r="AW732" s="294"/>
      <c r="AX732" s="294"/>
      <c r="AY732" s="294"/>
      <c r="AZ732" s="294"/>
      <c r="BA732" s="294"/>
      <c r="BB732" s="294"/>
      <c r="BC732" s="294"/>
      <c r="BD732" s="294"/>
      <c r="BE732" s="294"/>
      <c r="BF732" s="382">
        <v>0.13500000000000001</v>
      </c>
      <c r="BG732" s="382"/>
      <c r="BH732" s="278" t="s">
        <v>1578</v>
      </c>
      <c r="BI732" s="365" t="s">
        <v>638</v>
      </c>
      <c r="BJ732" s="409"/>
    </row>
    <row r="733" spans="1:62" ht="15.75" customHeight="1" thickBot="1" x14ac:dyDescent="0.25">
      <c r="A733" s="156">
        <v>734</v>
      </c>
      <c r="B733" s="155">
        <v>1</v>
      </c>
      <c r="C733" s="148" t="s">
        <v>236</v>
      </c>
      <c r="D733" s="142" t="s">
        <v>2042</v>
      </c>
      <c r="E733" s="148" t="s">
        <v>13</v>
      </c>
      <c r="F733" s="148" t="s">
        <v>1579</v>
      </c>
      <c r="G733" s="148" t="s">
        <v>122</v>
      </c>
      <c r="H733" s="148" t="s">
        <v>700</v>
      </c>
      <c r="I733" s="161">
        <v>2014</v>
      </c>
      <c r="J733" s="161" t="s">
        <v>1573</v>
      </c>
      <c r="K733" s="161" t="s">
        <v>1574</v>
      </c>
      <c r="L733" s="161" t="s">
        <v>19</v>
      </c>
      <c r="M733" s="453" t="s">
        <v>4258</v>
      </c>
      <c r="N733" s="186" t="s">
        <v>20</v>
      </c>
      <c r="O733" s="186" t="s">
        <v>15</v>
      </c>
      <c r="P733" s="186" t="s">
        <v>15</v>
      </c>
      <c r="Q733" s="186" t="s">
        <v>15</v>
      </c>
      <c r="R733" s="186" t="s">
        <v>15</v>
      </c>
      <c r="S733" s="186" t="s">
        <v>15</v>
      </c>
      <c r="T733" s="186" t="s">
        <v>15</v>
      </c>
      <c r="U733" s="186" t="s">
        <v>15</v>
      </c>
      <c r="V733" s="186" t="s">
        <v>15</v>
      </c>
      <c r="W733" s="186" t="s">
        <v>15</v>
      </c>
      <c r="X733" s="186" t="s">
        <v>15</v>
      </c>
      <c r="Y733" s="186" t="s">
        <v>15</v>
      </c>
      <c r="Z733" s="186"/>
      <c r="AA733" s="186" t="s">
        <v>1131</v>
      </c>
      <c r="AB733" s="186" t="s">
        <v>15</v>
      </c>
      <c r="AC733" s="186" t="s">
        <v>15</v>
      </c>
      <c r="AD733" s="268" t="s">
        <v>1575</v>
      </c>
      <c r="AE733" s="268"/>
      <c r="AF733" s="144" t="str">
        <f t="shared" si="54"/>
        <v/>
      </c>
      <c r="AG733" s="144" t="str">
        <f t="shared" si="57"/>
        <v/>
      </c>
      <c r="AH733" s="146">
        <f t="shared" si="55"/>
        <v>0.14599999999999999</v>
      </c>
      <c r="AI733" s="146" t="str">
        <f t="shared" si="56"/>
        <v/>
      </c>
      <c r="AJ733" s="303"/>
      <c r="AK733" s="303"/>
      <c r="AL733" s="303"/>
      <c r="AM733" s="303"/>
      <c r="AN733" s="303"/>
      <c r="AO733" s="303"/>
      <c r="AP733" s="303"/>
      <c r="AQ733" s="303"/>
      <c r="AR733" s="303"/>
      <c r="AS733" s="170"/>
      <c r="AT733" s="170"/>
      <c r="AU733" s="310"/>
      <c r="AW733" s="294"/>
      <c r="AX733" s="294"/>
      <c r="AY733" s="294"/>
      <c r="AZ733" s="294"/>
      <c r="BA733" s="294"/>
      <c r="BB733" s="294"/>
      <c r="BC733" s="294"/>
      <c r="BD733" s="294"/>
      <c r="BE733" s="294"/>
      <c r="BF733" s="382">
        <v>0.14599999999999999</v>
      </c>
      <c r="BG733" s="382"/>
      <c r="BH733" s="278" t="s">
        <v>1580</v>
      </c>
      <c r="BI733" s="365" t="s">
        <v>638</v>
      </c>
      <c r="BJ733" s="409"/>
    </row>
    <row r="734" spans="1:62" ht="15.75" customHeight="1" thickBot="1" x14ac:dyDescent="0.25">
      <c r="A734" s="154">
        <v>735</v>
      </c>
      <c r="B734" s="155">
        <v>1</v>
      </c>
      <c r="C734" s="148" t="s">
        <v>236</v>
      </c>
      <c r="D734" s="142" t="s">
        <v>2042</v>
      </c>
      <c r="E734" s="148" t="s">
        <v>13</v>
      </c>
      <c r="F734" s="148" t="s">
        <v>1581</v>
      </c>
      <c r="G734" s="148" t="s">
        <v>122</v>
      </c>
      <c r="H734" s="148" t="s">
        <v>700</v>
      </c>
      <c r="I734" s="161">
        <v>2014</v>
      </c>
      <c r="J734" s="161" t="s">
        <v>1573</v>
      </c>
      <c r="K734" s="161" t="s">
        <v>1574</v>
      </c>
      <c r="L734" s="161" t="s">
        <v>19</v>
      </c>
      <c r="M734" s="453" t="s">
        <v>4258</v>
      </c>
      <c r="N734" s="186" t="s">
        <v>20</v>
      </c>
      <c r="O734" s="186" t="s">
        <v>15</v>
      </c>
      <c r="P734" s="186" t="s">
        <v>15</v>
      </c>
      <c r="Q734" s="186" t="s">
        <v>15</v>
      </c>
      <c r="R734" s="186" t="s">
        <v>15</v>
      </c>
      <c r="S734" s="186" t="s">
        <v>15</v>
      </c>
      <c r="T734" s="186" t="s">
        <v>15</v>
      </c>
      <c r="U734" s="186" t="s">
        <v>15</v>
      </c>
      <c r="V734" s="186" t="s">
        <v>15</v>
      </c>
      <c r="W734" s="186" t="s">
        <v>15</v>
      </c>
      <c r="X734" s="186" t="s">
        <v>15</v>
      </c>
      <c r="Y734" s="186" t="s">
        <v>15</v>
      </c>
      <c r="Z734" s="186"/>
      <c r="AA734" s="186" t="s">
        <v>1131</v>
      </c>
      <c r="AB734" s="186" t="s">
        <v>15</v>
      </c>
      <c r="AC734" s="186" t="s">
        <v>15</v>
      </c>
      <c r="AD734" s="268" t="s">
        <v>1575</v>
      </c>
      <c r="AE734" s="268"/>
      <c r="AF734" s="144" t="str">
        <f t="shared" si="54"/>
        <v/>
      </c>
      <c r="AG734" s="144" t="str">
        <f t="shared" si="57"/>
        <v/>
      </c>
      <c r="AH734" s="146">
        <f t="shared" si="55"/>
        <v>0.20399999999999999</v>
      </c>
      <c r="AI734" s="146" t="str">
        <f t="shared" si="56"/>
        <v/>
      </c>
      <c r="AJ734" s="303"/>
      <c r="AK734" s="303"/>
      <c r="AL734" s="303"/>
      <c r="AM734" s="303"/>
      <c r="AN734" s="303"/>
      <c r="AO734" s="303"/>
      <c r="AP734" s="303"/>
      <c r="AQ734" s="303"/>
      <c r="AR734" s="303"/>
      <c r="AS734" s="170"/>
      <c r="AT734" s="170"/>
      <c r="AU734" s="310"/>
      <c r="AW734" s="294"/>
      <c r="AX734" s="294"/>
      <c r="AY734" s="294"/>
      <c r="AZ734" s="294"/>
      <c r="BA734" s="294"/>
      <c r="BB734" s="294"/>
      <c r="BC734" s="294"/>
      <c r="BD734" s="294"/>
      <c r="BE734" s="294"/>
      <c r="BF734" s="382">
        <v>0.20399999999999999</v>
      </c>
      <c r="BG734" s="382"/>
      <c r="BH734" s="278" t="s">
        <v>1582</v>
      </c>
      <c r="BI734" s="365" t="s">
        <v>638</v>
      </c>
      <c r="BJ734" s="409"/>
    </row>
    <row r="735" spans="1:62" ht="15.75" customHeight="1" thickBot="1" x14ac:dyDescent="0.25">
      <c r="A735" s="156">
        <v>736</v>
      </c>
      <c r="B735" s="155">
        <v>1</v>
      </c>
      <c r="C735" s="148" t="s">
        <v>39</v>
      </c>
      <c r="D735" s="148" t="s">
        <v>40</v>
      </c>
      <c r="E735" s="148" t="s">
        <v>13</v>
      </c>
      <c r="F735" s="148" t="s">
        <v>1583</v>
      </c>
      <c r="G735" s="148" t="s">
        <v>20</v>
      </c>
      <c r="H735" s="148" t="s">
        <v>108</v>
      </c>
      <c r="I735" s="161">
        <v>2011</v>
      </c>
      <c r="J735" s="161" t="s">
        <v>1584</v>
      </c>
      <c r="K735" s="161" t="s">
        <v>1585</v>
      </c>
      <c r="L735" s="161" t="s">
        <v>19</v>
      </c>
      <c r="M735" s="453" t="s">
        <v>4177</v>
      </c>
      <c r="N735" s="186" t="s">
        <v>20</v>
      </c>
      <c r="O735" s="186" t="s">
        <v>15</v>
      </c>
      <c r="P735" s="186" t="s">
        <v>15</v>
      </c>
      <c r="Q735" s="186" t="s">
        <v>15</v>
      </c>
      <c r="R735" s="186" t="s">
        <v>15</v>
      </c>
      <c r="S735" s="186" t="s">
        <v>15</v>
      </c>
      <c r="T735" s="186" t="s">
        <v>15</v>
      </c>
      <c r="U735" s="186" t="s">
        <v>15</v>
      </c>
      <c r="V735" s="186" t="s">
        <v>15</v>
      </c>
      <c r="W735" s="186" t="s">
        <v>15</v>
      </c>
      <c r="X735" s="186" t="s">
        <v>15</v>
      </c>
      <c r="Y735" s="186" t="s">
        <v>15</v>
      </c>
      <c r="Z735" s="186"/>
      <c r="AA735" s="186" t="s">
        <v>1131</v>
      </c>
      <c r="AB735" s="186" t="s">
        <v>15</v>
      </c>
      <c r="AC735" s="186" t="s">
        <v>15</v>
      </c>
      <c r="AD735" s="268" t="s">
        <v>1586</v>
      </c>
      <c r="AE735" s="268" t="s">
        <v>1545</v>
      </c>
      <c r="AF735" s="144">
        <f t="shared" si="54"/>
        <v>16.88</v>
      </c>
      <c r="AG735" s="144" t="str">
        <f t="shared" si="57"/>
        <v/>
      </c>
      <c r="AH735" s="146">
        <f t="shared" si="55"/>
        <v>2.92</v>
      </c>
      <c r="AI735" s="146" t="str">
        <f t="shared" si="56"/>
        <v/>
      </c>
      <c r="AJ735" s="303"/>
      <c r="AK735" s="303"/>
      <c r="AL735" s="303"/>
      <c r="AM735" s="303"/>
      <c r="AN735" s="303"/>
      <c r="AO735" s="303"/>
      <c r="AP735" s="303"/>
      <c r="AQ735" s="303"/>
      <c r="AR735" s="303"/>
      <c r="AS735" s="170">
        <v>16.88</v>
      </c>
      <c r="AT735" s="170"/>
      <c r="AU735" s="310"/>
      <c r="AW735" s="294"/>
      <c r="AX735" s="294"/>
      <c r="AY735" s="294"/>
      <c r="AZ735" s="294"/>
      <c r="BA735" s="294"/>
      <c r="BB735" s="294"/>
      <c r="BC735" s="294"/>
      <c r="BD735" s="294"/>
      <c r="BE735" s="294"/>
      <c r="BF735" s="382">
        <v>2.92</v>
      </c>
      <c r="BG735" s="382"/>
      <c r="BH735" s="278" t="s">
        <v>1587</v>
      </c>
      <c r="BI735" s="365" t="s">
        <v>47</v>
      </c>
      <c r="BJ735" s="409"/>
    </row>
    <row r="736" spans="1:62" ht="15.75" customHeight="1" thickBot="1" x14ac:dyDescent="0.25">
      <c r="A736" s="154">
        <v>737</v>
      </c>
      <c r="B736" s="155">
        <v>1</v>
      </c>
      <c r="C736" s="148" t="s">
        <v>39</v>
      </c>
      <c r="D736" s="148" t="s">
        <v>40</v>
      </c>
      <c r="E736" s="148" t="s">
        <v>13</v>
      </c>
      <c r="F736" s="148" t="s">
        <v>1588</v>
      </c>
      <c r="G736" s="148" t="s">
        <v>20</v>
      </c>
      <c r="H736" s="148" t="s">
        <v>108</v>
      </c>
      <c r="I736" s="161">
        <v>2011</v>
      </c>
      <c r="J736" s="161" t="s">
        <v>1584</v>
      </c>
      <c r="K736" s="161" t="s">
        <v>1585</v>
      </c>
      <c r="L736" s="161" t="s">
        <v>19</v>
      </c>
      <c r="M736" s="453" t="s">
        <v>4177</v>
      </c>
      <c r="N736" s="186" t="s">
        <v>20</v>
      </c>
      <c r="O736" s="186" t="s">
        <v>15</v>
      </c>
      <c r="P736" s="186" t="s">
        <v>15</v>
      </c>
      <c r="Q736" s="186" t="s">
        <v>15</v>
      </c>
      <c r="R736" s="186" t="s">
        <v>15</v>
      </c>
      <c r="S736" s="186" t="s">
        <v>15</v>
      </c>
      <c r="T736" s="186" t="s">
        <v>15</v>
      </c>
      <c r="U736" s="186" t="s">
        <v>15</v>
      </c>
      <c r="V736" s="186" t="s">
        <v>15</v>
      </c>
      <c r="W736" s="186" t="s">
        <v>15</v>
      </c>
      <c r="X736" s="186" t="s">
        <v>15</v>
      </c>
      <c r="Y736" s="186" t="s">
        <v>15</v>
      </c>
      <c r="Z736" s="186"/>
      <c r="AA736" s="186" t="s">
        <v>1131</v>
      </c>
      <c r="AB736" s="186" t="s">
        <v>15</v>
      </c>
      <c r="AC736" s="186" t="s">
        <v>15</v>
      </c>
      <c r="AD736" s="268" t="s">
        <v>1586</v>
      </c>
      <c r="AE736" s="268" t="s">
        <v>1545</v>
      </c>
      <c r="AF736" s="144">
        <f t="shared" si="54"/>
        <v>22.2</v>
      </c>
      <c r="AG736" s="144" t="str">
        <f t="shared" si="57"/>
        <v/>
      </c>
      <c r="AH736" s="146">
        <f t="shared" si="55"/>
        <v>3.45</v>
      </c>
      <c r="AI736" s="146" t="str">
        <f t="shared" si="56"/>
        <v/>
      </c>
      <c r="AJ736" s="303"/>
      <c r="AK736" s="303"/>
      <c r="AL736" s="303"/>
      <c r="AM736" s="303"/>
      <c r="AN736" s="303"/>
      <c r="AO736" s="303"/>
      <c r="AP736" s="303"/>
      <c r="AQ736" s="303"/>
      <c r="AR736" s="303"/>
      <c r="AS736" s="169">
        <v>22.2</v>
      </c>
      <c r="AT736" s="170"/>
      <c r="AU736" s="310"/>
      <c r="AW736" s="294"/>
      <c r="AX736" s="294"/>
      <c r="AY736" s="294"/>
      <c r="AZ736" s="294"/>
      <c r="BA736" s="294"/>
      <c r="BB736" s="294"/>
      <c r="BC736" s="294"/>
      <c r="BD736" s="294"/>
      <c r="BE736" s="294"/>
      <c r="BF736" s="382">
        <v>3.45</v>
      </c>
      <c r="BG736" s="382"/>
      <c r="BH736" s="278" t="s">
        <v>1589</v>
      </c>
      <c r="BI736" s="365" t="s">
        <v>47</v>
      </c>
      <c r="BJ736" s="409"/>
    </row>
    <row r="737" spans="1:62" ht="15.75" customHeight="1" thickBot="1" x14ac:dyDescent="0.25">
      <c r="A737" s="156">
        <v>738</v>
      </c>
      <c r="B737" s="155">
        <v>1</v>
      </c>
      <c r="C737" s="148" t="s">
        <v>39</v>
      </c>
      <c r="D737" s="148" t="s">
        <v>40</v>
      </c>
      <c r="E737" s="148" t="s">
        <v>13</v>
      </c>
      <c r="F737" s="148" t="s">
        <v>1590</v>
      </c>
      <c r="G737" s="148" t="s">
        <v>20</v>
      </c>
      <c r="H737" s="148" t="s">
        <v>108</v>
      </c>
      <c r="I737" s="161">
        <v>2011</v>
      </c>
      <c r="J737" s="161" t="s">
        <v>1584</v>
      </c>
      <c r="K737" s="161" t="s">
        <v>1585</v>
      </c>
      <c r="L737" s="161" t="s">
        <v>19</v>
      </c>
      <c r="M737" s="453" t="s">
        <v>4177</v>
      </c>
      <c r="N737" s="186" t="s">
        <v>20</v>
      </c>
      <c r="O737" s="186" t="s">
        <v>15</v>
      </c>
      <c r="P737" s="186" t="s">
        <v>15</v>
      </c>
      <c r="Q737" s="186" t="s">
        <v>15</v>
      </c>
      <c r="R737" s="186" t="s">
        <v>15</v>
      </c>
      <c r="S737" s="186" t="s">
        <v>15</v>
      </c>
      <c r="T737" s="186" t="s">
        <v>15</v>
      </c>
      <c r="U737" s="186" t="s">
        <v>15</v>
      </c>
      <c r="V737" s="186" t="s">
        <v>15</v>
      </c>
      <c r="W737" s="186" t="s">
        <v>15</v>
      </c>
      <c r="X737" s="186" t="s">
        <v>15</v>
      </c>
      <c r="Y737" s="186" t="s">
        <v>15</v>
      </c>
      <c r="Z737" s="186"/>
      <c r="AA737" s="186" t="s">
        <v>1131</v>
      </c>
      <c r="AB737" s="186" t="s">
        <v>15</v>
      </c>
      <c r="AC737" s="186" t="s">
        <v>15</v>
      </c>
      <c r="AD737" s="268" t="s">
        <v>1586</v>
      </c>
      <c r="AE737" s="268" t="s">
        <v>1545</v>
      </c>
      <c r="AF737" s="144">
        <f t="shared" si="54"/>
        <v>18.78</v>
      </c>
      <c r="AG737" s="144" t="str">
        <f t="shared" si="57"/>
        <v/>
      </c>
      <c r="AH737" s="146">
        <f t="shared" si="55"/>
        <v>3.38</v>
      </c>
      <c r="AI737" s="146" t="str">
        <f t="shared" si="56"/>
        <v/>
      </c>
      <c r="AJ737" s="303"/>
      <c r="AK737" s="303"/>
      <c r="AL737" s="303"/>
      <c r="AM737" s="303"/>
      <c r="AN737" s="303"/>
      <c r="AO737" s="303"/>
      <c r="AP737" s="303"/>
      <c r="AQ737" s="303"/>
      <c r="AR737" s="303"/>
      <c r="AS737" s="169">
        <v>18.78</v>
      </c>
      <c r="AT737" s="170"/>
      <c r="AU737" s="310"/>
      <c r="AW737" s="294"/>
      <c r="AX737" s="294"/>
      <c r="AY737" s="294"/>
      <c r="AZ737" s="294"/>
      <c r="BA737" s="294"/>
      <c r="BB737" s="294"/>
      <c r="BC737" s="294"/>
      <c r="BD737" s="294"/>
      <c r="BE737" s="294"/>
      <c r="BF737" s="382">
        <v>3.38</v>
      </c>
      <c r="BG737" s="382"/>
      <c r="BH737" s="278" t="s">
        <v>1591</v>
      </c>
      <c r="BI737" s="365" t="s">
        <v>47</v>
      </c>
      <c r="BJ737" s="409"/>
    </row>
    <row r="738" spans="1:62" ht="15.75" customHeight="1" thickBot="1" x14ac:dyDescent="0.25">
      <c r="A738" s="154">
        <v>739</v>
      </c>
      <c r="B738" s="155">
        <v>1</v>
      </c>
      <c r="C738" s="148" t="s">
        <v>39</v>
      </c>
      <c r="D738" s="148" t="s">
        <v>40</v>
      </c>
      <c r="E738" s="148" t="s">
        <v>13</v>
      </c>
      <c r="F738" s="148" t="s">
        <v>1592</v>
      </c>
      <c r="G738" s="148" t="s">
        <v>20</v>
      </c>
      <c r="H738" s="148" t="s">
        <v>108</v>
      </c>
      <c r="I738" s="161">
        <v>2011</v>
      </c>
      <c r="J738" s="161" t="s">
        <v>1584</v>
      </c>
      <c r="K738" s="161" t="s">
        <v>1585</v>
      </c>
      <c r="L738" s="161" t="s">
        <v>19</v>
      </c>
      <c r="M738" s="453" t="s">
        <v>4177</v>
      </c>
      <c r="N738" s="186" t="s">
        <v>20</v>
      </c>
      <c r="O738" s="186" t="s">
        <v>15</v>
      </c>
      <c r="P738" s="186" t="s">
        <v>15</v>
      </c>
      <c r="Q738" s="186" t="s">
        <v>15</v>
      </c>
      <c r="R738" s="186" t="s">
        <v>15</v>
      </c>
      <c r="S738" s="186" t="s">
        <v>15</v>
      </c>
      <c r="T738" s="186" t="s">
        <v>15</v>
      </c>
      <c r="U738" s="186" t="s">
        <v>15</v>
      </c>
      <c r="V738" s="186" t="s">
        <v>15</v>
      </c>
      <c r="W738" s="186" t="s">
        <v>15</v>
      </c>
      <c r="X738" s="186" t="s">
        <v>15</v>
      </c>
      <c r="Y738" s="186" t="s">
        <v>15</v>
      </c>
      <c r="Z738" s="186"/>
      <c r="AA738" s="186" t="s">
        <v>1131</v>
      </c>
      <c r="AB738" s="186" t="s">
        <v>15</v>
      </c>
      <c r="AC738" s="186" t="s">
        <v>15</v>
      </c>
      <c r="AD738" s="268" t="s">
        <v>1586</v>
      </c>
      <c r="AE738" s="268" t="s">
        <v>1545</v>
      </c>
      <c r="AF738" s="144">
        <f t="shared" si="54"/>
        <v>26.41</v>
      </c>
      <c r="AG738" s="144" t="str">
        <f t="shared" si="57"/>
        <v/>
      </c>
      <c r="AH738" s="146">
        <f t="shared" si="55"/>
        <v>3.42</v>
      </c>
      <c r="AI738" s="146" t="str">
        <f t="shared" si="56"/>
        <v/>
      </c>
      <c r="AJ738" s="303"/>
      <c r="AK738" s="303"/>
      <c r="AL738" s="303"/>
      <c r="AM738" s="303"/>
      <c r="AN738" s="303"/>
      <c r="AO738" s="303"/>
      <c r="AP738" s="303"/>
      <c r="AQ738" s="303"/>
      <c r="AR738" s="303"/>
      <c r="AS738" s="169">
        <v>26.41</v>
      </c>
      <c r="AT738" s="170"/>
      <c r="AU738" s="310"/>
      <c r="AW738" s="294"/>
      <c r="AX738" s="294"/>
      <c r="AY738" s="294"/>
      <c r="AZ738" s="294"/>
      <c r="BA738" s="294"/>
      <c r="BB738" s="294"/>
      <c r="BC738" s="294"/>
      <c r="BD738" s="294"/>
      <c r="BE738" s="294"/>
      <c r="BF738" s="382">
        <v>3.42</v>
      </c>
      <c r="BG738" s="382"/>
      <c r="BH738" s="278" t="s">
        <v>1593</v>
      </c>
      <c r="BI738" s="365" t="s">
        <v>47</v>
      </c>
      <c r="BJ738" s="409"/>
    </row>
    <row r="739" spans="1:62" ht="15.75" customHeight="1" thickBot="1" x14ac:dyDescent="0.25">
      <c r="A739" s="156">
        <v>740</v>
      </c>
      <c r="B739" s="155">
        <v>1</v>
      </c>
      <c r="C739" s="148" t="s">
        <v>162</v>
      </c>
      <c r="D739" s="148" t="s">
        <v>2311</v>
      </c>
      <c r="E739" s="148" t="s">
        <v>13</v>
      </c>
      <c r="F739" s="148" t="s">
        <v>1594</v>
      </c>
      <c r="G739" s="148" t="s">
        <v>15</v>
      </c>
      <c r="H739" s="148" t="s">
        <v>173</v>
      </c>
      <c r="I739" s="161">
        <v>2011</v>
      </c>
      <c r="J739" s="161" t="s">
        <v>1595</v>
      </c>
      <c r="K739" s="161" t="s">
        <v>1596</v>
      </c>
      <c r="L739" s="161" t="s">
        <v>19</v>
      </c>
      <c r="M739" s="453" t="s">
        <v>4259</v>
      </c>
      <c r="N739" s="186" t="s">
        <v>20</v>
      </c>
      <c r="O739" s="186" t="s">
        <v>15</v>
      </c>
      <c r="P739" s="186" t="s">
        <v>20</v>
      </c>
      <c r="Q739" s="186" t="s">
        <v>20</v>
      </c>
      <c r="R739" s="186" t="s">
        <v>20</v>
      </c>
      <c r="S739" s="186" t="s">
        <v>20</v>
      </c>
      <c r="T739" s="186" t="s">
        <v>15</v>
      </c>
      <c r="U739" s="186" t="s">
        <v>15</v>
      </c>
      <c r="V739" s="186" t="s">
        <v>15</v>
      </c>
      <c r="W739" s="186" t="s">
        <v>15</v>
      </c>
      <c r="X739" s="186" t="s">
        <v>15</v>
      </c>
      <c r="Y739" s="186" t="s">
        <v>15</v>
      </c>
      <c r="Z739" s="186"/>
      <c r="AA739" s="186" t="s">
        <v>1597</v>
      </c>
      <c r="AB739" s="186" t="s">
        <v>20</v>
      </c>
      <c r="AC739" s="186" t="s">
        <v>20</v>
      </c>
      <c r="AD739" s="268" t="s">
        <v>1598</v>
      </c>
      <c r="AE739" s="268" t="s">
        <v>1545</v>
      </c>
      <c r="AF739" s="144">
        <f t="shared" si="54"/>
        <v>0.93</v>
      </c>
      <c r="AG739" s="144">
        <f t="shared" si="57"/>
        <v>1.0088000000000001</v>
      </c>
      <c r="AH739" s="146">
        <f t="shared" si="55"/>
        <v>8.9300000000000004E-2</v>
      </c>
      <c r="AI739" s="146">
        <f t="shared" si="56"/>
        <v>9.0400000000000008E-2</v>
      </c>
      <c r="AJ739" s="303">
        <v>0.93</v>
      </c>
      <c r="AK739" s="303">
        <v>7.8799999999999995E-2</v>
      </c>
      <c r="AL739" s="303"/>
      <c r="AM739" s="303">
        <f>0.09+0.0162+0.486</f>
        <v>0.59219999999999995</v>
      </c>
      <c r="AN739" s="303">
        <f>0.8081</f>
        <v>0.80810000000000004</v>
      </c>
      <c r="AO739" s="303"/>
      <c r="AP739" s="303"/>
      <c r="AQ739" s="303">
        <v>3.5000000000000001E-3</v>
      </c>
      <c r="AR739" s="303"/>
      <c r="AS739" s="169">
        <v>0.93</v>
      </c>
      <c r="AT739" s="170">
        <v>2.4127999999999998</v>
      </c>
      <c r="AU739" s="310"/>
      <c r="AV739" s="329"/>
      <c r="AW739" s="294">
        <v>8.9300000000000004E-2</v>
      </c>
      <c r="AX739" s="294">
        <v>1.1000000000000001E-3</v>
      </c>
      <c r="AY739" s="294"/>
      <c r="AZ739" s="294">
        <v>8.0399999999999999E-2</v>
      </c>
      <c r="BA739" s="294">
        <v>1.12E-2</v>
      </c>
      <c r="BB739" s="294"/>
      <c r="BC739" s="294"/>
      <c r="BD739" s="294">
        <v>6.8500000000000002E-3</v>
      </c>
      <c r="BE739" s="294"/>
      <c r="BF739" s="382">
        <v>8.9300000000000004E-2</v>
      </c>
      <c r="BG739" s="382">
        <v>0.18940000000000001</v>
      </c>
      <c r="BH739" s="278"/>
      <c r="BI739" s="365"/>
      <c r="BJ739" s="409"/>
    </row>
    <row r="740" spans="1:62" ht="15.75" customHeight="1" thickBot="1" x14ac:dyDescent="0.25">
      <c r="A740" s="154">
        <v>741</v>
      </c>
      <c r="B740" s="155">
        <v>1</v>
      </c>
      <c r="C740" s="148" t="s">
        <v>162</v>
      </c>
      <c r="D740" s="148" t="s">
        <v>2316</v>
      </c>
      <c r="E740" s="148" t="s">
        <v>13</v>
      </c>
      <c r="F740" s="148" t="s">
        <v>1599</v>
      </c>
      <c r="G740" s="148" t="s">
        <v>15</v>
      </c>
      <c r="H740" s="148" t="s">
        <v>173</v>
      </c>
      <c r="I740" s="161">
        <v>2011</v>
      </c>
      <c r="J740" s="161" t="s">
        <v>1595</v>
      </c>
      <c r="K740" s="161" t="s">
        <v>1596</v>
      </c>
      <c r="L740" s="161" t="s">
        <v>19</v>
      </c>
      <c r="M740" s="453" t="s">
        <v>4259</v>
      </c>
      <c r="N740" s="186" t="s">
        <v>20</v>
      </c>
      <c r="O740" s="186" t="s">
        <v>15</v>
      </c>
      <c r="P740" s="186" t="s">
        <v>20</v>
      </c>
      <c r="Q740" s="186" t="s">
        <v>20</v>
      </c>
      <c r="R740" s="186" t="s">
        <v>20</v>
      </c>
      <c r="S740" s="186" t="s">
        <v>20</v>
      </c>
      <c r="T740" s="186" t="s">
        <v>15</v>
      </c>
      <c r="U740" s="186" t="s">
        <v>15</v>
      </c>
      <c r="V740" s="186" t="s">
        <v>15</v>
      </c>
      <c r="W740" s="186" t="s">
        <v>15</v>
      </c>
      <c r="X740" s="186" t="s">
        <v>15</v>
      </c>
      <c r="Y740" s="186" t="s">
        <v>15</v>
      </c>
      <c r="Z740" s="186"/>
      <c r="AA740" s="186" t="s">
        <v>1597</v>
      </c>
      <c r="AB740" s="186" t="s">
        <v>20</v>
      </c>
      <c r="AC740" s="186" t="s">
        <v>20</v>
      </c>
      <c r="AD740" s="268" t="s">
        <v>1598</v>
      </c>
      <c r="AE740" s="268" t="s">
        <v>1545</v>
      </c>
      <c r="AF740" s="144">
        <f t="shared" si="54"/>
        <v>0.93</v>
      </c>
      <c r="AG740" s="144">
        <f t="shared" si="57"/>
        <v>1.4378</v>
      </c>
      <c r="AH740" s="146">
        <f t="shared" si="55"/>
        <v>8.9300000000000004E-2</v>
      </c>
      <c r="AI740" s="146">
        <f t="shared" si="56"/>
        <v>0.11840000000000001</v>
      </c>
      <c r="AJ740" s="303">
        <v>0.93</v>
      </c>
      <c r="AK740" s="303">
        <v>0.1613</v>
      </c>
      <c r="AL740" s="303">
        <v>0.34649999999999997</v>
      </c>
      <c r="AM740" s="303">
        <v>0.1772</v>
      </c>
      <c r="AN740" s="303">
        <v>3.1339999999999999</v>
      </c>
      <c r="AO740" s="303"/>
      <c r="AP740" s="303"/>
      <c r="AQ740" s="303"/>
      <c r="AR740" s="303"/>
      <c r="AS740" s="170">
        <v>0.93</v>
      </c>
      <c r="AT740" s="170">
        <v>4.7489999999999997</v>
      </c>
      <c r="AU740" s="310"/>
      <c r="AW740" s="294">
        <v>8.9300000000000004E-2</v>
      </c>
      <c r="AX740" s="294">
        <v>2.3E-3</v>
      </c>
      <c r="AY740" s="294">
        <v>2.6800000000000001E-2</v>
      </c>
      <c r="AZ740" s="294">
        <v>2.07E-2</v>
      </c>
      <c r="BA740" s="294">
        <v>4.3499999999999997E-2</v>
      </c>
      <c r="BB740" s="294"/>
      <c r="BC740" s="294"/>
      <c r="BD740" s="294"/>
      <c r="BE740" s="294"/>
      <c r="BF740" s="383">
        <v>8.9300000000000004E-2</v>
      </c>
      <c r="BG740" s="383">
        <v>0.18260000000000001</v>
      </c>
      <c r="BH740" s="278"/>
      <c r="BI740" s="365"/>
      <c r="BJ740" s="409"/>
    </row>
    <row r="741" spans="1:62" ht="15.75" customHeight="1" thickBot="1" x14ac:dyDescent="0.25">
      <c r="A741" s="156">
        <v>742</v>
      </c>
      <c r="B741" s="155">
        <v>1</v>
      </c>
      <c r="C741" s="148" t="s">
        <v>162</v>
      </c>
      <c r="D741" s="148" t="s">
        <v>3074</v>
      </c>
      <c r="E741" s="148" t="s">
        <v>13</v>
      </c>
      <c r="F741" s="148" t="s">
        <v>1600</v>
      </c>
      <c r="G741" s="148" t="s">
        <v>15</v>
      </c>
      <c r="H741" s="148" t="s">
        <v>173</v>
      </c>
      <c r="I741" s="161">
        <v>2011</v>
      </c>
      <c r="J741" s="161" t="s">
        <v>1595</v>
      </c>
      <c r="K741" s="161" t="s">
        <v>1596</v>
      </c>
      <c r="L741" s="161" t="s">
        <v>19</v>
      </c>
      <c r="M741" s="453" t="s">
        <v>4259</v>
      </c>
      <c r="N741" s="186" t="s">
        <v>20</v>
      </c>
      <c r="O741" s="186" t="s">
        <v>15</v>
      </c>
      <c r="P741" s="186" t="s">
        <v>20</v>
      </c>
      <c r="Q741" s="186" t="s">
        <v>20</v>
      </c>
      <c r="R741" s="186" t="s">
        <v>20</v>
      </c>
      <c r="S741" s="186" t="s">
        <v>20</v>
      </c>
      <c r="T741" s="186" t="s">
        <v>15</v>
      </c>
      <c r="U741" s="186" t="s">
        <v>15</v>
      </c>
      <c r="V741" s="186" t="s">
        <v>15</v>
      </c>
      <c r="W741" s="186" t="s">
        <v>15</v>
      </c>
      <c r="X741" s="186" t="s">
        <v>15</v>
      </c>
      <c r="Y741" s="186" t="s">
        <v>15</v>
      </c>
      <c r="Z741" s="186"/>
      <c r="AA741" s="186" t="s">
        <v>1597</v>
      </c>
      <c r="AB741" s="186" t="s">
        <v>20</v>
      </c>
      <c r="AC741" s="186" t="s">
        <v>20</v>
      </c>
      <c r="AD741" s="268" t="s">
        <v>1598</v>
      </c>
      <c r="AE741" s="268" t="s">
        <v>1545</v>
      </c>
      <c r="AF741" s="144">
        <f t="shared" si="54"/>
        <v>0.93</v>
      </c>
      <c r="AG741" s="144">
        <f t="shared" si="57"/>
        <v>1.1055999999999999</v>
      </c>
      <c r="AH741" s="146">
        <f t="shared" si="55"/>
        <v>8.9300000000000004E-2</v>
      </c>
      <c r="AI741" s="146">
        <f t="shared" si="56"/>
        <v>9.2700000000000005E-2</v>
      </c>
      <c r="AJ741" s="303">
        <v>0.93</v>
      </c>
      <c r="AK741" s="303">
        <v>0.1613</v>
      </c>
      <c r="AL741" s="303">
        <v>1.43E-2</v>
      </c>
      <c r="AM741" s="303">
        <v>0.90380000000000005</v>
      </c>
      <c r="AN741" s="303">
        <v>15.9834</v>
      </c>
      <c r="AO741" s="303"/>
      <c r="AP741" s="303"/>
      <c r="AQ741" s="303"/>
      <c r="AR741" s="303"/>
      <c r="AS741" s="170">
        <v>0.93</v>
      </c>
      <c r="AT741" s="170">
        <v>18.020800000000001</v>
      </c>
      <c r="AU741" s="310"/>
      <c r="AW741" s="294">
        <v>8.9300000000000004E-2</v>
      </c>
      <c r="AX741" s="294">
        <v>2.3E-3</v>
      </c>
      <c r="AY741" s="294">
        <v>1.1000000000000001E-3</v>
      </c>
      <c r="AZ741" s="294">
        <v>0.106</v>
      </c>
      <c r="BA741" s="294">
        <v>0.22189999999999999</v>
      </c>
      <c r="BB741" s="294"/>
      <c r="BC741" s="294"/>
      <c r="BD741" s="294">
        <v>1.1000000000000001E-3</v>
      </c>
      <c r="BE741" s="294"/>
      <c r="BF741" s="383">
        <v>8.9300000000000004E-2</v>
      </c>
      <c r="BG741" s="383">
        <v>0.40920000000000001</v>
      </c>
      <c r="BH741" s="278"/>
      <c r="BI741" s="365"/>
      <c r="BJ741" s="409"/>
    </row>
    <row r="742" spans="1:62" ht="15.75" customHeight="1" thickBot="1" x14ac:dyDescent="0.25">
      <c r="A742" s="154">
        <v>743</v>
      </c>
      <c r="B742" s="155">
        <v>1</v>
      </c>
      <c r="C742" s="148" t="s">
        <v>162</v>
      </c>
      <c r="D742" s="148" t="s">
        <v>3073</v>
      </c>
      <c r="E742" s="148" t="s">
        <v>13</v>
      </c>
      <c r="F742" s="148" t="s">
        <v>1601</v>
      </c>
      <c r="G742" s="148" t="s">
        <v>15</v>
      </c>
      <c r="H742" s="148" t="s">
        <v>173</v>
      </c>
      <c r="I742" s="161">
        <v>2011</v>
      </c>
      <c r="J742" s="161" t="s">
        <v>1595</v>
      </c>
      <c r="K742" s="161" t="s">
        <v>1596</v>
      </c>
      <c r="L742" s="161" t="s">
        <v>19</v>
      </c>
      <c r="M742" s="453" t="s">
        <v>4259</v>
      </c>
      <c r="N742" s="186" t="s">
        <v>20</v>
      </c>
      <c r="O742" s="186" t="s">
        <v>15</v>
      </c>
      <c r="P742" s="186" t="s">
        <v>20</v>
      </c>
      <c r="Q742" s="186" t="s">
        <v>20</v>
      </c>
      <c r="R742" s="186" t="s">
        <v>20</v>
      </c>
      <c r="S742" s="186" t="s">
        <v>20</v>
      </c>
      <c r="T742" s="186" t="s">
        <v>15</v>
      </c>
      <c r="U742" s="186" t="s">
        <v>15</v>
      </c>
      <c r="V742" s="186" t="s">
        <v>15</v>
      </c>
      <c r="W742" s="186" t="s">
        <v>15</v>
      </c>
      <c r="X742" s="186" t="s">
        <v>15</v>
      </c>
      <c r="Y742" s="186" t="s">
        <v>15</v>
      </c>
      <c r="Z742" s="186"/>
      <c r="AA742" s="186" t="s">
        <v>1597</v>
      </c>
      <c r="AB742" s="186" t="s">
        <v>20</v>
      </c>
      <c r="AC742" s="186" t="s">
        <v>20</v>
      </c>
      <c r="AD742" s="268" t="s">
        <v>1598</v>
      </c>
      <c r="AE742" s="268" t="s">
        <v>1545</v>
      </c>
      <c r="AF742" s="144">
        <f t="shared" si="54"/>
        <v>0.93</v>
      </c>
      <c r="AG742" s="144">
        <f t="shared" si="57"/>
        <v>1.1055999999999999</v>
      </c>
      <c r="AH742" s="146">
        <f t="shared" si="55"/>
        <v>8.9300000000000004E-2</v>
      </c>
      <c r="AI742" s="146">
        <f t="shared" si="56"/>
        <v>9.2700000000000005E-2</v>
      </c>
      <c r="AJ742" s="303">
        <v>0.93</v>
      </c>
      <c r="AK742" s="303">
        <v>0.1613</v>
      </c>
      <c r="AL742" s="303">
        <v>1.43E-2</v>
      </c>
      <c r="AM742" s="303">
        <v>0.90380000000000005</v>
      </c>
      <c r="AN742" s="303">
        <v>15.9834</v>
      </c>
      <c r="AO742" s="303"/>
      <c r="AP742" s="303"/>
      <c r="AQ742" s="303"/>
      <c r="AR742" s="303"/>
      <c r="AS742" s="170">
        <v>0.93</v>
      </c>
      <c r="AT742" s="170">
        <v>18.0227</v>
      </c>
      <c r="AU742" s="310"/>
      <c r="AW742" s="294">
        <v>8.9300000000000004E-2</v>
      </c>
      <c r="AX742" s="294">
        <v>2.3E-3</v>
      </c>
      <c r="AY742" s="294">
        <v>1.1000000000000001E-3</v>
      </c>
      <c r="AZ742" s="294">
        <v>0.106</v>
      </c>
      <c r="BA742" s="294">
        <v>0.22189999999999999</v>
      </c>
      <c r="BB742" s="294"/>
      <c r="BC742" s="294"/>
      <c r="BD742" s="294">
        <v>1.1000000000000001E-3</v>
      </c>
      <c r="BE742" s="294"/>
      <c r="BF742" s="383">
        <v>8.9300000000000004E-2</v>
      </c>
      <c r="BG742" s="383">
        <v>0.40920000000000001</v>
      </c>
      <c r="BH742" s="278"/>
      <c r="BI742" s="365"/>
      <c r="BJ742" s="409"/>
    </row>
    <row r="743" spans="1:62" ht="15.75" customHeight="1" thickBot="1" x14ac:dyDescent="0.25">
      <c r="A743" s="156">
        <v>744</v>
      </c>
      <c r="B743" s="155">
        <v>1</v>
      </c>
      <c r="C743" s="148" t="s">
        <v>162</v>
      </c>
      <c r="D743" s="148" t="s">
        <v>2315</v>
      </c>
      <c r="E743" s="148" t="s">
        <v>13</v>
      </c>
      <c r="F743" s="148" t="s">
        <v>1602</v>
      </c>
      <c r="G743" s="148" t="s">
        <v>15</v>
      </c>
      <c r="H743" s="148" t="s">
        <v>173</v>
      </c>
      <c r="I743" s="161">
        <v>2011</v>
      </c>
      <c r="J743" s="161" t="s">
        <v>1595</v>
      </c>
      <c r="K743" s="161" t="s">
        <v>1596</v>
      </c>
      <c r="L743" s="161" t="s">
        <v>19</v>
      </c>
      <c r="M743" s="453" t="s">
        <v>4259</v>
      </c>
      <c r="N743" s="186" t="s">
        <v>20</v>
      </c>
      <c r="O743" s="186" t="s">
        <v>15</v>
      </c>
      <c r="P743" s="186" t="s">
        <v>20</v>
      </c>
      <c r="Q743" s="186" t="s">
        <v>20</v>
      </c>
      <c r="R743" s="186" t="s">
        <v>20</v>
      </c>
      <c r="S743" s="186" t="s">
        <v>20</v>
      </c>
      <c r="T743" s="186" t="s">
        <v>15</v>
      </c>
      <c r="U743" s="186" t="s">
        <v>15</v>
      </c>
      <c r="V743" s="186" t="s">
        <v>15</v>
      </c>
      <c r="W743" s="186" t="s">
        <v>15</v>
      </c>
      <c r="X743" s="186" t="s">
        <v>15</v>
      </c>
      <c r="Y743" s="186" t="s">
        <v>15</v>
      </c>
      <c r="Z743" s="186"/>
      <c r="AA743" s="186" t="s">
        <v>1597</v>
      </c>
      <c r="AB743" s="186" t="s">
        <v>20</v>
      </c>
      <c r="AC743" s="186" t="s">
        <v>20</v>
      </c>
      <c r="AD743" s="268" t="s">
        <v>1598</v>
      </c>
      <c r="AE743" s="268" t="s">
        <v>1545</v>
      </c>
      <c r="AF743" s="144">
        <f t="shared" si="54"/>
        <v>0.93</v>
      </c>
      <c r="AG743" s="144">
        <f t="shared" si="57"/>
        <v>1.6705000000000001</v>
      </c>
      <c r="AH743" s="146">
        <f t="shared" si="55"/>
        <v>8.9300000000000004E-2</v>
      </c>
      <c r="AI743" s="146">
        <f t="shared" si="56"/>
        <v>0.1002</v>
      </c>
      <c r="AJ743" s="303">
        <v>0.93</v>
      </c>
      <c r="AK743" s="303">
        <v>0.1613</v>
      </c>
      <c r="AL743" s="303">
        <v>0.57920000000000005</v>
      </c>
      <c r="AM743" s="303">
        <v>1.1700999999999999</v>
      </c>
      <c r="AN743" s="303">
        <v>9.4019999999999992</v>
      </c>
      <c r="AO743" s="303"/>
      <c r="AP743" s="303"/>
      <c r="AQ743" s="303"/>
      <c r="AR743" s="303"/>
      <c r="AS743" s="170">
        <v>0.93</v>
      </c>
      <c r="AT743" s="170">
        <v>12.242599999999999</v>
      </c>
      <c r="AU743" s="310"/>
      <c r="AW743" s="294">
        <v>8.9300000000000004E-2</v>
      </c>
      <c r="AX743" s="294">
        <v>2.3E-3</v>
      </c>
      <c r="AY743" s="294">
        <v>8.6E-3</v>
      </c>
      <c r="AZ743" s="294">
        <v>0.3412</v>
      </c>
      <c r="BA743" s="294">
        <v>0.1305</v>
      </c>
      <c r="BB743" s="294"/>
      <c r="BC743" s="294"/>
      <c r="BD743" s="352">
        <v>8.0000000000000004E-4</v>
      </c>
      <c r="BE743" s="294"/>
      <c r="BF743" s="383">
        <v>8.9300000000000004E-2</v>
      </c>
      <c r="BG743" s="383">
        <v>0.57269999999999999</v>
      </c>
      <c r="BH743" s="278"/>
      <c r="BI743" s="365"/>
      <c r="BJ743" s="409"/>
    </row>
    <row r="744" spans="1:62" ht="15.75" customHeight="1" thickBot="1" x14ac:dyDescent="0.25">
      <c r="A744" s="154">
        <v>745</v>
      </c>
      <c r="B744" s="155">
        <v>1</v>
      </c>
      <c r="C744" s="148" t="s">
        <v>162</v>
      </c>
      <c r="D744" s="148" t="s">
        <v>2311</v>
      </c>
      <c r="E744" s="148" t="s">
        <v>13</v>
      </c>
      <c r="F744" s="148" t="s">
        <v>1603</v>
      </c>
      <c r="G744" s="148" t="s">
        <v>20</v>
      </c>
      <c r="H744" s="148" t="s">
        <v>73</v>
      </c>
      <c r="I744" s="161">
        <v>2011</v>
      </c>
      <c r="J744" s="161" t="s">
        <v>1604</v>
      </c>
      <c r="K744" s="161" t="s">
        <v>1605</v>
      </c>
      <c r="L744" s="161" t="s">
        <v>19</v>
      </c>
      <c r="M744" s="453" t="s">
        <v>4260</v>
      </c>
      <c r="N744" s="186" t="s">
        <v>20</v>
      </c>
      <c r="O744" s="186" t="s">
        <v>15</v>
      </c>
      <c r="P744" s="186" t="s">
        <v>15</v>
      </c>
      <c r="Q744" s="186" t="s">
        <v>15</v>
      </c>
      <c r="R744" s="186" t="s">
        <v>15</v>
      </c>
      <c r="S744" s="186" t="s">
        <v>15</v>
      </c>
      <c r="T744" s="186" t="s">
        <v>15</v>
      </c>
      <c r="U744" s="186" t="s">
        <v>15</v>
      </c>
      <c r="V744" s="186" t="s">
        <v>15</v>
      </c>
      <c r="W744" s="186" t="s">
        <v>15</v>
      </c>
      <c r="X744" s="186" t="s">
        <v>15</v>
      </c>
      <c r="Y744" s="186" t="s">
        <v>15</v>
      </c>
      <c r="Z744" s="186"/>
      <c r="AA744" s="186" t="s">
        <v>1131</v>
      </c>
      <c r="AB744" s="186" t="s">
        <v>20</v>
      </c>
      <c r="AC744" s="186" t="s">
        <v>15</v>
      </c>
      <c r="AD744" s="268" t="s">
        <v>1606</v>
      </c>
      <c r="AE744" s="268" t="s">
        <v>1545</v>
      </c>
      <c r="AF744" s="144">
        <f t="shared" si="54"/>
        <v>3.9775999999999998</v>
      </c>
      <c r="AG744" s="144" t="str">
        <f t="shared" si="57"/>
        <v/>
      </c>
      <c r="AH744" s="146">
        <f t="shared" si="55"/>
        <v>0.28916999999999998</v>
      </c>
      <c r="AI744" s="146" t="str">
        <f t="shared" si="56"/>
        <v/>
      </c>
      <c r="AJ744" s="303"/>
      <c r="AK744" s="303"/>
      <c r="AL744" s="303"/>
      <c r="AM744" s="303"/>
      <c r="AN744" s="303"/>
      <c r="AO744" s="303"/>
      <c r="AP744" s="303"/>
      <c r="AQ744" s="303"/>
      <c r="AR744" s="303"/>
      <c r="AS744" s="170">
        <v>3.9775999999999998</v>
      </c>
      <c r="AT744" s="170"/>
      <c r="AU744" s="310"/>
      <c r="AW744" s="294"/>
      <c r="AX744" s="294"/>
      <c r="AY744" s="294"/>
      <c r="AZ744" s="294"/>
      <c r="BA744" s="294"/>
      <c r="BB744" s="294"/>
      <c r="BC744" s="294"/>
      <c r="BD744" s="294"/>
      <c r="BE744" s="294"/>
      <c r="BF744" s="383">
        <v>0.28916999999999998</v>
      </c>
      <c r="BG744" s="383"/>
      <c r="BH744" s="278"/>
      <c r="BI744" s="365" t="s">
        <v>1607</v>
      </c>
      <c r="BJ744" s="409"/>
    </row>
    <row r="745" spans="1:62" ht="15.75" customHeight="1" thickBot="1" x14ac:dyDescent="0.25">
      <c r="A745" s="156">
        <v>746</v>
      </c>
      <c r="B745" s="155">
        <v>1</v>
      </c>
      <c r="C745" s="148" t="s">
        <v>162</v>
      </c>
      <c r="D745" s="148" t="s">
        <v>2311</v>
      </c>
      <c r="E745" s="148" t="s">
        <v>13</v>
      </c>
      <c r="F745" s="148" t="s">
        <v>1608</v>
      </c>
      <c r="G745" s="148" t="s">
        <v>20</v>
      </c>
      <c r="H745" s="148" t="s">
        <v>73</v>
      </c>
      <c r="I745" s="161">
        <v>2011</v>
      </c>
      <c r="J745" s="161" t="s">
        <v>1604</v>
      </c>
      <c r="K745" s="161" t="s">
        <v>1605</v>
      </c>
      <c r="L745" s="161" t="s">
        <v>19</v>
      </c>
      <c r="M745" s="453" t="s">
        <v>4260</v>
      </c>
      <c r="N745" s="186" t="s">
        <v>20</v>
      </c>
      <c r="O745" s="186" t="s">
        <v>15</v>
      </c>
      <c r="P745" s="186" t="s">
        <v>15</v>
      </c>
      <c r="Q745" s="186" t="s">
        <v>15</v>
      </c>
      <c r="R745" s="186" t="s">
        <v>15</v>
      </c>
      <c r="S745" s="186" t="s">
        <v>15</v>
      </c>
      <c r="T745" s="186" t="s">
        <v>15</v>
      </c>
      <c r="U745" s="186" t="s">
        <v>15</v>
      </c>
      <c r="V745" s="186" t="s">
        <v>15</v>
      </c>
      <c r="W745" s="186" t="s">
        <v>15</v>
      </c>
      <c r="X745" s="186" t="s">
        <v>15</v>
      </c>
      <c r="Y745" s="186" t="s">
        <v>15</v>
      </c>
      <c r="Z745" s="186"/>
      <c r="AA745" s="186" t="s">
        <v>1131</v>
      </c>
      <c r="AB745" s="186" t="s">
        <v>20</v>
      </c>
      <c r="AC745" s="186" t="s">
        <v>15</v>
      </c>
      <c r="AD745" s="268" t="s">
        <v>1606</v>
      </c>
      <c r="AE745" s="268" t="s">
        <v>1545</v>
      </c>
      <c r="AF745" s="144">
        <f t="shared" si="54"/>
        <v>2.2599999999999998</v>
      </c>
      <c r="AG745" s="144" t="str">
        <f t="shared" si="57"/>
        <v/>
      </c>
      <c r="AH745" s="146">
        <f t="shared" si="55"/>
        <v>0.15606</v>
      </c>
      <c r="AI745" s="146" t="str">
        <f t="shared" si="56"/>
        <v/>
      </c>
      <c r="AJ745" s="303"/>
      <c r="AK745" s="303"/>
      <c r="AL745" s="303"/>
      <c r="AM745" s="303"/>
      <c r="AN745" s="303"/>
      <c r="AO745" s="303"/>
      <c r="AP745" s="303"/>
      <c r="AQ745" s="303"/>
      <c r="AR745" s="303"/>
      <c r="AS745" s="169">
        <v>2.2599999999999998</v>
      </c>
      <c r="AT745" s="170"/>
      <c r="AU745" s="310"/>
      <c r="AW745" s="294"/>
      <c r="AX745" s="294"/>
      <c r="AY745" s="294"/>
      <c r="AZ745" s="294"/>
      <c r="BA745" s="294"/>
      <c r="BB745" s="294"/>
      <c r="BC745" s="294"/>
      <c r="BD745" s="294"/>
      <c r="BE745" s="294"/>
      <c r="BF745" s="382">
        <v>0.15606</v>
      </c>
      <c r="BG745" s="383"/>
      <c r="BH745" s="278"/>
      <c r="BI745" s="365" t="s">
        <v>1607</v>
      </c>
      <c r="BJ745" s="409"/>
    </row>
    <row r="746" spans="1:62" ht="15.75" customHeight="1" thickBot="1" x14ac:dyDescent="0.25">
      <c r="A746" s="154">
        <v>747</v>
      </c>
      <c r="B746" s="155">
        <v>1</v>
      </c>
      <c r="C746" s="148" t="s">
        <v>162</v>
      </c>
      <c r="D746" s="148" t="s">
        <v>2311</v>
      </c>
      <c r="E746" s="148" t="s">
        <v>13</v>
      </c>
      <c r="F746" s="148" t="s">
        <v>1609</v>
      </c>
      <c r="G746" s="148" t="s">
        <v>20</v>
      </c>
      <c r="H746" s="148" t="s">
        <v>73</v>
      </c>
      <c r="I746" s="161">
        <v>2011</v>
      </c>
      <c r="J746" s="161" t="s">
        <v>1604</v>
      </c>
      <c r="K746" s="161" t="s">
        <v>1605</v>
      </c>
      <c r="L746" s="161" t="s">
        <v>19</v>
      </c>
      <c r="M746" s="453" t="s">
        <v>4260</v>
      </c>
      <c r="N746" s="186" t="s">
        <v>20</v>
      </c>
      <c r="O746" s="186" t="s">
        <v>15</v>
      </c>
      <c r="P746" s="186" t="s">
        <v>15</v>
      </c>
      <c r="Q746" s="186" t="s">
        <v>15</v>
      </c>
      <c r="R746" s="186" t="s">
        <v>15</v>
      </c>
      <c r="S746" s="186" t="s">
        <v>15</v>
      </c>
      <c r="T746" s="186" t="s">
        <v>15</v>
      </c>
      <c r="U746" s="186" t="s">
        <v>15</v>
      </c>
      <c r="V746" s="186" t="s">
        <v>15</v>
      </c>
      <c r="W746" s="186" t="s">
        <v>15</v>
      </c>
      <c r="X746" s="186" t="s">
        <v>15</v>
      </c>
      <c r="Y746" s="186" t="s">
        <v>15</v>
      </c>
      <c r="Z746" s="186"/>
      <c r="AA746" s="186" t="s">
        <v>1131</v>
      </c>
      <c r="AB746" s="186" t="s">
        <v>20</v>
      </c>
      <c r="AC746" s="186" t="s">
        <v>15</v>
      </c>
      <c r="AD746" s="268" t="s">
        <v>1606</v>
      </c>
      <c r="AE746" s="268" t="s">
        <v>1545</v>
      </c>
      <c r="AF746" s="144">
        <f t="shared" si="54"/>
        <v>3.1414</v>
      </c>
      <c r="AG746" s="144" t="str">
        <f t="shared" si="57"/>
        <v/>
      </c>
      <c r="AH746" s="146">
        <f t="shared" si="55"/>
        <v>0.18207000000000001</v>
      </c>
      <c r="AI746" s="146" t="str">
        <f t="shared" si="56"/>
        <v/>
      </c>
      <c r="AJ746" s="303"/>
      <c r="AK746" s="303"/>
      <c r="AL746" s="303"/>
      <c r="AM746" s="303"/>
      <c r="AN746" s="303"/>
      <c r="AO746" s="303"/>
      <c r="AP746" s="303"/>
      <c r="AQ746" s="303"/>
      <c r="AR746" s="303"/>
      <c r="AS746" s="169">
        <v>3.1414</v>
      </c>
      <c r="AT746" s="170"/>
      <c r="AU746" s="310"/>
      <c r="AW746" s="294"/>
      <c r="AX746" s="294"/>
      <c r="AY746" s="294"/>
      <c r="AZ746" s="294"/>
      <c r="BA746" s="294"/>
      <c r="BB746" s="294"/>
      <c r="BC746" s="294"/>
      <c r="BD746" s="294"/>
      <c r="BE746" s="294"/>
      <c r="BF746" s="382">
        <v>0.18207000000000001</v>
      </c>
      <c r="BG746" s="383"/>
      <c r="BH746" s="278"/>
      <c r="BI746" s="365" t="s">
        <v>1607</v>
      </c>
      <c r="BJ746" s="409"/>
    </row>
    <row r="747" spans="1:62" ht="15.75" customHeight="1" thickBot="1" x14ac:dyDescent="0.25">
      <c r="A747" s="156">
        <v>748</v>
      </c>
      <c r="B747" s="155">
        <v>1</v>
      </c>
      <c r="C747" s="148" t="s">
        <v>162</v>
      </c>
      <c r="D747" s="148" t="s">
        <v>2311</v>
      </c>
      <c r="E747" s="148" t="s">
        <v>13</v>
      </c>
      <c r="F747" s="148" t="s">
        <v>1610</v>
      </c>
      <c r="G747" s="148" t="s">
        <v>20</v>
      </c>
      <c r="H747" s="148" t="s">
        <v>73</v>
      </c>
      <c r="I747" s="161">
        <v>2011</v>
      </c>
      <c r="J747" s="161" t="s">
        <v>1604</v>
      </c>
      <c r="K747" s="161" t="s">
        <v>1605</v>
      </c>
      <c r="L747" s="161" t="s">
        <v>19</v>
      </c>
      <c r="M747" s="453" t="s">
        <v>4260</v>
      </c>
      <c r="N747" s="186" t="s">
        <v>20</v>
      </c>
      <c r="O747" s="186" t="s">
        <v>15</v>
      </c>
      <c r="P747" s="186" t="s">
        <v>15</v>
      </c>
      <c r="Q747" s="186" t="s">
        <v>15</v>
      </c>
      <c r="R747" s="186" t="s">
        <v>15</v>
      </c>
      <c r="S747" s="186" t="s">
        <v>15</v>
      </c>
      <c r="T747" s="186" t="s">
        <v>15</v>
      </c>
      <c r="U747" s="186" t="s">
        <v>15</v>
      </c>
      <c r="V747" s="186" t="s">
        <v>15</v>
      </c>
      <c r="W747" s="186" t="s">
        <v>15</v>
      </c>
      <c r="X747" s="186" t="s">
        <v>15</v>
      </c>
      <c r="Y747" s="186" t="s">
        <v>15</v>
      </c>
      <c r="Z747" s="186"/>
      <c r="AA747" s="186" t="s">
        <v>1131</v>
      </c>
      <c r="AB747" s="186" t="s">
        <v>20</v>
      </c>
      <c r="AC747" s="186" t="s">
        <v>15</v>
      </c>
      <c r="AD747" s="268" t="s">
        <v>1606</v>
      </c>
      <c r="AE747" s="268" t="s">
        <v>1545</v>
      </c>
      <c r="AF747" s="144">
        <f t="shared" si="54"/>
        <v>2.5537999999999998</v>
      </c>
      <c r="AG747" s="144" t="str">
        <f t="shared" si="57"/>
        <v/>
      </c>
      <c r="AH747" s="146">
        <f t="shared" si="55"/>
        <v>0.153</v>
      </c>
      <c r="AI747" s="146" t="str">
        <f t="shared" si="56"/>
        <v/>
      </c>
      <c r="AJ747" s="303"/>
      <c r="AK747" s="303"/>
      <c r="AL747" s="303"/>
      <c r="AM747" s="303"/>
      <c r="AN747" s="303"/>
      <c r="AO747" s="303"/>
      <c r="AP747" s="303"/>
      <c r="AQ747" s="303"/>
      <c r="AR747" s="303"/>
      <c r="AS747" s="169">
        <v>2.5537999999999998</v>
      </c>
      <c r="AT747" s="170"/>
      <c r="AU747" s="310"/>
      <c r="AW747" s="294"/>
      <c r="AX747" s="294"/>
      <c r="AY747" s="294"/>
      <c r="AZ747" s="294"/>
      <c r="BA747" s="294"/>
      <c r="BB747" s="294"/>
      <c r="BC747" s="294"/>
      <c r="BD747" s="294"/>
      <c r="BE747" s="294"/>
      <c r="BF747" s="382">
        <v>0.153</v>
      </c>
      <c r="BG747" s="383"/>
      <c r="BH747" s="278"/>
      <c r="BI747" s="365" t="s">
        <v>1607</v>
      </c>
      <c r="BJ747" s="409"/>
    </row>
    <row r="748" spans="1:62" ht="15.75" customHeight="1" thickBot="1" x14ac:dyDescent="0.25">
      <c r="A748" s="154">
        <v>749</v>
      </c>
      <c r="B748" s="155">
        <v>1</v>
      </c>
      <c r="C748" s="148" t="s">
        <v>162</v>
      </c>
      <c r="D748" s="141" t="s">
        <v>2057</v>
      </c>
      <c r="E748" s="148" t="s">
        <v>13</v>
      </c>
      <c r="F748" s="148" t="s">
        <v>1611</v>
      </c>
      <c r="G748" s="148" t="s">
        <v>15</v>
      </c>
      <c r="H748" s="148" t="s">
        <v>351</v>
      </c>
      <c r="I748" s="161">
        <v>2013</v>
      </c>
      <c r="J748" s="161" t="s">
        <v>1612</v>
      </c>
      <c r="K748" s="161" t="s">
        <v>1613</v>
      </c>
      <c r="L748" s="161" t="s">
        <v>9</v>
      </c>
      <c r="M748" s="453" t="s">
        <v>4261</v>
      </c>
      <c r="N748" s="186" t="s">
        <v>20</v>
      </c>
      <c r="O748" s="186" t="s">
        <v>15</v>
      </c>
      <c r="P748" s="186" t="s">
        <v>15</v>
      </c>
      <c r="Q748" s="186" t="s">
        <v>15</v>
      </c>
      <c r="R748" s="186" t="s">
        <v>15</v>
      </c>
      <c r="S748" s="186" t="s">
        <v>20</v>
      </c>
      <c r="T748" s="186" t="s">
        <v>15</v>
      </c>
      <c r="U748" s="186" t="s">
        <v>15</v>
      </c>
      <c r="V748" s="186" t="s">
        <v>15</v>
      </c>
      <c r="W748" s="186" t="s">
        <v>15</v>
      </c>
      <c r="X748" s="186" t="s">
        <v>15</v>
      </c>
      <c r="Y748" s="186" t="s">
        <v>15</v>
      </c>
      <c r="Z748" s="186"/>
      <c r="AA748" s="186" t="s">
        <v>626</v>
      </c>
      <c r="AB748" s="186" t="s">
        <v>15</v>
      </c>
      <c r="AC748" s="186" t="s">
        <v>15</v>
      </c>
      <c r="AD748" s="268" t="s">
        <v>649</v>
      </c>
      <c r="AE748" s="268" t="s">
        <v>1331</v>
      </c>
      <c r="AF748" s="144" t="str">
        <f t="shared" si="54"/>
        <v/>
      </c>
      <c r="AG748" s="144" t="str">
        <f t="shared" si="57"/>
        <v/>
      </c>
      <c r="AH748" s="146" t="str">
        <f t="shared" si="55"/>
        <v/>
      </c>
      <c r="AI748" s="146" t="str">
        <f t="shared" si="56"/>
        <v/>
      </c>
      <c r="AJ748" s="303"/>
      <c r="AK748" s="303"/>
      <c r="AL748" s="303"/>
      <c r="AM748" s="303"/>
      <c r="AN748" s="303"/>
      <c r="AO748" s="303"/>
      <c r="AP748" s="303"/>
      <c r="AQ748" s="303"/>
      <c r="AR748" s="303"/>
      <c r="AS748" s="169"/>
      <c r="AT748" s="170"/>
      <c r="AU748" s="310"/>
      <c r="AW748" s="294"/>
      <c r="AX748" s="294"/>
      <c r="AY748" s="294"/>
      <c r="AZ748" s="294"/>
      <c r="BA748" s="294"/>
      <c r="BB748" s="294"/>
      <c r="BC748" s="294"/>
      <c r="BD748" s="294"/>
      <c r="BE748" s="294"/>
      <c r="BF748" s="382"/>
      <c r="BG748" s="383">
        <v>0.19800000000000001</v>
      </c>
      <c r="BH748" s="278"/>
      <c r="BI748" s="365" t="s">
        <v>1614</v>
      </c>
      <c r="BJ748" s="409"/>
    </row>
    <row r="749" spans="1:62" ht="15.75" customHeight="1" thickBot="1" x14ac:dyDescent="0.25">
      <c r="A749" s="156">
        <v>750</v>
      </c>
      <c r="B749" s="155">
        <v>1</v>
      </c>
      <c r="C749" s="148" t="s">
        <v>162</v>
      </c>
      <c r="D749" s="141" t="s">
        <v>2057</v>
      </c>
      <c r="E749" s="148" t="s">
        <v>13</v>
      </c>
      <c r="F749" s="148" t="s">
        <v>1615</v>
      </c>
      <c r="G749" s="148" t="s">
        <v>15</v>
      </c>
      <c r="H749" s="148" t="s">
        <v>351</v>
      </c>
      <c r="I749" s="161">
        <v>2013</v>
      </c>
      <c r="J749" s="161" t="s">
        <v>1612</v>
      </c>
      <c r="K749" s="161" t="s">
        <v>1613</v>
      </c>
      <c r="L749" s="161" t="s">
        <v>9</v>
      </c>
      <c r="M749" s="453" t="s">
        <v>4261</v>
      </c>
      <c r="N749" s="186" t="s">
        <v>20</v>
      </c>
      <c r="O749" s="186" t="s">
        <v>15</v>
      </c>
      <c r="P749" s="186" t="s">
        <v>15</v>
      </c>
      <c r="Q749" s="186" t="s">
        <v>15</v>
      </c>
      <c r="R749" s="186" t="s">
        <v>15</v>
      </c>
      <c r="S749" s="186" t="s">
        <v>20</v>
      </c>
      <c r="T749" s="186" t="s">
        <v>15</v>
      </c>
      <c r="U749" s="186" t="s">
        <v>15</v>
      </c>
      <c r="V749" s="186" t="s">
        <v>15</v>
      </c>
      <c r="W749" s="186" t="s">
        <v>15</v>
      </c>
      <c r="X749" s="186" t="s">
        <v>15</v>
      </c>
      <c r="Y749" s="186" t="s">
        <v>15</v>
      </c>
      <c r="Z749" s="186"/>
      <c r="AA749" s="186" t="s">
        <v>626</v>
      </c>
      <c r="AB749" s="186" t="s">
        <v>15</v>
      </c>
      <c r="AC749" s="186" t="s">
        <v>15</v>
      </c>
      <c r="AD749" s="268" t="s">
        <v>649</v>
      </c>
      <c r="AE749" s="268" t="s">
        <v>1331</v>
      </c>
      <c r="AF749" s="144" t="str">
        <f t="shared" si="54"/>
        <v/>
      </c>
      <c r="AG749" s="144" t="str">
        <f t="shared" si="57"/>
        <v/>
      </c>
      <c r="AH749" s="146" t="str">
        <f t="shared" si="55"/>
        <v/>
      </c>
      <c r="AI749" s="146" t="str">
        <f t="shared" si="56"/>
        <v/>
      </c>
      <c r="AJ749" s="303"/>
      <c r="AK749" s="303"/>
      <c r="AL749" s="303"/>
      <c r="AM749" s="303"/>
      <c r="AN749" s="303"/>
      <c r="AO749" s="303"/>
      <c r="AP749" s="303"/>
      <c r="AQ749" s="303"/>
      <c r="AR749" s="303"/>
      <c r="AS749" s="170"/>
      <c r="AT749" s="170"/>
      <c r="AU749" s="310"/>
      <c r="AW749" s="294"/>
      <c r="AX749" s="294"/>
      <c r="AY749" s="294"/>
      <c r="AZ749" s="294"/>
      <c r="BA749" s="294"/>
      <c r="BB749" s="294"/>
      <c r="BC749" s="294"/>
      <c r="BD749" s="294"/>
      <c r="BE749" s="294"/>
      <c r="BF749" s="383"/>
      <c r="BG749" s="382">
        <v>0.85699999999999998</v>
      </c>
      <c r="BH749" s="278"/>
      <c r="BI749" s="365" t="s">
        <v>1614</v>
      </c>
      <c r="BJ749" s="409"/>
    </row>
    <row r="750" spans="1:62" ht="15.75" customHeight="1" thickBot="1" x14ac:dyDescent="0.25">
      <c r="A750" s="154">
        <v>751</v>
      </c>
      <c r="B750" s="155">
        <v>1</v>
      </c>
      <c r="C750" s="148" t="s">
        <v>236</v>
      </c>
      <c r="D750" s="148" t="s">
        <v>2136</v>
      </c>
      <c r="E750" s="148" t="s">
        <v>13</v>
      </c>
      <c r="F750" s="148" t="s">
        <v>1616</v>
      </c>
      <c r="G750" s="148" t="s">
        <v>15</v>
      </c>
      <c r="H750" s="148" t="s">
        <v>87</v>
      </c>
      <c r="I750" s="161">
        <v>2014</v>
      </c>
      <c r="J750" s="161" t="s">
        <v>1617</v>
      </c>
      <c r="K750" s="161" t="s">
        <v>1618</v>
      </c>
      <c r="L750" s="161" t="s">
        <v>19</v>
      </c>
      <c r="M750" s="453" t="s">
        <v>4262</v>
      </c>
      <c r="N750" s="186" t="s">
        <v>20</v>
      </c>
      <c r="O750" s="186" t="s">
        <v>20</v>
      </c>
      <c r="P750" s="186" t="s">
        <v>15</v>
      </c>
      <c r="Q750" s="186" t="s">
        <v>15</v>
      </c>
      <c r="R750" s="186" t="s">
        <v>15</v>
      </c>
      <c r="S750" s="186" t="s">
        <v>15</v>
      </c>
      <c r="T750" s="186" t="s">
        <v>15</v>
      </c>
      <c r="U750" s="186" t="s">
        <v>15</v>
      </c>
      <c r="V750" s="186" t="s">
        <v>15</v>
      </c>
      <c r="W750" s="186" t="s">
        <v>15</v>
      </c>
      <c r="X750" s="186" t="s">
        <v>15</v>
      </c>
      <c r="Y750" s="186" t="s">
        <v>20</v>
      </c>
      <c r="Z750" s="186" t="s">
        <v>1619</v>
      </c>
      <c r="AA750" s="186" t="s">
        <v>1620</v>
      </c>
      <c r="AB750" s="186" t="s">
        <v>292</v>
      </c>
      <c r="AC750" s="186" t="s">
        <v>15</v>
      </c>
      <c r="AD750" s="268" t="s">
        <v>1621</v>
      </c>
      <c r="AE750" s="268" t="s">
        <v>1622</v>
      </c>
      <c r="AF750" s="144" t="str">
        <f t="shared" si="54"/>
        <v/>
      </c>
      <c r="AG750" s="144" t="str">
        <f t="shared" si="57"/>
        <v/>
      </c>
      <c r="AH750" s="146" t="str">
        <f t="shared" si="55"/>
        <v/>
      </c>
      <c r="AI750" s="146" t="str">
        <f t="shared" si="56"/>
        <v/>
      </c>
      <c r="AJ750" s="303"/>
      <c r="AK750" s="303"/>
      <c r="AL750" s="303"/>
      <c r="AM750" s="303"/>
      <c r="AN750" s="303"/>
      <c r="AO750" s="303"/>
      <c r="AP750" s="303"/>
      <c r="AQ750" s="303"/>
      <c r="AR750" s="303"/>
      <c r="AS750" s="170"/>
      <c r="AT750" s="170">
        <f>2.73*100000/31500</f>
        <v>8.6666666666666661</v>
      </c>
      <c r="AU750" s="310"/>
      <c r="AW750" s="294"/>
      <c r="AX750" s="294"/>
      <c r="AY750" s="294"/>
      <c r="AZ750" s="294"/>
      <c r="BA750" s="294"/>
      <c r="BB750" s="294"/>
      <c r="BC750" s="294"/>
      <c r="BD750" s="294"/>
      <c r="BE750" s="294"/>
      <c r="BF750" s="383"/>
      <c r="BG750" s="382">
        <f>7.38*1000/31500</f>
        <v>0.23428571428571429</v>
      </c>
      <c r="BH750" s="278"/>
      <c r="BI750" s="365"/>
      <c r="BJ750" s="409"/>
    </row>
    <row r="751" spans="1:62" ht="15.75" customHeight="1" thickBot="1" x14ac:dyDescent="0.25">
      <c r="A751" s="156">
        <v>752</v>
      </c>
      <c r="B751" s="155">
        <v>1</v>
      </c>
      <c r="C751" s="148" t="s">
        <v>236</v>
      </c>
      <c r="D751" s="148" t="s">
        <v>2769</v>
      </c>
      <c r="E751" s="148" t="s">
        <v>13</v>
      </c>
      <c r="F751" s="148" t="s">
        <v>1623</v>
      </c>
      <c r="G751" s="148" t="s">
        <v>15</v>
      </c>
      <c r="H751" s="148" t="s">
        <v>375</v>
      </c>
      <c r="I751" s="161">
        <v>2009</v>
      </c>
      <c r="J751" s="161" t="s">
        <v>1624</v>
      </c>
      <c r="K751" s="161" t="s">
        <v>1625</v>
      </c>
      <c r="L751" s="161" t="s">
        <v>19</v>
      </c>
      <c r="M751" s="453" t="s">
        <v>4263</v>
      </c>
      <c r="N751" s="186" t="s">
        <v>20</v>
      </c>
      <c r="O751" s="186" t="s">
        <v>20</v>
      </c>
      <c r="P751" s="186" t="s">
        <v>20</v>
      </c>
      <c r="Q751" s="186" t="s">
        <v>15</v>
      </c>
      <c r="R751" s="186" t="s">
        <v>15</v>
      </c>
      <c r="S751" s="186" t="s">
        <v>15</v>
      </c>
      <c r="T751" s="186" t="s">
        <v>15</v>
      </c>
      <c r="U751" s="186" t="s">
        <v>15</v>
      </c>
      <c r="V751" s="186" t="s">
        <v>15</v>
      </c>
      <c r="W751" s="186" t="s">
        <v>15</v>
      </c>
      <c r="X751" s="186" t="s">
        <v>15</v>
      </c>
      <c r="Y751" s="186" t="s">
        <v>15</v>
      </c>
      <c r="Z751" s="186"/>
      <c r="AA751" s="186" t="s">
        <v>1626</v>
      </c>
      <c r="AB751" s="186" t="s">
        <v>292</v>
      </c>
      <c r="AC751" s="186" t="s">
        <v>292</v>
      </c>
      <c r="AD751" s="268" t="s">
        <v>1627</v>
      </c>
      <c r="AE751" s="268" t="s">
        <v>485</v>
      </c>
      <c r="AF751" s="144" t="str">
        <f t="shared" si="54"/>
        <v/>
      </c>
      <c r="AG751" s="144" t="str">
        <f t="shared" si="57"/>
        <v/>
      </c>
      <c r="AH751" s="146" t="str">
        <f t="shared" si="55"/>
        <v/>
      </c>
      <c r="AI751" s="146" t="str">
        <f t="shared" si="56"/>
        <v/>
      </c>
      <c r="AJ751" s="303"/>
      <c r="AK751" s="303"/>
      <c r="AL751" s="303"/>
      <c r="AM751" s="303"/>
      <c r="AN751" s="303"/>
      <c r="AO751" s="303"/>
      <c r="AP751" s="303"/>
      <c r="AQ751" s="303"/>
      <c r="AR751" s="303"/>
      <c r="AS751" s="170"/>
      <c r="AT751" s="169">
        <v>1.54</v>
      </c>
      <c r="AU751" s="310"/>
      <c r="AW751" s="294"/>
      <c r="AX751" s="294"/>
      <c r="AY751" s="294"/>
      <c r="AZ751" s="294"/>
      <c r="BA751" s="294"/>
      <c r="BB751" s="294"/>
      <c r="BC751" s="294"/>
      <c r="BD751" s="294"/>
      <c r="BE751" s="294"/>
      <c r="BF751" s="383"/>
      <c r="BG751" s="382"/>
      <c r="BH751" s="278"/>
      <c r="BI751" s="365"/>
      <c r="BJ751" s="409"/>
    </row>
    <row r="752" spans="1:62" ht="15.75" customHeight="1" thickBot="1" x14ac:dyDescent="0.25">
      <c r="A752" s="154">
        <v>753</v>
      </c>
      <c r="B752" s="155">
        <v>1</v>
      </c>
      <c r="C752" s="148" t="s">
        <v>236</v>
      </c>
      <c r="D752" s="148" t="s">
        <v>4060</v>
      </c>
      <c r="E752" s="148" t="s">
        <v>13</v>
      </c>
      <c r="F752" s="148" t="s">
        <v>1628</v>
      </c>
      <c r="G752" s="148" t="s">
        <v>20</v>
      </c>
      <c r="H752" s="148" t="s">
        <v>1161</v>
      </c>
      <c r="I752" s="161">
        <v>2013</v>
      </c>
      <c r="J752" s="161" t="s">
        <v>1629</v>
      </c>
      <c r="K752" s="161" t="s">
        <v>1630</v>
      </c>
      <c r="L752" s="161" t="s">
        <v>19</v>
      </c>
      <c r="M752" s="453" t="s">
        <v>4264</v>
      </c>
      <c r="N752" s="186" t="s">
        <v>20</v>
      </c>
      <c r="O752" s="186" t="s">
        <v>15</v>
      </c>
      <c r="P752" s="186" t="s">
        <v>15</v>
      </c>
      <c r="Q752" s="186" t="s">
        <v>15</v>
      </c>
      <c r="R752" s="186" t="s">
        <v>15</v>
      </c>
      <c r="S752" s="186" t="s">
        <v>15</v>
      </c>
      <c r="T752" s="186" t="s">
        <v>15</v>
      </c>
      <c r="U752" s="186" t="s">
        <v>15</v>
      </c>
      <c r="V752" s="186" t="s">
        <v>15</v>
      </c>
      <c r="W752" s="186" t="s">
        <v>15</v>
      </c>
      <c r="X752" s="186" t="s">
        <v>15</v>
      </c>
      <c r="Y752" s="186" t="s">
        <v>20</v>
      </c>
      <c r="Z752" s="186"/>
      <c r="AA752" s="186" t="s">
        <v>1631</v>
      </c>
      <c r="AB752" s="186" t="s">
        <v>15</v>
      </c>
      <c r="AC752" s="186" t="s">
        <v>15</v>
      </c>
      <c r="AD752" s="268" t="s">
        <v>1632</v>
      </c>
      <c r="AE752" s="268" t="s">
        <v>485</v>
      </c>
      <c r="AF752" s="144" t="str">
        <f t="shared" si="54"/>
        <v/>
      </c>
      <c r="AG752" s="144" t="str">
        <f t="shared" si="57"/>
        <v/>
      </c>
      <c r="AH752" s="146" t="str">
        <f t="shared" si="55"/>
        <v/>
      </c>
      <c r="AI752" s="146" t="str">
        <f t="shared" si="56"/>
        <v/>
      </c>
      <c r="AJ752" s="303"/>
      <c r="AK752" s="303"/>
      <c r="AL752" s="303"/>
      <c r="AM752" s="303"/>
      <c r="AN752" s="303"/>
      <c r="AO752" s="303"/>
      <c r="AP752" s="303"/>
      <c r="AQ752" s="303"/>
      <c r="AR752" s="303"/>
      <c r="AS752" s="170"/>
      <c r="AT752" s="169"/>
      <c r="AU752" s="310"/>
      <c r="AW752" s="294"/>
      <c r="AX752" s="294"/>
      <c r="AY752" s="294"/>
      <c r="AZ752" s="294"/>
      <c r="BA752" s="294"/>
      <c r="BB752" s="294"/>
      <c r="BC752" s="294"/>
      <c r="BD752" s="294"/>
      <c r="BE752" s="294"/>
      <c r="BF752" s="383"/>
      <c r="BG752" s="382">
        <v>0.69499999999999995</v>
      </c>
      <c r="BH752" s="278"/>
      <c r="BI752" s="365" t="s">
        <v>1633</v>
      </c>
      <c r="BJ752" s="409"/>
    </row>
    <row r="753" spans="1:62" ht="15.75" customHeight="1" thickBot="1" x14ac:dyDescent="0.25">
      <c r="A753" s="156">
        <v>754</v>
      </c>
      <c r="B753" s="155">
        <v>1</v>
      </c>
      <c r="C753" s="148" t="s">
        <v>236</v>
      </c>
      <c r="D753" s="148" t="s">
        <v>2282</v>
      </c>
      <c r="E753" s="148" t="s">
        <v>13</v>
      </c>
      <c r="F753" s="148" t="s">
        <v>1634</v>
      </c>
      <c r="G753" s="148" t="s">
        <v>20</v>
      </c>
      <c r="H753" s="148" t="s">
        <v>1161</v>
      </c>
      <c r="I753" s="161">
        <v>2013</v>
      </c>
      <c r="J753" s="161" t="s">
        <v>1629</v>
      </c>
      <c r="K753" s="161" t="s">
        <v>1630</v>
      </c>
      <c r="L753" s="161" t="s">
        <v>19</v>
      </c>
      <c r="M753" s="453" t="s">
        <v>4264</v>
      </c>
      <c r="N753" s="186" t="s">
        <v>20</v>
      </c>
      <c r="O753" s="186" t="s">
        <v>15</v>
      </c>
      <c r="P753" s="186" t="s">
        <v>15</v>
      </c>
      <c r="Q753" s="186" t="s">
        <v>15</v>
      </c>
      <c r="R753" s="186" t="s">
        <v>15</v>
      </c>
      <c r="S753" s="186" t="s">
        <v>15</v>
      </c>
      <c r="T753" s="186" t="s">
        <v>15</v>
      </c>
      <c r="U753" s="186" t="s">
        <v>15</v>
      </c>
      <c r="V753" s="186" t="s">
        <v>15</v>
      </c>
      <c r="W753" s="186" t="s">
        <v>15</v>
      </c>
      <c r="X753" s="186" t="s">
        <v>15</v>
      </c>
      <c r="Y753" s="186" t="s">
        <v>20</v>
      </c>
      <c r="Z753" s="186"/>
      <c r="AA753" s="186" t="s">
        <v>1631</v>
      </c>
      <c r="AB753" s="186" t="s">
        <v>15</v>
      </c>
      <c r="AC753" s="186" t="s">
        <v>15</v>
      </c>
      <c r="AD753" s="268" t="s">
        <v>1632</v>
      </c>
      <c r="AE753" s="268" t="s">
        <v>485</v>
      </c>
      <c r="AF753" s="144" t="str">
        <f t="shared" si="54"/>
        <v/>
      </c>
      <c r="AG753" s="144" t="str">
        <f t="shared" si="57"/>
        <v/>
      </c>
      <c r="AH753" s="146" t="str">
        <f t="shared" si="55"/>
        <v/>
      </c>
      <c r="AI753" s="146" t="str">
        <f t="shared" si="56"/>
        <v/>
      </c>
      <c r="AJ753" s="303"/>
      <c r="AK753" s="303"/>
      <c r="AL753" s="303"/>
      <c r="AM753" s="303"/>
      <c r="AN753" s="303"/>
      <c r="AO753" s="303"/>
      <c r="AP753" s="303"/>
      <c r="AQ753" s="303"/>
      <c r="AR753" s="303"/>
      <c r="AS753" s="170"/>
      <c r="AT753" s="170"/>
      <c r="AU753" s="310"/>
      <c r="AW753" s="294"/>
      <c r="AX753" s="294"/>
      <c r="AY753" s="294"/>
      <c r="AZ753" s="294"/>
      <c r="BA753" s="294"/>
      <c r="BB753" s="294"/>
      <c r="BC753" s="294"/>
      <c r="BD753" s="294"/>
      <c r="BE753" s="294"/>
      <c r="BF753" s="383"/>
      <c r="BG753" s="382">
        <v>0.58499999999999996</v>
      </c>
      <c r="BH753" s="278"/>
      <c r="BI753" s="365" t="s">
        <v>1633</v>
      </c>
      <c r="BJ753" s="409"/>
    </row>
    <row r="754" spans="1:62" ht="15.75" customHeight="1" thickBot="1" x14ac:dyDescent="0.25">
      <c r="A754" s="154">
        <v>755</v>
      </c>
      <c r="B754" s="155">
        <v>1</v>
      </c>
      <c r="C754" s="148" t="s">
        <v>162</v>
      </c>
      <c r="D754" s="148" t="s">
        <v>1864</v>
      </c>
      <c r="E754" s="148" t="s">
        <v>13</v>
      </c>
      <c r="F754" s="148" t="s">
        <v>1635</v>
      </c>
      <c r="G754" s="148" t="s">
        <v>20</v>
      </c>
      <c r="H754" s="148" t="s">
        <v>492</v>
      </c>
      <c r="I754" s="161">
        <v>2014</v>
      </c>
      <c r="J754" s="161" t="s">
        <v>1636</v>
      </c>
      <c r="K754" s="161" t="s">
        <v>1637</v>
      </c>
      <c r="L754" s="161" t="s">
        <v>692</v>
      </c>
      <c r="M754" s="453" t="s">
        <v>4265</v>
      </c>
      <c r="N754" s="186" t="s">
        <v>20</v>
      </c>
      <c r="O754" s="186" t="s">
        <v>15</v>
      </c>
      <c r="P754" s="186" t="s">
        <v>20</v>
      </c>
      <c r="Q754" s="186" t="s">
        <v>15</v>
      </c>
      <c r="R754" s="186" t="s">
        <v>15</v>
      </c>
      <c r="S754" s="186" t="s">
        <v>20</v>
      </c>
      <c r="T754" s="186" t="s">
        <v>15</v>
      </c>
      <c r="U754" s="186" t="s">
        <v>15</v>
      </c>
      <c r="V754" s="186" t="s">
        <v>15</v>
      </c>
      <c r="W754" s="186" t="s">
        <v>15</v>
      </c>
      <c r="X754" s="186" t="s">
        <v>15</v>
      </c>
      <c r="Y754" s="186" t="s">
        <v>15</v>
      </c>
      <c r="Z754" s="186"/>
      <c r="AA754" s="186" t="s">
        <v>1631</v>
      </c>
      <c r="AB754" s="186" t="s">
        <v>15</v>
      </c>
      <c r="AC754" s="186" t="s">
        <v>15</v>
      </c>
      <c r="AD754" s="268" t="s">
        <v>1638</v>
      </c>
      <c r="AE754" s="268"/>
      <c r="AF754" s="144" t="str">
        <f t="shared" si="54"/>
        <v/>
      </c>
      <c r="AG754" s="144" t="str">
        <f t="shared" si="57"/>
        <v/>
      </c>
      <c r="AH754" s="146" t="str">
        <f t="shared" si="55"/>
        <v/>
      </c>
      <c r="AI754" s="146" t="str">
        <f t="shared" si="56"/>
        <v/>
      </c>
      <c r="AJ754" s="303"/>
      <c r="AK754" s="303"/>
      <c r="AL754" s="303"/>
      <c r="AM754" s="303"/>
      <c r="AN754" s="303"/>
      <c r="AO754" s="303"/>
      <c r="AP754" s="303"/>
      <c r="AQ754" s="303"/>
      <c r="AR754" s="303"/>
      <c r="AS754" s="170"/>
      <c r="AT754" s="170">
        <v>1.33</v>
      </c>
      <c r="AU754" s="310"/>
      <c r="AW754" s="294"/>
      <c r="AX754" s="294"/>
      <c r="AY754" s="294"/>
      <c r="AZ754" s="294"/>
      <c r="BA754" s="294"/>
      <c r="BB754" s="294"/>
      <c r="BC754" s="294"/>
      <c r="BD754" s="294"/>
      <c r="BE754" s="294"/>
      <c r="BF754" s="383"/>
      <c r="BG754" s="382">
        <v>4.0000000000000001E-3</v>
      </c>
      <c r="BH754" s="278"/>
      <c r="BI754" s="365" t="s">
        <v>1639</v>
      </c>
      <c r="BJ754" s="409"/>
    </row>
    <row r="755" spans="1:62" ht="15.75" customHeight="1" thickBot="1" x14ac:dyDescent="0.25">
      <c r="A755" s="156">
        <v>756</v>
      </c>
      <c r="B755" s="155">
        <v>1</v>
      </c>
      <c r="C755" s="148" t="s">
        <v>162</v>
      </c>
      <c r="D755" s="148" t="s">
        <v>1864</v>
      </c>
      <c r="E755" s="148" t="s">
        <v>13</v>
      </c>
      <c r="F755" s="148" t="s">
        <v>246</v>
      </c>
      <c r="G755" s="148" t="s">
        <v>20</v>
      </c>
      <c r="H755" s="148" t="s">
        <v>87</v>
      </c>
      <c r="I755" s="161">
        <v>2014</v>
      </c>
      <c r="J755" s="161" t="s">
        <v>1636</v>
      </c>
      <c r="K755" s="161" t="s">
        <v>1637</v>
      </c>
      <c r="L755" s="161" t="s">
        <v>692</v>
      </c>
      <c r="M755" s="453" t="s">
        <v>4265</v>
      </c>
      <c r="N755" s="186" t="s">
        <v>20</v>
      </c>
      <c r="O755" s="186" t="s">
        <v>15</v>
      </c>
      <c r="P755" s="186" t="s">
        <v>20</v>
      </c>
      <c r="Q755" s="186" t="s">
        <v>15</v>
      </c>
      <c r="R755" s="186" t="s">
        <v>15</v>
      </c>
      <c r="S755" s="186" t="s">
        <v>20</v>
      </c>
      <c r="T755" s="186" t="s">
        <v>15</v>
      </c>
      <c r="U755" s="186" t="s">
        <v>15</v>
      </c>
      <c r="V755" s="186" t="s">
        <v>15</v>
      </c>
      <c r="W755" s="186" t="s">
        <v>15</v>
      </c>
      <c r="X755" s="186" t="s">
        <v>15</v>
      </c>
      <c r="Y755" s="186" t="s">
        <v>15</v>
      </c>
      <c r="Z755" s="186"/>
      <c r="AA755" s="186" t="s">
        <v>1631</v>
      </c>
      <c r="AB755" s="186" t="s">
        <v>15</v>
      </c>
      <c r="AC755" s="186" t="s">
        <v>15</v>
      </c>
      <c r="AD755" s="268" t="s">
        <v>1638</v>
      </c>
      <c r="AE755" s="268"/>
      <c r="AF755" s="144" t="str">
        <f t="shared" si="54"/>
        <v/>
      </c>
      <c r="AG755" s="144" t="str">
        <f t="shared" si="57"/>
        <v/>
      </c>
      <c r="AH755" s="146" t="str">
        <f t="shared" si="55"/>
        <v/>
      </c>
      <c r="AI755" s="146" t="str">
        <f t="shared" si="56"/>
        <v/>
      </c>
      <c r="AJ755" s="303"/>
      <c r="AK755" s="303"/>
      <c r="AL755" s="303"/>
      <c r="AM755" s="303"/>
      <c r="AN755" s="303"/>
      <c r="AO755" s="303"/>
      <c r="AP755" s="303"/>
      <c r="AQ755" s="303"/>
      <c r="AR755" s="303"/>
      <c r="AS755" s="170"/>
      <c r="AT755" s="169">
        <v>3.68</v>
      </c>
      <c r="AU755" s="310"/>
      <c r="AW755" s="294"/>
      <c r="AX755" s="294"/>
      <c r="AY755" s="294"/>
      <c r="AZ755" s="294"/>
      <c r="BA755" s="294"/>
      <c r="BB755" s="294"/>
      <c r="BC755" s="294"/>
      <c r="BD755" s="294"/>
      <c r="BE755" s="294"/>
      <c r="BF755" s="383"/>
      <c r="BG755" s="382">
        <v>0.28000000000000003</v>
      </c>
      <c r="BH755" s="278"/>
      <c r="BI755" s="365" t="s">
        <v>1639</v>
      </c>
      <c r="BJ755" s="409"/>
    </row>
    <row r="756" spans="1:62" ht="15.75" customHeight="1" thickBot="1" x14ac:dyDescent="0.25">
      <c r="A756" s="154">
        <v>757</v>
      </c>
      <c r="B756" s="155">
        <v>1</v>
      </c>
      <c r="C756" s="148" t="s">
        <v>162</v>
      </c>
      <c r="D756" s="148" t="s">
        <v>1864</v>
      </c>
      <c r="E756" s="148" t="s">
        <v>13</v>
      </c>
      <c r="F756" s="148" t="s">
        <v>246</v>
      </c>
      <c r="G756" s="148" t="s">
        <v>20</v>
      </c>
      <c r="H756" s="148" t="s">
        <v>492</v>
      </c>
      <c r="I756" s="163">
        <v>2014</v>
      </c>
      <c r="J756" s="161" t="s">
        <v>1636</v>
      </c>
      <c r="K756" s="161" t="s">
        <v>1637</v>
      </c>
      <c r="L756" s="161" t="s">
        <v>692</v>
      </c>
      <c r="M756" s="453" t="s">
        <v>4265</v>
      </c>
      <c r="N756" s="186" t="s">
        <v>20</v>
      </c>
      <c r="O756" s="186" t="s">
        <v>15</v>
      </c>
      <c r="P756" s="186" t="s">
        <v>20</v>
      </c>
      <c r="Q756" s="186" t="s">
        <v>15</v>
      </c>
      <c r="R756" s="186" t="s">
        <v>15</v>
      </c>
      <c r="S756" s="186" t="s">
        <v>20</v>
      </c>
      <c r="T756" s="186" t="s">
        <v>15</v>
      </c>
      <c r="U756" s="186" t="s">
        <v>15</v>
      </c>
      <c r="V756" s="186" t="s">
        <v>15</v>
      </c>
      <c r="W756" s="186" t="s">
        <v>15</v>
      </c>
      <c r="X756" s="186" t="s">
        <v>15</v>
      </c>
      <c r="Y756" s="186" t="s">
        <v>15</v>
      </c>
      <c r="Z756" s="263"/>
      <c r="AA756" s="186" t="s">
        <v>1631</v>
      </c>
      <c r="AB756" s="186" t="s">
        <v>15</v>
      </c>
      <c r="AC756" s="186" t="s">
        <v>15</v>
      </c>
      <c r="AD756" s="268" t="s">
        <v>1638</v>
      </c>
      <c r="AE756" s="268"/>
      <c r="AF756" s="144" t="str">
        <f t="shared" si="54"/>
        <v/>
      </c>
      <c r="AG756" s="144" t="str">
        <f t="shared" si="57"/>
        <v/>
      </c>
      <c r="AH756" s="146" t="str">
        <f t="shared" si="55"/>
        <v/>
      </c>
      <c r="AI756" s="146" t="str">
        <f t="shared" si="56"/>
        <v/>
      </c>
      <c r="AJ756" s="303"/>
      <c r="AK756" s="303"/>
      <c r="AL756" s="303"/>
      <c r="AM756" s="303"/>
      <c r="AN756" s="303"/>
      <c r="AO756" s="303"/>
      <c r="AP756" s="303"/>
      <c r="AQ756" s="303"/>
      <c r="AR756" s="303"/>
      <c r="AS756" s="170"/>
      <c r="AT756" s="169">
        <v>1.88</v>
      </c>
      <c r="AU756" s="310"/>
      <c r="AW756" s="294"/>
      <c r="AX756" s="294"/>
      <c r="AY756" s="294"/>
      <c r="AZ756" s="294"/>
      <c r="BA756" s="294"/>
      <c r="BB756" s="294"/>
      <c r="BC756" s="294"/>
      <c r="BD756" s="294"/>
      <c r="BE756" s="294"/>
      <c r="BF756" s="383"/>
      <c r="BG756" s="382">
        <v>0.14199999999999999</v>
      </c>
      <c r="BH756" s="278"/>
      <c r="BI756" s="365" t="s">
        <v>1639</v>
      </c>
      <c r="BJ756" s="409"/>
    </row>
    <row r="757" spans="1:62" ht="15.75" customHeight="1" thickBot="1" x14ac:dyDescent="0.25">
      <c r="A757" s="156">
        <v>758</v>
      </c>
      <c r="B757" s="155">
        <v>1</v>
      </c>
      <c r="C757" s="148" t="s">
        <v>236</v>
      </c>
      <c r="D757" s="148" t="s">
        <v>2769</v>
      </c>
      <c r="E757" s="148" t="s">
        <v>13</v>
      </c>
      <c r="F757" s="148" t="s">
        <v>1640</v>
      </c>
      <c r="G757" s="148" t="s">
        <v>15</v>
      </c>
      <c r="H757" s="148" t="s">
        <v>87</v>
      </c>
      <c r="I757" s="161">
        <v>2013</v>
      </c>
      <c r="J757" s="161" t="s">
        <v>1641</v>
      </c>
      <c r="K757" s="161" t="s">
        <v>1642</v>
      </c>
      <c r="L757" s="161" t="s">
        <v>19</v>
      </c>
      <c r="M757" s="453" t="s">
        <v>4266</v>
      </c>
      <c r="N757" s="186" t="s">
        <v>20</v>
      </c>
      <c r="O757" s="186" t="s">
        <v>15</v>
      </c>
      <c r="P757" s="186" t="s">
        <v>20</v>
      </c>
      <c r="Q757" s="186" t="s">
        <v>20</v>
      </c>
      <c r="R757" s="186" t="s">
        <v>20</v>
      </c>
      <c r="S757" s="186" t="s">
        <v>20</v>
      </c>
      <c r="T757" s="186" t="s">
        <v>15</v>
      </c>
      <c r="U757" s="186" t="s">
        <v>15</v>
      </c>
      <c r="V757" s="186" t="s">
        <v>15</v>
      </c>
      <c r="W757" s="186" t="s">
        <v>15</v>
      </c>
      <c r="X757" s="186" t="s">
        <v>15</v>
      </c>
      <c r="Y757" s="186" t="s">
        <v>20</v>
      </c>
      <c r="Z757" s="186"/>
      <c r="AA757" s="186" t="s">
        <v>719</v>
      </c>
      <c r="AB757" s="186" t="s">
        <v>15</v>
      </c>
      <c r="AC757" s="186" t="s">
        <v>15</v>
      </c>
      <c r="AD757" s="268" t="s">
        <v>1643</v>
      </c>
      <c r="AE757" s="268" t="s">
        <v>485</v>
      </c>
      <c r="AF757" s="144" t="str">
        <f t="shared" si="54"/>
        <v/>
      </c>
      <c r="AG757" s="144" t="str">
        <f t="shared" si="57"/>
        <v/>
      </c>
      <c r="AH757" s="146" t="str">
        <f t="shared" si="55"/>
        <v/>
      </c>
      <c r="AI757" s="146" t="str">
        <f t="shared" si="56"/>
        <v/>
      </c>
      <c r="AJ757" s="303"/>
      <c r="AK757" s="303"/>
      <c r="AL757" s="303"/>
      <c r="AM757" s="303"/>
      <c r="AN757" s="303"/>
      <c r="AO757" s="303"/>
      <c r="AP757" s="303"/>
      <c r="AQ757" s="303"/>
      <c r="AR757" s="303"/>
      <c r="AS757" s="170"/>
      <c r="AT757" s="169">
        <v>5.53</v>
      </c>
      <c r="AU757" s="310"/>
      <c r="AW757" s="294"/>
      <c r="AX757" s="294"/>
      <c r="AY757" s="294"/>
      <c r="AZ757" s="294"/>
      <c r="BA757" s="294"/>
      <c r="BB757" s="294"/>
      <c r="BC757" s="294"/>
      <c r="BD757" s="294"/>
      <c r="BE757" s="294"/>
      <c r="BF757" s="383"/>
      <c r="BG757" s="382">
        <v>0.25700000000000001</v>
      </c>
      <c r="BH757" s="278"/>
      <c r="BI757" s="365" t="s">
        <v>335</v>
      </c>
      <c r="BJ757" s="409"/>
    </row>
    <row r="758" spans="1:62" ht="15.75" customHeight="1" thickBot="1" x14ac:dyDescent="0.25">
      <c r="A758" s="154">
        <v>759</v>
      </c>
      <c r="B758" s="155">
        <v>1</v>
      </c>
      <c r="C758" s="148" t="s">
        <v>162</v>
      </c>
      <c r="D758" s="291" t="s">
        <v>4055</v>
      </c>
      <c r="E758" s="148" t="s">
        <v>13</v>
      </c>
      <c r="F758" s="148" t="s">
        <v>1644</v>
      </c>
      <c r="G758" s="148" t="s">
        <v>20</v>
      </c>
      <c r="H758" s="148" t="s">
        <v>87</v>
      </c>
      <c r="I758" s="161">
        <v>2014</v>
      </c>
      <c r="J758" s="161" t="s">
        <v>1645</v>
      </c>
      <c r="K758" s="161" t="s">
        <v>1646</v>
      </c>
      <c r="L758" s="161" t="s">
        <v>19</v>
      </c>
      <c r="M758" s="453" t="s">
        <v>4267</v>
      </c>
      <c r="N758" s="186" t="s">
        <v>20</v>
      </c>
      <c r="O758" s="186" t="s">
        <v>15</v>
      </c>
      <c r="P758" s="186" t="s">
        <v>15</v>
      </c>
      <c r="Q758" s="186" t="s">
        <v>15</v>
      </c>
      <c r="R758" s="186" t="s">
        <v>20</v>
      </c>
      <c r="S758" s="186" t="s">
        <v>15</v>
      </c>
      <c r="T758" s="186" t="s">
        <v>15</v>
      </c>
      <c r="U758" s="186" t="s">
        <v>15</v>
      </c>
      <c r="V758" s="186" t="s">
        <v>15</v>
      </c>
      <c r="W758" s="186" t="s">
        <v>15</v>
      </c>
      <c r="X758" s="186" t="s">
        <v>15</v>
      </c>
      <c r="Y758" s="186" t="s">
        <v>20</v>
      </c>
      <c r="Z758" s="186"/>
      <c r="AA758" s="186" t="s">
        <v>1620</v>
      </c>
      <c r="AB758" s="186" t="s">
        <v>15</v>
      </c>
      <c r="AC758" s="186" t="s">
        <v>20</v>
      </c>
      <c r="AD758" s="268" t="s">
        <v>1647</v>
      </c>
      <c r="AE758" s="268"/>
      <c r="AF758" s="144">
        <f t="shared" si="54"/>
        <v>22.352170000000001</v>
      </c>
      <c r="AG758" s="144" t="str">
        <f t="shared" si="57"/>
        <v/>
      </c>
      <c r="AH758" s="146">
        <f t="shared" si="55"/>
        <v>0.812253</v>
      </c>
      <c r="AI758" s="146" t="str">
        <f t="shared" si="56"/>
        <v/>
      </c>
      <c r="AJ758" s="303">
        <v>22.352170000000001</v>
      </c>
      <c r="AK758" s="303"/>
      <c r="AL758" s="303"/>
      <c r="AM758" s="303">
        <v>4.7519999999999998</v>
      </c>
      <c r="AN758" s="303"/>
      <c r="AO758" s="303"/>
      <c r="AP758" s="303"/>
      <c r="AQ758" s="303"/>
      <c r="AR758" s="303">
        <v>7.8029999999999999</v>
      </c>
      <c r="AS758" s="170">
        <f>AJ758</f>
        <v>22.352170000000001</v>
      </c>
      <c r="AT758" s="169">
        <v>35</v>
      </c>
      <c r="AU758" s="310"/>
      <c r="AW758" s="294">
        <v>0.812253</v>
      </c>
      <c r="AX758" s="294"/>
      <c r="AY758" s="294"/>
      <c r="AZ758" s="294">
        <v>5.0326999999999997E-2</v>
      </c>
      <c r="BA758" s="294"/>
      <c r="BB758" s="294"/>
      <c r="BC758" s="294"/>
      <c r="BD758" s="294"/>
      <c r="BE758" s="294">
        <v>0.49769999999999998</v>
      </c>
      <c r="BF758" s="383">
        <v>0.812253</v>
      </c>
      <c r="BG758" s="382">
        <v>1.37</v>
      </c>
      <c r="BH758" s="278"/>
      <c r="BI758" s="365"/>
      <c r="BJ758" s="409"/>
    </row>
    <row r="759" spans="1:62" ht="15.75" customHeight="1" thickBot="1" x14ac:dyDescent="0.25">
      <c r="A759" s="156">
        <v>760</v>
      </c>
      <c r="B759" s="155">
        <v>1</v>
      </c>
      <c r="C759" s="148" t="s">
        <v>162</v>
      </c>
      <c r="D759" s="291" t="s">
        <v>4055</v>
      </c>
      <c r="E759" s="148" t="s">
        <v>13</v>
      </c>
      <c r="F759" s="148" t="s">
        <v>1648</v>
      </c>
      <c r="G759" s="148" t="s">
        <v>20</v>
      </c>
      <c r="H759" s="148" t="s">
        <v>87</v>
      </c>
      <c r="I759" s="161">
        <v>2014</v>
      </c>
      <c r="J759" s="161" t="s">
        <v>1645</v>
      </c>
      <c r="K759" s="161" t="s">
        <v>1646</v>
      </c>
      <c r="L759" s="161" t="s">
        <v>19</v>
      </c>
      <c r="M759" s="453" t="s">
        <v>4267</v>
      </c>
      <c r="N759" s="186" t="s">
        <v>20</v>
      </c>
      <c r="O759" s="186" t="s">
        <v>15</v>
      </c>
      <c r="P759" s="186" t="s">
        <v>15</v>
      </c>
      <c r="Q759" s="186" t="s">
        <v>15</v>
      </c>
      <c r="R759" s="186" t="s">
        <v>20</v>
      </c>
      <c r="S759" s="186" t="s">
        <v>15</v>
      </c>
      <c r="T759" s="186" t="s">
        <v>15</v>
      </c>
      <c r="U759" s="186" t="s">
        <v>15</v>
      </c>
      <c r="V759" s="186" t="s">
        <v>15</v>
      </c>
      <c r="W759" s="186" t="s">
        <v>15</v>
      </c>
      <c r="X759" s="186" t="s">
        <v>15</v>
      </c>
      <c r="Y759" s="186" t="s">
        <v>20</v>
      </c>
      <c r="Z759" s="186"/>
      <c r="AA759" s="186" t="s">
        <v>1620</v>
      </c>
      <c r="AB759" s="186" t="s">
        <v>15</v>
      </c>
      <c r="AC759" s="186" t="s">
        <v>20</v>
      </c>
      <c r="AD759" s="268" t="s">
        <v>1647</v>
      </c>
      <c r="AE759" s="268"/>
      <c r="AF759" s="144">
        <f t="shared" si="54"/>
        <v>50.963999999999999</v>
      </c>
      <c r="AG759" s="144" t="str">
        <f t="shared" si="57"/>
        <v/>
      </c>
      <c r="AH759" s="146">
        <f t="shared" si="55"/>
        <v>3.0140340000000001</v>
      </c>
      <c r="AI759" s="146" t="str">
        <f t="shared" si="56"/>
        <v/>
      </c>
      <c r="AJ759" s="303">
        <v>50.963999999999999</v>
      </c>
      <c r="AK759" s="303"/>
      <c r="AL759" s="303"/>
      <c r="AM759" s="303">
        <v>4.7519999999999998</v>
      </c>
      <c r="AN759" s="303"/>
      <c r="AO759" s="303"/>
      <c r="AP759" s="303"/>
      <c r="AQ759" s="303"/>
      <c r="AR759" s="303">
        <v>7.8029999999999999</v>
      </c>
      <c r="AS759" s="170">
        <f>AJ759</f>
        <v>50.963999999999999</v>
      </c>
      <c r="AT759" s="170">
        <v>63.6</v>
      </c>
      <c r="AU759" s="310"/>
      <c r="AW759" s="294">
        <v>3.0140340000000001</v>
      </c>
      <c r="AX759" s="294"/>
      <c r="AY759" s="294"/>
      <c r="AZ759" s="294">
        <v>5.0326999999999997E-2</v>
      </c>
      <c r="BA759" s="294"/>
      <c r="BB759" s="294"/>
      <c r="BC759" s="294"/>
      <c r="BD759" s="294"/>
      <c r="BE759" s="294">
        <v>0.49769999999999998</v>
      </c>
      <c r="BF759" s="383">
        <v>3.0140340000000001</v>
      </c>
      <c r="BG759" s="383">
        <v>3.59</v>
      </c>
      <c r="BH759" s="278"/>
      <c r="BI759" s="365"/>
      <c r="BJ759" s="409"/>
    </row>
    <row r="760" spans="1:62" ht="15.75" customHeight="1" thickBot="1" x14ac:dyDescent="0.25">
      <c r="A760" s="417">
        <v>761</v>
      </c>
      <c r="B760" s="155">
        <v>1</v>
      </c>
      <c r="C760" s="148" t="s">
        <v>162</v>
      </c>
      <c r="D760" s="291" t="s">
        <v>4055</v>
      </c>
      <c r="E760" s="148" t="s">
        <v>13</v>
      </c>
      <c r="F760" s="148" t="s">
        <v>1649</v>
      </c>
      <c r="G760" s="148" t="s">
        <v>20</v>
      </c>
      <c r="H760" s="148" t="s">
        <v>87</v>
      </c>
      <c r="I760" s="161">
        <v>2014</v>
      </c>
      <c r="J760" s="161" t="s">
        <v>1645</v>
      </c>
      <c r="K760" s="161" t="s">
        <v>1646</v>
      </c>
      <c r="L760" s="161" t="s">
        <v>19</v>
      </c>
      <c r="M760" s="453" t="s">
        <v>4267</v>
      </c>
      <c r="N760" s="186" t="s">
        <v>20</v>
      </c>
      <c r="O760" s="186" t="s">
        <v>15</v>
      </c>
      <c r="P760" s="186" t="s">
        <v>15</v>
      </c>
      <c r="Q760" s="186" t="s">
        <v>15</v>
      </c>
      <c r="R760" s="186" t="s">
        <v>20</v>
      </c>
      <c r="S760" s="186" t="s">
        <v>15</v>
      </c>
      <c r="T760" s="186" t="s">
        <v>15</v>
      </c>
      <c r="U760" s="186" t="s">
        <v>15</v>
      </c>
      <c r="V760" s="186" t="s">
        <v>15</v>
      </c>
      <c r="W760" s="186" t="s">
        <v>15</v>
      </c>
      <c r="X760" s="186" t="s">
        <v>15</v>
      </c>
      <c r="Y760" s="186" t="s">
        <v>20</v>
      </c>
      <c r="Z760" s="186"/>
      <c r="AA760" s="186" t="s">
        <v>1620</v>
      </c>
      <c r="AB760" s="186" t="s">
        <v>15</v>
      </c>
      <c r="AC760" s="186" t="s">
        <v>20</v>
      </c>
      <c r="AD760" s="268" t="s">
        <v>1647</v>
      </c>
      <c r="AE760" s="268"/>
      <c r="AF760" s="181">
        <f t="shared" si="54"/>
        <v>31.48611</v>
      </c>
      <c r="AG760" s="144" t="str">
        <f t="shared" si="57"/>
        <v/>
      </c>
      <c r="AH760" s="182">
        <f t="shared" si="55"/>
        <v>2.1017410000000001</v>
      </c>
      <c r="AI760" s="146" t="str">
        <f t="shared" si="56"/>
        <v/>
      </c>
      <c r="AJ760" s="309">
        <v>31.48611</v>
      </c>
      <c r="AK760" s="309"/>
      <c r="AL760" s="309"/>
      <c r="AM760" s="309">
        <v>4.7519999999999998</v>
      </c>
      <c r="AN760" s="309"/>
      <c r="AO760" s="309"/>
      <c r="AP760" s="309"/>
      <c r="AQ760" s="309"/>
      <c r="AR760" s="309">
        <v>7.8029999999999999</v>
      </c>
      <c r="AS760" s="183">
        <f>AJ760</f>
        <v>31.48611</v>
      </c>
      <c r="AT760" s="183">
        <v>44</v>
      </c>
      <c r="AU760" s="336"/>
      <c r="AV760" s="432"/>
      <c r="AW760" s="354">
        <v>2.1017410000000001</v>
      </c>
      <c r="AX760" s="354"/>
      <c r="AY760" s="354"/>
      <c r="AZ760" s="354">
        <v>5.0326999999999997E-2</v>
      </c>
      <c r="BA760" s="354"/>
      <c r="BB760" s="354"/>
      <c r="BC760" s="354"/>
      <c r="BD760" s="354"/>
      <c r="BE760" s="354">
        <v>0.49769999999999998</v>
      </c>
      <c r="BF760" s="397">
        <v>2.1017410000000001</v>
      </c>
      <c r="BG760" s="397">
        <v>2.69</v>
      </c>
      <c r="BH760" s="448"/>
      <c r="BI760" s="450"/>
      <c r="BJ760" s="414"/>
    </row>
    <row r="761" spans="1:62" s="75" customFormat="1" ht="15.75" customHeight="1" thickBot="1" x14ac:dyDescent="0.25">
      <c r="A761" s="156">
        <v>762</v>
      </c>
      <c r="B761" s="155">
        <v>1</v>
      </c>
      <c r="C761" s="148" t="s">
        <v>162</v>
      </c>
      <c r="D761" s="148" t="s">
        <v>736</v>
      </c>
      <c r="E761" s="148" t="s">
        <v>13</v>
      </c>
      <c r="F761" s="148" t="s">
        <v>1650</v>
      </c>
      <c r="G761" s="148" t="s">
        <v>15</v>
      </c>
      <c r="H761" s="148" t="s">
        <v>1436</v>
      </c>
      <c r="I761" s="161">
        <v>2014</v>
      </c>
      <c r="J761" s="161" t="s">
        <v>1651</v>
      </c>
      <c r="K761" s="161" t="s">
        <v>1652</v>
      </c>
      <c r="L761" s="161" t="s">
        <v>19</v>
      </c>
      <c r="M761" s="453" t="s">
        <v>4268</v>
      </c>
      <c r="N761" s="186" t="s">
        <v>20</v>
      </c>
      <c r="O761" s="186" t="s">
        <v>15</v>
      </c>
      <c r="P761" s="186" t="s">
        <v>15</v>
      </c>
      <c r="Q761" s="186" t="s">
        <v>15</v>
      </c>
      <c r="R761" s="186" t="s">
        <v>15</v>
      </c>
      <c r="S761" s="186" t="s">
        <v>15</v>
      </c>
      <c r="T761" s="186" t="s">
        <v>15</v>
      </c>
      <c r="U761" s="186" t="s">
        <v>15</v>
      </c>
      <c r="V761" s="186" t="s">
        <v>15</v>
      </c>
      <c r="W761" s="186" t="s">
        <v>15</v>
      </c>
      <c r="X761" s="186" t="s">
        <v>15</v>
      </c>
      <c r="Y761" s="186" t="s">
        <v>15</v>
      </c>
      <c r="Z761" s="186"/>
      <c r="AA761" s="186" t="s">
        <v>1131</v>
      </c>
      <c r="AB761" s="186" t="s">
        <v>15</v>
      </c>
      <c r="AC761" s="186" t="s">
        <v>15</v>
      </c>
      <c r="AD761" s="268" t="s">
        <v>1653</v>
      </c>
      <c r="AE761" s="268" t="s">
        <v>92</v>
      </c>
      <c r="AF761" s="144">
        <f t="shared" si="54"/>
        <v>4.9137899999999997</v>
      </c>
      <c r="AG761" s="144" t="str">
        <f t="shared" si="57"/>
        <v/>
      </c>
      <c r="AH761" s="146">
        <f t="shared" si="55"/>
        <v>3.0145179999999998</v>
      </c>
      <c r="AI761" s="146" t="str">
        <f t="shared" si="56"/>
        <v/>
      </c>
      <c r="AJ761" s="310"/>
      <c r="AK761" s="310"/>
      <c r="AL761" s="310"/>
      <c r="AM761" s="310"/>
      <c r="AN761" s="310"/>
      <c r="AO761" s="310"/>
      <c r="AP761" s="310"/>
      <c r="AQ761" s="310"/>
      <c r="AR761" s="310"/>
      <c r="AS761" s="169">
        <f>0.116995*42</f>
        <v>4.9137899999999997</v>
      </c>
      <c r="AT761" s="169"/>
      <c r="AU761" s="310"/>
      <c r="AV761" s="313"/>
      <c r="AW761" s="278"/>
      <c r="AX761" s="278"/>
      <c r="AY761" s="278"/>
      <c r="AZ761" s="278"/>
      <c r="BA761" s="278"/>
      <c r="BB761" s="278"/>
      <c r="BC761" s="278"/>
      <c r="BD761" s="278"/>
      <c r="BE761" s="278"/>
      <c r="BF761" s="382">
        <v>3.0145179999999998</v>
      </c>
      <c r="BG761" s="382"/>
      <c r="BH761" s="278"/>
      <c r="BI761" s="278" t="s">
        <v>47</v>
      </c>
      <c r="BJ761" s="276"/>
    </row>
    <row r="762" spans="1:62" ht="15.75" customHeight="1" thickBot="1" x14ac:dyDescent="0.25">
      <c r="A762" s="224">
        <v>763</v>
      </c>
      <c r="B762" s="155">
        <v>1</v>
      </c>
      <c r="C762" s="148" t="s">
        <v>162</v>
      </c>
      <c r="D762" s="148" t="s">
        <v>736</v>
      </c>
      <c r="E762" s="148" t="s">
        <v>13</v>
      </c>
      <c r="F762" s="148" t="s">
        <v>1654</v>
      </c>
      <c r="G762" s="148" t="s">
        <v>15</v>
      </c>
      <c r="H762" s="148" t="s">
        <v>1436</v>
      </c>
      <c r="I762" s="161">
        <v>2014</v>
      </c>
      <c r="J762" s="161" t="s">
        <v>1651</v>
      </c>
      <c r="K762" s="161" t="s">
        <v>1652</v>
      </c>
      <c r="L762" s="161" t="s">
        <v>19</v>
      </c>
      <c r="M762" s="453" t="s">
        <v>4268</v>
      </c>
      <c r="N762" s="186" t="s">
        <v>20</v>
      </c>
      <c r="O762" s="186" t="s">
        <v>15</v>
      </c>
      <c r="P762" s="186" t="s">
        <v>15</v>
      </c>
      <c r="Q762" s="186" t="s">
        <v>15</v>
      </c>
      <c r="R762" s="186" t="s">
        <v>15</v>
      </c>
      <c r="S762" s="186" t="s">
        <v>15</v>
      </c>
      <c r="T762" s="186" t="s">
        <v>15</v>
      </c>
      <c r="U762" s="186" t="s">
        <v>15</v>
      </c>
      <c r="V762" s="186" t="s">
        <v>15</v>
      </c>
      <c r="W762" s="186" t="s">
        <v>15</v>
      </c>
      <c r="X762" s="186" t="s">
        <v>15</v>
      </c>
      <c r="Y762" s="186" t="s">
        <v>15</v>
      </c>
      <c r="Z762" s="186"/>
      <c r="AA762" s="186" t="s">
        <v>1131</v>
      </c>
      <c r="AB762" s="186" t="s">
        <v>15</v>
      </c>
      <c r="AC762" s="186" t="s">
        <v>15</v>
      </c>
      <c r="AD762" s="268" t="s">
        <v>1653</v>
      </c>
      <c r="AE762" s="268" t="s">
        <v>92</v>
      </c>
      <c r="AF762" s="184">
        <f t="shared" si="54"/>
        <v>5.2694879999999999</v>
      </c>
      <c r="AG762" s="144" t="str">
        <f t="shared" si="57"/>
        <v/>
      </c>
      <c r="AH762" s="185">
        <f t="shared" si="55"/>
        <v>5.0029450000000004</v>
      </c>
      <c r="AI762" s="146" t="str">
        <f t="shared" si="56"/>
        <v/>
      </c>
      <c r="AJ762" s="311"/>
      <c r="AK762" s="311"/>
      <c r="AL762" s="311"/>
      <c r="AM762" s="311"/>
      <c r="AN762" s="311"/>
      <c r="AO762" s="311"/>
      <c r="AP762" s="311"/>
      <c r="AQ762" s="311"/>
      <c r="AR762" s="311"/>
      <c r="AS762" s="229">
        <f>0.125464*42</f>
        <v>5.2694879999999999</v>
      </c>
      <c r="AT762" s="174"/>
      <c r="AU762" s="335"/>
      <c r="AV762" s="334"/>
      <c r="AW762" s="355"/>
      <c r="AX762" s="355"/>
      <c r="AY762" s="355"/>
      <c r="AZ762" s="355"/>
      <c r="BA762" s="355"/>
      <c r="BB762" s="355"/>
      <c r="BC762" s="355"/>
      <c r="BD762" s="355"/>
      <c r="BE762" s="355"/>
      <c r="BF762" s="445">
        <v>5.0029450000000004</v>
      </c>
      <c r="BG762" s="396"/>
      <c r="BH762" s="372"/>
      <c r="BI762" s="373" t="s">
        <v>47</v>
      </c>
      <c r="BJ762" s="413"/>
    </row>
    <row r="763" spans="1:62" ht="15.75" customHeight="1" thickBot="1" x14ac:dyDescent="0.25">
      <c r="A763" s="156">
        <v>764</v>
      </c>
      <c r="B763" s="155">
        <v>1</v>
      </c>
      <c r="C763" s="148" t="s">
        <v>162</v>
      </c>
      <c r="D763" s="148" t="s">
        <v>736</v>
      </c>
      <c r="E763" s="148" t="s">
        <v>13</v>
      </c>
      <c r="F763" s="148" t="s">
        <v>1655</v>
      </c>
      <c r="G763" s="148" t="s">
        <v>15</v>
      </c>
      <c r="H763" s="148" t="s">
        <v>1436</v>
      </c>
      <c r="I763" s="161">
        <v>2014</v>
      </c>
      <c r="J763" s="161" t="s">
        <v>1651</v>
      </c>
      <c r="K763" s="161" t="s">
        <v>1652</v>
      </c>
      <c r="L763" s="161" t="s">
        <v>19</v>
      </c>
      <c r="M763" s="453" t="s">
        <v>4268</v>
      </c>
      <c r="N763" s="186" t="s">
        <v>20</v>
      </c>
      <c r="O763" s="186" t="s">
        <v>15</v>
      </c>
      <c r="P763" s="186" t="s">
        <v>15</v>
      </c>
      <c r="Q763" s="186" t="s">
        <v>15</v>
      </c>
      <c r="R763" s="186" t="s">
        <v>15</v>
      </c>
      <c r="S763" s="186" t="s">
        <v>15</v>
      </c>
      <c r="T763" s="186" t="s">
        <v>15</v>
      </c>
      <c r="U763" s="186" t="s">
        <v>15</v>
      </c>
      <c r="V763" s="186" t="s">
        <v>15</v>
      </c>
      <c r="W763" s="186" t="s">
        <v>15</v>
      </c>
      <c r="X763" s="186" t="s">
        <v>15</v>
      </c>
      <c r="Y763" s="186" t="s">
        <v>15</v>
      </c>
      <c r="Z763" s="186"/>
      <c r="AA763" s="186" t="s">
        <v>1131</v>
      </c>
      <c r="AB763" s="186" t="s">
        <v>15</v>
      </c>
      <c r="AC763" s="186" t="s">
        <v>15</v>
      </c>
      <c r="AD763" s="268" t="s">
        <v>1653</v>
      </c>
      <c r="AE763" s="268" t="s">
        <v>92</v>
      </c>
      <c r="AF763" s="144">
        <f t="shared" si="54"/>
        <v>4.3407419999999997</v>
      </c>
      <c r="AG763" s="144" t="str">
        <f t="shared" si="57"/>
        <v/>
      </c>
      <c r="AH763" s="146">
        <f t="shared" si="55"/>
        <v>3.371086</v>
      </c>
      <c r="AI763" s="146" t="str">
        <f t="shared" si="56"/>
        <v/>
      </c>
      <c r="AJ763" s="303"/>
      <c r="AK763" s="303"/>
      <c r="AL763" s="303"/>
      <c r="AM763" s="303"/>
      <c r="AN763" s="303"/>
      <c r="AO763" s="303"/>
      <c r="AP763" s="303"/>
      <c r="AQ763" s="303"/>
      <c r="AR763" s="303"/>
      <c r="AS763" s="169">
        <f>0.103351*42</f>
        <v>4.3407419999999997</v>
      </c>
      <c r="AT763" s="170"/>
      <c r="AU763" s="310"/>
      <c r="AW763" s="294"/>
      <c r="AX763" s="294"/>
      <c r="AY763" s="294"/>
      <c r="AZ763" s="294"/>
      <c r="BA763" s="294"/>
      <c r="BB763" s="294"/>
      <c r="BC763" s="294"/>
      <c r="BD763" s="294"/>
      <c r="BE763" s="294"/>
      <c r="BF763" s="382">
        <v>3.371086</v>
      </c>
      <c r="BG763" s="383"/>
      <c r="BH763" s="278"/>
      <c r="BI763" s="365" t="s">
        <v>47</v>
      </c>
      <c r="BJ763" s="409"/>
    </row>
    <row r="764" spans="1:62" ht="15.75" customHeight="1" thickBot="1" x14ac:dyDescent="0.25">
      <c r="A764" s="154">
        <v>765</v>
      </c>
      <c r="B764" s="155">
        <v>1</v>
      </c>
      <c r="C764" s="148" t="s">
        <v>162</v>
      </c>
      <c r="D764" s="148" t="s">
        <v>846</v>
      </c>
      <c r="E764" s="148" t="s">
        <v>13</v>
      </c>
      <c r="F764" s="148" t="s">
        <v>1656</v>
      </c>
      <c r="G764" s="148" t="s">
        <v>15</v>
      </c>
      <c r="H764" s="148" t="s">
        <v>1161</v>
      </c>
      <c r="I764" s="161">
        <v>2013</v>
      </c>
      <c r="J764" s="161" t="s">
        <v>1657</v>
      </c>
      <c r="K764" s="161"/>
      <c r="L764" s="161" t="s">
        <v>19</v>
      </c>
      <c r="M764" s="453" t="s">
        <v>4264</v>
      </c>
      <c r="N764" s="186" t="s">
        <v>20</v>
      </c>
      <c r="O764" s="186" t="s">
        <v>15</v>
      </c>
      <c r="P764" s="186" t="s">
        <v>15</v>
      </c>
      <c r="Q764" s="186" t="s">
        <v>15</v>
      </c>
      <c r="R764" s="186" t="s">
        <v>15</v>
      </c>
      <c r="S764" s="186" t="s">
        <v>15</v>
      </c>
      <c r="T764" s="186" t="s">
        <v>15</v>
      </c>
      <c r="U764" s="186" t="s">
        <v>15</v>
      </c>
      <c r="V764" s="186" t="s">
        <v>15</v>
      </c>
      <c r="W764" s="186" t="s">
        <v>15</v>
      </c>
      <c r="X764" s="186" t="s">
        <v>15</v>
      </c>
      <c r="Y764" s="186" t="s">
        <v>15</v>
      </c>
      <c r="Z764" s="186"/>
      <c r="AA764" s="186" t="s">
        <v>1131</v>
      </c>
      <c r="AB764" s="186" t="s">
        <v>15</v>
      </c>
      <c r="AC764" s="186" t="s">
        <v>15</v>
      </c>
      <c r="AD764" s="268" t="s">
        <v>1658</v>
      </c>
      <c r="AE764" s="268" t="s">
        <v>1545</v>
      </c>
      <c r="AF764" s="144" t="str">
        <f t="shared" si="54"/>
        <v/>
      </c>
      <c r="AG764" s="144" t="str">
        <f t="shared" si="57"/>
        <v/>
      </c>
      <c r="AH764" s="146">
        <f t="shared" si="55"/>
        <v>0.12938999999999998</v>
      </c>
      <c r="AI764" s="146" t="str">
        <f t="shared" si="56"/>
        <v/>
      </c>
      <c r="AJ764" s="303"/>
      <c r="AK764" s="303"/>
      <c r="AL764" s="303"/>
      <c r="AM764" s="303"/>
      <c r="AN764" s="303"/>
      <c r="AO764" s="303"/>
      <c r="AP764" s="303"/>
      <c r="AQ764" s="303"/>
      <c r="AR764" s="303"/>
      <c r="AS764" s="169"/>
      <c r="AT764" s="170"/>
      <c r="AU764" s="310"/>
      <c r="AW764" s="294"/>
      <c r="AX764" s="294"/>
      <c r="AY764" s="294"/>
      <c r="AZ764" s="294"/>
      <c r="BA764" s="294"/>
      <c r="BB764" s="294"/>
      <c r="BC764" s="294"/>
      <c r="BD764" s="294"/>
      <c r="BE764" s="294"/>
      <c r="BF764" s="382">
        <f>129.39/1000</f>
        <v>0.12938999999999998</v>
      </c>
      <c r="BG764" s="383"/>
      <c r="BH764" s="278"/>
      <c r="BI764" s="365"/>
      <c r="BJ764" s="409"/>
    </row>
    <row r="765" spans="1:62" ht="15.75" customHeight="1" thickBot="1" x14ac:dyDescent="0.25">
      <c r="A765" s="156">
        <v>766</v>
      </c>
      <c r="B765" s="155">
        <v>1</v>
      </c>
      <c r="C765" s="148" t="s">
        <v>162</v>
      </c>
      <c r="D765" s="291" t="s">
        <v>4055</v>
      </c>
      <c r="E765" s="148" t="s">
        <v>13</v>
      </c>
      <c r="F765" s="148" t="s">
        <v>1659</v>
      </c>
      <c r="G765" s="148" t="s">
        <v>15</v>
      </c>
      <c r="H765" s="148" t="s">
        <v>1161</v>
      </c>
      <c r="I765" s="161">
        <v>2013</v>
      </c>
      <c r="J765" s="161" t="s">
        <v>1657</v>
      </c>
      <c r="K765" s="161"/>
      <c r="L765" s="161" t="s">
        <v>19</v>
      </c>
      <c r="M765" s="453" t="s">
        <v>4264</v>
      </c>
      <c r="N765" s="186" t="s">
        <v>20</v>
      </c>
      <c r="O765" s="186" t="s">
        <v>15</v>
      </c>
      <c r="P765" s="186" t="s">
        <v>15</v>
      </c>
      <c r="Q765" s="186" t="s">
        <v>15</v>
      </c>
      <c r="R765" s="186" t="s">
        <v>15</v>
      </c>
      <c r="S765" s="186" t="s">
        <v>15</v>
      </c>
      <c r="T765" s="186" t="s">
        <v>15</v>
      </c>
      <c r="U765" s="186" t="s">
        <v>15</v>
      </c>
      <c r="V765" s="186" t="s">
        <v>15</v>
      </c>
      <c r="W765" s="186" t="s">
        <v>15</v>
      </c>
      <c r="X765" s="186" t="s">
        <v>15</v>
      </c>
      <c r="Y765" s="186" t="s">
        <v>15</v>
      </c>
      <c r="Z765" s="186"/>
      <c r="AA765" s="186" t="s">
        <v>1131</v>
      </c>
      <c r="AB765" s="186" t="s">
        <v>15</v>
      </c>
      <c r="AC765" s="186" t="s">
        <v>15</v>
      </c>
      <c r="AD765" s="268" t="s">
        <v>1658</v>
      </c>
      <c r="AE765" s="268" t="s">
        <v>1545</v>
      </c>
      <c r="AF765" s="144" t="str">
        <f t="shared" si="54"/>
        <v/>
      </c>
      <c r="AG765" s="144" t="str">
        <f t="shared" si="57"/>
        <v/>
      </c>
      <c r="AH765" s="146">
        <f t="shared" si="55"/>
        <v>0.24493000000000001</v>
      </c>
      <c r="AI765" s="146" t="str">
        <f t="shared" si="56"/>
        <v/>
      </c>
      <c r="AJ765" s="303"/>
      <c r="AK765" s="303"/>
      <c r="AL765" s="303"/>
      <c r="AM765" s="303"/>
      <c r="AN765" s="303"/>
      <c r="AO765" s="303"/>
      <c r="AP765" s="303"/>
      <c r="AQ765" s="303"/>
      <c r="AR765" s="303"/>
      <c r="AS765" s="170"/>
      <c r="AT765" s="170"/>
      <c r="AU765" s="310"/>
      <c r="AW765" s="294"/>
      <c r="AX765" s="294"/>
      <c r="AY765" s="294"/>
      <c r="AZ765" s="294"/>
      <c r="BA765" s="294"/>
      <c r="BB765" s="294"/>
      <c r="BC765" s="294"/>
      <c r="BD765" s="294"/>
      <c r="BE765" s="294"/>
      <c r="BF765" s="382">
        <f>244.93/1000</f>
        <v>0.24493000000000001</v>
      </c>
      <c r="BG765" s="383"/>
      <c r="BH765" s="278"/>
      <c r="BI765" s="365"/>
      <c r="BJ765" s="409"/>
    </row>
    <row r="766" spans="1:62" ht="15.75" customHeight="1" thickBot="1" x14ac:dyDescent="0.25">
      <c r="A766" s="154">
        <v>767</v>
      </c>
      <c r="B766" s="155">
        <v>1</v>
      </c>
      <c r="C766" s="148" t="s">
        <v>11</v>
      </c>
      <c r="D766" s="150" t="s">
        <v>12</v>
      </c>
      <c r="E766" s="148" t="s">
        <v>13</v>
      </c>
      <c r="F766" s="148" t="s">
        <v>1660</v>
      </c>
      <c r="G766" s="148" t="s">
        <v>15</v>
      </c>
      <c r="H766" s="148" t="s">
        <v>1247</v>
      </c>
      <c r="I766" s="161">
        <v>2010</v>
      </c>
      <c r="J766" s="161" t="s">
        <v>1661</v>
      </c>
      <c r="K766" s="161" t="s">
        <v>1662</v>
      </c>
      <c r="L766" s="161" t="s">
        <v>19</v>
      </c>
      <c r="M766" s="453" t="s">
        <v>4269</v>
      </c>
      <c r="N766" s="186" t="s">
        <v>20</v>
      </c>
      <c r="O766" s="186" t="s">
        <v>15</v>
      </c>
      <c r="P766" s="186" t="s">
        <v>15</v>
      </c>
      <c r="Q766" s="186" t="s">
        <v>15</v>
      </c>
      <c r="R766" s="186" t="s">
        <v>15</v>
      </c>
      <c r="S766" s="186" t="s">
        <v>15</v>
      </c>
      <c r="T766" s="186" t="s">
        <v>15</v>
      </c>
      <c r="U766" s="186" t="s">
        <v>15</v>
      </c>
      <c r="V766" s="186" t="s">
        <v>15</v>
      </c>
      <c r="W766" s="186" t="s">
        <v>15</v>
      </c>
      <c r="X766" s="186" t="s">
        <v>15</v>
      </c>
      <c r="Y766" s="186" t="s">
        <v>15</v>
      </c>
      <c r="Z766" s="186"/>
      <c r="AA766" s="186" t="s">
        <v>1131</v>
      </c>
      <c r="AB766" s="186" t="s">
        <v>15</v>
      </c>
      <c r="AC766" s="186" t="s">
        <v>15</v>
      </c>
      <c r="AD766" s="268" t="s">
        <v>1663</v>
      </c>
      <c r="AE766" s="268" t="s">
        <v>1545</v>
      </c>
      <c r="AF766" s="144" t="str">
        <f t="shared" si="54"/>
        <v/>
      </c>
      <c r="AG766" s="144" t="str">
        <f t="shared" si="57"/>
        <v/>
      </c>
      <c r="AH766" s="146">
        <f t="shared" si="55"/>
        <v>1.02078</v>
      </c>
      <c r="AI766" s="146" t="str">
        <f t="shared" si="56"/>
        <v/>
      </c>
      <c r="AJ766" s="303"/>
      <c r="AK766" s="303"/>
      <c r="AL766" s="303"/>
      <c r="AM766" s="303"/>
      <c r="AN766" s="303"/>
      <c r="AO766" s="303"/>
      <c r="AP766" s="303"/>
      <c r="AQ766" s="303"/>
      <c r="AR766" s="303"/>
      <c r="AS766" s="170"/>
      <c r="AT766" s="170"/>
      <c r="AU766" s="310"/>
      <c r="AW766" s="294"/>
      <c r="AX766" s="294"/>
      <c r="AY766" s="294"/>
      <c r="AZ766" s="294"/>
      <c r="BA766" s="294"/>
      <c r="BB766" s="294"/>
      <c r="BC766" s="294"/>
      <c r="BD766" s="294"/>
      <c r="BE766" s="294"/>
      <c r="BF766" s="382">
        <f>(717.95+89.64+40.82+2.4+145.38+19.54+5.05)/1000</f>
        <v>1.02078</v>
      </c>
      <c r="BG766" s="383"/>
      <c r="BH766" s="278"/>
      <c r="BI766" s="365" t="s">
        <v>733</v>
      </c>
      <c r="BJ766" s="409"/>
    </row>
    <row r="767" spans="1:62" ht="15.75" customHeight="1" thickBot="1" x14ac:dyDescent="0.25">
      <c r="A767" s="156">
        <v>768</v>
      </c>
      <c r="B767" s="155">
        <v>1</v>
      </c>
      <c r="C767" s="148" t="s">
        <v>11</v>
      </c>
      <c r="D767" s="150" t="s">
        <v>12</v>
      </c>
      <c r="E767" s="148" t="s">
        <v>13</v>
      </c>
      <c r="F767" s="148" t="s">
        <v>1660</v>
      </c>
      <c r="G767" s="148" t="s">
        <v>15</v>
      </c>
      <c r="H767" s="148" t="s">
        <v>108</v>
      </c>
      <c r="I767" s="161">
        <v>2012</v>
      </c>
      <c r="J767" s="161" t="s">
        <v>1664</v>
      </c>
      <c r="K767" s="161" t="s">
        <v>1665</v>
      </c>
      <c r="L767" s="161" t="s">
        <v>274</v>
      </c>
      <c r="M767" s="453" t="s">
        <v>4270</v>
      </c>
      <c r="N767" s="186" t="s">
        <v>20</v>
      </c>
      <c r="O767" s="186" t="s">
        <v>15</v>
      </c>
      <c r="P767" s="186" t="s">
        <v>15</v>
      </c>
      <c r="Q767" s="186" t="s">
        <v>15</v>
      </c>
      <c r="R767" s="186" t="s">
        <v>15</v>
      </c>
      <c r="S767" s="186" t="s">
        <v>15</v>
      </c>
      <c r="T767" s="186" t="s">
        <v>15</v>
      </c>
      <c r="U767" s="186" t="s">
        <v>15</v>
      </c>
      <c r="V767" s="186" t="s">
        <v>15</v>
      </c>
      <c r="W767" s="186" t="s">
        <v>15</v>
      </c>
      <c r="X767" s="186" t="s">
        <v>15</v>
      </c>
      <c r="Y767" s="186" t="s">
        <v>15</v>
      </c>
      <c r="Z767" s="186"/>
      <c r="AA767" s="186" t="s">
        <v>1131</v>
      </c>
      <c r="AB767" s="186" t="s">
        <v>15</v>
      </c>
      <c r="AC767" s="186" t="s">
        <v>15</v>
      </c>
      <c r="AD767" s="268" t="s">
        <v>1666</v>
      </c>
      <c r="AE767" s="268" t="s">
        <v>1667</v>
      </c>
      <c r="AF767" s="144" t="str">
        <f t="shared" si="54"/>
        <v/>
      </c>
      <c r="AG767" s="144" t="str">
        <f t="shared" si="57"/>
        <v/>
      </c>
      <c r="AH767" s="146">
        <f t="shared" si="55"/>
        <v>1.2647342995169082</v>
      </c>
      <c r="AI767" s="146" t="str">
        <f t="shared" si="56"/>
        <v/>
      </c>
      <c r="AJ767" s="303"/>
      <c r="AK767" s="303"/>
      <c r="AL767" s="303"/>
      <c r="AM767" s="303"/>
      <c r="AN767" s="303"/>
      <c r="AO767" s="303"/>
      <c r="AP767" s="303"/>
      <c r="AQ767" s="303"/>
      <c r="AR767" s="303"/>
      <c r="AS767" s="170"/>
      <c r="AT767" s="170"/>
      <c r="AU767" s="310"/>
      <c r="AW767" s="294"/>
      <c r="AX767" s="294"/>
      <c r="AY767" s="294"/>
      <c r="AZ767" s="294"/>
      <c r="BA767" s="294"/>
      <c r="BB767" s="294"/>
      <c r="BC767" s="294"/>
      <c r="BD767" s="294"/>
      <c r="BE767" s="294"/>
      <c r="BF767" s="382">
        <f>1.309*(1000/1)*(1/1035)</f>
        <v>1.2647342995169082</v>
      </c>
      <c r="BG767" s="383"/>
      <c r="BH767" s="278" t="s">
        <v>1668</v>
      </c>
      <c r="BI767" s="365" t="s">
        <v>47</v>
      </c>
      <c r="BJ767" s="409"/>
    </row>
    <row r="768" spans="1:62" ht="15.75" customHeight="1" thickBot="1" x14ac:dyDescent="0.25">
      <c r="A768" s="154">
        <v>769</v>
      </c>
      <c r="B768" s="155">
        <v>1</v>
      </c>
      <c r="C768" s="148" t="s">
        <v>236</v>
      </c>
      <c r="D768" s="141" t="s">
        <v>1739</v>
      </c>
      <c r="E768" s="148" t="s">
        <v>13</v>
      </c>
      <c r="F768" s="148" t="s">
        <v>1669</v>
      </c>
      <c r="G768" s="148" t="s">
        <v>15</v>
      </c>
      <c r="H768" s="148" t="s">
        <v>1446</v>
      </c>
      <c r="I768" s="161">
        <v>2007</v>
      </c>
      <c r="J768" s="161" t="s">
        <v>1670</v>
      </c>
      <c r="K768" s="161" t="s">
        <v>1671</v>
      </c>
      <c r="L768" s="161" t="s">
        <v>19</v>
      </c>
      <c r="M768" s="453" t="s">
        <v>4271</v>
      </c>
      <c r="N768" s="186" t="s">
        <v>20</v>
      </c>
      <c r="O768" s="186" t="s">
        <v>15</v>
      </c>
      <c r="P768" s="186" t="s">
        <v>20</v>
      </c>
      <c r="Q768" s="186" t="s">
        <v>15</v>
      </c>
      <c r="R768" s="186" t="s">
        <v>20</v>
      </c>
      <c r="S768" s="186" t="s">
        <v>20</v>
      </c>
      <c r="T768" s="186" t="s">
        <v>15</v>
      </c>
      <c r="U768" s="186" t="s">
        <v>15</v>
      </c>
      <c r="V768" s="186" t="s">
        <v>15</v>
      </c>
      <c r="W768" s="186" t="s">
        <v>15</v>
      </c>
      <c r="X768" s="186" t="s">
        <v>15</v>
      </c>
      <c r="Y768" s="186" t="s">
        <v>15</v>
      </c>
      <c r="Z768" s="186"/>
      <c r="AA768" s="186" t="s">
        <v>1672</v>
      </c>
      <c r="AB768" s="186" t="s">
        <v>1673</v>
      </c>
      <c r="AC768" s="186" t="s">
        <v>122</v>
      </c>
      <c r="AD768" s="268" t="s">
        <v>1674</v>
      </c>
      <c r="AE768" s="268"/>
      <c r="AF768" s="144">
        <f t="shared" si="54"/>
        <v>1.25</v>
      </c>
      <c r="AG768" s="144">
        <f t="shared" si="57"/>
        <v>2.4875000000000003</v>
      </c>
      <c r="AH768" s="146" t="str">
        <f t="shared" si="55"/>
        <v/>
      </c>
      <c r="AI768" s="146" t="str">
        <f t="shared" si="56"/>
        <v/>
      </c>
      <c r="AJ768" s="303">
        <v>1.25</v>
      </c>
      <c r="AK768" s="303">
        <f>((0.13+0.13+0.15+0.17)/4)+((0.57+0.99+2+0.25)/4)+0.14</f>
        <v>1.2375000000000003</v>
      </c>
      <c r="AL768" s="303"/>
      <c r="AM768" s="303">
        <v>0.65</v>
      </c>
      <c r="AN768" s="303">
        <v>0.2</v>
      </c>
      <c r="AO768" s="303"/>
      <c r="AP768" s="303"/>
      <c r="AQ768" s="303"/>
      <c r="AR768" s="303"/>
      <c r="AS768" s="170">
        <v>1.25</v>
      </c>
      <c r="AT768" s="170">
        <v>3.3499999999999996</v>
      </c>
      <c r="AU768" s="310"/>
      <c r="AW768" s="294"/>
      <c r="AX768" s="294"/>
      <c r="AY768" s="294"/>
      <c r="AZ768" s="294"/>
      <c r="BA768" s="294"/>
      <c r="BB768" s="294"/>
      <c r="BC768" s="294"/>
      <c r="BD768" s="294"/>
      <c r="BE768" s="294"/>
      <c r="BF768" s="382"/>
      <c r="BG768" s="383"/>
      <c r="BH768" s="278"/>
      <c r="BI768" s="365"/>
      <c r="BJ768" s="409" t="s">
        <v>3100</v>
      </c>
    </row>
    <row r="769" spans="1:62" ht="15.75" customHeight="1" thickBot="1" x14ac:dyDescent="0.25">
      <c r="A769" s="156">
        <v>770</v>
      </c>
      <c r="B769" s="155">
        <v>1</v>
      </c>
      <c r="C769" s="148" t="s">
        <v>236</v>
      </c>
      <c r="D769" s="141" t="s">
        <v>1739</v>
      </c>
      <c r="E769" s="148" t="s">
        <v>13</v>
      </c>
      <c r="F769" s="148" t="s">
        <v>1675</v>
      </c>
      <c r="G769" s="148" t="s">
        <v>15</v>
      </c>
      <c r="H769" s="148" t="s">
        <v>1446</v>
      </c>
      <c r="I769" s="161">
        <v>2007</v>
      </c>
      <c r="J769" s="161" t="s">
        <v>1670</v>
      </c>
      <c r="K769" s="161" t="s">
        <v>1671</v>
      </c>
      <c r="L769" s="161" t="s">
        <v>19</v>
      </c>
      <c r="M769" s="453" t="s">
        <v>4271</v>
      </c>
      <c r="N769" s="186" t="s">
        <v>20</v>
      </c>
      <c r="O769" s="186" t="s">
        <v>15</v>
      </c>
      <c r="P769" s="186" t="s">
        <v>20</v>
      </c>
      <c r="Q769" s="186" t="s">
        <v>15</v>
      </c>
      <c r="R769" s="186" t="s">
        <v>20</v>
      </c>
      <c r="S769" s="186" t="s">
        <v>20</v>
      </c>
      <c r="T769" s="186" t="s">
        <v>15</v>
      </c>
      <c r="U769" s="186" t="s">
        <v>15</v>
      </c>
      <c r="V769" s="186" t="s">
        <v>15</v>
      </c>
      <c r="W769" s="186" t="s">
        <v>15</v>
      </c>
      <c r="X769" s="186" t="s">
        <v>15</v>
      </c>
      <c r="Y769" s="186" t="s">
        <v>15</v>
      </c>
      <c r="Z769" s="186"/>
      <c r="AA769" s="186" t="s">
        <v>1672</v>
      </c>
      <c r="AB769" s="186" t="s">
        <v>1673</v>
      </c>
      <c r="AC769" s="186" t="s">
        <v>122</v>
      </c>
      <c r="AD769" s="268" t="s">
        <v>1674</v>
      </c>
      <c r="AE769" s="268"/>
      <c r="AF769" s="144">
        <f t="shared" si="54"/>
        <v>1.25</v>
      </c>
      <c r="AG769" s="144">
        <f t="shared" si="57"/>
        <v>3.7475000000000001</v>
      </c>
      <c r="AH769" s="146" t="str">
        <f t="shared" si="55"/>
        <v/>
      </c>
      <c r="AI769" s="146" t="str">
        <f t="shared" si="56"/>
        <v/>
      </c>
      <c r="AJ769" s="303">
        <v>1.25</v>
      </c>
      <c r="AK769" s="303">
        <f>((0.13+0.13+0.15+0.17)/4)+((0.57+0.99+2+0.25)/4)+1.4</f>
        <v>2.4975000000000001</v>
      </c>
      <c r="AL769" s="303"/>
      <c r="AM769" s="303">
        <v>0.65</v>
      </c>
      <c r="AN769" s="303">
        <v>0.2</v>
      </c>
      <c r="AO769" s="303"/>
      <c r="AP769" s="303"/>
      <c r="AQ769" s="303"/>
      <c r="AR769" s="303"/>
      <c r="AS769" s="170">
        <v>1.25</v>
      </c>
      <c r="AT769" s="170">
        <v>4.625</v>
      </c>
      <c r="AU769" s="310"/>
      <c r="AW769" s="294"/>
      <c r="AX769" s="294"/>
      <c r="AY769" s="294"/>
      <c r="AZ769" s="294"/>
      <c r="BA769" s="294"/>
      <c r="BB769" s="294"/>
      <c r="BC769" s="294"/>
      <c r="BD769" s="294"/>
      <c r="BE769" s="294"/>
      <c r="BF769" s="383"/>
      <c r="BG769" s="383"/>
      <c r="BH769" s="278"/>
      <c r="BI769" s="365"/>
      <c r="BJ769" s="409" t="s">
        <v>3100</v>
      </c>
    </row>
    <row r="770" spans="1:62" ht="15.75" customHeight="1" thickBot="1" x14ac:dyDescent="0.25">
      <c r="A770" s="154">
        <v>771</v>
      </c>
      <c r="B770" s="155">
        <v>1</v>
      </c>
      <c r="C770" s="148" t="s">
        <v>236</v>
      </c>
      <c r="D770" s="141" t="s">
        <v>1739</v>
      </c>
      <c r="E770" s="148" t="s">
        <v>13</v>
      </c>
      <c r="F770" s="148" t="s">
        <v>1676</v>
      </c>
      <c r="G770" s="148" t="s">
        <v>292</v>
      </c>
      <c r="H770" s="148" t="s">
        <v>700</v>
      </c>
      <c r="I770" s="161">
        <v>2007</v>
      </c>
      <c r="J770" s="161" t="s">
        <v>1670</v>
      </c>
      <c r="K770" s="161" t="s">
        <v>1671</v>
      </c>
      <c r="L770" s="161" t="s">
        <v>19</v>
      </c>
      <c r="M770" s="453" t="s">
        <v>4271</v>
      </c>
      <c r="N770" s="186" t="s">
        <v>20</v>
      </c>
      <c r="O770" s="186" t="s">
        <v>15</v>
      </c>
      <c r="P770" s="186" t="s">
        <v>20</v>
      </c>
      <c r="Q770" s="186" t="s">
        <v>15</v>
      </c>
      <c r="R770" s="186" t="s">
        <v>20</v>
      </c>
      <c r="S770" s="186" t="s">
        <v>20</v>
      </c>
      <c r="T770" s="186" t="s">
        <v>15</v>
      </c>
      <c r="U770" s="186" t="s">
        <v>15</v>
      </c>
      <c r="V770" s="186" t="s">
        <v>15</v>
      </c>
      <c r="W770" s="186" t="s">
        <v>15</v>
      </c>
      <c r="X770" s="186" t="s">
        <v>15</v>
      </c>
      <c r="Y770" s="186" t="s">
        <v>15</v>
      </c>
      <c r="Z770" s="186"/>
      <c r="AA770" s="186" t="s">
        <v>1672</v>
      </c>
      <c r="AB770" s="186" t="s">
        <v>1673</v>
      </c>
      <c r="AC770" s="186" t="s">
        <v>122</v>
      </c>
      <c r="AD770" s="268" t="s">
        <v>1674</v>
      </c>
      <c r="AE770" s="268"/>
      <c r="AF770" s="144">
        <f t="shared" ref="AF770:AF811" si="58">IF(AS770&lt;&gt;0,AS770,"")</f>
        <v>0.54749999999999999</v>
      </c>
      <c r="AG770" s="144">
        <f t="shared" si="57"/>
        <v>4.6150000000000002</v>
      </c>
      <c r="AH770" s="146" t="str">
        <f t="shared" ref="AH770:AH833" si="59">IF(BF770&lt;&gt;0,BF770,"")</f>
        <v/>
      </c>
      <c r="AI770" s="146" t="str">
        <f t="shared" ref="AI770:AI833" si="60">IF(AND(SUM(AW770:AY770)&lt;&gt;0,SUM(AW770:AY770)&lt;&gt;AW770),SUM(AW770:AY770),"")</f>
        <v/>
      </c>
      <c r="AJ770" s="303">
        <v>0.54749999999999999</v>
      </c>
      <c r="AK770" s="303">
        <f>((0.13+0.13+0.14+0.16)/4)+((1.5+0.25+0.41+0.79)/4)+2.9+0.29</f>
        <v>4.0674999999999999</v>
      </c>
      <c r="AL770" s="303"/>
      <c r="AM770" s="303">
        <v>0.65</v>
      </c>
      <c r="AN770" s="303">
        <v>0.2</v>
      </c>
      <c r="AO770" s="303"/>
      <c r="AP770" s="303"/>
      <c r="AQ770" s="303"/>
      <c r="AR770" s="303"/>
      <c r="AS770" s="170">
        <v>0.54749999999999999</v>
      </c>
      <c r="AT770" s="170">
        <v>5.4499999999999993</v>
      </c>
      <c r="AU770" s="310"/>
      <c r="AW770" s="294"/>
      <c r="AX770" s="294"/>
      <c r="AY770" s="294"/>
      <c r="AZ770" s="294"/>
      <c r="BA770" s="294"/>
      <c r="BB770" s="294"/>
      <c r="BC770" s="294"/>
      <c r="BD770" s="294"/>
      <c r="BE770" s="294"/>
      <c r="BF770" s="383"/>
      <c r="BG770" s="383"/>
      <c r="BH770" s="278"/>
      <c r="BI770" s="365"/>
      <c r="BJ770" s="409" t="s">
        <v>3100</v>
      </c>
    </row>
    <row r="771" spans="1:62" ht="15.75" customHeight="1" thickBot="1" x14ac:dyDescent="0.25">
      <c r="A771" s="156">
        <v>772</v>
      </c>
      <c r="B771" s="155">
        <v>1</v>
      </c>
      <c r="C771" s="148" t="s">
        <v>236</v>
      </c>
      <c r="D771" s="141" t="s">
        <v>1739</v>
      </c>
      <c r="E771" s="148" t="s">
        <v>13</v>
      </c>
      <c r="F771" s="148" t="s">
        <v>1677</v>
      </c>
      <c r="G771" s="148"/>
      <c r="H771" s="148" t="s">
        <v>1678</v>
      </c>
      <c r="I771" s="161">
        <v>2007</v>
      </c>
      <c r="J771" s="161" t="s">
        <v>1670</v>
      </c>
      <c r="K771" s="161" t="s">
        <v>1671</v>
      </c>
      <c r="L771" s="161" t="s">
        <v>19</v>
      </c>
      <c r="M771" s="453" t="s">
        <v>4271</v>
      </c>
      <c r="N771" s="186" t="s">
        <v>20</v>
      </c>
      <c r="O771" s="186" t="s">
        <v>15</v>
      </c>
      <c r="P771" s="186" t="s">
        <v>20</v>
      </c>
      <c r="Q771" s="186" t="s">
        <v>15</v>
      </c>
      <c r="R771" s="186" t="s">
        <v>20</v>
      </c>
      <c r="S771" s="186" t="s">
        <v>20</v>
      </c>
      <c r="T771" s="186" t="s">
        <v>15</v>
      </c>
      <c r="U771" s="186" t="s">
        <v>15</v>
      </c>
      <c r="V771" s="186" t="s">
        <v>15</v>
      </c>
      <c r="W771" s="186" t="s">
        <v>15</v>
      </c>
      <c r="X771" s="186" t="s">
        <v>15</v>
      </c>
      <c r="Y771" s="186" t="s">
        <v>15</v>
      </c>
      <c r="Z771" s="186"/>
      <c r="AA771" s="186" t="s">
        <v>1672</v>
      </c>
      <c r="AB771" s="186" t="s">
        <v>1673</v>
      </c>
      <c r="AC771" s="186" t="s">
        <v>122</v>
      </c>
      <c r="AD771" s="268" t="s">
        <v>1674</v>
      </c>
      <c r="AE771" s="268"/>
      <c r="AF771" s="144">
        <f t="shared" si="58"/>
        <v>1.2</v>
      </c>
      <c r="AG771" s="144">
        <f t="shared" si="57"/>
        <v>3.8875000000000002</v>
      </c>
      <c r="AH771" s="146" t="str">
        <f t="shared" si="59"/>
        <v/>
      </c>
      <c r="AI771" s="146" t="str">
        <f t="shared" si="60"/>
        <v/>
      </c>
      <c r="AJ771" s="303">
        <v>1.2</v>
      </c>
      <c r="AK771" s="303">
        <f>((0.13+0.13+0.14+0.16)/4)+((1.5+0.25+0.41+0.79)/4)+1.5+0.31</f>
        <v>2.6875</v>
      </c>
      <c r="AL771" s="303"/>
      <c r="AM771" s="303">
        <v>0.65</v>
      </c>
      <c r="AN771" s="303">
        <v>0.2</v>
      </c>
      <c r="AO771" s="303"/>
      <c r="AP771" s="303"/>
      <c r="AQ771" s="303"/>
      <c r="AR771" s="303"/>
      <c r="AS771" s="170">
        <v>1.2</v>
      </c>
      <c r="AT771" s="170">
        <v>4.7250000000000005</v>
      </c>
      <c r="AU771" s="310"/>
      <c r="AW771" s="294"/>
      <c r="AX771" s="294"/>
      <c r="AY771" s="294"/>
      <c r="AZ771" s="294"/>
      <c r="BA771" s="294"/>
      <c r="BB771" s="294"/>
      <c r="BC771" s="294"/>
      <c r="BD771" s="294"/>
      <c r="BE771" s="294"/>
      <c r="BF771" s="383"/>
      <c r="BG771" s="383"/>
      <c r="BH771" s="278"/>
      <c r="BI771" s="365"/>
      <c r="BJ771" s="409" t="s">
        <v>3100</v>
      </c>
    </row>
    <row r="772" spans="1:62" ht="15.75" customHeight="1" thickBot="1" x14ac:dyDescent="0.25">
      <c r="A772" s="156">
        <v>773</v>
      </c>
      <c r="B772" s="155">
        <v>1</v>
      </c>
      <c r="C772" s="148" t="s">
        <v>596</v>
      </c>
      <c r="D772" s="148" t="s">
        <v>2772</v>
      </c>
      <c r="E772" s="148" t="s">
        <v>2773</v>
      </c>
      <c r="F772" s="148" t="s">
        <v>2774</v>
      </c>
      <c r="G772" s="148"/>
      <c r="H772" s="148"/>
      <c r="I772" s="161"/>
      <c r="J772" s="161" t="s">
        <v>2784</v>
      </c>
      <c r="K772" s="161"/>
      <c r="L772" s="161" t="s">
        <v>9</v>
      </c>
      <c r="M772" s="453" t="s">
        <v>4272</v>
      </c>
      <c r="N772" s="186"/>
      <c r="O772" s="186"/>
      <c r="P772" s="186"/>
      <c r="Q772" s="186"/>
      <c r="R772" s="186"/>
      <c r="S772" s="186"/>
      <c r="T772" s="186"/>
      <c r="U772" s="186"/>
      <c r="V772" s="186"/>
      <c r="W772" s="186"/>
      <c r="X772" s="186"/>
      <c r="Y772" s="186"/>
      <c r="Z772" s="186"/>
      <c r="AA772" s="186"/>
      <c r="AB772" s="186"/>
      <c r="AC772" s="186"/>
      <c r="AD772" s="268"/>
      <c r="AE772" s="268"/>
      <c r="AF772" s="144" t="str">
        <f t="shared" si="58"/>
        <v/>
      </c>
      <c r="AG772" s="144" t="str">
        <f t="shared" si="57"/>
        <v/>
      </c>
      <c r="AH772" s="146" t="str">
        <f t="shared" si="59"/>
        <v/>
      </c>
      <c r="AI772" s="146" t="str">
        <f t="shared" si="60"/>
        <v/>
      </c>
      <c r="AJ772" s="303"/>
      <c r="AK772" s="303"/>
      <c r="AL772" s="303"/>
      <c r="AM772" s="303"/>
      <c r="AN772" s="303"/>
      <c r="AO772" s="303"/>
      <c r="AP772" s="303"/>
      <c r="AQ772" s="303"/>
      <c r="AR772" s="303"/>
      <c r="AS772" s="170"/>
      <c r="AT772" s="170"/>
      <c r="AU772" s="310"/>
      <c r="AW772" s="294"/>
      <c r="AX772" s="294"/>
      <c r="AY772" s="294"/>
      <c r="AZ772" s="294"/>
      <c r="BA772" s="294"/>
      <c r="BB772" s="294"/>
      <c r="BC772" s="294"/>
      <c r="BD772" s="294"/>
      <c r="BE772" s="294"/>
      <c r="BF772" s="383"/>
      <c r="BG772" s="383">
        <f>170/1000/0.33/1.042</f>
        <v>0.49438725062525446</v>
      </c>
      <c r="BH772" s="278"/>
      <c r="BI772" s="365"/>
      <c r="BJ772" s="409"/>
    </row>
    <row r="773" spans="1:62" ht="15.75" customHeight="1" thickBot="1" x14ac:dyDescent="0.25">
      <c r="A773" s="156">
        <v>774</v>
      </c>
      <c r="B773" s="155">
        <v>1</v>
      </c>
      <c r="C773" s="148" t="s">
        <v>596</v>
      </c>
      <c r="D773" s="148" t="s">
        <v>2772</v>
      </c>
      <c r="E773" s="148" t="s">
        <v>2773</v>
      </c>
      <c r="F773" s="148" t="s">
        <v>2775</v>
      </c>
      <c r="G773" s="148"/>
      <c r="H773" s="148"/>
      <c r="I773" s="161"/>
      <c r="J773" s="161" t="s">
        <v>2784</v>
      </c>
      <c r="K773" s="161"/>
      <c r="L773" s="161" t="s">
        <v>9</v>
      </c>
      <c r="M773" s="453" t="s">
        <v>4272</v>
      </c>
      <c r="N773" s="186"/>
      <c r="O773" s="186"/>
      <c r="P773" s="186"/>
      <c r="Q773" s="186"/>
      <c r="R773" s="186"/>
      <c r="S773" s="186"/>
      <c r="T773" s="186"/>
      <c r="U773" s="186"/>
      <c r="V773" s="186"/>
      <c r="W773" s="186"/>
      <c r="X773" s="186"/>
      <c r="Y773" s="186"/>
      <c r="Z773" s="186"/>
      <c r="AA773" s="186"/>
      <c r="AB773" s="186"/>
      <c r="AC773" s="186"/>
      <c r="AD773" s="268"/>
      <c r="AE773" s="268"/>
      <c r="AF773" s="144" t="str">
        <f t="shared" si="58"/>
        <v/>
      </c>
      <c r="AG773" s="144" t="str">
        <f t="shared" si="57"/>
        <v/>
      </c>
      <c r="AH773" s="146" t="str">
        <f t="shared" si="59"/>
        <v/>
      </c>
      <c r="AI773" s="146" t="str">
        <f t="shared" si="60"/>
        <v/>
      </c>
      <c r="AJ773" s="303"/>
      <c r="AK773" s="303"/>
      <c r="AL773" s="303"/>
      <c r="AM773" s="303"/>
      <c r="AN773" s="303"/>
      <c r="AO773" s="303"/>
      <c r="AP773" s="303"/>
      <c r="AQ773" s="303"/>
      <c r="AR773" s="303"/>
      <c r="AS773" s="170"/>
      <c r="AT773" s="170"/>
      <c r="AU773" s="310"/>
      <c r="AW773" s="294"/>
      <c r="AX773" s="294"/>
      <c r="AY773" s="294"/>
      <c r="AZ773" s="294"/>
      <c r="BA773" s="294"/>
      <c r="BB773" s="294"/>
      <c r="BC773" s="294"/>
      <c r="BD773" s="294"/>
      <c r="BE773" s="294"/>
      <c r="BF773" s="383"/>
      <c r="BG773" s="382">
        <f>360/1000/0.33/1.042</f>
        <v>1.0469377072064212</v>
      </c>
      <c r="BH773" s="278"/>
      <c r="BI773" s="365"/>
      <c r="BJ773" s="409"/>
    </row>
    <row r="774" spans="1:62" ht="15.75" customHeight="1" thickBot="1" x14ac:dyDescent="0.25">
      <c r="A774" s="156">
        <v>775</v>
      </c>
      <c r="B774" s="155">
        <v>1</v>
      </c>
      <c r="C774" s="148" t="s">
        <v>596</v>
      </c>
      <c r="D774" s="148" t="s">
        <v>2772</v>
      </c>
      <c r="E774" s="148" t="s">
        <v>2773</v>
      </c>
      <c r="F774" s="148" t="s">
        <v>2776</v>
      </c>
      <c r="G774" s="148"/>
      <c r="H774" s="148"/>
      <c r="I774" s="161"/>
      <c r="J774" s="161" t="s">
        <v>2784</v>
      </c>
      <c r="K774" s="161"/>
      <c r="L774" s="161" t="s">
        <v>9</v>
      </c>
      <c r="M774" s="453" t="s">
        <v>4272</v>
      </c>
      <c r="N774" s="186"/>
      <c r="O774" s="186"/>
      <c r="P774" s="186"/>
      <c r="Q774" s="186"/>
      <c r="R774" s="186"/>
      <c r="S774" s="186"/>
      <c r="T774" s="186"/>
      <c r="U774" s="186"/>
      <c r="V774" s="186"/>
      <c r="W774" s="186"/>
      <c r="X774" s="186"/>
      <c r="Y774" s="186"/>
      <c r="Z774" s="186"/>
      <c r="AA774" s="186"/>
      <c r="AB774" s="186"/>
      <c r="AC774" s="186"/>
      <c r="AD774" s="268"/>
      <c r="AE774" s="268"/>
      <c r="AF774" s="144" t="str">
        <f t="shared" si="58"/>
        <v/>
      </c>
      <c r="AG774" s="144" t="str">
        <f t="shared" si="57"/>
        <v/>
      </c>
      <c r="AH774" s="146" t="str">
        <f t="shared" si="59"/>
        <v/>
      </c>
      <c r="AI774" s="146" t="str">
        <f t="shared" si="60"/>
        <v/>
      </c>
      <c r="AJ774" s="303"/>
      <c r="AK774" s="303"/>
      <c r="AL774" s="303"/>
      <c r="AM774" s="303"/>
      <c r="AN774" s="303"/>
      <c r="AO774" s="303"/>
      <c r="AP774" s="303"/>
      <c r="AQ774" s="303"/>
      <c r="AR774" s="303"/>
      <c r="AS774" s="170"/>
      <c r="AT774" s="170"/>
      <c r="AU774" s="310"/>
      <c r="AW774" s="294"/>
      <c r="AX774" s="294"/>
      <c r="AY774" s="294"/>
      <c r="AZ774" s="294"/>
      <c r="BA774" s="294"/>
      <c r="BB774" s="294"/>
      <c r="BC774" s="294"/>
      <c r="BD774" s="294"/>
      <c r="BE774" s="294"/>
      <c r="BF774" s="383"/>
      <c r="BG774" s="382">
        <f>500/1000/2/1.042</f>
        <v>0.23992322456813819</v>
      </c>
      <c r="BH774" s="278"/>
      <c r="BI774" s="365"/>
      <c r="BJ774" s="409"/>
    </row>
    <row r="775" spans="1:62" ht="15.75" customHeight="1" thickBot="1" x14ac:dyDescent="0.25">
      <c r="A775" s="156">
        <v>776</v>
      </c>
      <c r="B775" s="155">
        <v>1</v>
      </c>
      <c r="C775" s="148" t="s">
        <v>596</v>
      </c>
      <c r="D775" s="148" t="s">
        <v>2772</v>
      </c>
      <c r="E775" s="148" t="s">
        <v>2773</v>
      </c>
      <c r="F775" s="148" t="s">
        <v>2777</v>
      </c>
      <c r="G775" s="148"/>
      <c r="H775" s="148"/>
      <c r="I775" s="161"/>
      <c r="J775" s="161" t="s">
        <v>2784</v>
      </c>
      <c r="K775" s="161"/>
      <c r="L775" s="161" t="s">
        <v>9</v>
      </c>
      <c r="M775" s="453" t="s">
        <v>4272</v>
      </c>
      <c r="N775" s="186"/>
      <c r="O775" s="186"/>
      <c r="P775" s="186"/>
      <c r="Q775" s="186"/>
      <c r="R775" s="186"/>
      <c r="S775" s="186"/>
      <c r="T775" s="186"/>
      <c r="U775" s="186"/>
      <c r="V775" s="186"/>
      <c r="W775" s="186"/>
      <c r="X775" s="186"/>
      <c r="Y775" s="186"/>
      <c r="Z775" s="186"/>
      <c r="AA775" s="186"/>
      <c r="AB775" s="186"/>
      <c r="AC775" s="186"/>
      <c r="AD775" s="268"/>
      <c r="AE775" s="268"/>
      <c r="AF775" s="144" t="str">
        <f t="shared" si="58"/>
        <v/>
      </c>
      <c r="AG775" s="144" t="str">
        <f t="shared" si="57"/>
        <v/>
      </c>
      <c r="AH775" s="146" t="str">
        <f t="shared" si="59"/>
        <v/>
      </c>
      <c r="AI775" s="146" t="str">
        <f t="shared" si="60"/>
        <v/>
      </c>
      <c r="AJ775" s="303"/>
      <c r="AK775" s="303"/>
      <c r="AL775" s="303"/>
      <c r="AM775" s="303"/>
      <c r="AN775" s="303"/>
      <c r="AO775" s="303"/>
      <c r="AP775" s="303"/>
      <c r="AQ775" s="303"/>
      <c r="AR775" s="303"/>
      <c r="AS775" s="170"/>
      <c r="AT775" s="170"/>
      <c r="AU775" s="310"/>
      <c r="AW775" s="294"/>
      <c r="AX775" s="294"/>
      <c r="AY775" s="294"/>
      <c r="AZ775" s="294"/>
      <c r="BA775" s="294"/>
      <c r="BB775" s="294"/>
      <c r="BC775" s="294"/>
      <c r="BD775" s="294"/>
      <c r="BE775" s="294"/>
      <c r="BF775" s="383"/>
      <c r="BG775" s="382">
        <f>150/0.33/1000/1.042</f>
        <v>0.43622404466934217</v>
      </c>
      <c r="BH775" s="278"/>
      <c r="BI775" s="365"/>
      <c r="BJ775" s="409"/>
    </row>
    <row r="776" spans="1:62" ht="15.75" customHeight="1" thickBot="1" x14ac:dyDescent="0.25">
      <c r="A776" s="156">
        <v>777</v>
      </c>
      <c r="B776" s="155">
        <v>1</v>
      </c>
      <c r="C776" s="148" t="s">
        <v>596</v>
      </c>
      <c r="D776" s="148" t="s">
        <v>2772</v>
      </c>
      <c r="E776" s="148" t="s">
        <v>2773</v>
      </c>
      <c r="F776" s="148" t="s">
        <v>2778</v>
      </c>
      <c r="G776" s="148"/>
      <c r="H776" s="148"/>
      <c r="I776" s="161"/>
      <c r="J776" s="161" t="s">
        <v>2784</v>
      </c>
      <c r="K776" s="161"/>
      <c r="L776" s="161" t="s">
        <v>9</v>
      </c>
      <c r="M776" s="453" t="s">
        <v>4272</v>
      </c>
      <c r="N776" s="186"/>
      <c r="O776" s="186"/>
      <c r="P776" s="186"/>
      <c r="Q776" s="186"/>
      <c r="R776" s="186"/>
      <c r="S776" s="186"/>
      <c r="T776" s="186"/>
      <c r="U776" s="186"/>
      <c r="V776" s="186"/>
      <c r="W776" s="186"/>
      <c r="X776" s="186"/>
      <c r="Y776" s="186"/>
      <c r="Z776" s="186"/>
      <c r="AA776" s="186"/>
      <c r="AB776" s="186"/>
      <c r="AC776" s="186"/>
      <c r="AD776" s="268"/>
      <c r="AE776" s="268"/>
      <c r="AF776" s="144" t="str">
        <f t="shared" si="58"/>
        <v/>
      </c>
      <c r="AG776" s="144" t="str">
        <f t="shared" si="57"/>
        <v/>
      </c>
      <c r="AH776" s="146" t="str">
        <f t="shared" si="59"/>
        <v/>
      </c>
      <c r="AI776" s="146" t="str">
        <f t="shared" si="60"/>
        <v/>
      </c>
      <c r="AJ776" s="303"/>
      <c r="AK776" s="303"/>
      <c r="AL776" s="303"/>
      <c r="AM776" s="303"/>
      <c r="AN776" s="303"/>
      <c r="AO776" s="303"/>
      <c r="AP776" s="303"/>
      <c r="AQ776" s="303"/>
      <c r="AR776" s="303"/>
      <c r="AS776" s="170"/>
      <c r="AT776" s="170"/>
      <c r="AU776" s="310"/>
      <c r="AW776" s="294"/>
      <c r="AX776" s="294"/>
      <c r="AY776" s="294"/>
      <c r="AZ776" s="294"/>
      <c r="BA776" s="294"/>
      <c r="BB776" s="294"/>
      <c r="BC776" s="294"/>
      <c r="BD776" s="294"/>
      <c r="BE776" s="294"/>
      <c r="BF776" s="383"/>
      <c r="BG776" s="382">
        <f>340/1000/0.33/1.042</f>
        <v>0.98877450125050892</v>
      </c>
      <c r="BH776" s="278"/>
      <c r="BI776" s="365"/>
      <c r="BJ776" s="409"/>
    </row>
    <row r="777" spans="1:62" ht="15.75" customHeight="1" thickBot="1" x14ac:dyDescent="0.25">
      <c r="A777" s="156">
        <v>778</v>
      </c>
      <c r="B777" s="155">
        <v>1</v>
      </c>
      <c r="C777" s="148" t="s">
        <v>596</v>
      </c>
      <c r="D777" s="148" t="s">
        <v>2772</v>
      </c>
      <c r="E777" s="148" t="s">
        <v>2773</v>
      </c>
      <c r="F777" s="148" t="s">
        <v>2779</v>
      </c>
      <c r="G777" s="148"/>
      <c r="H777" s="148"/>
      <c r="I777" s="161"/>
      <c r="J777" s="161" t="s">
        <v>2784</v>
      </c>
      <c r="K777" s="161"/>
      <c r="L777" s="161" t="s">
        <v>9</v>
      </c>
      <c r="M777" s="453" t="s">
        <v>4272</v>
      </c>
      <c r="N777" s="186"/>
      <c r="O777" s="186"/>
      <c r="P777" s="186"/>
      <c r="Q777" s="186"/>
      <c r="R777" s="186"/>
      <c r="S777" s="186"/>
      <c r="T777" s="186"/>
      <c r="U777" s="186"/>
      <c r="V777" s="186"/>
      <c r="W777" s="186"/>
      <c r="X777" s="186"/>
      <c r="Y777" s="186"/>
      <c r="Z777" s="186"/>
      <c r="AA777" s="186"/>
      <c r="AB777" s="186"/>
      <c r="AC777" s="186"/>
      <c r="AD777" s="268"/>
      <c r="AE777" s="268"/>
      <c r="AF777" s="144" t="str">
        <f t="shared" si="58"/>
        <v/>
      </c>
      <c r="AG777" s="144" t="str">
        <f t="shared" si="57"/>
        <v/>
      </c>
      <c r="AH777" s="146" t="str">
        <f t="shared" si="59"/>
        <v/>
      </c>
      <c r="AI777" s="146" t="str">
        <f t="shared" si="60"/>
        <v/>
      </c>
      <c r="AJ777" s="303"/>
      <c r="AK777" s="303"/>
      <c r="AL777" s="303"/>
      <c r="AM777" s="303"/>
      <c r="AN777" s="303"/>
      <c r="AO777" s="303"/>
      <c r="AP777" s="303"/>
      <c r="AQ777" s="303"/>
      <c r="AR777" s="303"/>
      <c r="AS777" s="170"/>
      <c r="AT777" s="170"/>
      <c r="AU777" s="310"/>
      <c r="AW777" s="294"/>
      <c r="AX777" s="294"/>
      <c r="AY777" s="294"/>
      <c r="AZ777" s="294"/>
      <c r="BA777" s="294"/>
      <c r="BB777" s="294"/>
      <c r="BC777" s="294"/>
      <c r="BD777" s="294"/>
      <c r="BE777" s="294"/>
      <c r="BF777" s="383"/>
      <c r="BG777" s="382">
        <f>400/1000/2/1.042</f>
        <v>0.19193857965451055</v>
      </c>
      <c r="BH777" s="278"/>
      <c r="BI777" s="365"/>
      <c r="BJ777" s="409"/>
    </row>
    <row r="778" spans="1:62" ht="15.75" customHeight="1" thickBot="1" x14ac:dyDescent="0.25">
      <c r="A778" s="156">
        <v>779</v>
      </c>
      <c r="B778" s="155">
        <v>1</v>
      </c>
      <c r="C778" s="148" t="s">
        <v>596</v>
      </c>
      <c r="D778" s="148" t="s">
        <v>2772</v>
      </c>
      <c r="E778" s="148" t="s">
        <v>2773</v>
      </c>
      <c r="F778" s="148" t="s">
        <v>2780</v>
      </c>
      <c r="G778" s="148"/>
      <c r="H778" s="148"/>
      <c r="I778" s="161"/>
      <c r="J778" s="161" t="s">
        <v>2784</v>
      </c>
      <c r="K778" s="161"/>
      <c r="L778" s="161" t="s">
        <v>9</v>
      </c>
      <c r="M778" s="453" t="s">
        <v>4272</v>
      </c>
      <c r="N778" s="186"/>
      <c r="O778" s="186"/>
      <c r="P778" s="186"/>
      <c r="Q778" s="186"/>
      <c r="R778" s="186"/>
      <c r="S778" s="186"/>
      <c r="T778" s="186"/>
      <c r="U778" s="186"/>
      <c r="V778" s="186"/>
      <c r="W778" s="186"/>
      <c r="X778" s="186"/>
      <c r="Y778" s="186"/>
      <c r="Z778" s="186"/>
      <c r="AA778" s="186"/>
      <c r="AB778" s="186"/>
      <c r="AC778" s="186"/>
      <c r="AD778" s="268"/>
      <c r="AE778" s="268"/>
      <c r="AF778" s="144" t="str">
        <f t="shared" si="58"/>
        <v/>
      </c>
      <c r="AG778" s="144" t="str">
        <f t="shared" si="57"/>
        <v/>
      </c>
      <c r="AH778" s="146" t="str">
        <f t="shared" si="59"/>
        <v/>
      </c>
      <c r="AI778" s="146" t="str">
        <f t="shared" si="60"/>
        <v/>
      </c>
      <c r="AJ778" s="303"/>
      <c r="AK778" s="303"/>
      <c r="AL778" s="303"/>
      <c r="AM778" s="303"/>
      <c r="AN778" s="303"/>
      <c r="AO778" s="303"/>
      <c r="AP778" s="303"/>
      <c r="AQ778" s="303"/>
      <c r="AR778" s="303"/>
      <c r="AS778" s="170"/>
      <c r="AT778" s="170"/>
      <c r="AU778" s="310"/>
      <c r="AW778" s="294"/>
      <c r="AX778" s="294"/>
      <c r="AY778" s="294"/>
      <c r="AZ778" s="294"/>
      <c r="BA778" s="294"/>
      <c r="BB778" s="294"/>
      <c r="BC778" s="294"/>
      <c r="BD778" s="294"/>
      <c r="BE778" s="294"/>
      <c r="BF778" s="383"/>
      <c r="BG778" s="382">
        <f>150/1000/0.33/1.042</f>
        <v>0.43622404466934217</v>
      </c>
      <c r="BH778" s="278"/>
      <c r="BI778" s="365"/>
      <c r="BJ778" s="409"/>
    </row>
    <row r="779" spans="1:62" ht="15.75" customHeight="1" thickBot="1" x14ac:dyDescent="0.25">
      <c r="A779" s="156">
        <v>780</v>
      </c>
      <c r="B779" s="155">
        <v>1</v>
      </c>
      <c r="C779" s="148" t="s">
        <v>596</v>
      </c>
      <c r="D779" s="148" t="s">
        <v>2772</v>
      </c>
      <c r="E779" s="148" t="s">
        <v>2773</v>
      </c>
      <c r="F779" s="148" t="s">
        <v>2781</v>
      </c>
      <c r="G779" s="148"/>
      <c r="H779" s="148"/>
      <c r="I779" s="161"/>
      <c r="J779" s="161" t="s">
        <v>2784</v>
      </c>
      <c r="K779" s="161"/>
      <c r="L779" s="161" t="s">
        <v>9</v>
      </c>
      <c r="M779" s="453" t="s">
        <v>4272</v>
      </c>
      <c r="N779" s="186"/>
      <c r="O779" s="186"/>
      <c r="P779" s="186"/>
      <c r="Q779" s="186"/>
      <c r="R779" s="186"/>
      <c r="S779" s="186"/>
      <c r="T779" s="186"/>
      <c r="U779" s="186"/>
      <c r="V779" s="186"/>
      <c r="W779" s="186"/>
      <c r="X779" s="186"/>
      <c r="Y779" s="186"/>
      <c r="Z779" s="186"/>
      <c r="AA779" s="186"/>
      <c r="AB779" s="186"/>
      <c r="AC779" s="186"/>
      <c r="AD779" s="268"/>
      <c r="AE779" s="268"/>
      <c r="AF779" s="144" t="str">
        <f t="shared" si="58"/>
        <v/>
      </c>
      <c r="AG779" s="144" t="str">
        <f t="shared" si="57"/>
        <v/>
      </c>
      <c r="AH779" s="146" t="str">
        <f t="shared" si="59"/>
        <v/>
      </c>
      <c r="AI779" s="146" t="str">
        <f t="shared" si="60"/>
        <v/>
      </c>
      <c r="AJ779" s="303"/>
      <c r="AK779" s="303"/>
      <c r="AL779" s="303"/>
      <c r="AM779" s="303"/>
      <c r="AN779" s="303"/>
      <c r="AO779" s="303"/>
      <c r="AP779" s="303"/>
      <c r="AQ779" s="303"/>
      <c r="AR779" s="303"/>
      <c r="AS779" s="170"/>
      <c r="AT779" s="170"/>
      <c r="AU779" s="310"/>
      <c r="AW779" s="294"/>
      <c r="AX779" s="294"/>
      <c r="AY779" s="294"/>
      <c r="AZ779" s="294"/>
      <c r="BA779" s="294"/>
      <c r="BB779" s="294"/>
      <c r="BC779" s="294"/>
      <c r="BD779" s="294"/>
      <c r="BE779" s="294"/>
      <c r="BF779" s="383"/>
      <c r="BG779" s="382">
        <f>340/1000/0.33/1.042</f>
        <v>0.98877450125050892</v>
      </c>
      <c r="BH779" s="278"/>
      <c r="BI779" s="365"/>
      <c r="BJ779" s="409"/>
    </row>
    <row r="780" spans="1:62" ht="15.75" customHeight="1" thickBot="1" x14ac:dyDescent="0.25">
      <c r="A780" s="156">
        <v>781</v>
      </c>
      <c r="B780" s="155">
        <v>1</v>
      </c>
      <c r="C780" s="148" t="s">
        <v>596</v>
      </c>
      <c r="D780" s="148" t="s">
        <v>2772</v>
      </c>
      <c r="E780" s="148" t="s">
        <v>2773</v>
      </c>
      <c r="F780" s="148" t="s">
        <v>2782</v>
      </c>
      <c r="G780" s="148"/>
      <c r="H780" s="148"/>
      <c r="I780" s="161"/>
      <c r="J780" s="161" t="s">
        <v>2784</v>
      </c>
      <c r="K780" s="161"/>
      <c r="L780" s="161" t="s">
        <v>9</v>
      </c>
      <c r="M780" s="453" t="s">
        <v>4272</v>
      </c>
      <c r="N780" s="186"/>
      <c r="O780" s="186"/>
      <c r="P780" s="186"/>
      <c r="Q780" s="186"/>
      <c r="R780" s="186"/>
      <c r="S780" s="186"/>
      <c r="T780" s="186"/>
      <c r="U780" s="186"/>
      <c r="V780" s="186"/>
      <c r="W780" s="186"/>
      <c r="X780" s="186"/>
      <c r="Y780" s="186"/>
      <c r="Z780" s="186"/>
      <c r="AA780" s="186"/>
      <c r="AB780" s="186"/>
      <c r="AC780" s="186"/>
      <c r="AD780" s="268"/>
      <c r="AE780" s="268"/>
      <c r="AF780" s="144" t="str">
        <f t="shared" si="58"/>
        <v/>
      </c>
      <c r="AG780" s="144" t="str">
        <f t="shared" si="57"/>
        <v/>
      </c>
      <c r="AH780" s="146" t="str">
        <f t="shared" si="59"/>
        <v/>
      </c>
      <c r="AI780" s="146" t="str">
        <f t="shared" si="60"/>
        <v/>
      </c>
      <c r="AJ780" s="303"/>
      <c r="AK780" s="303"/>
      <c r="AL780" s="303"/>
      <c r="AM780" s="303"/>
      <c r="AN780" s="303"/>
      <c r="AO780" s="303"/>
      <c r="AP780" s="303"/>
      <c r="AQ780" s="303"/>
      <c r="AR780" s="303"/>
      <c r="AS780" s="170"/>
      <c r="AT780" s="170"/>
      <c r="AU780" s="310"/>
      <c r="AW780" s="294"/>
      <c r="AX780" s="294"/>
      <c r="AY780" s="294"/>
      <c r="AZ780" s="294"/>
      <c r="BA780" s="294"/>
      <c r="BB780" s="294"/>
      <c r="BC780" s="294"/>
      <c r="BD780" s="294"/>
      <c r="BE780" s="294"/>
      <c r="BF780" s="383"/>
      <c r="BG780" s="382">
        <f>400/1000/2/1.042</f>
        <v>0.19193857965451055</v>
      </c>
      <c r="BH780" s="278"/>
      <c r="BI780" s="365"/>
      <c r="BJ780" s="409"/>
    </row>
    <row r="781" spans="1:62" ht="15.75" customHeight="1" thickBot="1" x14ac:dyDescent="0.25">
      <c r="A781" s="156">
        <v>782</v>
      </c>
      <c r="B781" s="155">
        <v>1</v>
      </c>
      <c r="C781" s="148" t="s">
        <v>596</v>
      </c>
      <c r="D781" s="148" t="s">
        <v>2772</v>
      </c>
      <c r="E781" s="148" t="s">
        <v>2773</v>
      </c>
      <c r="F781" s="148" t="s">
        <v>2783</v>
      </c>
      <c r="G781" s="148"/>
      <c r="H781" s="148"/>
      <c r="I781" s="161"/>
      <c r="J781" s="161" t="s">
        <v>2784</v>
      </c>
      <c r="K781" s="161"/>
      <c r="L781" s="161" t="s">
        <v>9</v>
      </c>
      <c r="M781" s="453" t="s">
        <v>4272</v>
      </c>
      <c r="N781" s="186"/>
      <c r="O781" s="186"/>
      <c r="P781" s="186"/>
      <c r="Q781" s="186"/>
      <c r="R781" s="186"/>
      <c r="S781" s="186"/>
      <c r="T781" s="186"/>
      <c r="U781" s="186"/>
      <c r="V781" s="186"/>
      <c r="W781" s="186"/>
      <c r="X781" s="186"/>
      <c r="Y781" s="186"/>
      <c r="Z781" s="186"/>
      <c r="AA781" s="186"/>
      <c r="AB781" s="186"/>
      <c r="AC781" s="186"/>
      <c r="AD781" s="268"/>
      <c r="AE781" s="268"/>
      <c r="AF781" s="144" t="str">
        <f t="shared" si="58"/>
        <v/>
      </c>
      <c r="AG781" s="144" t="str">
        <f t="shared" si="57"/>
        <v/>
      </c>
      <c r="AH781" s="146" t="str">
        <f t="shared" si="59"/>
        <v/>
      </c>
      <c r="AI781" s="146" t="str">
        <f t="shared" si="60"/>
        <v/>
      </c>
      <c r="AJ781" s="303"/>
      <c r="AK781" s="303"/>
      <c r="AL781" s="303"/>
      <c r="AM781" s="303"/>
      <c r="AN781" s="303"/>
      <c r="AO781" s="303"/>
      <c r="AP781" s="303"/>
      <c r="AQ781" s="303"/>
      <c r="AR781" s="303"/>
      <c r="AS781" s="170"/>
      <c r="AT781" s="170"/>
      <c r="AU781" s="310"/>
      <c r="AW781" s="294"/>
      <c r="AX781" s="294"/>
      <c r="AY781" s="294"/>
      <c r="AZ781" s="294"/>
      <c r="BA781" s="294"/>
      <c r="BB781" s="294"/>
      <c r="BC781" s="294"/>
      <c r="BD781" s="294"/>
      <c r="BE781" s="294"/>
      <c r="BF781" s="383"/>
      <c r="BG781" s="382">
        <f>340/1000/0.375/1.042</f>
        <v>0.87012156110044792</v>
      </c>
      <c r="BH781" s="278"/>
      <c r="BI781" s="365"/>
      <c r="BJ781" s="409"/>
    </row>
    <row r="782" spans="1:62" ht="15.75" customHeight="1" thickBot="1" x14ac:dyDescent="0.25">
      <c r="A782" s="156">
        <v>783</v>
      </c>
      <c r="B782" s="155">
        <v>1</v>
      </c>
      <c r="C782" s="148" t="s">
        <v>596</v>
      </c>
      <c r="D782" s="148" t="s">
        <v>2785</v>
      </c>
      <c r="E782" s="148" t="s">
        <v>2773</v>
      </c>
      <c r="F782" s="148" t="s">
        <v>2787</v>
      </c>
      <c r="G782" s="148"/>
      <c r="H782" s="148"/>
      <c r="I782" s="161">
        <v>2010</v>
      </c>
      <c r="J782" s="161" t="s">
        <v>2788</v>
      </c>
      <c r="K782" s="161" t="s">
        <v>2789</v>
      </c>
      <c r="L782" s="161" t="s">
        <v>83</v>
      </c>
      <c r="M782" s="453" t="s">
        <v>4273</v>
      </c>
      <c r="N782" s="186" t="s">
        <v>122</v>
      </c>
      <c r="O782" s="186" t="s">
        <v>292</v>
      </c>
      <c r="P782" s="186" t="s">
        <v>122</v>
      </c>
      <c r="Q782" s="186" t="s">
        <v>122</v>
      </c>
      <c r="R782" s="186" t="s">
        <v>122</v>
      </c>
      <c r="S782" s="186" t="s">
        <v>292</v>
      </c>
      <c r="T782" s="186" t="s">
        <v>292</v>
      </c>
      <c r="U782" s="186" t="s">
        <v>292</v>
      </c>
      <c r="V782" s="186" t="s">
        <v>292</v>
      </c>
      <c r="W782" s="186" t="s">
        <v>292</v>
      </c>
      <c r="X782" s="186" t="s">
        <v>292</v>
      </c>
      <c r="Y782" s="186" t="s">
        <v>292</v>
      </c>
      <c r="Z782" s="186" t="s">
        <v>292</v>
      </c>
      <c r="AA782" s="186"/>
      <c r="AB782" s="186"/>
      <c r="AC782" s="186"/>
      <c r="AD782" s="268" t="s">
        <v>2790</v>
      </c>
      <c r="AE782" s="268" t="s">
        <v>2812</v>
      </c>
      <c r="AF782" s="144" t="str">
        <f t="shared" si="58"/>
        <v/>
      </c>
      <c r="AG782" s="144" t="str">
        <f t="shared" si="57"/>
        <v/>
      </c>
      <c r="AH782" s="146">
        <f t="shared" si="59"/>
        <v>0.15445544554455445</v>
      </c>
      <c r="AI782" s="146">
        <f t="shared" si="60"/>
        <v>0.85940594059405928</v>
      </c>
      <c r="AJ782" s="303"/>
      <c r="AK782" s="303"/>
      <c r="AL782" s="303"/>
      <c r="AM782" s="303"/>
      <c r="AN782" s="303"/>
      <c r="AO782" s="303"/>
      <c r="AP782" s="303"/>
      <c r="AQ782" s="303"/>
      <c r="AR782" s="303"/>
      <c r="AS782" s="170"/>
      <c r="AT782" s="170"/>
      <c r="AU782" s="310"/>
      <c r="AW782" s="294">
        <f>(79+32+3+8+34)/1000/1.01</f>
        <v>0.15445544554455445</v>
      </c>
      <c r="AX782" s="294">
        <f>18/1000/1.01</f>
        <v>1.782178217821782E-2</v>
      </c>
      <c r="AY782" s="294">
        <f>694/1000/1.01</f>
        <v>0.68712871287128707</v>
      </c>
      <c r="AZ782" s="294">
        <f>(462+35+36)/1000/1.01</f>
        <v>0.52772277227722775</v>
      </c>
      <c r="BA782" s="294"/>
      <c r="BB782" s="294"/>
      <c r="BC782" s="294"/>
      <c r="BD782" s="294"/>
      <c r="BE782" s="294"/>
      <c r="BF782" s="383">
        <f>AW782</f>
        <v>0.15445544554455445</v>
      </c>
      <c r="BG782" s="382">
        <v>1.387128712871287</v>
      </c>
      <c r="BH782" s="278"/>
      <c r="BI782" s="365"/>
      <c r="BJ782" s="409"/>
    </row>
    <row r="783" spans="1:62" ht="15.75" customHeight="1" thickBot="1" x14ac:dyDescent="0.25">
      <c r="A783" s="156">
        <v>784</v>
      </c>
      <c r="B783" s="155">
        <v>1</v>
      </c>
      <c r="C783" s="148" t="s">
        <v>596</v>
      </c>
      <c r="D783" s="148" t="s">
        <v>2785</v>
      </c>
      <c r="E783" s="148" t="s">
        <v>2786</v>
      </c>
      <c r="F783" s="148"/>
      <c r="G783" s="148"/>
      <c r="H783" s="148"/>
      <c r="I783" s="161">
        <v>2010</v>
      </c>
      <c r="J783" s="161" t="s">
        <v>2788</v>
      </c>
      <c r="K783" s="161" t="s">
        <v>2789</v>
      </c>
      <c r="L783" s="161" t="s">
        <v>83</v>
      </c>
      <c r="M783" s="453" t="s">
        <v>4273</v>
      </c>
      <c r="N783" s="186" t="s">
        <v>122</v>
      </c>
      <c r="O783" s="186" t="s">
        <v>292</v>
      </c>
      <c r="P783" s="186" t="s">
        <v>122</v>
      </c>
      <c r="Q783" s="186" t="s">
        <v>122</v>
      </c>
      <c r="R783" s="186" t="s">
        <v>122</v>
      </c>
      <c r="S783" s="186" t="s">
        <v>292</v>
      </c>
      <c r="T783" s="186" t="s">
        <v>292</v>
      </c>
      <c r="U783" s="186" t="s">
        <v>292</v>
      </c>
      <c r="V783" s="186" t="s">
        <v>292</v>
      </c>
      <c r="W783" s="186" t="s">
        <v>292</v>
      </c>
      <c r="X783" s="186" t="s">
        <v>292</v>
      </c>
      <c r="Y783" s="186" t="s">
        <v>292</v>
      </c>
      <c r="Z783" s="186" t="s">
        <v>292</v>
      </c>
      <c r="AA783" s="186"/>
      <c r="AB783" s="186"/>
      <c r="AC783" s="186"/>
      <c r="AD783" s="268" t="s">
        <v>2790</v>
      </c>
      <c r="AE783" s="268" t="s">
        <v>2812</v>
      </c>
      <c r="AF783" s="144" t="str">
        <f t="shared" si="58"/>
        <v/>
      </c>
      <c r="AG783" s="144" t="str">
        <f t="shared" si="57"/>
        <v/>
      </c>
      <c r="AH783" s="146">
        <f t="shared" si="59"/>
        <v>0.15445544554455445</v>
      </c>
      <c r="AI783" s="146">
        <f t="shared" si="60"/>
        <v>0.83960396039603957</v>
      </c>
      <c r="AJ783" s="303"/>
      <c r="AK783" s="303"/>
      <c r="AL783" s="303"/>
      <c r="AM783" s="303"/>
      <c r="AN783" s="303"/>
      <c r="AO783" s="303"/>
      <c r="AP783" s="303"/>
      <c r="AQ783" s="303"/>
      <c r="AR783" s="303"/>
      <c r="AS783" s="170"/>
      <c r="AT783" s="170"/>
      <c r="AU783" s="310"/>
      <c r="AW783" s="294">
        <f>AW782</f>
        <v>0.15445544554455445</v>
      </c>
      <c r="AX783" s="294"/>
      <c r="AY783" s="294">
        <f>692/1000/1.01</f>
        <v>0.68514851485148509</v>
      </c>
      <c r="AZ783" s="294">
        <f>(24+40)/1000/1.01</f>
        <v>6.3366336633663367E-2</v>
      </c>
      <c r="BA783" s="294">
        <f>148/1000/1.01</f>
        <v>0.14653465346534653</v>
      </c>
      <c r="BB783" s="294"/>
      <c r="BC783" s="294"/>
      <c r="BD783" s="294"/>
      <c r="BE783" s="294"/>
      <c r="BF783" s="383">
        <f>AW783</f>
        <v>0.15445544554455445</v>
      </c>
      <c r="BG783" s="383">
        <v>1.0485148514851486</v>
      </c>
      <c r="BH783" s="278"/>
      <c r="BI783" s="365"/>
      <c r="BJ783" s="409"/>
    </row>
    <row r="784" spans="1:62" ht="15.75" customHeight="1" thickBot="1" x14ac:dyDescent="0.25">
      <c r="A784" s="156">
        <v>785</v>
      </c>
      <c r="B784" s="155">
        <v>1</v>
      </c>
      <c r="C784" s="148" t="s">
        <v>596</v>
      </c>
      <c r="D784" s="148" t="s">
        <v>2785</v>
      </c>
      <c r="E784" s="148" t="s">
        <v>2773</v>
      </c>
      <c r="F784" s="148" t="s">
        <v>2787</v>
      </c>
      <c r="G784" s="148"/>
      <c r="H784" s="148"/>
      <c r="I784" s="161">
        <v>2010</v>
      </c>
      <c r="J784" s="161" t="s">
        <v>2788</v>
      </c>
      <c r="K784" s="161" t="s">
        <v>2789</v>
      </c>
      <c r="L784" s="161" t="s">
        <v>83</v>
      </c>
      <c r="M784" s="453" t="s">
        <v>4273</v>
      </c>
      <c r="N784" s="186" t="s">
        <v>122</v>
      </c>
      <c r="O784" s="186" t="s">
        <v>292</v>
      </c>
      <c r="P784" s="186" t="s">
        <v>122</v>
      </c>
      <c r="Q784" s="186" t="s">
        <v>122</v>
      </c>
      <c r="R784" s="186" t="s">
        <v>122</v>
      </c>
      <c r="S784" s="186" t="s">
        <v>292</v>
      </c>
      <c r="T784" s="186" t="s">
        <v>292</v>
      </c>
      <c r="U784" s="186" t="s">
        <v>292</v>
      </c>
      <c r="V784" s="186" t="s">
        <v>292</v>
      </c>
      <c r="W784" s="186" t="s">
        <v>292</v>
      </c>
      <c r="X784" s="186" t="s">
        <v>292</v>
      </c>
      <c r="Y784" s="186" t="s">
        <v>292</v>
      </c>
      <c r="Z784" s="186" t="s">
        <v>292</v>
      </c>
      <c r="AA784" s="186"/>
      <c r="AB784" s="186"/>
      <c r="AC784" s="186"/>
      <c r="AD784" s="268" t="s">
        <v>2790</v>
      </c>
      <c r="AE784" s="268" t="s">
        <v>2812</v>
      </c>
      <c r="AF784" s="144" t="str">
        <f t="shared" si="58"/>
        <v/>
      </c>
      <c r="AG784" s="144" t="str">
        <f t="shared" si="57"/>
        <v/>
      </c>
      <c r="AH784" s="146">
        <f t="shared" si="59"/>
        <v>0.33564356435643561</v>
      </c>
      <c r="AI784" s="146">
        <f t="shared" si="60"/>
        <v>0.82178217821782173</v>
      </c>
      <c r="AJ784" s="303"/>
      <c r="AK784" s="303"/>
      <c r="AL784" s="303"/>
      <c r="AM784" s="303"/>
      <c r="AN784" s="303"/>
      <c r="AO784" s="303"/>
      <c r="AP784" s="303"/>
      <c r="AQ784" s="303"/>
      <c r="AR784" s="303"/>
      <c r="AS784" s="170"/>
      <c r="AT784" s="170"/>
      <c r="AU784" s="310"/>
      <c r="AW784" s="294">
        <f>((249)/1000/1.01)+(((360/4))/1000/1.01)</f>
        <v>0.33564356435643561</v>
      </c>
      <c r="AX784" s="294">
        <f>((277)/1000/1.01)+(((360/4))/1000/1.01)</f>
        <v>0.36336633663366336</v>
      </c>
      <c r="AY784" s="294">
        <f>(34/1000/1.01)+(((360/4))/1000/1.01)</f>
        <v>0.12277227722772277</v>
      </c>
      <c r="AZ784" s="294">
        <f>(89/1000/1.01)+(((360/4))/1000/1.01)</f>
        <v>0.17722772277227722</v>
      </c>
      <c r="BA784" s="294"/>
      <c r="BB784" s="294"/>
      <c r="BC784" s="294"/>
      <c r="BD784" s="294"/>
      <c r="BE784" s="294"/>
      <c r="BF784" s="383">
        <f>AW784</f>
        <v>0.33564356435643561</v>
      </c>
      <c r="BG784" s="383">
        <v>1.0138613861386139</v>
      </c>
      <c r="BH784" s="278"/>
      <c r="BI784" s="365"/>
      <c r="BJ784" s="409"/>
    </row>
    <row r="785" spans="1:62" ht="15.75" customHeight="1" thickBot="1" x14ac:dyDescent="0.25">
      <c r="A785" s="156">
        <v>786</v>
      </c>
      <c r="B785" s="155">
        <v>1</v>
      </c>
      <c r="C785" s="148" t="s">
        <v>596</v>
      </c>
      <c r="D785" s="148" t="s">
        <v>2785</v>
      </c>
      <c r="E785" s="148" t="s">
        <v>2786</v>
      </c>
      <c r="F785" s="148"/>
      <c r="G785" s="148"/>
      <c r="H785" s="148"/>
      <c r="I785" s="161">
        <v>2010</v>
      </c>
      <c r="J785" s="161" t="s">
        <v>2788</v>
      </c>
      <c r="K785" s="161" t="s">
        <v>2789</v>
      </c>
      <c r="L785" s="161" t="s">
        <v>83</v>
      </c>
      <c r="M785" s="453" t="s">
        <v>4273</v>
      </c>
      <c r="N785" s="186" t="s">
        <v>122</v>
      </c>
      <c r="O785" s="186" t="s">
        <v>292</v>
      </c>
      <c r="P785" s="186" t="s">
        <v>122</v>
      </c>
      <c r="Q785" s="186" t="s">
        <v>122</v>
      </c>
      <c r="R785" s="186" t="s">
        <v>122</v>
      </c>
      <c r="S785" s="186" t="s">
        <v>292</v>
      </c>
      <c r="T785" s="186" t="s">
        <v>292</v>
      </c>
      <c r="U785" s="186" t="s">
        <v>292</v>
      </c>
      <c r="V785" s="186" t="s">
        <v>292</v>
      </c>
      <c r="W785" s="186" t="s">
        <v>292</v>
      </c>
      <c r="X785" s="186" t="s">
        <v>292</v>
      </c>
      <c r="Y785" s="186" t="s">
        <v>292</v>
      </c>
      <c r="Z785" s="186" t="s">
        <v>292</v>
      </c>
      <c r="AA785" s="186"/>
      <c r="AB785" s="186"/>
      <c r="AC785" s="186"/>
      <c r="AD785" s="268" t="s">
        <v>2790</v>
      </c>
      <c r="AE785" s="268" t="s">
        <v>2812</v>
      </c>
      <c r="AF785" s="144" t="str">
        <f t="shared" si="58"/>
        <v/>
      </c>
      <c r="AG785" s="144" t="str">
        <f t="shared" si="57"/>
        <v/>
      </c>
      <c r="AH785" s="146">
        <f t="shared" si="59"/>
        <v>0.33589108910891086</v>
      </c>
      <c r="AI785" s="146">
        <f t="shared" si="60"/>
        <v>0.82351485148514847</v>
      </c>
      <c r="AJ785" s="303"/>
      <c r="AK785" s="303"/>
      <c r="AL785" s="303"/>
      <c r="AM785" s="303"/>
      <c r="AN785" s="303"/>
      <c r="AO785" s="303"/>
      <c r="AP785" s="303"/>
      <c r="AQ785" s="303"/>
      <c r="AR785" s="303"/>
      <c r="AS785" s="170"/>
      <c r="AT785" s="170"/>
      <c r="AU785" s="310"/>
      <c r="AW785" s="294">
        <f>((249)/1000/1.01)+(((361/4))/1000/1.01)</f>
        <v>0.33589108910891086</v>
      </c>
      <c r="AX785" s="294">
        <f>((277)/1000/1.01)+(((361/4))/1000/1.01)</f>
        <v>0.3636138613861386</v>
      </c>
      <c r="AY785" s="294">
        <f>(35/1000/1.01)+(((361/4))/1000/1.01)</f>
        <v>0.12400990099009901</v>
      </c>
      <c r="AZ785" s="294">
        <f>(103/1000/1.01)+(((361/4))/1000/1.01)</f>
        <v>0.19133663366336634</v>
      </c>
      <c r="BA785" s="294"/>
      <c r="BB785" s="294"/>
      <c r="BC785" s="294"/>
      <c r="BD785" s="294"/>
      <c r="BE785" s="294"/>
      <c r="BF785" s="383">
        <f>AW785</f>
        <v>0.33589108910891086</v>
      </c>
      <c r="BG785" s="383">
        <v>1</v>
      </c>
      <c r="BH785" s="278"/>
      <c r="BI785" s="365"/>
      <c r="BJ785" s="409"/>
    </row>
    <row r="786" spans="1:62" ht="15.75" customHeight="1" thickBot="1" x14ac:dyDescent="0.25">
      <c r="A786" s="156">
        <v>787</v>
      </c>
      <c r="B786" s="155">
        <v>1</v>
      </c>
      <c r="C786" s="148" t="s">
        <v>596</v>
      </c>
      <c r="D786" s="148" t="s">
        <v>2785</v>
      </c>
      <c r="E786" s="148"/>
      <c r="F786" s="148"/>
      <c r="G786" s="148"/>
      <c r="H786" s="148"/>
      <c r="I786" s="161">
        <v>2010</v>
      </c>
      <c r="J786" s="161" t="s">
        <v>2788</v>
      </c>
      <c r="K786" s="161" t="s">
        <v>2789</v>
      </c>
      <c r="L786" s="161" t="s">
        <v>83</v>
      </c>
      <c r="M786" s="453" t="s">
        <v>4273</v>
      </c>
      <c r="N786" s="186"/>
      <c r="O786" s="186"/>
      <c r="P786" s="186"/>
      <c r="Q786" s="186"/>
      <c r="R786" s="186"/>
      <c r="S786" s="186"/>
      <c r="T786" s="186"/>
      <c r="U786" s="186"/>
      <c r="V786" s="186"/>
      <c r="W786" s="186"/>
      <c r="X786" s="186"/>
      <c r="Y786" s="186"/>
      <c r="Z786" s="186"/>
      <c r="AA786" s="186"/>
      <c r="AB786" s="186"/>
      <c r="AC786" s="186"/>
      <c r="AD786" s="268" t="s">
        <v>2790</v>
      </c>
      <c r="AE786" s="268" t="s">
        <v>2812</v>
      </c>
      <c r="AF786" s="144" t="str">
        <f t="shared" si="58"/>
        <v/>
      </c>
      <c r="AG786" s="144" t="str">
        <f t="shared" si="57"/>
        <v/>
      </c>
      <c r="AH786" s="146">
        <f t="shared" si="59"/>
        <v>0.29273927392739274</v>
      </c>
      <c r="AI786" s="146">
        <f t="shared" si="60"/>
        <v>0.40033003300330033</v>
      </c>
      <c r="AJ786" s="303"/>
      <c r="AK786" s="303"/>
      <c r="AL786" s="303"/>
      <c r="AM786" s="303"/>
      <c r="AN786" s="303"/>
      <c r="AO786" s="303"/>
      <c r="AP786" s="303"/>
      <c r="AQ786" s="303"/>
      <c r="AR786" s="303"/>
      <c r="AS786" s="170"/>
      <c r="AT786" s="170"/>
      <c r="AU786" s="310"/>
      <c r="AW786" s="294">
        <f>((189+90)/1000/1.01)+(((100/6))/1000/1.01)</f>
        <v>0.29273927392739274</v>
      </c>
      <c r="AX786" s="294"/>
      <c r="AY786" s="294">
        <f>((34+58)/1000/1.01)+(((100/6))/1000/1.01)</f>
        <v>0.10759075907590759</v>
      </c>
      <c r="AZ786" s="294">
        <f>((323+34)/1000/1.01)+(((100/6))/1000/1.01)</f>
        <v>0.36996699669966993</v>
      </c>
      <c r="BA786" s="294">
        <f>(126/1000/1.01)+(((100/6))/1000/1.01)</f>
        <v>0.14125412541254126</v>
      </c>
      <c r="BB786" s="294">
        <f>(421/1000/1.01)+(((100/6))/1000/1.01)</f>
        <v>0.43333333333333329</v>
      </c>
      <c r="BC786" s="294">
        <f>(123/1000/1.01)+(((100/6))/1000/1.01)</f>
        <v>0.13828382838283829</v>
      </c>
      <c r="BD786" s="294"/>
      <c r="BE786" s="294"/>
      <c r="BF786" s="383">
        <f>AW786</f>
        <v>0.29273927392739274</v>
      </c>
      <c r="BG786" s="383">
        <f>1498/1000/1.01</f>
        <v>1.4831683168316832</v>
      </c>
      <c r="BH786" s="278"/>
      <c r="BI786" s="365"/>
      <c r="BJ786" s="409"/>
    </row>
    <row r="787" spans="1:62" ht="15.75" customHeight="1" thickBot="1" x14ac:dyDescent="0.25">
      <c r="A787" s="156">
        <v>788</v>
      </c>
      <c r="B787" s="155">
        <v>1</v>
      </c>
      <c r="C787" s="148" t="s">
        <v>596</v>
      </c>
      <c r="D787" s="148" t="s">
        <v>2785</v>
      </c>
      <c r="E787" s="148" t="s">
        <v>2792</v>
      </c>
      <c r="F787" s="148"/>
      <c r="G787" s="148"/>
      <c r="H787" s="148"/>
      <c r="I787" s="161">
        <v>2010</v>
      </c>
      <c r="J787" s="161" t="s">
        <v>2788</v>
      </c>
      <c r="K787" s="161" t="s">
        <v>2789</v>
      </c>
      <c r="L787" s="161" t="s">
        <v>83</v>
      </c>
      <c r="M787" s="453" t="s">
        <v>4273</v>
      </c>
      <c r="N787" s="186" t="s">
        <v>122</v>
      </c>
      <c r="O787" s="186" t="s">
        <v>292</v>
      </c>
      <c r="P787" s="186" t="s">
        <v>122</v>
      </c>
      <c r="Q787" s="186" t="s">
        <v>122</v>
      </c>
      <c r="R787" s="186" t="s">
        <v>122</v>
      </c>
      <c r="S787" s="186" t="s">
        <v>292</v>
      </c>
      <c r="T787" s="186" t="s">
        <v>122</v>
      </c>
      <c r="U787" s="186" t="s">
        <v>292</v>
      </c>
      <c r="V787" s="186" t="s">
        <v>122</v>
      </c>
      <c r="W787" s="186"/>
      <c r="X787" s="186"/>
      <c r="Y787" s="186"/>
      <c r="Z787" s="186"/>
      <c r="AA787" s="186" t="s">
        <v>2793</v>
      </c>
      <c r="AB787" s="186"/>
      <c r="AC787" s="186"/>
      <c r="AD787" s="268" t="s">
        <v>2790</v>
      </c>
      <c r="AE787" s="268" t="s">
        <v>2812</v>
      </c>
      <c r="AF787" s="144" t="str">
        <f t="shared" si="58"/>
        <v/>
      </c>
      <c r="AG787" s="144" t="str">
        <f t="shared" ref="AG787:AG850" si="61">IF(AND(SUM(AJ787:AL787)&lt;&gt;0,SUM(AJ787:AL787)&lt;&gt;AJ787),SUM(AJ787:AL787),"")</f>
        <v/>
      </c>
      <c r="AH787" s="146" t="str">
        <f t="shared" si="59"/>
        <v/>
      </c>
      <c r="AI787" s="146" t="str">
        <f t="shared" si="60"/>
        <v/>
      </c>
      <c r="AJ787" s="303"/>
      <c r="AK787" s="303"/>
      <c r="AL787" s="303"/>
      <c r="AM787" s="303"/>
      <c r="AN787" s="303"/>
      <c r="AO787" s="303"/>
      <c r="AP787" s="303"/>
      <c r="AQ787" s="303"/>
      <c r="AR787" s="303"/>
      <c r="AS787" s="170"/>
      <c r="AT787" s="170"/>
      <c r="AU787" s="310"/>
      <c r="AW787" s="294"/>
      <c r="AX787" s="294"/>
      <c r="AY787" s="294"/>
      <c r="AZ787" s="294"/>
      <c r="BA787" s="294"/>
      <c r="BB787" s="294"/>
      <c r="BC787" s="294"/>
      <c r="BD787" s="294"/>
      <c r="BE787" s="294"/>
      <c r="BF787" s="383"/>
      <c r="BG787" s="383"/>
      <c r="BH787" s="278"/>
      <c r="BI787" s="365"/>
      <c r="BJ787" s="409"/>
    </row>
    <row r="788" spans="1:62" ht="15.75" customHeight="1" thickBot="1" x14ac:dyDescent="0.25">
      <c r="A788" s="156">
        <v>789</v>
      </c>
      <c r="B788" s="155">
        <v>1</v>
      </c>
      <c r="C788" s="148" t="s">
        <v>596</v>
      </c>
      <c r="D788" s="148" t="s">
        <v>2785</v>
      </c>
      <c r="E788" s="148" t="s">
        <v>2798</v>
      </c>
      <c r="F788" s="148" t="s">
        <v>2794</v>
      </c>
      <c r="G788" s="148"/>
      <c r="H788" s="148"/>
      <c r="I788" s="161">
        <v>2008</v>
      </c>
      <c r="J788" s="161" t="s">
        <v>2797</v>
      </c>
      <c r="K788" s="161"/>
      <c r="L788" s="161" t="s">
        <v>83</v>
      </c>
      <c r="M788" s="453" t="s">
        <v>4274</v>
      </c>
      <c r="N788" s="186" t="s">
        <v>122</v>
      </c>
      <c r="O788" s="186" t="s">
        <v>292</v>
      </c>
      <c r="P788" s="186" t="s">
        <v>122</v>
      </c>
      <c r="Q788" s="186" t="s">
        <v>122</v>
      </c>
      <c r="R788" s="186" t="s">
        <v>122</v>
      </c>
      <c r="S788" s="186" t="s">
        <v>122</v>
      </c>
      <c r="T788" s="186" t="s">
        <v>122</v>
      </c>
      <c r="U788" s="186" t="s">
        <v>122</v>
      </c>
      <c r="V788" s="186" t="s">
        <v>122</v>
      </c>
      <c r="W788" s="186" t="s">
        <v>292</v>
      </c>
      <c r="X788" s="186" t="s">
        <v>292</v>
      </c>
      <c r="Y788" s="186" t="s">
        <v>292</v>
      </c>
      <c r="Z788" s="186"/>
      <c r="AA788" s="186"/>
      <c r="AB788" s="186" t="s">
        <v>292</v>
      </c>
      <c r="AC788" s="186"/>
      <c r="AD788" s="268" t="s">
        <v>2795</v>
      </c>
      <c r="AE788" s="268" t="s">
        <v>2796</v>
      </c>
      <c r="AF788" s="144" t="str">
        <f t="shared" si="58"/>
        <v/>
      </c>
      <c r="AG788" s="144" t="str">
        <f t="shared" si="61"/>
        <v/>
      </c>
      <c r="AH788" s="146">
        <f t="shared" si="59"/>
        <v>0.28101438189178912</v>
      </c>
      <c r="AI788" s="146">
        <f t="shared" si="60"/>
        <v>0.38514661477554857</v>
      </c>
      <c r="AJ788" s="303"/>
      <c r="AK788" s="303"/>
      <c r="AL788" s="303"/>
      <c r="AM788" s="303"/>
      <c r="AN788" s="303"/>
      <c r="AO788" s="303"/>
      <c r="AP788" s="303"/>
      <c r="AQ788" s="303"/>
      <c r="AR788" s="303"/>
      <c r="AS788" s="170"/>
      <c r="AT788" s="170"/>
      <c r="AU788" s="310"/>
      <c r="AW788" s="294">
        <v>0.28101438189178912</v>
      </c>
      <c r="AX788" s="294"/>
      <c r="AY788" s="294">
        <v>0.10413223288375942</v>
      </c>
      <c r="AZ788" s="294">
        <v>0.3566172359032857</v>
      </c>
      <c r="BA788" s="294">
        <v>0.13551454964324858</v>
      </c>
      <c r="BB788" s="294">
        <v>0.41652893153503773</v>
      </c>
      <c r="BC788" s="294">
        <v>0.13266161175602229</v>
      </c>
      <c r="BD788" s="294"/>
      <c r="BE788" s="294"/>
      <c r="BF788" s="383">
        <f t="shared" ref="BF788:BF796" si="62">AW788</f>
        <v>0.28101438189178912</v>
      </c>
      <c r="BG788" s="383">
        <v>1.4829627631621782</v>
      </c>
      <c r="BH788" s="278"/>
      <c r="BI788" s="365"/>
      <c r="BJ788" s="409"/>
    </row>
    <row r="789" spans="1:62" ht="15.75" customHeight="1" thickBot="1" x14ac:dyDescent="0.25">
      <c r="A789" s="156">
        <v>790</v>
      </c>
      <c r="B789" s="155">
        <v>1</v>
      </c>
      <c r="C789" s="148" t="s">
        <v>596</v>
      </c>
      <c r="D789" s="148" t="s">
        <v>2785</v>
      </c>
      <c r="E789" s="148" t="s">
        <v>2773</v>
      </c>
      <c r="F789" s="148" t="s">
        <v>2799</v>
      </c>
      <c r="G789" s="148" t="s">
        <v>292</v>
      </c>
      <c r="H789" s="148"/>
      <c r="I789" s="161">
        <v>2012</v>
      </c>
      <c r="J789" s="161" t="s">
        <v>2801</v>
      </c>
      <c r="K789" s="161"/>
      <c r="L789" s="161" t="s">
        <v>83</v>
      </c>
      <c r="M789" s="453" t="s">
        <v>4275</v>
      </c>
      <c r="N789" s="186" t="s">
        <v>122</v>
      </c>
      <c r="O789" s="186" t="s">
        <v>292</v>
      </c>
      <c r="P789" s="186" t="s">
        <v>122</v>
      </c>
      <c r="Q789" s="186" t="s">
        <v>122</v>
      </c>
      <c r="R789" s="186" t="s">
        <v>122</v>
      </c>
      <c r="S789" s="186" t="s">
        <v>122</v>
      </c>
      <c r="T789" s="186" t="s">
        <v>122</v>
      </c>
      <c r="U789" s="186" t="s">
        <v>122</v>
      </c>
      <c r="V789" s="186" t="s">
        <v>122</v>
      </c>
      <c r="W789" s="186" t="s">
        <v>292</v>
      </c>
      <c r="X789" s="186" t="s">
        <v>292</v>
      </c>
      <c r="Y789" s="186" t="s">
        <v>292</v>
      </c>
      <c r="Z789" s="186"/>
      <c r="AA789" s="186"/>
      <c r="AB789" s="186" t="s">
        <v>292</v>
      </c>
      <c r="AC789" s="186"/>
      <c r="AD789" s="268" t="s">
        <v>2802</v>
      </c>
      <c r="AE789" s="268" t="s">
        <v>2791</v>
      </c>
      <c r="AF789" s="144" t="str">
        <f t="shared" si="58"/>
        <v/>
      </c>
      <c r="AG789" s="144" t="str">
        <f t="shared" si="61"/>
        <v/>
      </c>
      <c r="AH789" s="146">
        <f t="shared" si="59"/>
        <v>0.16176237623762377</v>
      </c>
      <c r="AI789" s="146">
        <f t="shared" si="60"/>
        <v>0.26572277227722774</v>
      </c>
      <c r="AJ789" s="303"/>
      <c r="AK789" s="303"/>
      <c r="AL789" s="303"/>
      <c r="AM789" s="303"/>
      <c r="AN789" s="303"/>
      <c r="AO789" s="303"/>
      <c r="AP789" s="303"/>
      <c r="AQ789" s="303"/>
      <c r="AR789" s="303"/>
      <c r="AS789" s="170"/>
      <c r="AT789" s="170"/>
      <c r="AU789" s="310"/>
      <c r="AW789" s="294">
        <f>BG789*0.389</f>
        <v>0.16176237623762377</v>
      </c>
      <c r="AX789" s="294"/>
      <c r="AY789" s="294">
        <f>BG789*0.25</f>
        <v>0.10396039603960396</v>
      </c>
      <c r="AZ789" s="294">
        <f>0.131*BG789</f>
        <v>5.4475247524752475E-2</v>
      </c>
      <c r="BA789" s="294">
        <f>0.125*BG789</f>
        <v>5.1980198019801978E-2</v>
      </c>
      <c r="BB789" s="294">
        <f>0.051*BG789</f>
        <v>2.1207920792079206E-2</v>
      </c>
      <c r="BC789" s="294"/>
      <c r="BD789" s="294"/>
      <c r="BE789" s="294"/>
      <c r="BF789" s="383">
        <f t="shared" si="62"/>
        <v>0.16176237623762377</v>
      </c>
      <c r="BG789" s="383">
        <v>0.41584158415841582</v>
      </c>
      <c r="BH789" s="278"/>
      <c r="BI789" s="365"/>
      <c r="BJ789" s="409"/>
    </row>
    <row r="790" spans="1:62" ht="15.75" customHeight="1" thickBot="1" x14ac:dyDescent="0.25">
      <c r="A790" s="156">
        <v>791</v>
      </c>
      <c r="B790" s="155">
        <v>1</v>
      </c>
      <c r="C790" s="148" t="s">
        <v>596</v>
      </c>
      <c r="D790" s="148" t="s">
        <v>2785</v>
      </c>
      <c r="E790" s="148" t="s">
        <v>1246</v>
      </c>
      <c r="F790" s="148" t="s">
        <v>2800</v>
      </c>
      <c r="G790" s="148" t="s">
        <v>292</v>
      </c>
      <c r="H790" s="148"/>
      <c r="I790" s="161">
        <v>2012</v>
      </c>
      <c r="J790" s="161" t="s">
        <v>2801</v>
      </c>
      <c r="K790" s="161"/>
      <c r="L790" s="161" t="s">
        <v>83</v>
      </c>
      <c r="M790" s="453" t="s">
        <v>4275</v>
      </c>
      <c r="N790" s="186" t="s">
        <v>122</v>
      </c>
      <c r="O790" s="186" t="s">
        <v>292</v>
      </c>
      <c r="P790" s="186" t="s">
        <v>122</v>
      </c>
      <c r="Q790" s="186" t="s">
        <v>122</v>
      </c>
      <c r="R790" s="186" t="s">
        <v>122</v>
      </c>
      <c r="S790" s="186" t="s">
        <v>122</v>
      </c>
      <c r="T790" s="186" t="s">
        <v>122</v>
      </c>
      <c r="U790" s="186" t="s">
        <v>122</v>
      </c>
      <c r="V790" s="186" t="s">
        <v>122</v>
      </c>
      <c r="W790" s="186" t="s">
        <v>292</v>
      </c>
      <c r="X790" s="186" t="s">
        <v>292</v>
      </c>
      <c r="Y790" s="186" t="s">
        <v>292</v>
      </c>
      <c r="Z790" s="186"/>
      <c r="AA790" s="186"/>
      <c r="AB790" s="186" t="s">
        <v>292</v>
      </c>
      <c r="AC790" s="186"/>
      <c r="AD790" s="268" t="s">
        <v>2802</v>
      </c>
      <c r="AE790" s="268" t="s">
        <v>2791</v>
      </c>
      <c r="AF790" s="144" t="str">
        <f t="shared" si="58"/>
        <v/>
      </c>
      <c r="AG790" s="144" t="str">
        <f t="shared" si="61"/>
        <v/>
      </c>
      <c r="AH790" s="146">
        <f t="shared" si="59"/>
        <v>0.29584158415841588</v>
      </c>
      <c r="AI790" s="146">
        <f t="shared" si="60"/>
        <v>0.40099009900990101</v>
      </c>
      <c r="AJ790" s="303"/>
      <c r="AK790" s="303"/>
      <c r="AL790" s="303"/>
      <c r="AM790" s="303"/>
      <c r="AN790" s="303"/>
      <c r="AO790" s="303"/>
      <c r="AP790" s="303"/>
      <c r="AQ790" s="303"/>
      <c r="AR790" s="303"/>
      <c r="AS790" s="170"/>
      <c r="AT790" s="170"/>
      <c r="AU790" s="310"/>
      <c r="AW790" s="294">
        <f>0.332*BG790</f>
        <v>0.29584158415841588</v>
      </c>
      <c r="AX790" s="294"/>
      <c r="AY790" s="294">
        <f>0.118*BG790</f>
        <v>0.10514851485148514</v>
      </c>
      <c r="AZ790" s="294">
        <f>0.422*BG790</f>
        <v>0.37603960396039604</v>
      </c>
      <c r="BA790" s="294">
        <f>0.077*BG790</f>
        <v>6.8613861386138619E-2</v>
      </c>
      <c r="BB790" s="294">
        <f>0.033*BG790</f>
        <v>2.9405940594059408E-2</v>
      </c>
      <c r="BC790" s="294"/>
      <c r="BD790" s="294"/>
      <c r="BE790" s="294"/>
      <c r="BF790" s="383">
        <f t="shared" si="62"/>
        <v>0.29584158415841588</v>
      </c>
      <c r="BG790" s="383">
        <v>0.8910891089108911</v>
      </c>
      <c r="BH790" s="278"/>
      <c r="BI790" s="365"/>
      <c r="BJ790" s="409"/>
    </row>
    <row r="791" spans="1:62" ht="15.75" customHeight="1" thickBot="1" x14ac:dyDescent="0.25">
      <c r="A791" s="156">
        <v>792</v>
      </c>
      <c r="B791" s="155">
        <v>1</v>
      </c>
      <c r="C791" s="148" t="s">
        <v>596</v>
      </c>
      <c r="D791" s="148" t="s">
        <v>2785</v>
      </c>
      <c r="E791" s="148" t="s">
        <v>2773</v>
      </c>
      <c r="F791" s="148" t="s">
        <v>2803</v>
      </c>
      <c r="G791" s="148"/>
      <c r="H791" s="148" t="s">
        <v>108</v>
      </c>
      <c r="I791" s="161">
        <v>2016</v>
      </c>
      <c r="J791" s="161" t="s">
        <v>2806</v>
      </c>
      <c r="K791" s="161" t="s">
        <v>2807</v>
      </c>
      <c r="L791" s="161" t="s">
        <v>19</v>
      </c>
      <c r="M791" s="453" t="s">
        <v>4276</v>
      </c>
      <c r="N791" s="186" t="s">
        <v>122</v>
      </c>
      <c r="O791" s="186" t="s">
        <v>292</v>
      </c>
      <c r="P791" s="186" t="s">
        <v>122</v>
      </c>
      <c r="Q791" s="186" t="s">
        <v>122</v>
      </c>
      <c r="R791" s="186" t="s">
        <v>122</v>
      </c>
      <c r="S791" s="186" t="s">
        <v>122</v>
      </c>
      <c r="T791" s="186" t="s">
        <v>122</v>
      </c>
      <c r="U791" s="186" t="s">
        <v>292</v>
      </c>
      <c r="V791" s="186" t="s">
        <v>292</v>
      </c>
      <c r="W791" s="186" t="s">
        <v>292</v>
      </c>
      <c r="X791" s="186" t="s">
        <v>292</v>
      </c>
      <c r="Y791" s="186" t="s">
        <v>292</v>
      </c>
      <c r="Z791" s="186"/>
      <c r="AA791" s="186"/>
      <c r="AB791" s="186" t="s">
        <v>292</v>
      </c>
      <c r="AC791" s="186"/>
      <c r="AD791" s="268" t="s">
        <v>2802</v>
      </c>
      <c r="AE791" s="268" t="s">
        <v>2791</v>
      </c>
      <c r="AF791" s="144">
        <f t="shared" si="58"/>
        <v>5.7364150943396197</v>
      </c>
      <c r="AG791" s="144">
        <f t="shared" si="61"/>
        <v>7.0594339622641495</v>
      </c>
      <c r="AH791" s="146">
        <f t="shared" si="59"/>
        <v>0.19801980198019803</v>
      </c>
      <c r="AI791" s="146">
        <f t="shared" si="60"/>
        <v>0.27326732673267329</v>
      </c>
      <c r="AJ791" s="303">
        <v>5.7364150943396197</v>
      </c>
      <c r="AK791" s="303"/>
      <c r="AL791" s="303">
        <v>1.3230188679245301</v>
      </c>
      <c r="AM791" s="303">
        <v>7.4056603773584904</v>
      </c>
      <c r="AN791" s="303">
        <v>0.29622641509433961</v>
      </c>
      <c r="AO791" s="303"/>
      <c r="AP791" s="303"/>
      <c r="AQ791" s="303">
        <v>0.14811320754716981</v>
      </c>
      <c r="AR791" s="303"/>
      <c r="AS791" s="170">
        <f>AJ791</f>
        <v>5.7364150943396197</v>
      </c>
      <c r="AT791" s="170">
        <f>(15.7*1000)/1060</f>
        <v>14.811320754716981</v>
      </c>
      <c r="AU791" s="310"/>
      <c r="AW791" s="294">
        <f>200/1000/1.01</f>
        <v>0.19801980198019803</v>
      </c>
      <c r="AX791" s="294"/>
      <c r="AY791" s="294">
        <f>76/1000/1.01</f>
        <v>7.5247524752475245E-2</v>
      </c>
      <c r="AZ791" s="294">
        <f>371/1000/1.01</f>
        <v>0.36732673267326732</v>
      </c>
      <c r="BA791" s="294">
        <f>24/1000/1.01</f>
        <v>2.3762376237623763E-2</v>
      </c>
      <c r="BB791" s="294">
        <f>154/1000/1.01</f>
        <v>0.15247524752475247</v>
      </c>
      <c r="BC791" s="294"/>
      <c r="BD791" s="294">
        <f>51/1000/1.01</f>
        <v>5.0495049504950491E-2</v>
      </c>
      <c r="BE791" s="294"/>
      <c r="BF791" s="383">
        <f t="shared" si="62"/>
        <v>0.19801980198019803</v>
      </c>
      <c r="BG791" s="383">
        <v>0.86732673267326732</v>
      </c>
      <c r="BH791" s="278"/>
      <c r="BI791" s="365" t="s">
        <v>990</v>
      </c>
      <c r="BJ791" s="409"/>
    </row>
    <row r="792" spans="1:62" ht="15.75" customHeight="1" thickBot="1" x14ac:dyDescent="0.25">
      <c r="A792" s="156">
        <v>793</v>
      </c>
      <c r="B792" s="155">
        <v>1</v>
      </c>
      <c r="C792" s="148" t="s">
        <v>596</v>
      </c>
      <c r="D792" s="148" t="s">
        <v>2785</v>
      </c>
      <c r="E792" s="148" t="s">
        <v>1246</v>
      </c>
      <c r="F792" s="148" t="s">
        <v>2804</v>
      </c>
      <c r="G792" s="148"/>
      <c r="H792" s="148" t="s">
        <v>108</v>
      </c>
      <c r="I792" s="161">
        <v>2016</v>
      </c>
      <c r="J792" s="161" t="s">
        <v>2806</v>
      </c>
      <c r="K792" s="161" t="s">
        <v>2807</v>
      </c>
      <c r="L792" s="161" t="s">
        <v>19</v>
      </c>
      <c r="M792" s="453" t="s">
        <v>4276</v>
      </c>
      <c r="N792" s="186" t="s">
        <v>122</v>
      </c>
      <c r="O792" s="186" t="s">
        <v>292</v>
      </c>
      <c r="P792" s="186" t="s">
        <v>122</v>
      </c>
      <c r="Q792" s="186" t="s">
        <v>122</v>
      </c>
      <c r="R792" s="186" t="s">
        <v>122</v>
      </c>
      <c r="S792" s="186" t="s">
        <v>122</v>
      </c>
      <c r="T792" s="186" t="s">
        <v>122</v>
      </c>
      <c r="U792" s="186" t="s">
        <v>292</v>
      </c>
      <c r="V792" s="186" t="s">
        <v>292</v>
      </c>
      <c r="W792" s="186" t="s">
        <v>292</v>
      </c>
      <c r="X792" s="186" t="s">
        <v>292</v>
      </c>
      <c r="Y792" s="186" t="s">
        <v>292</v>
      </c>
      <c r="Z792" s="186"/>
      <c r="AA792" s="186"/>
      <c r="AB792" s="186" t="s">
        <v>292</v>
      </c>
      <c r="AC792" s="186"/>
      <c r="AD792" s="268" t="s">
        <v>2802</v>
      </c>
      <c r="AE792" s="268" t="s">
        <v>2791</v>
      </c>
      <c r="AF792" s="144">
        <f t="shared" si="58"/>
        <v>6.3962264150943389</v>
      </c>
      <c r="AG792" s="144">
        <f t="shared" si="61"/>
        <v>7.9952830188679238</v>
      </c>
      <c r="AH792" s="146">
        <f t="shared" si="59"/>
        <v>0.19702970297029704</v>
      </c>
      <c r="AI792" s="146">
        <f t="shared" si="60"/>
        <v>0.26930693069306932</v>
      </c>
      <c r="AJ792" s="303">
        <v>6.3962264150943389</v>
      </c>
      <c r="AK792" s="303"/>
      <c r="AL792" s="303">
        <v>1.5990566037735847</v>
      </c>
      <c r="AM792" s="303">
        <v>2.45188679245283</v>
      </c>
      <c r="AN792" s="303">
        <v>0.10660377358490566</v>
      </c>
      <c r="AO792" s="303"/>
      <c r="AP792" s="303"/>
      <c r="AQ792" s="303">
        <v>0.10660377358490566</v>
      </c>
      <c r="AR792" s="303"/>
      <c r="AS792" s="170">
        <f>AJ792</f>
        <v>6.3962264150943389</v>
      </c>
      <c r="AT792" s="170">
        <f>(11.3*1000)/1060</f>
        <v>10.660377358490566</v>
      </c>
      <c r="AU792" s="310"/>
      <c r="AW792" s="294">
        <f>199/1000/1.01</f>
        <v>0.19702970297029704</v>
      </c>
      <c r="AX792" s="294"/>
      <c r="AY792" s="294">
        <f>73/1000/1.01</f>
        <v>7.2277227722772272E-2</v>
      </c>
      <c r="AZ792" s="294">
        <f>244/1000/1.01</f>
        <v>0.24158415841584158</v>
      </c>
      <c r="BA792" s="294">
        <f>9/1000/1.01</f>
        <v>8.9108910891089101E-3</v>
      </c>
      <c r="BB792" s="294">
        <f>101/1000/1.01</f>
        <v>0.1</v>
      </c>
      <c r="BC792" s="294"/>
      <c r="BD792" s="294">
        <f>49/1000/1.01</f>
        <v>4.8514851485148516E-2</v>
      </c>
      <c r="BE792" s="294"/>
      <c r="BF792" s="383">
        <f t="shared" si="62"/>
        <v>0.19702970297029704</v>
      </c>
      <c r="BG792" s="383">
        <v>0.66930693069306935</v>
      </c>
      <c r="BH792" s="278"/>
      <c r="BI792" s="365" t="s">
        <v>990</v>
      </c>
      <c r="BJ792" s="409"/>
    </row>
    <row r="793" spans="1:62" ht="15.75" customHeight="1" thickBot="1" x14ac:dyDescent="0.25">
      <c r="A793" s="156">
        <v>794</v>
      </c>
      <c r="B793" s="155">
        <v>1</v>
      </c>
      <c r="C793" s="148" t="s">
        <v>596</v>
      </c>
      <c r="D793" s="148" t="s">
        <v>2785</v>
      </c>
      <c r="E793" s="148" t="s">
        <v>1246</v>
      </c>
      <c r="F793" s="148" t="s">
        <v>2805</v>
      </c>
      <c r="G793" s="148"/>
      <c r="H793" s="148" t="s">
        <v>108</v>
      </c>
      <c r="I793" s="161">
        <v>2016</v>
      </c>
      <c r="J793" s="161" t="s">
        <v>2806</v>
      </c>
      <c r="K793" s="161" t="s">
        <v>2807</v>
      </c>
      <c r="L793" s="161" t="s">
        <v>19</v>
      </c>
      <c r="M793" s="453" t="s">
        <v>4276</v>
      </c>
      <c r="N793" s="186" t="s">
        <v>122</v>
      </c>
      <c r="O793" s="186" t="s">
        <v>292</v>
      </c>
      <c r="P793" s="186" t="s">
        <v>122</v>
      </c>
      <c r="Q793" s="186" t="s">
        <v>122</v>
      </c>
      <c r="R793" s="186" t="s">
        <v>122</v>
      </c>
      <c r="S793" s="186" t="s">
        <v>122</v>
      </c>
      <c r="T793" s="186" t="s">
        <v>122</v>
      </c>
      <c r="U793" s="186" t="s">
        <v>292</v>
      </c>
      <c r="V793" s="186" t="s">
        <v>292</v>
      </c>
      <c r="W793" s="186" t="s">
        <v>292</v>
      </c>
      <c r="X793" s="186" t="s">
        <v>292</v>
      </c>
      <c r="Y793" s="186" t="s">
        <v>292</v>
      </c>
      <c r="Z793" s="186"/>
      <c r="AA793" s="186"/>
      <c r="AB793" s="186" t="s">
        <v>292</v>
      </c>
      <c r="AC793" s="186"/>
      <c r="AD793" s="268" t="s">
        <v>2802</v>
      </c>
      <c r="AE793" s="268" t="s">
        <v>2791</v>
      </c>
      <c r="AF793" s="144">
        <f t="shared" si="58"/>
        <v>6.4132075471698116</v>
      </c>
      <c r="AG793" s="144">
        <f t="shared" si="61"/>
        <v>7.9679245283018867</v>
      </c>
      <c r="AH793" s="146">
        <f t="shared" si="59"/>
        <v>0.19702970297029704</v>
      </c>
      <c r="AI793" s="146">
        <f t="shared" si="60"/>
        <v>0.26930693069306932</v>
      </c>
      <c r="AJ793" s="303">
        <v>6.4132075471698116</v>
      </c>
      <c r="AK793" s="303"/>
      <c r="AL793" s="303">
        <v>1.5547169811320753</v>
      </c>
      <c r="AM793" s="303">
        <v>1.5547169811320753</v>
      </c>
      <c r="AN793" s="303">
        <v>9.7169811320754709E-2</v>
      </c>
      <c r="AO793" s="303"/>
      <c r="AP793" s="303"/>
      <c r="AQ793" s="303">
        <v>9.7169811320754709E-2</v>
      </c>
      <c r="AR793" s="303"/>
      <c r="AS793" s="170">
        <f>AJ793</f>
        <v>6.4132075471698116</v>
      </c>
      <c r="AT793" s="170">
        <f>(10.3*1000)/1060</f>
        <v>9.7169811320754711</v>
      </c>
      <c r="AU793" s="310"/>
      <c r="AW793" s="294">
        <f>199/1000/1.01</f>
        <v>0.19702970297029704</v>
      </c>
      <c r="AX793" s="294"/>
      <c r="AY793" s="294">
        <f>73/1000/1.01</f>
        <v>7.2277227722772272E-2</v>
      </c>
      <c r="AZ793" s="294">
        <f>178/1000/1.01</f>
        <v>0.17623762376237623</v>
      </c>
      <c r="BA793" s="294">
        <f>10/1000/1.01</f>
        <v>9.9009900990099011E-3</v>
      </c>
      <c r="BB793" s="294">
        <f>101/1000/1.01</f>
        <v>0.1</v>
      </c>
      <c r="BC793" s="294"/>
      <c r="BD793" s="294">
        <f>49/1000/1.01</f>
        <v>4.8514851485148516E-2</v>
      </c>
      <c r="BE793" s="294"/>
      <c r="BF793" s="383">
        <f t="shared" si="62"/>
        <v>0.19702970297029704</v>
      </c>
      <c r="BG793" s="383">
        <v>0.60495049504950493</v>
      </c>
      <c r="BH793" s="278"/>
      <c r="BI793" s="365" t="s">
        <v>990</v>
      </c>
      <c r="BJ793" s="409"/>
    </row>
    <row r="794" spans="1:62" ht="15.75" customHeight="1" thickBot="1" x14ac:dyDescent="0.25">
      <c r="A794" s="156">
        <v>795</v>
      </c>
      <c r="B794" s="155">
        <v>1</v>
      </c>
      <c r="C794" s="148" t="s">
        <v>596</v>
      </c>
      <c r="D794" s="148" t="s">
        <v>2808</v>
      </c>
      <c r="E794" s="148" t="s">
        <v>2773</v>
      </c>
      <c r="F794" s="148" t="s">
        <v>2809</v>
      </c>
      <c r="G794" s="148"/>
      <c r="H794" s="148" t="s">
        <v>282</v>
      </c>
      <c r="I794" s="161">
        <v>2012</v>
      </c>
      <c r="J794" s="161" t="s">
        <v>2801</v>
      </c>
      <c r="K794" s="161"/>
      <c r="L794" s="161" t="s">
        <v>83</v>
      </c>
      <c r="M794" s="453" t="s">
        <v>4277</v>
      </c>
      <c r="N794" s="186" t="s">
        <v>122</v>
      </c>
      <c r="O794" s="186" t="s">
        <v>292</v>
      </c>
      <c r="P794" s="186" t="s">
        <v>122</v>
      </c>
      <c r="Q794" s="186" t="s">
        <v>122</v>
      </c>
      <c r="R794" s="186" t="s">
        <v>122</v>
      </c>
      <c r="S794" s="186" t="s">
        <v>122</v>
      </c>
      <c r="T794" s="186" t="s">
        <v>292</v>
      </c>
      <c r="U794" s="186" t="s">
        <v>292</v>
      </c>
      <c r="V794" s="186" t="s">
        <v>292</v>
      </c>
      <c r="W794" s="186" t="s">
        <v>292</v>
      </c>
      <c r="X794" s="186" t="s">
        <v>292</v>
      </c>
      <c r="Y794" s="186" t="s">
        <v>292</v>
      </c>
      <c r="Z794" s="186"/>
      <c r="AA794" s="186"/>
      <c r="AB794" s="186" t="s">
        <v>292</v>
      </c>
      <c r="AC794" s="186"/>
      <c r="AD794" s="268" t="s">
        <v>2810</v>
      </c>
      <c r="AE794" s="268" t="s">
        <v>2811</v>
      </c>
      <c r="AF794" s="144" t="str">
        <f t="shared" si="58"/>
        <v/>
      </c>
      <c r="AG794" s="144" t="str">
        <f t="shared" si="61"/>
        <v/>
      </c>
      <c r="AH794" s="146">
        <f t="shared" si="59"/>
        <v>0.67304964539007084</v>
      </c>
      <c r="AI794" s="146">
        <f t="shared" si="60"/>
        <v>2.0805673758865249</v>
      </c>
      <c r="AJ794" s="303"/>
      <c r="AK794" s="303"/>
      <c r="AL794" s="303"/>
      <c r="AM794" s="303"/>
      <c r="AN794" s="303"/>
      <c r="AO794" s="303"/>
      <c r="AP794" s="303"/>
      <c r="AQ794" s="303"/>
      <c r="AR794" s="303"/>
      <c r="AS794" s="170"/>
      <c r="AT794" s="170"/>
      <c r="AU794" s="310"/>
      <c r="AW794" s="294">
        <f>(240.4+95.3+138.8)/1000/0.75/0.94</f>
        <v>0.67304964539007084</v>
      </c>
      <c r="AX794" s="294"/>
      <c r="AY794" s="294">
        <f>(992.3)/1000/0.75/0.94</f>
        <v>1.4075177304964539</v>
      </c>
      <c r="AZ794" s="294">
        <f>(559.4+74.4+57.4)/1000/0.75/0.94</f>
        <v>0.98042553191489357</v>
      </c>
      <c r="BA794" s="294">
        <f>(185.5+283.5)/1000/0.75/0.94</f>
        <v>0.66524822695035457</v>
      </c>
      <c r="BB794" s="294">
        <f>62.1/1000/0.75/0.94</f>
        <v>8.8085106382978728E-2</v>
      </c>
      <c r="BC794" s="294"/>
      <c r="BD794" s="294"/>
      <c r="BE794" s="294"/>
      <c r="BF794" s="383">
        <f t="shared" si="62"/>
        <v>0.67304964539007084</v>
      </c>
      <c r="BG794" s="383">
        <v>3.9007092198581561</v>
      </c>
      <c r="BH794" s="278"/>
      <c r="BI794" s="365"/>
      <c r="BJ794" s="409"/>
    </row>
    <row r="795" spans="1:62" ht="15.75" customHeight="1" thickBot="1" x14ac:dyDescent="0.25">
      <c r="A795" s="156">
        <v>796</v>
      </c>
      <c r="B795" s="155">
        <v>1</v>
      </c>
      <c r="C795" s="148" t="s">
        <v>596</v>
      </c>
      <c r="D795" s="148" t="s">
        <v>2808</v>
      </c>
      <c r="E795" s="148" t="s">
        <v>2773</v>
      </c>
      <c r="F795" s="148" t="s">
        <v>2813</v>
      </c>
      <c r="G795" s="148"/>
      <c r="H795" s="148" t="s">
        <v>282</v>
      </c>
      <c r="I795" s="161">
        <v>2012</v>
      </c>
      <c r="J795" s="161" t="s">
        <v>2801</v>
      </c>
      <c r="K795" s="161"/>
      <c r="L795" s="161" t="s">
        <v>83</v>
      </c>
      <c r="M795" s="453" t="s">
        <v>4277</v>
      </c>
      <c r="N795" s="186" t="s">
        <v>122</v>
      </c>
      <c r="O795" s="186" t="s">
        <v>292</v>
      </c>
      <c r="P795" s="186" t="s">
        <v>122</v>
      </c>
      <c r="Q795" s="186" t="s">
        <v>122</v>
      </c>
      <c r="R795" s="186" t="s">
        <v>122</v>
      </c>
      <c r="S795" s="186" t="s">
        <v>122</v>
      </c>
      <c r="T795" s="186" t="s">
        <v>292</v>
      </c>
      <c r="U795" s="186" t="s">
        <v>292</v>
      </c>
      <c r="V795" s="186" t="s">
        <v>292</v>
      </c>
      <c r="W795" s="186" t="s">
        <v>292</v>
      </c>
      <c r="X795" s="186" t="s">
        <v>292</v>
      </c>
      <c r="Y795" s="186" t="s">
        <v>292</v>
      </c>
      <c r="Z795" s="186"/>
      <c r="AA795" s="186"/>
      <c r="AB795" s="186" t="s">
        <v>292</v>
      </c>
      <c r="AC795" s="186"/>
      <c r="AD795" s="268" t="s">
        <v>2810</v>
      </c>
      <c r="AE795" s="268" t="s">
        <v>2811</v>
      </c>
      <c r="AF795" s="144" t="str">
        <f t="shared" si="58"/>
        <v/>
      </c>
      <c r="AG795" s="144" t="str">
        <f t="shared" si="61"/>
        <v/>
      </c>
      <c r="AH795" s="146">
        <f t="shared" si="59"/>
        <v>0.70382978723404255</v>
      </c>
      <c r="AI795" s="146">
        <f t="shared" si="60"/>
        <v>2.8019858156028374</v>
      </c>
      <c r="AJ795" s="303"/>
      <c r="AK795" s="303"/>
      <c r="AL795" s="303"/>
      <c r="AM795" s="303"/>
      <c r="AN795" s="303"/>
      <c r="AO795" s="303"/>
      <c r="AP795" s="303"/>
      <c r="AQ795" s="303"/>
      <c r="AR795" s="303"/>
      <c r="AS795" s="170"/>
      <c r="AT795" s="170"/>
      <c r="AU795" s="310"/>
      <c r="AW795" s="294">
        <f>(160.5+240.4+95.3)/1000/0.75/0.94</f>
        <v>0.70382978723404255</v>
      </c>
      <c r="AX795" s="294"/>
      <c r="AY795" s="294">
        <f>(1195.7+283.5)/1000/0.75/0.94</f>
        <v>2.0981560283687948</v>
      </c>
      <c r="AZ795" s="294">
        <f>(559.4+74.4+57.4)/1000/0.75/0.94</f>
        <v>0.98042553191489357</v>
      </c>
      <c r="BA795" s="294">
        <f>185.5/1000/0.75/0.94</f>
        <v>0.26312056737588652</v>
      </c>
      <c r="BB795" s="294">
        <f>62.1/1000/0.75/0.94</f>
        <v>8.8085106382978728E-2</v>
      </c>
      <c r="BC795" s="294"/>
      <c r="BD795" s="294"/>
      <c r="BE795" s="294"/>
      <c r="BF795" s="383">
        <f t="shared" si="62"/>
        <v>0.70382978723404255</v>
      </c>
      <c r="BG795" s="383">
        <v>4.212765957446809</v>
      </c>
      <c r="BH795" s="278"/>
      <c r="BI795" s="365"/>
      <c r="BJ795" s="409"/>
    </row>
    <row r="796" spans="1:62" ht="15.75" customHeight="1" thickBot="1" x14ac:dyDescent="0.25">
      <c r="A796" s="156">
        <v>797</v>
      </c>
      <c r="B796" s="155">
        <v>1</v>
      </c>
      <c r="C796" s="148" t="s">
        <v>596</v>
      </c>
      <c r="D796" s="148" t="s">
        <v>2808</v>
      </c>
      <c r="E796" s="148" t="s">
        <v>2773</v>
      </c>
      <c r="F796" s="148" t="s">
        <v>2814</v>
      </c>
      <c r="G796" s="148"/>
      <c r="H796" s="148" t="s">
        <v>2815</v>
      </c>
      <c r="I796" s="161">
        <v>2010</v>
      </c>
      <c r="J796" s="161" t="s">
        <v>2788</v>
      </c>
      <c r="K796" s="161" t="s">
        <v>2789</v>
      </c>
      <c r="L796" s="161" t="s">
        <v>83</v>
      </c>
      <c r="M796" s="453" t="s">
        <v>4278</v>
      </c>
      <c r="N796" s="186" t="s">
        <v>122</v>
      </c>
      <c r="O796" s="186" t="s">
        <v>292</v>
      </c>
      <c r="P796" s="186" t="s">
        <v>122</v>
      </c>
      <c r="Q796" s="186" t="s">
        <v>122</v>
      </c>
      <c r="R796" s="186" t="s">
        <v>122</v>
      </c>
      <c r="S796" s="186" t="s">
        <v>122</v>
      </c>
      <c r="T796" s="186" t="s">
        <v>292</v>
      </c>
      <c r="U796" s="186" t="s">
        <v>292</v>
      </c>
      <c r="V796" s="186" t="s">
        <v>292</v>
      </c>
      <c r="W796" s="186" t="s">
        <v>292</v>
      </c>
      <c r="X796" s="186" t="s">
        <v>292</v>
      </c>
      <c r="Y796" s="186" t="s">
        <v>292</v>
      </c>
      <c r="Z796" s="186"/>
      <c r="AA796" s="186"/>
      <c r="AB796" s="186" t="s">
        <v>292</v>
      </c>
      <c r="AC796" s="186"/>
      <c r="AD796" s="268" t="s">
        <v>2816</v>
      </c>
      <c r="AE796" s="268"/>
      <c r="AF796" s="144" t="str">
        <f t="shared" si="58"/>
        <v/>
      </c>
      <c r="AG796" s="144" t="str">
        <f t="shared" si="61"/>
        <v/>
      </c>
      <c r="AH796" s="146">
        <f t="shared" si="59"/>
        <v>0.65957446808510645</v>
      </c>
      <c r="AI796" s="146">
        <f t="shared" si="60"/>
        <v>1.6308510638297875</v>
      </c>
      <c r="AJ796" s="303"/>
      <c r="AK796" s="303"/>
      <c r="AL796" s="303"/>
      <c r="AM796" s="303"/>
      <c r="AN796" s="303"/>
      <c r="AO796" s="303"/>
      <c r="AP796" s="303"/>
      <c r="AQ796" s="303"/>
      <c r="AR796" s="303"/>
      <c r="AS796" s="170"/>
      <c r="AT796" s="170"/>
      <c r="AU796" s="310"/>
      <c r="AW796" s="294">
        <f>620/1000/0.94</f>
        <v>0.65957446808510645</v>
      </c>
      <c r="AX796" s="294"/>
      <c r="AY796" s="294">
        <f>913/1000/0.94</f>
        <v>0.97127659574468095</v>
      </c>
      <c r="AZ796" s="294">
        <f>474/1000/0.94</f>
        <v>0.50425531914893618</v>
      </c>
      <c r="BA796" s="294">
        <f>248/1000/0.94</f>
        <v>0.26382978723404255</v>
      </c>
      <c r="BB796" s="294"/>
      <c r="BC796" s="294"/>
      <c r="BD796" s="294"/>
      <c r="BE796" s="294"/>
      <c r="BF796" s="383">
        <f t="shared" si="62"/>
        <v>0.65957446808510645</v>
      </c>
      <c r="BG796" s="383">
        <v>2.3989361702127661</v>
      </c>
      <c r="BH796" s="278"/>
      <c r="BI796" s="365"/>
      <c r="BJ796" s="409"/>
    </row>
    <row r="797" spans="1:62" ht="15.75" customHeight="1" thickBot="1" x14ac:dyDescent="0.25">
      <c r="A797" s="156">
        <v>798</v>
      </c>
      <c r="B797" s="155">
        <v>1</v>
      </c>
      <c r="C797" s="148" t="s">
        <v>542</v>
      </c>
      <c r="D797" s="141" t="s">
        <v>2969</v>
      </c>
      <c r="E797" s="148" t="s">
        <v>13</v>
      </c>
      <c r="F797" s="148" t="s">
        <v>550</v>
      </c>
      <c r="G797" s="148" t="s">
        <v>15</v>
      </c>
      <c r="H797" s="148" t="s">
        <v>16</v>
      </c>
      <c r="I797" s="161">
        <v>2008</v>
      </c>
      <c r="J797" s="161" t="s">
        <v>2817</v>
      </c>
      <c r="K797" s="161"/>
      <c r="L797" s="161" t="s">
        <v>104</v>
      </c>
      <c r="M797" s="453" t="s">
        <v>4279</v>
      </c>
      <c r="N797" s="186" t="s">
        <v>20</v>
      </c>
      <c r="O797" s="186" t="s">
        <v>292</v>
      </c>
      <c r="P797" s="186" t="s">
        <v>15</v>
      </c>
      <c r="Q797" s="186" t="s">
        <v>20</v>
      </c>
      <c r="R797" s="186" t="s">
        <v>15</v>
      </c>
      <c r="S797" s="186" t="s">
        <v>292</v>
      </c>
      <c r="T797" s="186" t="s">
        <v>292</v>
      </c>
      <c r="U797" s="186" t="s">
        <v>292</v>
      </c>
      <c r="V797" s="186" t="s">
        <v>292</v>
      </c>
      <c r="W797" s="186" t="s">
        <v>292</v>
      </c>
      <c r="X797" s="186" t="s">
        <v>292</v>
      </c>
      <c r="Y797" s="186" t="s">
        <v>292</v>
      </c>
      <c r="Z797" s="186"/>
      <c r="AA797" s="186" t="s">
        <v>2818</v>
      </c>
      <c r="AB797" s="186" t="s">
        <v>15</v>
      </c>
      <c r="AC797" s="186" t="s">
        <v>15</v>
      </c>
      <c r="AD797" s="268" t="s">
        <v>2819</v>
      </c>
      <c r="AE797" s="268" t="s">
        <v>2820</v>
      </c>
      <c r="AF797" s="144" t="str">
        <f t="shared" si="58"/>
        <v/>
      </c>
      <c r="AG797" s="144" t="str">
        <f t="shared" si="61"/>
        <v/>
      </c>
      <c r="AH797" s="146" t="str">
        <f t="shared" si="59"/>
        <v/>
      </c>
      <c r="AI797" s="146" t="str">
        <f t="shared" si="60"/>
        <v/>
      </c>
      <c r="AJ797" s="418"/>
      <c r="AK797" s="418"/>
      <c r="AL797" s="418"/>
      <c r="AM797" s="418"/>
      <c r="AN797" s="418"/>
      <c r="AO797" s="418"/>
      <c r="AP797" s="418"/>
      <c r="AQ797" s="418"/>
      <c r="AR797" s="418"/>
      <c r="AS797" s="292"/>
      <c r="AT797" s="292"/>
      <c r="AU797" s="310"/>
      <c r="AW797" s="438"/>
      <c r="AX797" s="438"/>
      <c r="AY797" s="438"/>
      <c r="AZ797" s="438"/>
      <c r="BA797" s="438"/>
      <c r="BB797" s="438"/>
      <c r="BC797" s="438"/>
      <c r="BD797" s="438"/>
      <c r="BE797" s="438"/>
      <c r="BF797" s="398"/>
      <c r="BG797" s="383">
        <v>1.103</v>
      </c>
      <c r="BH797" s="278"/>
      <c r="BI797" s="365" t="s">
        <v>2827</v>
      </c>
    </row>
    <row r="798" spans="1:62" ht="15.75" customHeight="1" thickBot="1" x14ac:dyDescent="0.25">
      <c r="A798" s="156">
        <v>799</v>
      </c>
      <c r="B798" s="155">
        <v>1</v>
      </c>
      <c r="C798" s="148" t="s">
        <v>542</v>
      </c>
      <c r="D798" s="141" t="s">
        <v>2969</v>
      </c>
      <c r="E798" s="148" t="s">
        <v>13</v>
      </c>
      <c r="F798" s="148" t="s">
        <v>550</v>
      </c>
      <c r="G798" s="148" t="s">
        <v>15</v>
      </c>
      <c r="H798" s="148" t="s">
        <v>2821</v>
      </c>
      <c r="I798" s="161">
        <v>2015</v>
      </c>
      <c r="J798" s="161" t="s">
        <v>2822</v>
      </c>
      <c r="K798" s="161"/>
      <c r="L798" s="161" t="s">
        <v>19</v>
      </c>
      <c r="M798" s="453" t="s">
        <v>4279</v>
      </c>
      <c r="N798" s="186" t="s">
        <v>20</v>
      </c>
      <c r="O798" s="186" t="s">
        <v>292</v>
      </c>
      <c r="P798" s="186" t="s">
        <v>15</v>
      </c>
      <c r="Q798" s="186" t="s">
        <v>20</v>
      </c>
      <c r="R798" s="186" t="s">
        <v>15</v>
      </c>
      <c r="S798" s="186" t="s">
        <v>292</v>
      </c>
      <c r="T798" s="186" t="s">
        <v>292</v>
      </c>
      <c r="U798" s="186" t="s">
        <v>292</v>
      </c>
      <c r="V798" s="186" t="s">
        <v>292</v>
      </c>
      <c r="W798" s="186" t="s">
        <v>292</v>
      </c>
      <c r="X798" s="186" t="s">
        <v>292</v>
      </c>
      <c r="Y798" s="186" t="s">
        <v>292</v>
      </c>
      <c r="Z798" s="186"/>
      <c r="AA798" s="186" t="s">
        <v>2818</v>
      </c>
      <c r="AB798" s="186" t="s">
        <v>15</v>
      </c>
      <c r="AC798" s="186" t="s">
        <v>15</v>
      </c>
      <c r="AD798" s="268" t="s">
        <v>2824</v>
      </c>
      <c r="AE798" s="268" t="s">
        <v>548</v>
      </c>
      <c r="AF798" s="144" t="str">
        <f t="shared" si="58"/>
        <v/>
      </c>
      <c r="AG798" s="144" t="str">
        <f t="shared" si="61"/>
        <v/>
      </c>
      <c r="AH798" s="146" t="str">
        <f t="shared" si="59"/>
        <v/>
      </c>
      <c r="AI798" s="146" t="str">
        <f t="shared" si="60"/>
        <v/>
      </c>
      <c r="AJ798" s="312"/>
      <c r="AK798" s="312"/>
      <c r="AL798" s="312"/>
      <c r="AM798" s="312"/>
      <c r="AN798" s="312"/>
      <c r="AO798" s="312"/>
      <c r="AP798" s="312"/>
      <c r="AQ798" s="312"/>
      <c r="AR798" s="312"/>
      <c r="AU798" s="310"/>
      <c r="AV798" s="322"/>
      <c r="AW798" s="276"/>
      <c r="AX798" s="276"/>
      <c r="AY798" s="276"/>
      <c r="AZ798" s="276"/>
      <c r="BA798" s="276"/>
      <c r="BB798" s="276"/>
      <c r="BC798" s="276"/>
      <c r="BD798" s="276"/>
      <c r="BE798" s="276"/>
      <c r="BG798" s="382">
        <v>2.024</v>
      </c>
      <c r="BH798" s="278"/>
      <c r="BI798" s="365" t="s">
        <v>2828</v>
      </c>
    </row>
    <row r="799" spans="1:62" ht="15.75" customHeight="1" thickBot="1" x14ac:dyDescent="0.25">
      <c r="A799" s="156">
        <v>800</v>
      </c>
      <c r="B799" s="155">
        <v>1</v>
      </c>
      <c r="C799" s="148" t="s">
        <v>542</v>
      </c>
      <c r="D799" s="141" t="s">
        <v>2969</v>
      </c>
      <c r="E799" s="148" t="s">
        <v>13</v>
      </c>
      <c r="F799" s="148" t="s">
        <v>550</v>
      </c>
      <c r="G799" s="148" t="s">
        <v>15</v>
      </c>
      <c r="H799" s="148" t="s">
        <v>369</v>
      </c>
      <c r="I799" s="161">
        <v>2008</v>
      </c>
      <c r="J799" s="161" t="s">
        <v>2823</v>
      </c>
      <c r="K799" s="161"/>
      <c r="L799" s="161" t="s">
        <v>19</v>
      </c>
      <c r="M799" s="453" t="s">
        <v>4279</v>
      </c>
      <c r="N799" s="186" t="s">
        <v>20</v>
      </c>
      <c r="O799" s="186" t="s">
        <v>292</v>
      </c>
      <c r="P799" s="186" t="s">
        <v>15</v>
      </c>
      <c r="Q799" s="186" t="s">
        <v>20</v>
      </c>
      <c r="R799" s="186" t="s">
        <v>15</v>
      </c>
      <c r="S799" s="186" t="s">
        <v>20</v>
      </c>
      <c r="T799" s="186" t="s">
        <v>292</v>
      </c>
      <c r="U799" s="186" t="s">
        <v>15</v>
      </c>
      <c r="V799" s="186" t="s">
        <v>292</v>
      </c>
      <c r="W799" s="186" t="s">
        <v>292</v>
      </c>
      <c r="X799" s="186" t="s">
        <v>292</v>
      </c>
      <c r="Y799" s="186" t="s">
        <v>292</v>
      </c>
      <c r="Z799" s="186"/>
      <c r="AA799" s="186" t="s">
        <v>2818</v>
      </c>
      <c r="AB799" s="186" t="s">
        <v>15</v>
      </c>
      <c r="AC799" s="186" t="s">
        <v>15</v>
      </c>
      <c r="AD799" s="268" t="s">
        <v>2825</v>
      </c>
      <c r="AE799" s="268" t="s">
        <v>2826</v>
      </c>
      <c r="AF799" s="144" t="str">
        <f t="shared" si="58"/>
        <v/>
      </c>
      <c r="AG799" s="144" t="str">
        <f t="shared" si="61"/>
        <v/>
      </c>
      <c r="AH799" s="146" t="str">
        <f t="shared" si="59"/>
        <v/>
      </c>
      <c r="AI799" s="146" t="str">
        <f t="shared" si="60"/>
        <v/>
      </c>
      <c r="AJ799" s="313"/>
      <c r="AK799" s="313"/>
      <c r="AL799" s="313"/>
      <c r="AM799" s="313"/>
      <c r="AN799" s="313"/>
      <c r="AO799" s="313"/>
      <c r="AP799" s="313"/>
      <c r="AQ799" s="313"/>
      <c r="AR799" s="313"/>
      <c r="AU799" s="310"/>
      <c r="AV799" s="322"/>
      <c r="AW799" s="276"/>
      <c r="AX799" s="276"/>
      <c r="AY799" s="276"/>
      <c r="AZ799" s="276"/>
      <c r="BA799" s="276"/>
      <c r="BB799" s="276"/>
      <c r="BC799" s="276"/>
      <c r="BD799" s="276"/>
      <c r="BE799" s="276"/>
      <c r="BG799" s="382">
        <v>1.36</v>
      </c>
      <c r="BH799" s="278"/>
      <c r="BI799" s="365" t="s">
        <v>2829</v>
      </c>
    </row>
    <row r="800" spans="1:62" ht="15.75" customHeight="1" thickBot="1" x14ac:dyDescent="0.25">
      <c r="A800" s="156">
        <v>801</v>
      </c>
      <c r="B800" s="155">
        <v>2</v>
      </c>
      <c r="C800" s="148" t="s">
        <v>236</v>
      </c>
      <c r="D800" s="141" t="s">
        <v>2010</v>
      </c>
      <c r="E800" s="148"/>
      <c r="F800" s="148"/>
      <c r="G800" s="148"/>
      <c r="H800" s="148" t="s">
        <v>108</v>
      </c>
      <c r="I800" s="164" t="s">
        <v>2868</v>
      </c>
      <c r="J800" s="161" t="s">
        <v>2866</v>
      </c>
      <c r="K800" s="161" t="s">
        <v>2867</v>
      </c>
      <c r="L800" s="161" t="s">
        <v>83</v>
      </c>
      <c r="M800" s="453" t="s">
        <v>4280</v>
      </c>
      <c r="N800" s="186"/>
      <c r="O800" s="186"/>
      <c r="P800" s="186"/>
      <c r="Q800" s="186"/>
      <c r="R800" s="186"/>
      <c r="S800" s="186"/>
      <c r="T800" s="186"/>
      <c r="U800" s="186"/>
      <c r="V800" s="186"/>
      <c r="W800" s="186"/>
      <c r="X800" s="186"/>
      <c r="Y800" s="186"/>
      <c r="Z800" s="186"/>
      <c r="AA800" s="186"/>
      <c r="AB800" s="186"/>
      <c r="AC800" s="186"/>
      <c r="AD800" s="268"/>
      <c r="AE800" s="268"/>
      <c r="AF800" s="144" t="str">
        <f t="shared" si="58"/>
        <v/>
      </c>
      <c r="AG800" s="144" t="str">
        <f t="shared" si="61"/>
        <v/>
      </c>
      <c r="AH800" s="146">
        <f t="shared" si="59"/>
        <v>0.84</v>
      </c>
      <c r="AI800" s="146" t="str">
        <f t="shared" si="60"/>
        <v/>
      </c>
      <c r="AJ800" s="313"/>
      <c r="AK800" s="313"/>
      <c r="AL800" s="313"/>
      <c r="AM800" s="313"/>
      <c r="AN800" s="313"/>
      <c r="AO800" s="313"/>
      <c r="AP800" s="313"/>
      <c r="AQ800" s="313"/>
      <c r="AR800" s="313"/>
      <c r="AU800" s="310"/>
      <c r="AV800" s="322"/>
      <c r="AW800" s="276"/>
      <c r="AX800" s="276"/>
      <c r="AY800" s="276"/>
      <c r="AZ800" s="276"/>
      <c r="BA800" s="276"/>
      <c r="BB800" s="276"/>
      <c r="BC800" s="276"/>
      <c r="BD800" s="276"/>
      <c r="BE800" s="276"/>
      <c r="BF800" s="441">
        <v>0.84</v>
      </c>
      <c r="BG800" s="382"/>
      <c r="BH800" s="278"/>
      <c r="BI800" s="365"/>
    </row>
    <row r="801" spans="1:61" ht="15.75" customHeight="1" thickBot="1" x14ac:dyDescent="0.25">
      <c r="A801" s="156">
        <v>802</v>
      </c>
      <c r="B801" s="155">
        <v>2</v>
      </c>
      <c r="C801" s="148" t="s">
        <v>236</v>
      </c>
      <c r="D801" s="141" t="s">
        <v>1948</v>
      </c>
      <c r="E801" s="148"/>
      <c r="F801" s="148"/>
      <c r="G801" s="148"/>
      <c r="H801" s="148" t="s">
        <v>2870</v>
      </c>
      <c r="I801" s="164" t="s">
        <v>2868</v>
      </c>
      <c r="J801" s="161" t="s">
        <v>2866</v>
      </c>
      <c r="K801" s="161" t="s">
        <v>2867</v>
      </c>
      <c r="L801" s="161" t="s">
        <v>83</v>
      </c>
      <c r="M801" s="453" t="s">
        <v>4280</v>
      </c>
      <c r="N801" s="186"/>
      <c r="O801" s="186"/>
      <c r="P801" s="186"/>
      <c r="Q801" s="186"/>
      <c r="R801" s="186"/>
      <c r="S801" s="186"/>
      <c r="T801" s="186"/>
      <c r="U801" s="186"/>
      <c r="V801" s="186"/>
      <c r="W801" s="186"/>
      <c r="X801" s="186"/>
      <c r="Y801" s="186"/>
      <c r="Z801" s="186"/>
      <c r="AA801" s="186"/>
      <c r="AB801" s="186"/>
      <c r="AC801" s="186"/>
      <c r="AD801" s="268"/>
      <c r="AE801" s="268"/>
      <c r="AF801" s="144" t="str">
        <f t="shared" si="58"/>
        <v/>
      </c>
      <c r="AG801" s="144" t="str">
        <f t="shared" si="61"/>
        <v/>
      </c>
      <c r="AH801" s="146">
        <f t="shared" si="59"/>
        <v>1.39</v>
      </c>
      <c r="AI801" s="146" t="str">
        <f t="shared" si="60"/>
        <v/>
      </c>
      <c r="AJ801" s="313"/>
      <c r="AK801" s="313"/>
      <c r="AL801" s="313"/>
      <c r="AM801" s="313"/>
      <c r="AN801" s="313"/>
      <c r="AO801" s="313"/>
      <c r="AP801" s="313"/>
      <c r="AQ801" s="313"/>
      <c r="AR801" s="313"/>
      <c r="AU801" s="310"/>
      <c r="AV801" s="322"/>
      <c r="AW801" s="276"/>
      <c r="AX801" s="276"/>
      <c r="AY801" s="276"/>
      <c r="AZ801" s="276"/>
      <c r="BA801" s="276"/>
      <c r="BB801" s="276"/>
      <c r="BC801" s="276"/>
      <c r="BD801" s="276"/>
      <c r="BE801" s="276"/>
      <c r="BF801" s="399">
        <v>1.39</v>
      </c>
      <c r="BG801" s="382"/>
      <c r="BH801" s="278"/>
      <c r="BI801" s="365"/>
    </row>
    <row r="802" spans="1:61" ht="15.75" customHeight="1" thickBot="1" x14ac:dyDescent="0.25">
      <c r="A802" s="156">
        <v>803</v>
      </c>
      <c r="B802" s="155">
        <v>2</v>
      </c>
      <c r="C802" s="148" t="s">
        <v>162</v>
      </c>
      <c r="D802" s="141" t="s">
        <v>2332</v>
      </c>
      <c r="E802" s="148"/>
      <c r="F802" s="148"/>
      <c r="G802" s="148"/>
      <c r="H802" s="148" t="s">
        <v>108</v>
      </c>
      <c r="I802" s="164" t="s">
        <v>2868</v>
      </c>
      <c r="J802" s="161" t="s">
        <v>2866</v>
      </c>
      <c r="K802" s="161" t="s">
        <v>2867</v>
      </c>
      <c r="L802" s="161" t="s">
        <v>83</v>
      </c>
      <c r="M802" s="453" t="s">
        <v>4280</v>
      </c>
      <c r="N802" s="186"/>
      <c r="O802" s="186"/>
      <c r="P802" s="186"/>
      <c r="Q802" s="186"/>
      <c r="R802" s="186"/>
      <c r="S802" s="186"/>
      <c r="T802" s="186"/>
      <c r="U802" s="186"/>
      <c r="V802" s="186"/>
      <c r="W802" s="186"/>
      <c r="X802" s="186"/>
      <c r="Y802" s="186"/>
      <c r="Z802" s="186"/>
      <c r="AA802" s="186"/>
      <c r="AB802" s="186"/>
      <c r="AC802" s="186"/>
      <c r="AD802" s="268"/>
      <c r="AE802" s="268"/>
      <c r="AF802" s="144" t="str">
        <f t="shared" si="58"/>
        <v/>
      </c>
      <c r="AG802" s="144" t="str">
        <f t="shared" si="61"/>
        <v/>
      </c>
      <c r="AH802" s="146">
        <f t="shared" si="59"/>
        <v>0.35</v>
      </c>
      <c r="AI802" s="146" t="str">
        <f t="shared" si="60"/>
        <v/>
      </c>
      <c r="AJ802" s="313"/>
      <c r="AK802" s="313"/>
      <c r="AL802" s="313"/>
      <c r="AM802" s="313"/>
      <c r="AN802" s="313"/>
      <c r="AO802" s="313"/>
      <c r="AP802" s="313"/>
      <c r="AQ802" s="313"/>
      <c r="AR802" s="313"/>
      <c r="AU802" s="310"/>
      <c r="AV802" s="322"/>
      <c r="AW802" s="276"/>
      <c r="AX802" s="276"/>
      <c r="AY802" s="276"/>
      <c r="AZ802" s="276"/>
      <c r="BA802" s="276"/>
      <c r="BB802" s="276"/>
      <c r="BC802" s="276"/>
      <c r="BD802" s="276"/>
      <c r="BE802" s="276"/>
      <c r="BF802" s="399">
        <v>0.35</v>
      </c>
      <c r="BG802" s="382"/>
      <c r="BH802" s="278"/>
      <c r="BI802" s="365"/>
    </row>
    <row r="803" spans="1:61" ht="15.75" customHeight="1" thickBot="1" x14ac:dyDescent="0.25">
      <c r="A803" s="156">
        <v>804</v>
      </c>
      <c r="B803" s="155">
        <v>2</v>
      </c>
      <c r="C803" s="148" t="s">
        <v>162</v>
      </c>
      <c r="D803" s="141" t="s">
        <v>2332</v>
      </c>
      <c r="E803" s="148"/>
      <c r="F803" s="148"/>
      <c r="G803" s="148"/>
      <c r="H803" s="148" t="s">
        <v>2869</v>
      </c>
      <c r="I803" s="164" t="s">
        <v>2868</v>
      </c>
      <c r="J803" s="161" t="s">
        <v>2866</v>
      </c>
      <c r="K803" s="161" t="s">
        <v>2867</v>
      </c>
      <c r="L803" s="161" t="s">
        <v>83</v>
      </c>
      <c r="M803" s="453" t="s">
        <v>4280</v>
      </c>
      <c r="N803" s="186"/>
      <c r="O803" s="186"/>
      <c r="P803" s="186"/>
      <c r="Q803" s="186"/>
      <c r="R803" s="186"/>
      <c r="S803" s="186"/>
      <c r="T803" s="186"/>
      <c r="U803" s="186"/>
      <c r="V803" s="186"/>
      <c r="W803" s="186"/>
      <c r="X803" s="186"/>
      <c r="Y803" s="186"/>
      <c r="Z803" s="186"/>
      <c r="AA803" s="186"/>
      <c r="AB803" s="186"/>
      <c r="AC803" s="186"/>
      <c r="AD803" s="268"/>
      <c r="AE803" s="268"/>
      <c r="AF803" s="144" t="str">
        <f t="shared" si="58"/>
        <v/>
      </c>
      <c r="AG803" s="144" t="str">
        <f t="shared" si="61"/>
        <v/>
      </c>
      <c r="AH803" s="146">
        <f t="shared" si="59"/>
        <v>0.46</v>
      </c>
      <c r="AI803" s="146" t="str">
        <f t="shared" si="60"/>
        <v/>
      </c>
      <c r="AJ803" s="313"/>
      <c r="AK803" s="313"/>
      <c r="AL803" s="313"/>
      <c r="AM803" s="313"/>
      <c r="AN803" s="313"/>
      <c r="AO803" s="313"/>
      <c r="AP803" s="313"/>
      <c r="AQ803" s="313"/>
      <c r="AR803" s="313"/>
      <c r="AU803" s="310"/>
      <c r="AV803" s="322"/>
      <c r="AW803" s="276"/>
      <c r="AX803" s="276"/>
      <c r="AY803" s="276"/>
      <c r="AZ803" s="276"/>
      <c r="BA803" s="276"/>
      <c r="BB803" s="276"/>
      <c r="BC803" s="276"/>
      <c r="BD803" s="276"/>
      <c r="BE803" s="276"/>
      <c r="BF803" s="399">
        <v>0.46</v>
      </c>
      <c r="BG803" s="382"/>
      <c r="BH803" s="278"/>
      <c r="BI803" s="365"/>
    </row>
    <row r="804" spans="1:61" ht="15.75" customHeight="1" thickBot="1" x14ac:dyDescent="0.25">
      <c r="A804" s="156">
        <v>805</v>
      </c>
      <c r="B804" s="155">
        <v>2</v>
      </c>
      <c r="C804" s="148" t="s">
        <v>236</v>
      </c>
      <c r="D804" s="141" t="s">
        <v>2049</v>
      </c>
      <c r="E804" s="148"/>
      <c r="F804" s="148"/>
      <c r="G804" s="148"/>
      <c r="H804" s="148" t="s">
        <v>2869</v>
      </c>
      <c r="I804" s="164" t="s">
        <v>2868</v>
      </c>
      <c r="J804" s="161" t="s">
        <v>2866</v>
      </c>
      <c r="K804" s="161" t="s">
        <v>2867</v>
      </c>
      <c r="L804" s="161" t="s">
        <v>83</v>
      </c>
      <c r="M804" s="453" t="s">
        <v>4280</v>
      </c>
      <c r="N804" s="186"/>
      <c r="O804" s="186"/>
      <c r="P804" s="186"/>
      <c r="Q804" s="186"/>
      <c r="R804" s="186"/>
      <c r="S804" s="186"/>
      <c r="T804" s="186"/>
      <c r="U804" s="186"/>
      <c r="V804" s="186"/>
      <c r="W804" s="186"/>
      <c r="X804" s="186"/>
      <c r="Y804" s="186"/>
      <c r="Z804" s="186"/>
      <c r="AA804" s="186"/>
      <c r="AB804" s="186"/>
      <c r="AC804" s="186"/>
      <c r="AD804" s="268"/>
      <c r="AE804" s="268"/>
      <c r="AF804" s="144" t="str">
        <f t="shared" si="58"/>
        <v/>
      </c>
      <c r="AG804" s="144" t="str">
        <f t="shared" si="61"/>
        <v/>
      </c>
      <c r="AH804" s="146">
        <f t="shared" si="59"/>
        <v>0.51</v>
      </c>
      <c r="AI804" s="146" t="str">
        <f t="shared" si="60"/>
        <v/>
      </c>
      <c r="AJ804" s="313"/>
      <c r="AK804" s="313"/>
      <c r="AL804" s="313"/>
      <c r="AM804" s="313"/>
      <c r="AN804" s="313"/>
      <c r="AO804" s="313"/>
      <c r="AP804" s="313"/>
      <c r="AQ804" s="313"/>
      <c r="AR804" s="313"/>
      <c r="AU804" s="310"/>
      <c r="AV804" s="322"/>
      <c r="AW804" s="276"/>
      <c r="AX804" s="276"/>
      <c r="AY804" s="276"/>
      <c r="AZ804" s="276"/>
      <c r="BA804" s="276"/>
      <c r="BB804" s="276"/>
      <c r="BC804" s="276"/>
      <c r="BD804" s="276"/>
      <c r="BE804" s="276"/>
      <c r="BF804" s="399">
        <v>0.51</v>
      </c>
      <c r="BG804" s="382"/>
      <c r="BH804" s="278"/>
      <c r="BI804" s="365"/>
    </row>
    <row r="805" spans="1:61" ht="15.75" customHeight="1" thickBot="1" x14ac:dyDescent="0.25">
      <c r="A805" s="156">
        <v>806</v>
      </c>
      <c r="B805" s="155">
        <v>2</v>
      </c>
      <c r="C805" s="148" t="s">
        <v>236</v>
      </c>
      <c r="D805" s="141" t="s">
        <v>2059</v>
      </c>
      <c r="E805" s="148"/>
      <c r="F805" s="148"/>
      <c r="G805" s="148"/>
      <c r="H805" s="148" t="s">
        <v>2869</v>
      </c>
      <c r="I805" s="164" t="s">
        <v>2868</v>
      </c>
      <c r="J805" s="161" t="s">
        <v>2866</v>
      </c>
      <c r="K805" s="161" t="s">
        <v>2867</v>
      </c>
      <c r="L805" s="161" t="s">
        <v>83</v>
      </c>
      <c r="M805" s="453" t="s">
        <v>4280</v>
      </c>
      <c r="N805" s="186"/>
      <c r="O805" s="186"/>
      <c r="P805" s="186"/>
      <c r="Q805" s="186"/>
      <c r="R805" s="186"/>
      <c r="S805" s="186"/>
      <c r="T805" s="186"/>
      <c r="U805" s="186"/>
      <c r="V805" s="186"/>
      <c r="W805" s="186"/>
      <c r="X805" s="186"/>
      <c r="Y805" s="186"/>
      <c r="Z805" s="186"/>
      <c r="AA805" s="186"/>
      <c r="AB805" s="186"/>
      <c r="AC805" s="186"/>
      <c r="AD805" s="268"/>
      <c r="AE805" s="268"/>
      <c r="AF805" s="144" t="str">
        <f t="shared" si="58"/>
        <v/>
      </c>
      <c r="AG805" s="144" t="str">
        <f t="shared" si="61"/>
        <v/>
      </c>
      <c r="AH805" s="146">
        <f t="shared" si="59"/>
        <v>0.51</v>
      </c>
      <c r="AI805" s="146" t="str">
        <f t="shared" si="60"/>
        <v/>
      </c>
      <c r="AJ805" s="313"/>
      <c r="AK805" s="313"/>
      <c r="AL805" s="313"/>
      <c r="AM805" s="313"/>
      <c r="AN805" s="313"/>
      <c r="AO805" s="313"/>
      <c r="AP805" s="313"/>
      <c r="AQ805" s="313"/>
      <c r="AR805" s="313"/>
      <c r="AU805" s="310"/>
      <c r="AV805" s="322"/>
      <c r="AW805" s="276"/>
      <c r="AX805" s="276"/>
      <c r="AY805" s="276"/>
      <c r="AZ805" s="276"/>
      <c r="BA805" s="276"/>
      <c r="BB805" s="276"/>
      <c r="BC805" s="276"/>
      <c r="BD805" s="276"/>
      <c r="BE805" s="276"/>
      <c r="BF805" s="399">
        <v>0.51</v>
      </c>
      <c r="BG805" s="382"/>
      <c r="BH805" s="278"/>
      <c r="BI805" s="365"/>
    </row>
    <row r="806" spans="1:61" ht="15.75" customHeight="1" thickBot="1" x14ac:dyDescent="0.25">
      <c r="A806" s="156">
        <v>807</v>
      </c>
      <c r="B806" s="155">
        <v>2</v>
      </c>
      <c r="C806" s="148" t="s">
        <v>236</v>
      </c>
      <c r="D806" s="141" t="s">
        <v>2022</v>
      </c>
      <c r="E806" s="148"/>
      <c r="F806" s="148"/>
      <c r="G806" s="148"/>
      <c r="H806" s="148" t="s">
        <v>2869</v>
      </c>
      <c r="I806" s="164" t="s">
        <v>2868</v>
      </c>
      <c r="J806" s="161" t="s">
        <v>2866</v>
      </c>
      <c r="K806" s="161" t="s">
        <v>2867</v>
      </c>
      <c r="L806" s="161" t="s">
        <v>83</v>
      </c>
      <c r="M806" s="453" t="s">
        <v>4280</v>
      </c>
      <c r="N806" s="186"/>
      <c r="O806" s="186"/>
      <c r="P806" s="186"/>
      <c r="Q806" s="186"/>
      <c r="R806" s="186"/>
      <c r="S806" s="186"/>
      <c r="T806" s="186"/>
      <c r="U806" s="186"/>
      <c r="V806" s="186"/>
      <c r="W806" s="186"/>
      <c r="X806" s="186"/>
      <c r="Y806" s="186"/>
      <c r="Z806" s="186"/>
      <c r="AA806" s="186"/>
      <c r="AB806" s="186"/>
      <c r="AC806" s="186"/>
      <c r="AD806" s="268"/>
      <c r="AE806" s="268"/>
      <c r="AF806" s="144" t="str">
        <f t="shared" si="58"/>
        <v/>
      </c>
      <c r="AG806" s="144" t="str">
        <f t="shared" si="61"/>
        <v/>
      </c>
      <c r="AH806" s="146">
        <f t="shared" si="59"/>
        <v>0.51</v>
      </c>
      <c r="AI806" s="146" t="str">
        <f t="shared" si="60"/>
        <v/>
      </c>
      <c r="AJ806" s="313"/>
      <c r="AK806" s="313"/>
      <c r="AL806" s="313"/>
      <c r="AM806" s="313"/>
      <c r="AN806" s="313"/>
      <c r="AO806" s="313"/>
      <c r="AP806" s="313"/>
      <c r="AQ806" s="313"/>
      <c r="AR806" s="313"/>
      <c r="AU806" s="310"/>
      <c r="AV806" s="322"/>
      <c r="AW806" s="276"/>
      <c r="AX806" s="276"/>
      <c r="AY806" s="276"/>
      <c r="AZ806" s="276"/>
      <c r="BA806" s="276"/>
      <c r="BB806" s="276"/>
      <c r="BC806" s="276"/>
      <c r="BD806" s="276"/>
      <c r="BE806" s="276"/>
      <c r="BF806" s="399">
        <v>0.51</v>
      </c>
      <c r="BG806" s="382"/>
      <c r="BH806" s="278"/>
      <c r="BI806" s="365"/>
    </row>
    <row r="807" spans="1:61" ht="15.75" customHeight="1" thickBot="1" x14ac:dyDescent="0.25">
      <c r="A807" s="156">
        <v>808</v>
      </c>
      <c r="B807" s="155">
        <v>2</v>
      </c>
      <c r="C807" s="148" t="s">
        <v>236</v>
      </c>
      <c r="D807" s="141" t="s">
        <v>2022</v>
      </c>
      <c r="E807" s="148"/>
      <c r="F807" s="148"/>
      <c r="G807" s="148"/>
      <c r="H807" s="148" t="s">
        <v>2870</v>
      </c>
      <c r="I807" s="164" t="s">
        <v>2868</v>
      </c>
      <c r="J807" s="161" t="s">
        <v>2866</v>
      </c>
      <c r="K807" s="161" t="s">
        <v>2867</v>
      </c>
      <c r="L807" s="161" t="s">
        <v>83</v>
      </c>
      <c r="M807" s="453" t="s">
        <v>4280</v>
      </c>
      <c r="N807" s="186"/>
      <c r="O807" s="186"/>
      <c r="P807" s="186"/>
      <c r="Q807" s="186"/>
      <c r="R807" s="186"/>
      <c r="S807" s="186"/>
      <c r="T807" s="186"/>
      <c r="U807" s="186"/>
      <c r="V807" s="186"/>
      <c r="W807" s="186"/>
      <c r="X807" s="186"/>
      <c r="Y807" s="186"/>
      <c r="Z807" s="186"/>
      <c r="AA807" s="186"/>
      <c r="AB807" s="186"/>
      <c r="AC807" s="186"/>
      <c r="AD807" s="268"/>
      <c r="AE807" s="268"/>
      <c r="AF807" s="144" t="str">
        <f t="shared" si="58"/>
        <v/>
      </c>
      <c r="AG807" s="144" t="str">
        <f t="shared" si="61"/>
        <v/>
      </c>
      <c r="AH807" s="146">
        <f t="shared" si="59"/>
        <v>0.7</v>
      </c>
      <c r="AI807" s="146" t="str">
        <f t="shared" si="60"/>
        <v/>
      </c>
      <c r="AJ807" s="313"/>
      <c r="AK807" s="313"/>
      <c r="AL807" s="313"/>
      <c r="AM807" s="313"/>
      <c r="AN807" s="313"/>
      <c r="AO807" s="313"/>
      <c r="AP807" s="313"/>
      <c r="AQ807" s="313"/>
      <c r="AR807" s="313"/>
      <c r="AU807" s="310"/>
      <c r="AV807" s="322"/>
      <c r="AW807" s="276"/>
      <c r="AX807" s="276"/>
      <c r="AY807" s="276"/>
      <c r="AZ807" s="276"/>
      <c r="BA807" s="276"/>
      <c r="BB807" s="276"/>
      <c r="BC807" s="276"/>
      <c r="BD807" s="276"/>
      <c r="BE807" s="276"/>
      <c r="BF807" s="399">
        <v>0.7</v>
      </c>
      <c r="BG807" s="382"/>
      <c r="BH807" s="278"/>
      <c r="BI807" s="365"/>
    </row>
    <row r="808" spans="1:61" ht="15.75" customHeight="1" thickBot="1" x14ac:dyDescent="0.25">
      <c r="A808" s="156">
        <v>809</v>
      </c>
      <c r="B808" s="155">
        <v>2</v>
      </c>
      <c r="C808" s="148" t="s">
        <v>259</v>
      </c>
      <c r="D808" s="141" t="s">
        <v>2083</v>
      </c>
      <c r="E808" s="148"/>
      <c r="F808" s="148"/>
      <c r="G808" s="148"/>
      <c r="H808" s="148" t="s">
        <v>2870</v>
      </c>
      <c r="I808" s="164" t="s">
        <v>2868</v>
      </c>
      <c r="J808" s="161" t="s">
        <v>2866</v>
      </c>
      <c r="K808" s="161" t="s">
        <v>2867</v>
      </c>
      <c r="L808" s="161" t="s">
        <v>83</v>
      </c>
      <c r="M808" s="453" t="s">
        <v>4280</v>
      </c>
      <c r="N808" s="186"/>
      <c r="O808" s="186"/>
      <c r="P808" s="186"/>
      <c r="Q808" s="186"/>
      <c r="R808" s="186"/>
      <c r="S808" s="186"/>
      <c r="T808" s="186"/>
      <c r="U808" s="186"/>
      <c r="V808" s="186"/>
      <c r="W808" s="186"/>
      <c r="X808" s="186"/>
      <c r="Y808" s="186"/>
      <c r="Z808" s="186"/>
      <c r="AA808" s="186"/>
      <c r="AB808" s="186"/>
      <c r="AC808" s="186"/>
      <c r="AD808" s="268"/>
      <c r="AE808" s="268"/>
      <c r="AF808" s="144" t="str">
        <f t="shared" si="58"/>
        <v/>
      </c>
      <c r="AG808" s="144" t="str">
        <f t="shared" si="61"/>
        <v/>
      </c>
      <c r="AH808" s="146">
        <f t="shared" si="59"/>
        <v>0.47</v>
      </c>
      <c r="AI808" s="146" t="str">
        <f t="shared" si="60"/>
        <v/>
      </c>
      <c r="AJ808" s="313"/>
      <c r="AK808" s="313"/>
      <c r="AL808" s="313"/>
      <c r="AM808" s="313"/>
      <c r="AN808" s="313"/>
      <c r="AO808" s="313"/>
      <c r="AP808" s="313"/>
      <c r="AQ808" s="313"/>
      <c r="AR808" s="313"/>
      <c r="AU808" s="310"/>
      <c r="AV808" s="322"/>
      <c r="AW808" s="276"/>
      <c r="AX808" s="276"/>
      <c r="AY808" s="276"/>
      <c r="AZ808" s="276"/>
      <c r="BA808" s="276"/>
      <c r="BB808" s="276"/>
      <c r="BC808" s="276"/>
      <c r="BD808" s="276"/>
      <c r="BE808" s="276"/>
      <c r="BF808" s="399">
        <v>0.47</v>
      </c>
      <c r="BG808" s="389"/>
      <c r="BH808" s="278"/>
      <c r="BI808" s="365"/>
    </row>
    <row r="809" spans="1:61" ht="15.75" customHeight="1" thickBot="1" x14ac:dyDescent="0.25">
      <c r="A809" s="156">
        <v>810</v>
      </c>
      <c r="B809" s="155">
        <v>2</v>
      </c>
      <c r="C809" s="148" t="s">
        <v>760</v>
      </c>
      <c r="D809" s="141" t="s">
        <v>2253</v>
      </c>
      <c r="E809" s="148"/>
      <c r="F809" s="148"/>
      <c r="G809" s="148"/>
      <c r="H809" s="148" t="s">
        <v>2869</v>
      </c>
      <c r="I809" s="164" t="s">
        <v>2868</v>
      </c>
      <c r="J809" s="161" t="s">
        <v>2866</v>
      </c>
      <c r="K809" s="161" t="s">
        <v>2867</v>
      </c>
      <c r="L809" s="161" t="s">
        <v>83</v>
      </c>
      <c r="M809" s="453" t="s">
        <v>4280</v>
      </c>
      <c r="N809" s="186"/>
      <c r="O809" s="186"/>
      <c r="P809" s="186"/>
      <c r="Q809" s="186"/>
      <c r="R809" s="186"/>
      <c r="S809" s="186"/>
      <c r="T809" s="186"/>
      <c r="U809" s="186"/>
      <c r="V809" s="186"/>
      <c r="W809" s="186"/>
      <c r="X809" s="186"/>
      <c r="Y809" s="186"/>
      <c r="Z809" s="186"/>
      <c r="AA809" s="186"/>
      <c r="AB809" s="186"/>
      <c r="AC809" s="186"/>
      <c r="AD809" s="268"/>
      <c r="AE809" s="268"/>
      <c r="AF809" s="144" t="str">
        <f t="shared" si="58"/>
        <v/>
      </c>
      <c r="AG809" s="144" t="str">
        <f t="shared" si="61"/>
        <v/>
      </c>
      <c r="AH809" s="146">
        <f t="shared" si="59"/>
        <v>1.05</v>
      </c>
      <c r="AI809" s="146" t="str">
        <f t="shared" si="60"/>
        <v/>
      </c>
      <c r="AJ809" s="313"/>
      <c r="AK809" s="313"/>
      <c r="AL809" s="313"/>
      <c r="AM809" s="313"/>
      <c r="AN809" s="313"/>
      <c r="AO809" s="313"/>
      <c r="AP809" s="313"/>
      <c r="AQ809" s="313"/>
      <c r="AR809" s="313"/>
      <c r="AU809" s="310"/>
      <c r="AV809" s="322"/>
      <c r="AW809" s="276"/>
      <c r="AX809" s="276"/>
      <c r="AY809" s="276"/>
      <c r="AZ809" s="276"/>
      <c r="BA809" s="276"/>
      <c r="BB809" s="276"/>
      <c r="BC809" s="276"/>
      <c r="BD809" s="276"/>
      <c r="BE809" s="276"/>
      <c r="BF809" s="399">
        <v>1.05</v>
      </c>
      <c r="BG809" s="382"/>
      <c r="BH809" s="278"/>
      <c r="BI809" s="365"/>
    </row>
    <row r="810" spans="1:61" ht="15.75" customHeight="1" thickBot="1" x14ac:dyDescent="0.25">
      <c r="A810" s="156">
        <v>811</v>
      </c>
      <c r="B810" s="155">
        <v>2</v>
      </c>
      <c r="C810" s="148" t="s">
        <v>760</v>
      </c>
      <c r="D810" s="141" t="s">
        <v>1883</v>
      </c>
      <c r="E810" s="148"/>
      <c r="F810" s="148"/>
      <c r="G810" s="148"/>
      <c r="H810" s="148" t="s">
        <v>2869</v>
      </c>
      <c r="I810" s="164" t="s">
        <v>2868</v>
      </c>
      <c r="J810" s="161" t="s">
        <v>2866</v>
      </c>
      <c r="K810" s="161" t="s">
        <v>2867</v>
      </c>
      <c r="L810" s="161" t="s">
        <v>83</v>
      </c>
      <c r="M810" s="453" t="s">
        <v>4280</v>
      </c>
      <c r="N810" s="186"/>
      <c r="O810" s="186"/>
      <c r="P810" s="186"/>
      <c r="Q810" s="186"/>
      <c r="R810" s="186"/>
      <c r="S810" s="186"/>
      <c r="T810" s="186"/>
      <c r="U810" s="186"/>
      <c r="V810" s="186"/>
      <c r="W810" s="186"/>
      <c r="X810" s="186"/>
      <c r="Y810" s="186"/>
      <c r="Z810" s="186"/>
      <c r="AA810" s="186"/>
      <c r="AB810" s="186"/>
      <c r="AC810" s="186"/>
      <c r="AD810" s="268"/>
      <c r="AE810" s="268"/>
      <c r="AF810" s="144" t="str">
        <f t="shared" si="58"/>
        <v/>
      </c>
      <c r="AG810" s="144" t="str">
        <f t="shared" si="61"/>
        <v/>
      </c>
      <c r="AH810" s="146">
        <f t="shared" si="59"/>
        <v>0.43</v>
      </c>
      <c r="AI810" s="146" t="str">
        <f t="shared" si="60"/>
        <v/>
      </c>
      <c r="AJ810" s="313"/>
      <c r="AK810" s="313"/>
      <c r="AL810" s="313"/>
      <c r="AM810" s="313"/>
      <c r="AN810" s="313"/>
      <c r="AO810" s="313"/>
      <c r="AP810" s="313"/>
      <c r="AQ810" s="313"/>
      <c r="AR810" s="313"/>
      <c r="AU810" s="310"/>
      <c r="AV810" s="322"/>
      <c r="AW810" s="276"/>
      <c r="AX810" s="276"/>
      <c r="AY810" s="276"/>
      <c r="AZ810" s="276"/>
      <c r="BA810" s="276"/>
      <c r="BB810" s="276"/>
      <c r="BC810" s="276"/>
      <c r="BD810" s="276"/>
      <c r="BE810" s="276"/>
      <c r="BF810" s="399">
        <v>0.43</v>
      </c>
      <c r="BG810" s="382"/>
      <c r="BH810" s="278"/>
      <c r="BI810" s="365"/>
    </row>
    <row r="811" spans="1:61" ht="15.75" customHeight="1" thickBot="1" x14ac:dyDescent="0.25">
      <c r="A811" s="156">
        <v>812</v>
      </c>
      <c r="B811" s="155">
        <v>2</v>
      </c>
      <c r="C811" s="148" t="s">
        <v>1110</v>
      </c>
      <c r="D811" s="141" t="s">
        <v>1998</v>
      </c>
      <c r="E811" s="148"/>
      <c r="F811" s="148"/>
      <c r="G811" s="148"/>
      <c r="H811" s="148" t="s">
        <v>2870</v>
      </c>
      <c r="I811" s="164" t="s">
        <v>2868</v>
      </c>
      <c r="J811" s="161" t="s">
        <v>2866</v>
      </c>
      <c r="K811" s="161" t="s">
        <v>2867</v>
      </c>
      <c r="L811" s="161" t="s">
        <v>83</v>
      </c>
      <c r="M811" s="453" t="s">
        <v>4280</v>
      </c>
      <c r="N811" s="186"/>
      <c r="O811" s="186"/>
      <c r="P811" s="186"/>
      <c r="Q811" s="186"/>
      <c r="R811" s="186"/>
      <c r="S811" s="186"/>
      <c r="T811" s="186"/>
      <c r="U811" s="186"/>
      <c r="V811" s="186"/>
      <c r="W811" s="186"/>
      <c r="X811" s="186"/>
      <c r="Y811" s="186"/>
      <c r="Z811" s="186"/>
      <c r="AA811" s="186"/>
      <c r="AB811" s="186"/>
      <c r="AC811" s="186"/>
      <c r="AD811" s="268"/>
      <c r="AE811" s="268"/>
      <c r="AF811" s="144" t="str">
        <f t="shared" si="58"/>
        <v/>
      </c>
      <c r="AG811" s="144" t="str">
        <f t="shared" si="61"/>
        <v/>
      </c>
      <c r="AH811" s="146">
        <f t="shared" si="59"/>
        <v>0.88</v>
      </c>
      <c r="AI811" s="146" t="str">
        <f t="shared" si="60"/>
        <v/>
      </c>
      <c r="AJ811" s="313"/>
      <c r="AK811" s="313"/>
      <c r="AL811" s="313"/>
      <c r="AM811" s="313"/>
      <c r="AN811" s="313"/>
      <c r="AO811" s="313"/>
      <c r="AP811" s="313"/>
      <c r="AQ811" s="313"/>
      <c r="AR811" s="313"/>
      <c r="AU811" s="310"/>
      <c r="AV811" s="322"/>
      <c r="AW811" s="276"/>
      <c r="AX811" s="276"/>
      <c r="AY811" s="276"/>
      <c r="AZ811" s="276"/>
      <c r="BA811" s="276"/>
      <c r="BB811" s="276"/>
      <c r="BC811" s="276"/>
      <c r="BD811" s="276"/>
      <c r="BE811" s="276"/>
      <c r="BF811" s="399">
        <v>0.88</v>
      </c>
      <c r="BG811" s="382"/>
      <c r="BH811" s="278"/>
      <c r="BI811" s="365"/>
    </row>
    <row r="812" spans="1:61" ht="15.75" customHeight="1" thickBot="1" x14ac:dyDescent="0.25">
      <c r="A812" s="156">
        <v>813</v>
      </c>
      <c r="B812" s="155">
        <v>2</v>
      </c>
      <c r="C812" s="148" t="s">
        <v>1110</v>
      </c>
      <c r="D812" s="141" t="s">
        <v>1908</v>
      </c>
      <c r="E812" s="148"/>
      <c r="F812" s="148"/>
      <c r="G812" s="148"/>
      <c r="H812" s="148" t="s">
        <v>2870</v>
      </c>
      <c r="I812" s="164" t="s">
        <v>2868</v>
      </c>
      <c r="J812" s="161" t="s">
        <v>2866</v>
      </c>
      <c r="K812" s="161" t="s">
        <v>2867</v>
      </c>
      <c r="L812" s="161" t="s">
        <v>83</v>
      </c>
      <c r="M812" s="453" t="s">
        <v>4280</v>
      </c>
      <c r="N812" s="186"/>
      <c r="O812" s="186"/>
      <c r="P812" s="186"/>
      <c r="Q812" s="186"/>
      <c r="R812" s="186"/>
      <c r="S812" s="186"/>
      <c r="T812" s="186"/>
      <c r="U812" s="186"/>
      <c r="V812" s="186"/>
      <c r="W812" s="186"/>
      <c r="X812" s="186"/>
      <c r="Y812" s="186"/>
      <c r="Z812" s="186"/>
      <c r="AA812" s="186"/>
      <c r="AB812" s="186"/>
      <c r="AC812" s="186"/>
      <c r="AD812" s="268"/>
      <c r="AE812" s="268"/>
      <c r="AF812" s="144">
        <v>0</v>
      </c>
      <c r="AG812" s="144" t="str">
        <f t="shared" si="61"/>
        <v/>
      </c>
      <c r="AH812" s="146">
        <f t="shared" si="59"/>
        <v>0.87</v>
      </c>
      <c r="AI812" s="146" t="str">
        <f t="shared" si="60"/>
        <v/>
      </c>
      <c r="AJ812" s="313"/>
      <c r="AK812" s="313"/>
      <c r="AL812" s="313"/>
      <c r="AM812" s="313"/>
      <c r="AN812" s="313"/>
      <c r="AO812" s="313"/>
      <c r="AP812" s="313"/>
      <c r="AQ812" s="313"/>
      <c r="AR812" s="313"/>
      <c r="AU812" s="310"/>
      <c r="AV812" s="322"/>
      <c r="AW812" s="276"/>
      <c r="AX812" s="276"/>
      <c r="AY812" s="276"/>
      <c r="AZ812" s="276"/>
      <c r="BA812" s="276"/>
      <c r="BB812" s="276"/>
      <c r="BC812" s="276"/>
      <c r="BD812" s="276"/>
      <c r="BE812" s="276"/>
      <c r="BF812" s="399">
        <v>0.87</v>
      </c>
      <c r="BG812" s="382"/>
      <c r="BH812" s="278"/>
      <c r="BI812" s="365"/>
    </row>
    <row r="813" spans="1:61" ht="15.75" customHeight="1" thickBot="1" x14ac:dyDescent="0.25">
      <c r="A813" s="156">
        <v>814</v>
      </c>
      <c r="B813" s="155">
        <v>2</v>
      </c>
      <c r="C813" s="148" t="s">
        <v>236</v>
      </c>
      <c r="D813" s="141" t="s">
        <v>2177</v>
      </c>
      <c r="E813" s="148"/>
      <c r="F813" s="148"/>
      <c r="G813" s="148"/>
      <c r="H813" s="148" t="s">
        <v>108</v>
      </c>
      <c r="I813" s="164" t="s">
        <v>2868</v>
      </c>
      <c r="J813" s="161" t="s">
        <v>2866</v>
      </c>
      <c r="K813" s="161" t="s">
        <v>2867</v>
      </c>
      <c r="L813" s="161" t="s">
        <v>83</v>
      </c>
      <c r="M813" s="453" t="s">
        <v>4280</v>
      </c>
      <c r="N813" s="186"/>
      <c r="O813" s="186"/>
      <c r="P813" s="186"/>
      <c r="Q813" s="186"/>
      <c r="R813" s="186"/>
      <c r="S813" s="186"/>
      <c r="T813" s="186"/>
      <c r="U813" s="186"/>
      <c r="V813" s="186"/>
      <c r="W813" s="186"/>
      <c r="X813" s="186"/>
      <c r="Y813" s="186"/>
      <c r="Z813" s="186"/>
      <c r="AA813" s="186"/>
      <c r="AB813" s="186"/>
      <c r="AC813" s="186"/>
      <c r="AD813" s="268"/>
      <c r="AE813" s="268"/>
      <c r="AF813" s="144" t="str">
        <f t="shared" ref="AF813:AF876" si="63">IF(AS813&lt;&gt;0,AS813,"")</f>
        <v/>
      </c>
      <c r="AG813" s="144" t="str">
        <f t="shared" si="61"/>
        <v/>
      </c>
      <c r="AH813" s="146">
        <f t="shared" si="59"/>
        <v>0.32</v>
      </c>
      <c r="AI813" s="146" t="str">
        <f t="shared" si="60"/>
        <v/>
      </c>
      <c r="AJ813" s="313"/>
      <c r="AK813" s="313"/>
      <c r="AL813" s="313"/>
      <c r="AM813" s="313"/>
      <c r="AN813" s="313"/>
      <c r="AO813" s="313"/>
      <c r="AP813" s="313"/>
      <c r="AQ813" s="313"/>
      <c r="AR813" s="313"/>
      <c r="AU813" s="310"/>
      <c r="AV813" s="322"/>
      <c r="AW813" s="276"/>
      <c r="AX813" s="276"/>
      <c r="AY813" s="276"/>
      <c r="AZ813" s="276"/>
      <c r="BA813" s="276"/>
      <c r="BB813" s="276"/>
      <c r="BC813" s="276"/>
      <c r="BD813" s="276"/>
      <c r="BE813" s="276"/>
      <c r="BF813" s="399">
        <v>0.32</v>
      </c>
      <c r="BG813" s="382"/>
      <c r="BH813" s="278"/>
      <c r="BI813" s="365"/>
    </row>
    <row r="814" spans="1:61" ht="15.75" customHeight="1" thickBot="1" x14ac:dyDescent="0.25">
      <c r="A814" s="156">
        <v>815</v>
      </c>
      <c r="B814" s="155">
        <v>2</v>
      </c>
      <c r="C814" s="148" t="s">
        <v>236</v>
      </c>
      <c r="D814" s="141" t="s">
        <v>2177</v>
      </c>
      <c r="E814" s="148"/>
      <c r="F814" s="148"/>
      <c r="G814" s="148"/>
      <c r="H814" s="148" t="s">
        <v>2869</v>
      </c>
      <c r="I814" s="164" t="s">
        <v>2868</v>
      </c>
      <c r="J814" s="161" t="s">
        <v>2866</v>
      </c>
      <c r="K814" s="161" t="s">
        <v>2867</v>
      </c>
      <c r="L814" s="161" t="s">
        <v>83</v>
      </c>
      <c r="M814" s="453" t="s">
        <v>4280</v>
      </c>
      <c r="N814" s="186"/>
      <c r="O814" s="186"/>
      <c r="P814" s="186"/>
      <c r="Q814" s="186"/>
      <c r="R814" s="186"/>
      <c r="S814" s="186"/>
      <c r="T814" s="186"/>
      <c r="U814" s="186"/>
      <c r="V814" s="186"/>
      <c r="W814" s="186"/>
      <c r="X814" s="186"/>
      <c r="Y814" s="186"/>
      <c r="Z814" s="186"/>
      <c r="AA814" s="186"/>
      <c r="AB814" s="186"/>
      <c r="AC814" s="186"/>
      <c r="AD814" s="268"/>
      <c r="AE814" s="268"/>
      <c r="AF814" s="144" t="str">
        <f t="shared" si="63"/>
        <v/>
      </c>
      <c r="AG814" s="144" t="str">
        <f t="shared" si="61"/>
        <v/>
      </c>
      <c r="AH814" s="146">
        <f t="shared" si="59"/>
        <v>0.43</v>
      </c>
      <c r="AI814" s="146" t="str">
        <f t="shared" si="60"/>
        <v/>
      </c>
      <c r="AJ814" s="313"/>
      <c r="AK814" s="313"/>
      <c r="AL814" s="313"/>
      <c r="AM814" s="313"/>
      <c r="AN814" s="313"/>
      <c r="AO814" s="313"/>
      <c r="AP814" s="313"/>
      <c r="AQ814" s="313"/>
      <c r="AR814" s="313"/>
      <c r="AU814" s="310"/>
      <c r="AV814" s="322"/>
      <c r="AW814" s="276"/>
      <c r="AX814" s="276"/>
      <c r="AY814" s="276"/>
      <c r="AZ814" s="276"/>
      <c r="BA814" s="276"/>
      <c r="BB814" s="276"/>
      <c r="BC814" s="276"/>
      <c r="BD814" s="276"/>
      <c r="BE814" s="276"/>
      <c r="BF814" s="399">
        <v>0.43</v>
      </c>
      <c r="BG814" s="382"/>
      <c r="BH814" s="278"/>
      <c r="BI814" s="365"/>
    </row>
    <row r="815" spans="1:61" ht="15.75" customHeight="1" thickBot="1" x14ac:dyDescent="0.25">
      <c r="A815" s="156">
        <v>816</v>
      </c>
      <c r="B815" s="155">
        <v>2</v>
      </c>
      <c r="C815" s="148" t="s">
        <v>236</v>
      </c>
      <c r="D815" s="141" t="s">
        <v>2177</v>
      </c>
      <c r="E815" s="148"/>
      <c r="F815" s="148"/>
      <c r="G815" s="148"/>
      <c r="H815" s="148" t="s">
        <v>2870</v>
      </c>
      <c r="I815" s="164" t="s">
        <v>2868</v>
      </c>
      <c r="J815" s="161" t="s">
        <v>2866</v>
      </c>
      <c r="K815" s="161" t="s">
        <v>2867</v>
      </c>
      <c r="L815" s="161" t="s">
        <v>83</v>
      </c>
      <c r="M815" s="453" t="s">
        <v>4280</v>
      </c>
      <c r="N815" s="186"/>
      <c r="O815" s="186"/>
      <c r="P815" s="186"/>
      <c r="Q815" s="186"/>
      <c r="R815" s="186"/>
      <c r="S815" s="186"/>
      <c r="T815" s="186"/>
      <c r="U815" s="186"/>
      <c r="V815" s="186"/>
      <c r="W815" s="186"/>
      <c r="X815" s="186"/>
      <c r="Y815" s="186"/>
      <c r="Z815" s="186"/>
      <c r="AA815" s="186"/>
      <c r="AB815" s="186"/>
      <c r="AC815" s="186"/>
      <c r="AD815" s="268"/>
      <c r="AE815" s="268"/>
      <c r="AF815" s="144" t="str">
        <f t="shared" si="63"/>
        <v/>
      </c>
      <c r="AG815" s="144" t="str">
        <f t="shared" si="61"/>
        <v/>
      </c>
      <c r="AH815" s="146">
        <f t="shared" si="59"/>
        <v>0.88</v>
      </c>
      <c r="AI815" s="146" t="str">
        <f t="shared" si="60"/>
        <v/>
      </c>
      <c r="AJ815" s="313"/>
      <c r="AK815" s="313"/>
      <c r="AL815" s="313"/>
      <c r="AM815" s="313"/>
      <c r="AN815" s="313"/>
      <c r="AO815" s="313"/>
      <c r="AP815" s="313"/>
      <c r="AQ815" s="313"/>
      <c r="AR815" s="313"/>
      <c r="AU815" s="310"/>
      <c r="AV815" s="322"/>
      <c r="AW815" s="276"/>
      <c r="AX815" s="276"/>
      <c r="AY815" s="276"/>
      <c r="AZ815" s="276"/>
      <c r="BA815" s="276"/>
      <c r="BB815" s="276"/>
      <c r="BC815" s="276"/>
      <c r="BD815" s="276"/>
      <c r="BE815" s="276"/>
      <c r="BF815" s="399">
        <v>0.88</v>
      </c>
      <c r="BG815" s="382"/>
      <c r="BH815" s="278"/>
      <c r="BI815" s="365"/>
    </row>
    <row r="816" spans="1:61" ht="15.75" customHeight="1" thickBot="1" x14ac:dyDescent="0.25">
      <c r="A816" s="156">
        <v>817</v>
      </c>
      <c r="B816" s="155">
        <v>2</v>
      </c>
      <c r="C816" s="148" t="s">
        <v>236</v>
      </c>
      <c r="D816" s="141" t="s">
        <v>2028</v>
      </c>
      <c r="E816" s="148"/>
      <c r="F816" s="148"/>
      <c r="G816" s="148"/>
      <c r="H816" s="148" t="s">
        <v>2870</v>
      </c>
      <c r="I816" s="164" t="s">
        <v>2868</v>
      </c>
      <c r="J816" s="161" t="s">
        <v>2866</v>
      </c>
      <c r="K816" s="161" t="s">
        <v>2867</v>
      </c>
      <c r="L816" s="161" t="s">
        <v>83</v>
      </c>
      <c r="M816" s="453" t="s">
        <v>4280</v>
      </c>
      <c r="N816" s="186"/>
      <c r="O816" s="186"/>
      <c r="P816" s="186"/>
      <c r="Q816" s="186"/>
      <c r="R816" s="186"/>
      <c r="S816" s="186"/>
      <c r="T816" s="186"/>
      <c r="U816" s="186"/>
      <c r="V816" s="186"/>
      <c r="W816" s="186"/>
      <c r="X816" s="186"/>
      <c r="Y816" s="186"/>
      <c r="Z816" s="186"/>
      <c r="AA816" s="186"/>
      <c r="AB816" s="186"/>
      <c r="AC816" s="186"/>
      <c r="AD816" s="268"/>
      <c r="AE816" s="268"/>
      <c r="AF816" s="144" t="str">
        <f t="shared" si="63"/>
        <v/>
      </c>
      <c r="AG816" s="144" t="str">
        <f t="shared" si="61"/>
        <v/>
      </c>
      <c r="AH816" s="146">
        <f t="shared" si="59"/>
        <v>1.78</v>
      </c>
      <c r="AI816" s="146" t="str">
        <f t="shared" si="60"/>
        <v/>
      </c>
      <c r="AJ816" s="313"/>
      <c r="AK816" s="313"/>
      <c r="AL816" s="313"/>
      <c r="AM816" s="313"/>
      <c r="AN816" s="313"/>
      <c r="AO816" s="313"/>
      <c r="AP816" s="313"/>
      <c r="AQ816" s="313"/>
      <c r="AR816" s="313"/>
      <c r="AU816" s="310"/>
      <c r="AV816" s="322"/>
      <c r="AW816" s="276"/>
      <c r="AX816" s="276"/>
      <c r="AY816" s="276"/>
      <c r="AZ816" s="276"/>
      <c r="BA816" s="276"/>
      <c r="BB816" s="276"/>
      <c r="BC816" s="276"/>
      <c r="BD816" s="276"/>
      <c r="BE816" s="276"/>
      <c r="BF816" s="399">
        <v>1.78</v>
      </c>
      <c r="BG816" s="382"/>
      <c r="BH816" s="278"/>
      <c r="BI816" s="365"/>
    </row>
    <row r="817" spans="1:61" ht="15.75" customHeight="1" thickBot="1" x14ac:dyDescent="0.25">
      <c r="A817" s="156">
        <v>818</v>
      </c>
      <c r="B817" s="155">
        <v>2</v>
      </c>
      <c r="C817" s="148" t="s">
        <v>162</v>
      </c>
      <c r="D817" s="141" t="s">
        <v>2356</v>
      </c>
      <c r="E817" s="148"/>
      <c r="F817" s="148"/>
      <c r="G817" s="148"/>
      <c r="H817" s="148" t="s">
        <v>2870</v>
      </c>
      <c r="I817" s="164" t="s">
        <v>2868</v>
      </c>
      <c r="J817" s="161" t="s">
        <v>2866</v>
      </c>
      <c r="K817" s="161" t="s">
        <v>2867</v>
      </c>
      <c r="L817" s="161" t="s">
        <v>83</v>
      </c>
      <c r="M817" s="453" t="s">
        <v>4280</v>
      </c>
      <c r="N817" s="186"/>
      <c r="O817" s="186"/>
      <c r="P817" s="186"/>
      <c r="Q817" s="186"/>
      <c r="R817" s="186"/>
      <c r="S817" s="186"/>
      <c r="T817" s="186"/>
      <c r="U817" s="186"/>
      <c r="V817" s="186"/>
      <c r="W817" s="186"/>
      <c r="X817" s="186"/>
      <c r="Y817" s="186"/>
      <c r="Z817" s="186"/>
      <c r="AA817" s="186"/>
      <c r="AB817" s="186"/>
      <c r="AC817" s="186"/>
      <c r="AD817" s="268"/>
      <c r="AE817" s="268"/>
      <c r="AF817" s="144" t="str">
        <f t="shared" si="63"/>
        <v/>
      </c>
      <c r="AG817" s="144" t="str">
        <f t="shared" si="61"/>
        <v/>
      </c>
      <c r="AH817" s="146">
        <f t="shared" si="59"/>
        <v>0.88</v>
      </c>
      <c r="AI817" s="146" t="str">
        <f t="shared" si="60"/>
        <v/>
      </c>
      <c r="AJ817" s="313"/>
      <c r="AK817" s="313"/>
      <c r="AL817" s="313"/>
      <c r="AM817" s="313"/>
      <c r="AN817" s="313"/>
      <c r="AO817" s="313"/>
      <c r="AP817" s="313"/>
      <c r="AQ817" s="313"/>
      <c r="AR817" s="313"/>
      <c r="AU817" s="310"/>
      <c r="AV817" s="322"/>
      <c r="AW817" s="276"/>
      <c r="AX817" s="276"/>
      <c r="AY817" s="276"/>
      <c r="AZ817" s="276"/>
      <c r="BA817" s="276"/>
      <c r="BB817" s="276"/>
      <c r="BC817" s="276"/>
      <c r="BD817" s="276"/>
      <c r="BE817" s="276"/>
      <c r="BF817" s="399">
        <v>0.88</v>
      </c>
      <c r="BG817" s="382"/>
      <c r="BH817" s="278"/>
      <c r="BI817" s="365"/>
    </row>
    <row r="818" spans="1:61" ht="15.75" customHeight="1" thickBot="1" x14ac:dyDescent="0.25">
      <c r="A818" s="156">
        <v>819</v>
      </c>
      <c r="B818" s="155">
        <v>2</v>
      </c>
      <c r="C818" s="148" t="s">
        <v>760</v>
      </c>
      <c r="D818" s="141" t="s">
        <v>1791</v>
      </c>
      <c r="E818" s="148"/>
      <c r="F818" s="148"/>
      <c r="G818" s="148"/>
      <c r="H818" s="148" t="s">
        <v>2869</v>
      </c>
      <c r="I818" s="164" t="s">
        <v>2868</v>
      </c>
      <c r="J818" s="161" t="s">
        <v>2866</v>
      </c>
      <c r="K818" s="161" t="s">
        <v>2867</v>
      </c>
      <c r="L818" s="161" t="s">
        <v>83</v>
      </c>
      <c r="M818" s="453" t="s">
        <v>4280</v>
      </c>
      <c r="N818" s="186"/>
      <c r="O818" s="186"/>
      <c r="P818" s="186"/>
      <c r="Q818" s="186"/>
      <c r="R818" s="186"/>
      <c r="S818" s="186"/>
      <c r="T818" s="186"/>
      <c r="U818" s="186"/>
      <c r="V818" s="186"/>
      <c r="W818" s="186"/>
      <c r="X818" s="186"/>
      <c r="Y818" s="186"/>
      <c r="Z818" s="186"/>
      <c r="AA818" s="186"/>
      <c r="AB818" s="186"/>
      <c r="AC818" s="186"/>
      <c r="AD818" s="268"/>
      <c r="AE818" s="268"/>
      <c r="AF818" s="144" t="str">
        <f t="shared" si="63"/>
        <v/>
      </c>
      <c r="AG818" s="144" t="str">
        <f t="shared" si="61"/>
        <v/>
      </c>
      <c r="AH818" s="146">
        <f t="shared" si="59"/>
        <v>0.61</v>
      </c>
      <c r="AI818" s="146" t="str">
        <f t="shared" si="60"/>
        <v/>
      </c>
      <c r="AJ818" s="313"/>
      <c r="AK818" s="313"/>
      <c r="AL818" s="313"/>
      <c r="AM818" s="313"/>
      <c r="AN818" s="313"/>
      <c r="AO818" s="313"/>
      <c r="AP818" s="313"/>
      <c r="AQ818" s="313"/>
      <c r="AR818" s="313"/>
      <c r="AU818" s="310"/>
      <c r="AV818" s="322"/>
      <c r="AW818" s="276"/>
      <c r="AX818" s="276"/>
      <c r="AY818" s="276"/>
      <c r="AZ818" s="276"/>
      <c r="BA818" s="276"/>
      <c r="BB818" s="276"/>
      <c r="BC818" s="276"/>
      <c r="BD818" s="276"/>
      <c r="BE818" s="276"/>
      <c r="BF818" s="399">
        <v>0.61</v>
      </c>
      <c r="BG818" s="382"/>
      <c r="BH818" s="278"/>
      <c r="BI818" s="365"/>
    </row>
    <row r="819" spans="1:61" ht="15.75" customHeight="1" thickBot="1" x14ac:dyDescent="0.25">
      <c r="A819" s="156">
        <v>820</v>
      </c>
      <c r="B819" s="155">
        <v>2</v>
      </c>
      <c r="C819" s="148" t="s">
        <v>236</v>
      </c>
      <c r="D819" s="141" t="s">
        <v>2011</v>
      </c>
      <c r="E819" s="148"/>
      <c r="F819" s="148"/>
      <c r="G819" s="148"/>
      <c r="H819" s="148" t="s">
        <v>2869</v>
      </c>
      <c r="I819" s="164" t="s">
        <v>2868</v>
      </c>
      <c r="J819" s="161" t="s">
        <v>2866</v>
      </c>
      <c r="K819" s="161" t="s">
        <v>2867</v>
      </c>
      <c r="L819" s="161" t="s">
        <v>83</v>
      </c>
      <c r="M819" s="453" t="s">
        <v>4280</v>
      </c>
      <c r="N819" s="186"/>
      <c r="O819" s="186"/>
      <c r="P819" s="186"/>
      <c r="Q819" s="186"/>
      <c r="R819" s="186"/>
      <c r="S819" s="186"/>
      <c r="T819" s="186"/>
      <c r="U819" s="186"/>
      <c r="V819" s="186"/>
      <c r="W819" s="186"/>
      <c r="X819" s="186"/>
      <c r="Y819" s="186"/>
      <c r="Z819" s="186"/>
      <c r="AA819" s="186"/>
      <c r="AB819" s="186"/>
      <c r="AC819" s="186"/>
      <c r="AD819" s="268"/>
      <c r="AE819" s="268"/>
      <c r="AF819" s="144" t="str">
        <f t="shared" si="63"/>
        <v/>
      </c>
      <c r="AG819" s="144" t="str">
        <f t="shared" si="61"/>
        <v/>
      </c>
      <c r="AH819" s="146">
        <f t="shared" si="59"/>
        <v>0.42</v>
      </c>
      <c r="AI819" s="146" t="str">
        <f t="shared" si="60"/>
        <v/>
      </c>
      <c r="AJ819" s="313"/>
      <c r="AK819" s="313"/>
      <c r="AL819" s="313"/>
      <c r="AM819" s="313"/>
      <c r="AN819" s="313"/>
      <c r="AO819" s="313"/>
      <c r="AP819" s="313"/>
      <c r="AQ819" s="313"/>
      <c r="AR819" s="313"/>
      <c r="AU819" s="310"/>
      <c r="AV819" s="322"/>
      <c r="AW819" s="276"/>
      <c r="AX819" s="276"/>
      <c r="AY819" s="276"/>
      <c r="AZ819" s="276"/>
      <c r="BA819" s="276"/>
      <c r="BB819" s="276"/>
      <c r="BC819" s="276"/>
      <c r="BD819" s="276"/>
      <c r="BE819" s="276"/>
      <c r="BF819" s="400">
        <v>0.42</v>
      </c>
      <c r="BG819" s="382"/>
      <c r="BH819" s="278"/>
      <c r="BI819" s="365"/>
    </row>
    <row r="820" spans="1:61" ht="15.75" customHeight="1" thickBot="1" x14ac:dyDescent="0.25">
      <c r="A820" s="156">
        <v>821</v>
      </c>
      <c r="B820" s="155">
        <v>2</v>
      </c>
      <c r="C820" s="148" t="s">
        <v>236</v>
      </c>
      <c r="D820" s="141" t="s">
        <v>2011</v>
      </c>
      <c r="E820" s="148"/>
      <c r="F820" s="148"/>
      <c r="G820" s="148"/>
      <c r="H820" s="148" t="s">
        <v>2870</v>
      </c>
      <c r="I820" s="164" t="s">
        <v>2868</v>
      </c>
      <c r="J820" s="161" t="s">
        <v>2866</v>
      </c>
      <c r="K820" s="161" t="s">
        <v>2867</v>
      </c>
      <c r="L820" s="161" t="s">
        <v>83</v>
      </c>
      <c r="M820" s="453" t="s">
        <v>4280</v>
      </c>
      <c r="N820" s="186"/>
      <c r="O820" s="186"/>
      <c r="P820" s="186"/>
      <c r="Q820" s="186"/>
      <c r="R820" s="186"/>
      <c r="S820" s="186"/>
      <c r="T820" s="186"/>
      <c r="U820" s="186"/>
      <c r="V820" s="186"/>
      <c r="W820" s="186"/>
      <c r="X820" s="186"/>
      <c r="Y820" s="186"/>
      <c r="Z820" s="186"/>
      <c r="AA820" s="186"/>
      <c r="AB820" s="186"/>
      <c r="AC820" s="186"/>
      <c r="AD820" s="268"/>
      <c r="AE820" s="268"/>
      <c r="AF820" s="144" t="str">
        <f t="shared" si="63"/>
        <v/>
      </c>
      <c r="AG820" s="144" t="str">
        <f t="shared" si="61"/>
        <v/>
      </c>
      <c r="AH820" s="146">
        <f t="shared" si="59"/>
        <v>0.75</v>
      </c>
      <c r="AI820" s="146" t="str">
        <f t="shared" si="60"/>
        <v/>
      </c>
      <c r="AJ820" s="313"/>
      <c r="AK820" s="313"/>
      <c r="AL820" s="313"/>
      <c r="AM820" s="313"/>
      <c r="AN820" s="313"/>
      <c r="AO820" s="313"/>
      <c r="AP820" s="313"/>
      <c r="AQ820" s="313"/>
      <c r="AR820" s="313"/>
      <c r="AU820" s="310"/>
      <c r="AV820" s="322"/>
      <c r="AW820" s="276"/>
      <c r="AX820" s="276"/>
      <c r="AY820" s="276"/>
      <c r="AZ820" s="276"/>
      <c r="BA820" s="276"/>
      <c r="BB820" s="276"/>
      <c r="BC820" s="276"/>
      <c r="BD820" s="276"/>
      <c r="BE820" s="276"/>
      <c r="BF820" s="400">
        <v>0.75</v>
      </c>
      <c r="BG820" s="382"/>
      <c r="BH820" s="278"/>
      <c r="BI820" s="365"/>
    </row>
    <row r="821" spans="1:61" ht="15.75" customHeight="1" thickBot="1" x14ac:dyDescent="0.25">
      <c r="A821" s="156">
        <v>822</v>
      </c>
      <c r="B821" s="155">
        <v>2</v>
      </c>
      <c r="C821" s="148" t="s">
        <v>236</v>
      </c>
      <c r="D821" s="141" t="s">
        <v>1962</v>
      </c>
      <c r="E821" s="148"/>
      <c r="F821" s="148"/>
      <c r="G821" s="148"/>
      <c r="H821" s="148" t="s">
        <v>108</v>
      </c>
      <c r="I821" s="164" t="s">
        <v>2868</v>
      </c>
      <c r="J821" s="161" t="s">
        <v>2866</v>
      </c>
      <c r="K821" s="161" t="s">
        <v>2867</v>
      </c>
      <c r="L821" s="161" t="s">
        <v>83</v>
      </c>
      <c r="M821" s="453" t="s">
        <v>4280</v>
      </c>
      <c r="N821" s="186"/>
      <c r="O821" s="186"/>
      <c r="P821" s="186"/>
      <c r="Q821" s="186"/>
      <c r="R821" s="186"/>
      <c r="S821" s="186"/>
      <c r="T821" s="186"/>
      <c r="U821" s="186"/>
      <c r="V821" s="186"/>
      <c r="W821" s="186"/>
      <c r="X821" s="186"/>
      <c r="Y821" s="186"/>
      <c r="Z821" s="186"/>
      <c r="AA821" s="186"/>
      <c r="AB821" s="186"/>
      <c r="AC821" s="186"/>
      <c r="AD821" s="268"/>
      <c r="AE821" s="268"/>
      <c r="AF821" s="144" t="str">
        <f t="shared" si="63"/>
        <v/>
      </c>
      <c r="AG821" s="144" t="str">
        <f t="shared" si="61"/>
        <v/>
      </c>
      <c r="AH821" s="146">
        <f t="shared" si="59"/>
        <v>0.32</v>
      </c>
      <c r="AI821" s="146" t="str">
        <f t="shared" si="60"/>
        <v/>
      </c>
      <c r="AJ821" s="313"/>
      <c r="AK821" s="313"/>
      <c r="AL821" s="313"/>
      <c r="AM821" s="313"/>
      <c r="AN821" s="313"/>
      <c r="AO821" s="313"/>
      <c r="AP821" s="313"/>
      <c r="AQ821" s="313"/>
      <c r="AR821" s="313"/>
      <c r="AU821" s="310"/>
      <c r="AV821" s="322"/>
      <c r="AW821" s="276"/>
      <c r="AX821" s="276"/>
      <c r="AY821" s="276"/>
      <c r="AZ821" s="276"/>
      <c r="BA821" s="276"/>
      <c r="BB821" s="276"/>
      <c r="BC821" s="276"/>
      <c r="BD821" s="276"/>
      <c r="BE821" s="276"/>
      <c r="BF821" s="400">
        <v>0.32</v>
      </c>
      <c r="BG821" s="382"/>
      <c r="BH821" s="278"/>
      <c r="BI821" s="365"/>
    </row>
    <row r="822" spans="1:61" ht="15.75" customHeight="1" thickBot="1" x14ac:dyDescent="0.25">
      <c r="A822" s="156">
        <v>823</v>
      </c>
      <c r="B822" s="155">
        <v>2</v>
      </c>
      <c r="C822" s="148" t="s">
        <v>236</v>
      </c>
      <c r="D822" s="141" t="s">
        <v>1962</v>
      </c>
      <c r="E822" s="148"/>
      <c r="F822" s="148"/>
      <c r="G822" s="148"/>
      <c r="H822" s="148" t="s">
        <v>2870</v>
      </c>
      <c r="I822" s="164" t="s">
        <v>2868</v>
      </c>
      <c r="J822" s="161" t="s">
        <v>2866</v>
      </c>
      <c r="K822" s="161" t="s">
        <v>2867</v>
      </c>
      <c r="L822" s="161" t="s">
        <v>83</v>
      </c>
      <c r="M822" s="453" t="s">
        <v>4280</v>
      </c>
      <c r="N822" s="186"/>
      <c r="O822" s="186"/>
      <c r="P822" s="186"/>
      <c r="Q822" s="186"/>
      <c r="R822" s="186"/>
      <c r="S822" s="186"/>
      <c r="T822" s="186"/>
      <c r="U822" s="186"/>
      <c r="V822" s="186"/>
      <c r="W822" s="186"/>
      <c r="X822" s="186"/>
      <c r="Y822" s="186"/>
      <c r="Z822" s="186"/>
      <c r="AA822" s="186"/>
      <c r="AB822" s="186"/>
      <c r="AC822" s="186"/>
      <c r="AD822" s="268"/>
      <c r="AE822" s="268"/>
      <c r="AF822" s="144" t="str">
        <f t="shared" si="63"/>
        <v/>
      </c>
      <c r="AG822" s="144" t="str">
        <f t="shared" si="61"/>
        <v/>
      </c>
      <c r="AH822" s="146">
        <f t="shared" si="59"/>
        <v>0.88</v>
      </c>
      <c r="AI822" s="146" t="str">
        <f t="shared" si="60"/>
        <v/>
      </c>
      <c r="AJ822" s="313"/>
      <c r="AK822" s="313"/>
      <c r="AL822" s="313"/>
      <c r="AM822" s="313"/>
      <c r="AN822" s="313"/>
      <c r="AO822" s="313"/>
      <c r="AP822" s="313"/>
      <c r="AQ822" s="313"/>
      <c r="AR822" s="313"/>
      <c r="AU822" s="310"/>
      <c r="AV822" s="322"/>
      <c r="AW822" s="276"/>
      <c r="AX822" s="276"/>
      <c r="AY822" s="276"/>
      <c r="AZ822" s="276"/>
      <c r="BA822" s="276"/>
      <c r="BB822" s="276"/>
      <c r="BC822" s="276"/>
      <c r="BD822" s="276"/>
      <c r="BE822" s="276"/>
      <c r="BF822" s="400">
        <v>0.88</v>
      </c>
      <c r="BG822" s="382"/>
      <c r="BH822" s="278"/>
      <c r="BI822" s="365"/>
    </row>
    <row r="823" spans="1:61" ht="15.75" customHeight="1" thickBot="1" x14ac:dyDescent="0.25">
      <c r="A823" s="156">
        <v>824</v>
      </c>
      <c r="B823" s="155">
        <v>2</v>
      </c>
      <c r="C823" s="148" t="s">
        <v>236</v>
      </c>
      <c r="D823" s="141" t="s">
        <v>2174</v>
      </c>
      <c r="E823" s="148"/>
      <c r="F823" s="148"/>
      <c r="G823" s="148"/>
      <c r="H823" s="148" t="s">
        <v>2870</v>
      </c>
      <c r="I823" s="164" t="s">
        <v>2868</v>
      </c>
      <c r="J823" s="161" t="s">
        <v>2866</v>
      </c>
      <c r="K823" s="161" t="s">
        <v>2867</v>
      </c>
      <c r="L823" s="161" t="s">
        <v>83</v>
      </c>
      <c r="M823" s="453" t="s">
        <v>4280</v>
      </c>
      <c r="N823" s="186"/>
      <c r="O823" s="186"/>
      <c r="P823" s="186"/>
      <c r="Q823" s="186"/>
      <c r="R823" s="186"/>
      <c r="S823" s="186"/>
      <c r="T823" s="186"/>
      <c r="U823" s="186"/>
      <c r="V823" s="186"/>
      <c r="W823" s="186"/>
      <c r="X823" s="186"/>
      <c r="Y823" s="186"/>
      <c r="Z823" s="186"/>
      <c r="AA823" s="186"/>
      <c r="AB823" s="186"/>
      <c r="AC823" s="186"/>
      <c r="AD823" s="268"/>
      <c r="AE823" s="268"/>
      <c r="AF823" s="144" t="str">
        <f t="shared" si="63"/>
        <v/>
      </c>
      <c r="AG823" s="144" t="str">
        <f t="shared" si="61"/>
        <v/>
      </c>
      <c r="AH823" s="146">
        <f t="shared" si="59"/>
        <v>1.33</v>
      </c>
      <c r="AI823" s="146" t="str">
        <f t="shared" si="60"/>
        <v/>
      </c>
      <c r="AJ823" s="313"/>
      <c r="AK823" s="313"/>
      <c r="AL823" s="313"/>
      <c r="AM823" s="313"/>
      <c r="AN823" s="313"/>
      <c r="AO823" s="313"/>
      <c r="AP823" s="313"/>
      <c r="AQ823" s="313"/>
      <c r="AR823" s="313"/>
      <c r="AU823" s="310"/>
      <c r="AV823" s="322"/>
      <c r="AW823" s="276"/>
      <c r="AX823" s="276"/>
      <c r="AY823" s="276"/>
      <c r="AZ823" s="276"/>
      <c r="BA823" s="276"/>
      <c r="BB823" s="276"/>
      <c r="BC823" s="276"/>
      <c r="BD823" s="276"/>
      <c r="BE823" s="276"/>
      <c r="BF823" s="400">
        <v>1.33</v>
      </c>
      <c r="BG823" s="382"/>
      <c r="BH823" s="278"/>
      <c r="BI823" s="365"/>
    </row>
    <row r="824" spans="1:61" ht="15.75" customHeight="1" thickBot="1" x14ac:dyDescent="0.25">
      <c r="A824" s="156">
        <v>825</v>
      </c>
      <c r="B824" s="155">
        <v>2</v>
      </c>
      <c r="C824" s="148" t="s">
        <v>162</v>
      </c>
      <c r="D824" s="141" t="s">
        <v>1755</v>
      </c>
      <c r="E824" s="148"/>
      <c r="F824" s="148"/>
      <c r="G824" s="148"/>
      <c r="H824" s="148" t="s">
        <v>2869</v>
      </c>
      <c r="I824" s="164" t="s">
        <v>2868</v>
      </c>
      <c r="J824" s="161" t="s">
        <v>2866</v>
      </c>
      <c r="K824" s="161" t="s">
        <v>2867</v>
      </c>
      <c r="L824" s="161" t="s">
        <v>83</v>
      </c>
      <c r="M824" s="453" t="s">
        <v>4280</v>
      </c>
      <c r="N824" s="186"/>
      <c r="O824" s="186"/>
      <c r="P824" s="186"/>
      <c r="Q824" s="186"/>
      <c r="R824" s="186"/>
      <c r="S824" s="186"/>
      <c r="T824" s="186"/>
      <c r="U824" s="186"/>
      <c r="V824" s="186"/>
      <c r="W824" s="186"/>
      <c r="X824" s="186"/>
      <c r="Y824" s="186"/>
      <c r="Z824" s="186"/>
      <c r="AA824" s="186"/>
      <c r="AB824" s="186"/>
      <c r="AC824" s="186"/>
      <c r="AD824" s="268"/>
      <c r="AE824" s="268"/>
      <c r="AF824" s="144" t="str">
        <f t="shared" si="63"/>
        <v/>
      </c>
      <c r="AG824" s="144" t="str">
        <f t="shared" si="61"/>
        <v/>
      </c>
      <c r="AH824" s="146">
        <f t="shared" si="59"/>
        <v>0.48</v>
      </c>
      <c r="AI824" s="146" t="str">
        <f t="shared" si="60"/>
        <v/>
      </c>
      <c r="AJ824" s="313"/>
      <c r="AK824" s="313"/>
      <c r="AL824" s="313"/>
      <c r="AM824" s="313"/>
      <c r="AN824" s="313"/>
      <c r="AO824" s="313"/>
      <c r="AP824" s="313"/>
      <c r="AQ824" s="313"/>
      <c r="AR824" s="313"/>
      <c r="AU824" s="310"/>
      <c r="AV824" s="322"/>
      <c r="AW824" s="276"/>
      <c r="AX824" s="276"/>
      <c r="AY824" s="276"/>
      <c r="AZ824" s="276"/>
      <c r="BA824" s="276"/>
      <c r="BB824" s="276"/>
      <c r="BC824" s="276"/>
      <c r="BD824" s="276"/>
      <c r="BE824" s="276"/>
      <c r="BF824" s="400">
        <v>0.48</v>
      </c>
      <c r="BG824" s="382"/>
      <c r="BH824" s="278"/>
      <c r="BI824" s="365"/>
    </row>
    <row r="825" spans="1:61" ht="15.75" customHeight="1" thickBot="1" x14ac:dyDescent="0.25">
      <c r="A825" s="156">
        <v>826</v>
      </c>
      <c r="B825" s="155">
        <v>2</v>
      </c>
      <c r="C825" s="148" t="s">
        <v>542</v>
      </c>
      <c r="D825" s="148" t="s">
        <v>1947</v>
      </c>
      <c r="E825" s="148"/>
      <c r="F825" s="148"/>
      <c r="G825" s="148"/>
      <c r="H825" s="148" t="s">
        <v>351</v>
      </c>
      <c r="I825" s="161"/>
      <c r="J825" s="161" t="s">
        <v>2873</v>
      </c>
      <c r="K825" s="161"/>
      <c r="L825" s="161"/>
      <c r="M825" s="453" t="s">
        <v>4281</v>
      </c>
      <c r="N825" s="186" t="s">
        <v>122</v>
      </c>
      <c r="O825" s="186" t="s">
        <v>122</v>
      </c>
      <c r="P825" s="186" t="s">
        <v>122</v>
      </c>
      <c r="Q825" s="186" t="s">
        <v>122</v>
      </c>
      <c r="R825" s="186" t="s">
        <v>292</v>
      </c>
      <c r="S825" s="186" t="s">
        <v>292</v>
      </c>
      <c r="T825" s="186" t="s">
        <v>292</v>
      </c>
      <c r="U825" s="186" t="s">
        <v>292</v>
      </c>
      <c r="V825" s="186" t="s">
        <v>292</v>
      </c>
      <c r="W825" s="186" t="s">
        <v>292</v>
      </c>
      <c r="X825" s="186" t="s">
        <v>292</v>
      </c>
      <c r="Y825" s="186" t="s">
        <v>292</v>
      </c>
      <c r="Z825" s="186"/>
      <c r="AA825" s="186" t="s">
        <v>2872</v>
      </c>
      <c r="AB825" s="186"/>
      <c r="AC825" s="186"/>
      <c r="AD825" s="268"/>
      <c r="AE825" s="268"/>
      <c r="AF825" s="144" t="str">
        <f t="shared" si="63"/>
        <v/>
      </c>
      <c r="AG825" s="144">
        <f t="shared" si="61"/>
        <v>24.8</v>
      </c>
      <c r="AH825" s="146" t="str">
        <f t="shared" si="59"/>
        <v/>
      </c>
      <c r="AI825" s="146">
        <f t="shared" si="60"/>
        <v>2.14</v>
      </c>
      <c r="AJ825" s="313"/>
      <c r="AK825" s="313"/>
      <c r="AL825" s="310">
        <v>24.8</v>
      </c>
      <c r="AM825" s="313"/>
      <c r="AN825" s="313"/>
      <c r="AO825" s="313"/>
      <c r="AP825" s="313"/>
      <c r="AQ825" s="313"/>
      <c r="AR825" s="313"/>
      <c r="AS825" s="177"/>
      <c r="AT825" s="173">
        <f>SUM(AJ825:AR825)</f>
        <v>24.8</v>
      </c>
      <c r="AU825" s="310"/>
      <c r="AV825" s="322"/>
      <c r="AW825" s="276"/>
      <c r="AX825" s="276"/>
      <c r="AY825" s="278">
        <v>2.14</v>
      </c>
      <c r="AZ825" s="276"/>
      <c r="BA825" s="276"/>
      <c r="BB825" s="276"/>
      <c r="BC825" s="276"/>
      <c r="BD825" s="276"/>
      <c r="BE825" s="276"/>
      <c r="BF825" s="400"/>
      <c r="BG825" s="389">
        <f>SUM(AW825:BE825)</f>
        <v>2.14</v>
      </c>
      <c r="BH825" s="278"/>
      <c r="BI825" s="365"/>
    </row>
    <row r="826" spans="1:61" ht="15.75" customHeight="1" thickBot="1" x14ac:dyDescent="0.25">
      <c r="A826" s="156">
        <v>827</v>
      </c>
      <c r="B826" s="155">
        <v>2</v>
      </c>
      <c r="C826" s="148" t="s">
        <v>760</v>
      </c>
      <c r="D826" s="141" t="s">
        <v>2126</v>
      </c>
      <c r="E826" s="148"/>
      <c r="F826" s="148"/>
      <c r="G826" s="148"/>
      <c r="H826" s="148" t="s">
        <v>2874</v>
      </c>
      <c r="I826" s="161"/>
      <c r="J826" s="161" t="s">
        <v>2888</v>
      </c>
      <c r="K826" s="161"/>
      <c r="L826" s="161"/>
      <c r="M826" s="453" t="s">
        <v>4282</v>
      </c>
      <c r="N826" s="186"/>
      <c r="O826" s="186"/>
      <c r="P826" s="186"/>
      <c r="Q826" s="186"/>
      <c r="R826" s="186"/>
      <c r="S826" s="186"/>
      <c r="T826" s="186"/>
      <c r="U826" s="186"/>
      <c r="V826" s="186"/>
      <c r="W826" s="186"/>
      <c r="X826" s="186"/>
      <c r="Y826" s="186"/>
      <c r="Z826" s="186"/>
      <c r="AA826" s="186"/>
      <c r="AB826" s="186"/>
      <c r="AC826" s="186"/>
      <c r="AD826" s="268"/>
      <c r="AE826" s="268"/>
      <c r="AF826" s="144">
        <f t="shared" si="63"/>
        <v>7.1159132999999999</v>
      </c>
      <c r="AG826" s="144" t="str">
        <f t="shared" si="61"/>
        <v/>
      </c>
      <c r="AH826" s="146">
        <f t="shared" si="59"/>
        <v>0.74203154000000004</v>
      </c>
      <c r="AI826" s="146" t="str">
        <f t="shared" si="60"/>
        <v/>
      </c>
      <c r="AJ826" s="313"/>
      <c r="AK826" s="313"/>
      <c r="AL826" s="313"/>
      <c r="AM826" s="313"/>
      <c r="AN826" s="313"/>
      <c r="AO826" s="313"/>
      <c r="AP826" s="313"/>
      <c r="AQ826" s="313"/>
      <c r="AR826" s="313"/>
      <c r="AS826" s="287">
        <v>7.1159132999999999</v>
      </c>
      <c r="AT826" s="169"/>
      <c r="AU826" s="310"/>
      <c r="AV826" s="322"/>
      <c r="AW826" s="276"/>
      <c r="AX826" s="276"/>
      <c r="AY826" s="276"/>
      <c r="AZ826" s="276"/>
      <c r="BA826" s="276"/>
      <c r="BB826" s="276"/>
      <c r="BC826" s="276"/>
      <c r="BD826" s="276"/>
      <c r="BE826" s="276"/>
      <c r="BF826" s="401">
        <v>0.74203154000000004</v>
      </c>
      <c r="BG826" s="382"/>
      <c r="BH826" s="278"/>
      <c r="BI826" s="365"/>
    </row>
    <row r="827" spans="1:61" ht="15.75" customHeight="1" thickBot="1" x14ac:dyDescent="0.25">
      <c r="A827" s="156">
        <v>828</v>
      </c>
      <c r="B827" s="155">
        <v>2</v>
      </c>
      <c r="C827" s="148" t="s">
        <v>760</v>
      </c>
      <c r="D827" s="141" t="s">
        <v>2126</v>
      </c>
      <c r="E827" s="148"/>
      <c r="F827" s="148"/>
      <c r="G827" s="148"/>
      <c r="H827" s="148" t="s">
        <v>2875</v>
      </c>
      <c r="I827" s="161"/>
      <c r="J827" s="161" t="s">
        <v>2888</v>
      </c>
      <c r="K827" s="161"/>
      <c r="L827" s="161"/>
      <c r="M827" s="453" t="s">
        <v>4282</v>
      </c>
      <c r="N827" s="186"/>
      <c r="O827" s="186"/>
      <c r="P827" s="186"/>
      <c r="Q827" s="186"/>
      <c r="R827" s="186"/>
      <c r="S827" s="186"/>
      <c r="T827" s="186"/>
      <c r="U827" s="186"/>
      <c r="V827" s="186"/>
      <c r="W827" s="186"/>
      <c r="X827" s="186"/>
      <c r="Y827" s="186"/>
      <c r="Z827" s="186"/>
      <c r="AA827" s="186"/>
      <c r="AB827" s="186"/>
      <c r="AC827" s="186"/>
      <c r="AD827" s="268"/>
      <c r="AE827" s="268"/>
      <c r="AF827" s="144">
        <f t="shared" si="63"/>
        <v>3.0132927999999999</v>
      </c>
      <c r="AG827" s="144" t="str">
        <f t="shared" si="61"/>
        <v/>
      </c>
      <c r="AH827" s="146">
        <f t="shared" si="59"/>
        <v>0.40359191</v>
      </c>
      <c r="AI827" s="146" t="str">
        <f t="shared" si="60"/>
        <v/>
      </c>
      <c r="AJ827" s="313"/>
      <c r="AK827" s="313"/>
      <c r="AL827" s="313"/>
      <c r="AM827" s="313"/>
      <c r="AN827" s="313"/>
      <c r="AO827" s="313"/>
      <c r="AP827" s="313"/>
      <c r="AQ827" s="313"/>
      <c r="AR827" s="313"/>
      <c r="AS827" s="287">
        <v>3.0132927999999999</v>
      </c>
      <c r="AT827" s="169"/>
      <c r="AU827" s="310"/>
      <c r="AV827" s="322"/>
      <c r="AW827" s="276"/>
      <c r="AX827" s="276"/>
      <c r="AY827" s="276"/>
      <c r="AZ827" s="276"/>
      <c r="BA827" s="276"/>
      <c r="BB827" s="276"/>
      <c r="BC827" s="276"/>
      <c r="BD827" s="276"/>
      <c r="BE827" s="276"/>
      <c r="BF827" s="401">
        <v>0.40359191</v>
      </c>
      <c r="BG827" s="382"/>
      <c r="BH827" s="278"/>
      <c r="BI827" s="365"/>
    </row>
    <row r="828" spans="1:61" ht="15.75" customHeight="1" thickBot="1" x14ac:dyDescent="0.25">
      <c r="A828" s="156">
        <v>829</v>
      </c>
      <c r="B828" s="155">
        <v>2</v>
      </c>
      <c r="C828" s="148" t="s">
        <v>760</v>
      </c>
      <c r="D828" s="141" t="s">
        <v>2126</v>
      </c>
      <c r="E828" s="148"/>
      <c r="F828" s="148"/>
      <c r="G828" s="148"/>
      <c r="H828" s="148" t="s">
        <v>2876</v>
      </c>
      <c r="I828" s="161"/>
      <c r="J828" s="161" t="s">
        <v>2888</v>
      </c>
      <c r="K828" s="161"/>
      <c r="L828" s="161"/>
      <c r="M828" s="453" t="s">
        <v>4282</v>
      </c>
      <c r="N828" s="186"/>
      <c r="O828" s="186"/>
      <c r="P828" s="186"/>
      <c r="Q828" s="186"/>
      <c r="R828" s="186"/>
      <c r="S828" s="186"/>
      <c r="T828" s="186"/>
      <c r="U828" s="186"/>
      <c r="V828" s="186"/>
      <c r="W828" s="186"/>
      <c r="X828" s="186"/>
      <c r="Y828" s="186"/>
      <c r="Z828" s="186"/>
      <c r="AA828" s="186"/>
      <c r="AB828" s="186"/>
      <c r="AC828" s="186"/>
      <c r="AD828" s="268"/>
      <c r="AE828" s="268"/>
      <c r="AF828" s="144">
        <f t="shared" si="63"/>
        <v>2.9477362</v>
      </c>
      <c r="AG828" s="144" t="str">
        <f t="shared" si="61"/>
        <v/>
      </c>
      <c r="AH828" s="146">
        <f t="shared" si="59"/>
        <v>0.50794855000000005</v>
      </c>
      <c r="AI828" s="146" t="str">
        <f t="shared" si="60"/>
        <v/>
      </c>
      <c r="AJ828" s="313"/>
      <c r="AK828" s="313"/>
      <c r="AL828" s="313"/>
      <c r="AM828" s="313"/>
      <c r="AN828" s="313"/>
      <c r="AO828" s="313"/>
      <c r="AP828" s="313"/>
      <c r="AQ828" s="313"/>
      <c r="AR828" s="313"/>
      <c r="AS828" s="287">
        <v>2.9477362</v>
      </c>
      <c r="AT828" s="169"/>
      <c r="AU828" s="310"/>
      <c r="AV828" s="322"/>
      <c r="AW828" s="276"/>
      <c r="AX828" s="276"/>
      <c r="AY828" s="276"/>
      <c r="AZ828" s="276"/>
      <c r="BA828" s="276"/>
      <c r="BB828" s="276"/>
      <c r="BC828" s="276"/>
      <c r="BD828" s="276"/>
      <c r="BE828" s="276"/>
      <c r="BF828" s="401">
        <v>0.50794855000000005</v>
      </c>
      <c r="BG828" s="382"/>
      <c r="BH828" s="278"/>
      <c r="BI828" s="365"/>
    </row>
    <row r="829" spans="1:61" ht="15.75" customHeight="1" thickBot="1" x14ac:dyDescent="0.25">
      <c r="A829" s="156">
        <v>830</v>
      </c>
      <c r="B829" s="155">
        <v>2</v>
      </c>
      <c r="C829" s="148" t="s">
        <v>760</v>
      </c>
      <c r="D829" s="141" t="s">
        <v>2126</v>
      </c>
      <c r="E829" s="148"/>
      <c r="F829" s="148"/>
      <c r="G829" s="148"/>
      <c r="H829" s="148" t="s">
        <v>2877</v>
      </c>
      <c r="I829" s="161"/>
      <c r="J829" s="161" t="s">
        <v>2888</v>
      </c>
      <c r="K829" s="161"/>
      <c r="L829" s="161"/>
      <c r="M829" s="453" t="s">
        <v>4282</v>
      </c>
      <c r="N829" s="186"/>
      <c r="O829" s="186"/>
      <c r="P829" s="186"/>
      <c r="Q829" s="186"/>
      <c r="R829" s="186"/>
      <c r="S829" s="186"/>
      <c r="T829" s="186"/>
      <c r="U829" s="186"/>
      <c r="V829" s="186"/>
      <c r="W829" s="186"/>
      <c r="X829" s="186"/>
      <c r="Y829" s="186"/>
      <c r="Z829" s="186"/>
      <c r="AA829" s="186"/>
      <c r="AB829" s="186"/>
      <c r="AC829" s="186"/>
      <c r="AD829" s="268"/>
      <c r="AE829" s="268"/>
      <c r="AF829" s="144">
        <f t="shared" si="63"/>
        <v>6.1614000999999998</v>
      </c>
      <c r="AG829" s="144" t="str">
        <f t="shared" si="61"/>
        <v/>
      </c>
      <c r="AH829" s="146">
        <f t="shared" si="59"/>
        <v>2.0447562000000001</v>
      </c>
      <c r="AI829" s="146" t="str">
        <f t="shared" si="60"/>
        <v/>
      </c>
      <c r="AJ829" s="313"/>
      <c r="AK829" s="313"/>
      <c r="AL829" s="313"/>
      <c r="AM829" s="313"/>
      <c r="AN829" s="313"/>
      <c r="AO829" s="313"/>
      <c r="AP829" s="313"/>
      <c r="AQ829" s="313"/>
      <c r="AR829" s="313"/>
      <c r="AS829" s="287">
        <v>6.1614000999999998</v>
      </c>
      <c r="AT829" s="169"/>
      <c r="AU829" s="310"/>
      <c r="AV829" s="322"/>
      <c r="AW829" s="276"/>
      <c r="AX829" s="276"/>
      <c r="AY829" s="276"/>
      <c r="AZ829" s="276"/>
      <c r="BA829" s="276"/>
      <c r="BB829" s="276"/>
      <c r="BC829" s="276"/>
      <c r="BD829" s="276"/>
      <c r="BE829" s="276"/>
      <c r="BF829" s="401">
        <v>2.0447562000000001</v>
      </c>
      <c r="BG829" s="382"/>
      <c r="BH829" s="278"/>
      <c r="BI829" s="365"/>
    </row>
    <row r="830" spans="1:61" ht="15.75" customHeight="1" thickBot="1" x14ac:dyDescent="0.25">
      <c r="A830" s="156">
        <v>831</v>
      </c>
      <c r="B830" s="155">
        <v>2</v>
      </c>
      <c r="C830" s="148" t="s">
        <v>760</v>
      </c>
      <c r="D830" s="141" t="s">
        <v>2126</v>
      </c>
      <c r="E830" s="148"/>
      <c r="F830" s="148"/>
      <c r="G830" s="148"/>
      <c r="H830" s="148" t="s">
        <v>2878</v>
      </c>
      <c r="I830" s="161"/>
      <c r="J830" s="161" t="s">
        <v>2888</v>
      </c>
      <c r="K830" s="161"/>
      <c r="L830" s="161"/>
      <c r="M830" s="453" t="s">
        <v>4282</v>
      </c>
      <c r="N830" s="186"/>
      <c r="O830" s="186"/>
      <c r="P830" s="186"/>
      <c r="Q830" s="186"/>
      <c r="R830" s="186"/>
      <c r="S830" s="186"/>
      <c r="T830" s="186"/>
      <c r="U830" s="186"/>
      <c r="V830" s="186"/>
      <c r="W830" s="186"/>
      <c r="X830" s="186"/>
      <c r="Y830" s="186"/>
      <c r="Z830" s="186"/>
      <c r="AA830" s="186"/>
      <c r="AB830" s="186"/>
      <c r="AC830" s="186"/>
      <c r="AD830" s="268"/>
      <c r="AE830" s="268"/>
      <c r="AF830" s="144">
        <f t="shared" si="63"/>
        <v>2.2760601</v>
      </c>
      <c r="AG830" s="144" t="str">
        <f t="shared" si="61"/>
        <v/>
      </c>
      <c r="AH830" s="146">
        <f t="shared" si="59"/>
        <v>0.26357739000000002</v>
      </c>
      <c r="AI830" s="146" t="str">
        <f t="shared" si="60"/>
        <v/>
      </c>
      <c r="AJ830" s="313"/>
      <c r="AK830" s="313"/>
      <c r="AL830" s="313"/>
      <c r="AM830" s="313"/>
      <c r="AN830" s="313"/>
      <c r="AO830" s="313"/>
      <c r="AP830" s="313"/>
      <c r="AQ830" s="313"/>
      <c r="AR830" s="313"/>
      <c r="AS830" s="287">
        <v>2.2760601</v>
      </c>
      <c r="AT830" s="169"/>
      <c r="AU830" s="310"/>
      <c r="AV830" s="322"/>
      <c r="AW830" s="276"/>
      <c r="AX830" s="276"/>
      <c r="AY830" s="276"/>
      <c r="AZ830" s="276"/>
      <c r="BA830" s="276"/>
      <c r="BB830" s="276"/>
      <c r="BC830" s="276"/>
      <c r="BD830" s="276"/>
      <c r="BE830" s="276"/>
      <c r="BF830" s="401">
        <v>0.26357739000000002</v>
      </c>
      <c r="BG830" s="382"/>
      <c r="BH830" s="278"/>
      <c r="BI830" s="365"/>
    </row>
    <row r="831" spans="1:61" ht="15.75" customHeight="1" thickBot="1" x14ac:dyDescent="0.25">
      <c r="A831" s="156">
        <v>832</v>
      </c>
      <c r="B831" s="155">
        <v>2</v>
      </c>
      <c r="C831" s="148" t="s">
        <v>760</v>
      </c>
      <c r="D831" s="141" t="s">
        <v>2126</v>
      </c>
      <c r="E831" s="148"/>
      <c r="F831" s="148"/>
      <c r="G831" s="148"/>
      <c r="H831" s="148" t="s">
        <v>2879</v>
      </c>
      <c r="I831" s="161"/>
      <c r="J831" s="161" t="s">
        <v>2888</v>
      </c>
      <c r="K831" s="161"/>
      <c r="L831" s="161"/>
      <c r="M831" s="453" t="s">
        <v>4282</v>
      </c>
      <c r="N831" s="186"/>
      <c r="O831" s="186"/>
      <c r="P831" s="186"/>
      <c r="Q831" s="186"/>
      <c r="R831" s="186"/>
      <c r="S831" s="186"/>
      <c r="T831" s="186"/>
      <c r="U831" s="186"/>
      <c r="V831" s="186"/>
      <c r="W831" s="186"/>
      <c r="X831" s="186"/>
      <c r="Y831" s="186"/>
      <c r="Z831" s="186"/>
      <c r="AA831" s="186"/>
      <c r="AB831" s="186"/>
      <c r="AC831" s="186"/>
      <c r="AD831" s="268"/>
      <c r="AE831" s="268"/>
      <c r="AF831" s="144">
        <f t="shared" si="63"/>
        <v>3.0091594000000002</v>
      </c>
      <c r="AG831" s="144" t="str">
        <f t="shared" si="61"/>
        <v/>
      </c>
      <c r="AH831" s="146">
        <f t="shared" si="59"/>
        <v>0.44686640999999999</v>
      </c>
      <c r="AI831" s="146" t="str">
        <f t="shared" si="60"/>
        <v/>
      </c>
      <c r="AJ831" s="313"/>
      <c r="AK831" s="313"/>
      <c r="AL831" s="313"/>
      <c r="AM831" s="313"/>
      <c r="AN831" s="313"/>
      <c r="AO831" s="313"/>
      <c r="AP831" s="313"/>
      <c r="AQ831" s="313"/>
      <c r="AR831" s="313"/>
      <c r="AS831" s="287">
        <v>3.0091594000000002</v>
      </c>
      <c r="AT831" s="169"/>
      <c r="AU831" s="310"/>
      <c r="AV831" s="322"/>
      <c r="AW831" s="276"/>
      <c r="AX831" s="276"/>
      <c r="AY831" s="276"/>
      <c r="AZ831" s="276"/>
      <c r="BA831" s="276"/>
      <c r="BB831" s="276"/>
      <c r="BC831" s="276"/>
      <c r="BD831" s="276"/>
      <c r="BE831" s="276"/>
      <c r="BF831" s="401">
        <v>0.44686640999999999</v>
      </c>
      <c r="BG831" s="382"/>
      <c r="BH831" s="278"/>
      <c r="BI831" s="365"/>
    </row>
    <row r="832" spans="1:61" ht="15.75" customHeight="1" thickBot="1" x14ac:dyDescent="0.25">
      <c r="A832" s="156">
        <v>833</v>
      </c>
      <c r="B832" s="155">
        <v>2</v>
      </c>
      <c r="C832" s="148" t="s">
        <v>760</v>
      </c>
      <c r="D832" s="141" t="s">
        <v>2126</v>
      </c>
      <c r="E832" s="148"/>
      <c r="F832" s="148"/>
      <c r="G832" s="148"/>
      <c r="H832" s="148" t="s">
        <v>2880</v>
      </c>
      <c r="I832" s="161"/>
      <c r="J832" s="161" t="s">
        <v>2888</v>
      </c>
      <c r="K832" s="161"/>
      <c r="L832" s="161"/>
      <c r="M832" s="453" t="s">
        <v>4282</v>
      </c>
      <c r="N832" s="186"/>
      <c r="O832" s="186"/>
      <c r="P832" s="186"/>
      <c r="Q832" s="186"/>
      <c r="R832" s="186"/>
      <c r="S832" s="186"/>
      <c r="T832" s="186"/>
      <c r="U832" s="186"/>
      <c r="V832" s="186"/>
      <c r="W832" s="186"/>
      <c r="X832" s="186"/>
      <c r="Y832" s="186"/>
      <c r="Z832" s="186"/>
      <c r="AA832" s="186"/>
      <c r="AB832" s="186"/>
      <c r="AC832" s="186"/>
      <c r="AD832" s="268"/>
      <c r="AE832" s="268"/>
      <c r="AF832" s="144">
        <f t="shared" si="63"/>
        <v>3.9729307999999999</v>
      </c>
      <c r="AG832" s="144" t="str">
        <f t="shared" si="61"/>
        <v/>
      </c>
      <c r="AH832" s="146">
        <f t="shared" si="59"/>
        <v>0.53576064000000001</v>
      </c>
      <c r="AI832" s="146" t="str">
        <f t="shared" si="60"/>
        <v/>
      </c>
      <c r="AJ832" s="313"/>
      <c r="AK832" s="313"/>
      <c r="AL832" s="313"/>
      <c r="AM832" s="313"/>
      <c r="AN832" s="313"/>
      <c r="AO832" s="313"/>
      <c r="AP832" s="313"/>
      <c r="AQ832" s="313"/>
      <c r="AR832" s="313"/>
      <c r="AS832" s="287">
        <v>3.9729307999999999</v>
      </c>
      <c r="AT832" s="169"/>
      <c r="AU832" s="310"/>
      <c r="AV832" s="322"/>
      <c r="AW832" s="276"/>
      <c r="AX832" s="276"/>
      <c r="AY832" s="276"/>
      <c r="AZ832" s="276"/>
      <c r="BA832" s="276"/>
      <c r="BB832" s="276"/>
      <c r="BC832" s="276"/>
      <c r="BD832" s="276"/>
      <c r="BE832" s="276"/>
      <c r="BF832" s="401">
        <v>0.53576064000000001</v>
      </c>
      <c r="BG832" s="382"/>
      <c r="BH832" s="278"/>
      <c r="BI832" s="365"/>
    </row>
    <row r="833" spans="1:61" ht="15.75" customHeight="1" thickBot="1" x14ac:dyDescent="0.25">
      <c r="A833" s="156">
        <v>834</v>
      </c>
      <c r="B833" s="155">
        <v>2</v>
      </c>
      <c r="C833" s="148" t="s">
        <v>760</v>
      </c>
      <c r="D833" s="141" t="s">
        <v>2126</v>
      </c>
      <c r="E833" s="148"/>
      <c r="F833" s="148"/>
      <c r="G833" s="148"/>
      <c r="H833" s="148" t="s">
        <v>2881</v>
      </c>
      <c r="I833" s="161"/>
      <c r="J833" s="161" t="s">
        <v>2888</v>
      </c>
      <c r="K833" s="161"/>
      <c r="L833" s="161"/>
      <c r="M833" s="453" t="s">
        <v>4282</v>
      </c>
      <c r="N833" s="186"/>
      <c r="O833" s="186"/>
      <c r="P833" s="186"/>
      <c r="Q833" s="186"/>
      <c r="R833" s="186"/>
      <c r="S833" s="186"/>
      <c r="T833" s="186"/>
      <c r="U833" s="186"/>
      <c r="V833" s="186"/>
      <c r="W833" s="186"/>
      <c r="X833" s="186"/>
      <c r="Y833" s="186"/>
      <c r="Z833" s="186"/>
      <c r="AA833" s="186"/>
      <c r="AB833" s="186"/>
      <c r="AC833" s="186"/>
      <c r="AD833" s="268"/>
      <c r="AE833" s="268"/>
      <c r="AF833" s="144">
        <f t="shared" si="63"/>
        <v>2.2949158000000001</v>
      </c>
      <c r="AG833" s="144" t="str">
        <f t="shared" si="61"/>
        <v/>
      </c>
      <c r="AH833" s="146">
        <f t="shared" si="59"/>
        <v>0.32196740000000001</v>
      </c>
      <c r="AI833" s="146" t="str">
        <f t="shared" si="60"/>
        <v/>
      </c>
      <c r="AJ833" s="313"/>
      <c r="AK833" s="313"/>
      <c r="AL833" s="313"/>
      <c r="AM833" s="313"/>
      <c r="AN833" s="313"/>
      <c r="AO833" s="313"/>
      <c r="AP833" s="313"/>
      <c r="AQ833" s="313"/>
      <c r="AR833" s="313"/>
      <c r="AS833" s="287">
        <v>2.2949158000000001</v>
      </c>
      <c r="AT833" s="169"/>
      <c r="AU833" s="310"/>
      <c r="AV833" s="322"/>
      <c r="AW833" s="276"/>
      <c r="AX833" s="276"/>
      <c r="AY833" s="276"/>
      <c r="AZ833" s="276"/>
      <c r="BA833" s="276"/>
      <c r="BB833" s="276"/>
      <c r="BC833" s="276"/>
      <c r="BD833" s="276"/>
      <c r="BE833" s="276"/>
      <c r="BF833" s="401">
        <v>0.32196740000000001</v>
      </c>
      <c r="BG833" s="382"/>
      <c r="BH833" s="278"/>
      <c r="BI833" s="365"/>
    </row>
    <row r="834" spans="1:61" ht="15.75" customHeight="1" thickBot="1" x14ac:dyDescent="0.25">
      <c r="A834" s="156">
        <v>835</v>
      </c>
      <c r="B834" s="155">
        <v>2</v>
      </c>
      <c r="C834" s="148" t="s">
        <v>760</v>
      </c>
      <c r="D834" s="141" t="s">
        <v>2126</v>
      </c>
      <c r="E834" s="148"/>
      <c r="F834" s="148"/>
      <c r="G834" s="148"/>
      <c r="H834" s="148" t="s">
        <v>108</v>
      </c>
      <c r="I834" s="161"/>
      <c r="J834" s="161" t="s">
        <v>2888</v>
      </c>
      <c r="K834" s="161"/>
      <c r="L834" s="161"/>
      <c r="M834" s="453" t="s">
        <v>4282</v>
      </c>
      <c r="N834" s="186"/>
      <c r="O834" s="186"/>
      <c r="P834" s="186"/>
      <c r="Q834" s="186"/>
      <c r="R834" s="186"/>
      <c r="S834" s="186"/>
      <c r="T834" s="186"/>
      <c r="U834" s="186"/>
      <c r="V834" s="186"/>
      <c r="W834" s="186"/>
      <c r="X834" s="186"/>
      <c r="Y834" s="186"/>
      <c r="Z834" s="186"/>
      <c r="AA834" s="186"/>
      <c r="AB834" s="186"/>
      <c r="AC834" s="186"/>
      <c r="AD834" s="268"/>
      <c r="AE834" s="268"/>
      <c r="AF834" s="144">
        <f t="shared" si="63"/>
        <v>2.0325096999999999</v>
      </c>
      <c r="AG834" s="144" t="str">
        <f t="shared" si="61"/>
        <v/>
      </c>
      <c r="AH834" s="146">
        <f t="shared" ref="AH834:AH897" si="64">IF(BF834&lt;&gt;0,BF834,"")</f>
        <v>0.2892537</v>
      </c>
      <c r="AI834" s="146" t="str">
        <f t="shared" ref="AI834:AI897" si="65">IF(AND(SUM(AW834:AY834)&lt;&gt;0,SUM(AW834:AY834)&lt;&gt;AW834),SUM(AW834:AY834),"")</f>
        <v/>
      </c>
      <c r="AJ834" s="313"/>
      <c r="AK834" s="313"/>
      <c r="AL834" s="313"/>
      <c r="AM834" s="313"/>
      <c r="AN834" s="313"/>
      <c r="AO834" s="313"/>
      <c r="AP834" s="313"/>
      <c r="AQ834" s="313"/>
      <c r="AR834" s="313"/>
      <c r="AS834" s="287">
        <v>2.0325096999999999</v>
      </c>
      <c r="AT834" s="169"/>
      <c r="AU834" s="310"/>
      <c r="AV834" s="322"/>
      <c r="AW834" s="276"/>
      <c r="AX834" s="276"/>
      <c r="AY834" s="276"/>
      <c r="AZ834" s="276"/>
      <c r="BA834" s="276"/>
      <c r="BB834" s="276"/>
      <c r="BC834" s="276"/>
      <c r="BD834" s="276"/>
      <c r="BE834" s="276"/>
      <c r="BF834" s="401">
        <v>0.2892537</v>
      </c>
      <c r="BG834" s="382"/>
      <c r="BH834" s="278"/>
      <c r="BI834" s="365"/>
    </row>
    <row r="835" spans="1:61" ht="15.75" customHeight="1" thickBot="1" x14ac:dyDescent="0.25">
      <c r="A835" s="156">
        <v>836</v>
      </c>
      <c r="B835" s="155">
        <v>2</v>
      </c>
      <c r="C835" s="148" t="s">
        <v>760</v>
      </c>
      <c r="D835" s="141" t="s">
        <v>2290</v>
      </c>
      <c r="E835" s="148"/>
      <c r="F835" s="148"/>
      <c r="G835" s="148"/>
      <c r="H835" s="148" t="s">
        <v>2882</v>
      </c>
      <c r="I835" s="161"/>
      <c r="J835" s="161" t="s">
        <v>2889</v>
      </c>
      <c r="K835" s="161"/>
      <c r="L835" s="161"/>
      <c r="M835" s="453" t="s">
        <v>4282</v>
      </c>
      <c r="N835" s="186"/>
      <c r="O835" s="186"/>
      <c r="P835" s="186"/>
      <c r="Q835" s="186"/>
      <c r="R835" s="186"/>
      <c r="S835" s="186"/>
      <c r="T835" s="186"/>
      <c r="U835" s="186"/>
      <c r="V835" s="186"/>
      <c r="W835" s="186"/>
      <c r="X835" s="186"/>
      <c r="Y835" s="186"/>
      <c r="Z835" s="186"/>
      <c r="AA835" s="186"/>
      <c r="AB835" s="186"/>
      <c r="AC835" s="186"/>
      <c r="AD835" s="268"/>
      <c r="AE835" s="268"/>
      <c r="AF835" s="144">
        <f t="shared" si="63"/>
        <v>6.0645585000000004</v>
      </c>
      <c r="AG835" s="144" t="str">
        <f t="shared" si="61"/>
        <v/>
      </c>
      <c r="AH835" s="146">
        <f t="shared" si="64"/>
        <v>0.58053664999999999</v>
      </c>
      <c r="AI835" s="146" t="str">
        <f t="shared" si="65"/>
        <v/>
      </c>
      <c r="AJ835" s="313"/>
      <c r="AK835" s="313"/>
      <c r="AL835" s="313"/>
      <c r="AM835" s="313"/>
      <c r="AN835" s="313"/>
      <c r="AO835" s="313"/>
      <c r="AP835" s="313"/>
      <c r="AQ835" s="313"/>
      <c r="AR835" s="313"/>
      <c r="AS835" s="287">
        <v>6.0645585000000004</v>
      </c>
      <c r="AT835" s="169"/>
      <c r="AU835" s="310"/>
      <c r="AV835" s="322"/>
      <c r="AW835" s="276"/>
      <c r="AX835" s="276"/>
      <c r="AY835" s="276"/>
      <c r="AZ835" s="276"/>
      <c r="BA835" s="276"/>
      <c r="BB835" s="276"/>
      <c r="BC835" s="276"/>
      <c r="BD835" s="276"/>
      <c r="BE835" s="276"/>
      <c r="BF835" s="401">
        <v>0.58053664999999999</v>
      </c>
      <c r="BG835" s="382"/>
      <c r="BH835" s="278"/>
      <c r="BI835" s="365"/>
    </row>
    <row r="836" spans="1:61" ht="15.75" customHeight="1" thickBot="1" x14ac:dyDescent="0.25">
      <c r="A836" s="156">
        <v>837</v>
      </c>
      <c r="B836" s="155">
        <v>2</v>
      </c>
      <c r="C836" s="148" t="s">
        <v>760</v>
      </c>
      <c r="D836" s="141" t="s">
        <v>2290</v>
      </c>
      <c r="E836" s="148"/>
      <c r="F836" s="148"/>
      <c r="G836" s="148"/>
      <c r="H836" s="148" t="s">
        <v>2883</v>
      </c>
      <c r="I836" s="161"/>
      <c r="J836" s="161" t="s">
        <v>2889</v>
      </c>
      <c r="K836" s="161"/>
      <c r="L836" s="161"/>
      <c r="M836" s="453" t="s">
        <v>4282</v>
      </c>
      <c r="N836" s="186"/>
      <c r="O836" s="186"/>
      <c r="P836" s="186"/>
      <c r="Q836" s="186"/>
      <c r="R836" s="186"/>
      <c r="S836" s="186"/>
      <c r="T836" s="186"/>
      <c r="U836" s="186"/>
      <c r="V836" s="186"/>
      <c r="W836" s="186"/>
      <c r="X836" s="186"/>
      <c r="Y836" s="186"/>
      <c r="Z836" s="186"/>
      <c r="AA836" s="186"/>
      <c r="AB836" s="186"/>
      <c r="AC836" s="186"/>
      <c r="AD836" s="268"/>
      <c r="AE836" s="268"/>
      <c r="AF836" s="144">
        <f t="shared" si="63"/>
        <v>6.3242871000000003</v>
      </c>
      <c r="AG836" s="144" t="str">
        <f t="shared" si="61"/>
        <v/>
      </c>
      <c r="AH836" s="146">
        <f t="shared" si="64"/>
        <v>0.94865215000000003</v>
      </c>
      <c r="AI836" s="146" t="str">
        <f t="shared" si="65"/>
        <v/>
      </c>
      <c r="AJ836" s="313"/>
      <c r="AK836" s="313"/>
      <c r="AL836" s="313"/>
      <c r="AM836" s="313"/>
      <c r="AN836" s="313"/>
      <c r="AO836" s="313"/>
      <c r="AP836" s="313"/>
      <c r="AQ836" s="313"/>
      <c r="AR836" s="313"/>
      <c r="AS836" s="287">
        <v>6.3242871000000003</v>
      </c>
      <c r="AT836" s="169"/>
      <c r="AU836" s="310"/>
      <c r="AV836" s="322"/>
      <c r="AW836" s="276"/>
      <c r="AX836" s="276"/>
      <c r="AY836" s="276"/>
      <c r="AZ836" s="276"/>
      <c r="BA836" s="276"/>
      <c r="BB836" s="276"/>
      <c r="BC836" s="276"/>
      <c r="BD836" s="276"/>
      <c r="BE836" s="276"/>
      <c r="BF836" s="401">
        <v>0.94865215000000003</v>
      </c>
      <c r="BG836" s="382"/>
      <c r="BH836" s="278"/>
      <c r="BI836" s="365"/>
    </row>
    <row r="837" spans="1:61" ht="15.75" customHeight="1" thickBot="1" x14ac:dyDescent="0.25">
      <c r="A837" s="156">
        <v>838</v>
      </c>
      <c r="B837" s="155">
        <v>2</v>
      </c>
      <c r="C837" s="148" t="s">
        <v>760</v>
      </c>
      <c r="D837" s="141" t="s">
        <v>2290</v>
      </c>
      <c r="E837" s="148"/>
      <c r="F837" s="148"/>
      <c r="G837" s="148"/>
      <c r="H837" s="148" t="s">
        <v>2884</v>
      </c>
      <c r="I837" s="161"/>
      <c r="J837" s="161" t="s">
        <v>2889</v>
      </c>
      <c r="K837" s="161"/>
      <c r="L837" s="161"/>
      <c r="M837" s="453" t="s">
        <v>4282</v>
      </c>
      <c r="N837" s="186"/>
      <c r="O837" s="186"/>
      <c r="P837" s="186"/>
      <c r="Q837" s="186"/>
      <c r="R837" s="186"/>
      <c r="S837" s="186"/>
      <c r="T837" s="186"/>
      <c r="U837" s="186"/>
      <c r="V837" s="186"/>
      <c r="W837" s="186"/>
      <c r="X837" s="186"/>
      <c r="Y837" s="186"/>
      <c r="Z837" s="186"/>
      <c r="AA837" s="186"/>
      <c r="AB837" s="186"/>
      <c r="AC837" s="186"/>
      <c r="AD837" s="268"/>
      <c r="AE837" s="268"/>
      <c r="AF837" s="144">
        <f t="shared" si="63"/>
        <v>7.8457853999999996</v>
      </c>
      <c r="AG837" s="144" t="str">
        <f t="shared" si="61"/>
        <v/>
      </c>
      <c r="AH837" s="146">
        <f t="shared" si="64"/>
        <v>0.91692832999999996</v>
      </c>
      <c r="AI837" s="146" t="str">
        <f t="shared" si="65"/>
        <v/>
      </c>
      <c r="AJ837" s="313"/>
      <c r="AK837" s="313"/>
      <c r="AL837" s="313"/>
      <c r="AM837" s="313"/>
      <c r="AN837" s="313"/>
      <c r="AO837" s="313"/>
      <c r="AP837" s="313"/>
      <c r="AQ837" s="313"/>
      <c r="AR837" s="313"/>
      <c r="AS837" s="287">
        <v>7.8457853999999996</v>
      </c>
      <c r="AT837" s="169"/>
      <c r="AU837" s="310"/>
      <c r="AV837" s="322"/>
      <c r="AW837" s="276"/>
      <c r="AX837" s="276"/>
      <c r="AY837" s="276"/>
      <c r="AZ837" s="276"/>
      <c r="BA837" s="276"/>
      <c r="BB837" s="276"/>
      <c r="BC837" s="276"/>
      <c r="BD837" s="276"/>
      <c r="BE837" s="276"/>
      <c r="BF837" s="401">
        <v>0.91692832999999996</v>
      </c>
      <c r="BG837" s="382"/>
      <c r="BH837" s="278"/>
      <c r="BI837" s="365"/>
    </row>
    <row r="838" spans="1:61" ht="15.75" customHeight="1" thickBot="1" x14ac:dyDescent="0.25">
      <c r="A838" s="156">
        <v>839</v>
      </c>
      <c r="B838" s="155">
        <v>2</v>
      </c>
      <c r="C838" s="148" t="s">
        <v>760</v>
      </c>
      <c r="D838" s="141" t="s">
        <v>2290</v>
      </c>
      <c r="E838" s="148"/>
      <c r="F838" s="148"/>
      <c r="G838" s="148"/>
      <c r="H838" s="148" t="s">
        <v>2875</v>
      </c>
      <c r="I838" s="161"/>
      <c r="J838" s="161" t="s">
        <v>2889</v>
      </c>
      <c r="K838" s="161"/>
      <c r="L838" s="161"/>
      <c r="M838" s="453" t="s">
        <v>4282</v>
      </c>
      <c r="N838" s="186"/>
      <c r="O838" s="186"/>
      <c r="P838" s="186"/>
      <c r="Q838" s="186"/>
      <c r="R838" s="186"/>
      <c r="S838" s="186"/>
      <c r="T838" s="186"/>
      <c r="U838" s="186"/>
      <c r="V838" s="186"/>
      <c r="W838" s="186"/>
      <c r="X838" s="186"/>
      <c r="Y838" s="186"/>
      <c r="Z838" s="186"/>
      <c r="AA838" s="186"/>
      <c r="AB838" s="186"/>
      <c r="AC838" s="186"/>
      <c r="AD838" s="268"/>
      <c r="AE838" s="268"/>
      <c r="AF838" s="144">
        <f t="shared" si="63"/>
        <v>5.8051529999999998</v>
      </c>
      <c r="AG838" s="144" t="str">
        <f t="shared" si="61"/>
        <v/>
      </c>
      <c r="AH838" s="146">
        <f t="shared" si="64"/>
        <v>0.74121219000000005</v>
      </c>
      <c r="AI838" s="146" t="str">
        <f t="shared" si="65"/>
        <v/>
      </c>
      <c r="AJ838" s="313"/>
      <c r="AK838" s="313"/>
      <c r="AL838" s="313"/>
      <c r="AM838" s="313"/>
      <c r="AN838" s="313"/>
      <c r="AO838" s="313"/>
      <c r="AP838" s="313"/>
      <c r="AQ838" s="313"/>
      <c r="AR838" s="313"/>
      <c r="AS838" s="287">
        <v>5.8051529999999998</v>
      </c>
      <c r="AT838" s="169"/>
      <c r="AU838" s="310"/>
      <c r="AV838" s="322"/>
      <c r="AW838" s="276"/>
      <c r="AX838" s="276"/>
      <c r="AY838" s="276"/>
      <c r="AZ838" s="276"/>
      <c r="BA838" s="276"/>
      <c r="BB838" s="276"/>
      <c r="BC838" s="276"/>
      <c r="BD838" s="276"/>
      <c r="BE838" s="276"/>
      <c r="BF838" s="401">
        <v>0.74121219000000005</v>
      </c>
      <c r="BG838" s="382"/>
      <c r="BH838" s="278"/>
      <c r="BI838" s="365"/>
    </row>
    <row r="839" spans="1:61" ht="15.75" customHeight="1" thickBot="1" x14ac:dyDescent="0.25">
      <c r="A839" s="156">
        <v>840</v>
      </c>
      <c r="B839" s="155">
        <v>2</v>
      </c>
      <c r="C839" s="148" t="s">
        <v>760</v>
      </c>
      <c r="D839" s="141" t="s">
        <v>2290</v>
      </c>
      <c r="E839" s="148"/>
      <c r="F839" s="148"/>
      <c r="G839" s="148"/>
      <c r="H839" s="148" t="s">
        <v>2877</v>
      </c>
      <c r="I839" s="161"/>
      <c r="J839" s="161" t="s">
        <v>2889</v>
      </c>
      <c r="K839" s="161"/>
      <c r="L839" s="161"/>
      <c r="M839" s="453" t="s">
        <v>4282</v>
      </c>
      <c r="N839" s="186"/>
      <c r="O839" s="186"/>
      <c r="P839" s="186"/>
      <c r="Q839" s="186"/>
      <c r="R839" s="186"/>
      <c r="S839" s="186"/>
      <c r="T839" s="186"/>
      <c r="U839" s="186"/>
      <c r="V839" s="186"/>
      <c r="W839" s="186"/>
      <c r="X839" s="186"/>
      <c r="Y839" s="186"/>
      <c r="Z839" s="186"/>
      <c r="AA839" s="186"/>
      <c r="AB839" s="186"/>
      <c r="AC839" s="186"/>
      <c r="AD839" s="268"/>
      <c r="AE839" s="268"/>
      <c r="AF839" s="144">
        <f t="shared" si="63"/>
        <v>9.4524524999999997</v>
      </c>
      <c r="AG839" s="144" t="str">
        <f t="shared" si="61"/>
        <v/>
      </c>
      <c r="AH839" s="146">
        <f t="shared" si="64"/>
        <v>0.97667108000000002</v>
      </c>
      <c r="AI839" s="146" t="str">
        <f t="shared" si="65"/>
        <v/>
      </c>
      <c r="AJ839" s="313"/>
      <c r="AK839" s="313"/>
      <c r="AL839" s="313"/>
      <c r="AM839" s="313"/>
      <c r="AN839" s="313"/>
      <c r="AO839" s="313"/>
      <c r="AP839" s="313"/>
      <c r="AQ839" s="313"/>
      <c r="AR839" s="313"/>
      <c r="AS839" s="287">
        <v>9.4524524999999997</v>
      </c>
      <c r="AT839" s="169"/>
      <c r="AU839" s="310"/>
      <c r="AV839" s="322"/>
      <c r="AW839" s="276"/>
      <c r="AX839" s="276"/>
      <c r="AY839" s="276"/>
      <c r="AZ839" s="276"/>
      <c r="BA839" s="276"/>
      <c r="BB839" s="276"/>
      <c r="BC839" s="276"/>
      <c r="BD839" s="276"/>
      <c r="BE839" s="276"/>
      <c r="BF839" s="401">
        <v>0.97667108000000002</v>
      </c>
      <c r="BG839" s="382"/>
      <c r="BH839" s="278"/>
      <c r="BI839" s="365"/>
    </row>
    <row r="840" spans="1:61" ht="15.75" customHeight="1" thickBot="1" x14ac:dyDescent="0.25">
      <c r="A840" s="156">
        <v>841</v>
      </c>
      <c r="B840" s="155">
        <v>2</v>
      </c>
      <c r="C840" s="148" t="s">
        <v>760</v>
      </c>
      <c r="D840" s="141" t="s">
        <v>2290</v>
      </c>
      <c r="E840" s="148"/>
      <c r="F840" s="148"/>
      <c r="G840" s="148"/>
      <c r="H840" s="148" t="s">
        <v>2878</v>
      </c>
      <c r="I840" s="161"/>
      <c r="J840" s="161" t="s">
        <v>2889</v>
      </c>
      <c r="K840" s="161"/>
      <c r="L840" s="161"/>
      <c r="M840" s="453" t="s">
        <v>4282</v>
      </c>
      <c r="N840" s="186"/>
      <c r="O840" s="186"/>
      <c r="P840" s="186"/>
      <c r="Q840" s="186"/>
      <c r="R840" s="186"/>
      <c r="S840" s="186"/>
      <c r="T840" s="186"/>
      <c r="U840" s="186"/>
      <c r="V840" s="186"/>
      <c r="W840" s="186"/>
      <c r="X840" s="186"/>
      <c r="Y840" s="186"/>
      <c r="Z840" s="186"/>
      <c r="AA840" s="186"/>
      <c r="AB840" s="186"/>
      <c r="AC840" s="186"/>
      <c r="AD840" s="268"/>
      <c r="AE840" s="268"/>
      <c r="AF840" s="144">
        <f t="shared" si="63"/>
        <v>5.3033666000000004</v>
      </c>
      <c r="AG840" s="144" t="str">
        <f t="shared" si="61"/>
        <v/>
      </c>
      <c r="AH840" s="146">
        <f t="shared" si="64"/>
        <v>0.47313101000000002</v>
      </c>
      <c r="AI840" s="146" t="str">
        <f t="shared" si="65"/>
        <v/>
      </c>
      <c r="AJ840" s="313"/>
      <c r="AK840" s="313"/>
      <c r="AL840" s="313"/>
      <c r="AM840" s="313"/>
      <c r="AN840" s="313"/>
      <c r="AO840" s="313"/>
      <c r="AP840" s="313"/>
      <c r="AQ840" s="313"/>
      <c r="AR840" s="313"/>
      <c r="AS840" s="287">
        <v>5.3033666000000004</v>
      </c>
      <c r="AT840" s="169"/>
      <c r="AU840" s="310"/>
      <c r="AV840" s="322"/>
      <c r="AW840" s="276"/>
      <c r="AX840" s="276"/>
      <c r="AY840" s="276"/>
      <c r="AZ840" s="276"/>
      <c r="BA840" s="276"/>
      <c r="BB840" s="276"/>
      <c r="BC840" s="276"/>
      <c r="BD840" s="276"/>
      <c r="BE840" s="276"/>
      <c r="BF840" s="401">
        <v>0.47313101000000002</v>
      </c>
      <c r="BG840" s="382"/>
      <c r="BH840" s="278"/>
      <c r="BI840" s="365"/>
    </row>
    <row r="841" spans="1:61" ht="15.75" customHeight="1" thickBot="1" x14ac:dyDescent="0.25">
      <c r="A841" s="156">
        <v>842</v>
      </c>
      <c r="B841" s="155">
        <v>2</v>
      </c>
      <c r="C841" s="148" t="s">
        <v>760</v>
      </c>
      <c r="D841" s="141" t="s">
        <v>2290</v>
      </c>
      <c r="E841" s="148"/>
      <c r="F841" s="148"/>
      <c r="G841" s="148"/>
      <c r="H841" s="148" t="s">
        <v>2885</v>
      </c>
      <c r="I841" s="161"/>
      <c r="J841" s="161" t="s">
        <v>2889</v>
      </c>
      <c r="K841" s="161"/>
      <c r="L841" s="161"/>
      <c r="M841" s="453" t="s">
        <v>4282</v>
      </c>
      <c r="N841" s="186"/>
      <c r="O841" s="186"/>
      <c r="P841" s="186"/>
      <c r="Q841" s="186"/>
      <c r="R841" s="186"/>
      <c r="S841" s="186"/>
      <c r="T841" s="186"/>
      <c r="U841" s="186"/>
      <c r="V841" s="186"/>
      <c r="W841" s="186"/>
      <c r="X841" s="186"/>
      <c r="Y841" s="186"/>
      <c r="Z841" s="186"/>
      <c r="AA841" s="186"/>
      <c r="AB841" s="186"/>
      <c r="AC841" s="186"/>
      <c r="AD841" s="268"/>
      <c r="AE841" s="268"/>
      <c r="AF841" s="144">
        <f t="shared" si="63"/>
        <v>4.1808379000000002</v>
      </c>
      <c r="AG841" s="144" t="str">
        <f t="shared" si="61"/>
        <v/>
      </c>
      <c r="AH841" s="146">
        <f t="shared" si="64"/>
        <v>0.81226721999999996</v>
      </c>
      <c r="AI841" s="146" t="str">
        <f t="shared" si="65"/>
        <v/>
      </c>
      <c r="AJ841" s="313"/>
      <c r="AK841" s="313"/>
      <c r="AL841" s="313"/>
      <c r="AM841" s="313"/>
      <c r="AN841" s="313"/>
      <c r="AO841" s="313"/>
      <c r="AP841" s="313"/>
      <c r="AQ841" s="313"/>
      <c r="AR841" s="313"/>
      <c r="AS841" s="287">
        <v>4.1808379000000002</v>
      </c>
      <c r="AT841" s="169"/>
      <c r="AU841" s="310"/>
      <c r="AV841" s="322"/>
      <c r="AW841" s="276"/>
      <c r="AX841" s="276"/>
      <c r="AY841" s="276"/>
      <c r="AZ841" s="276"/>
      <c r="BA841" s="276"/>
      <c r="BB841" s="276"/>
      <c r="BC841" s="276"/>
      <c r="BD841" s="276"/>
      <c r="BE841" s="276"/>
      <c r="BF841" s="401">
        <v>0.81226721999999996</v>
      </c>
      <c r="BG841" s="382"/>
      <c r="BH841" s="278"/>
      <c r="BI841" s="365"/>
    </row>
    <row r="842" spans="1:61" ht="15.75" customHeight="1" thickBot="1" x14ac:dyDescent="0.25">
      <c r="A842" s="156">
        <v>843</v>
      </c>
      <c r="B842" s="155">
        <v>2</v>
      </c>
      <c r="C842" s="148" t="s">
        <v>760</v>
      </c>
      <c r="D842" s="141" t="s">
        <v>2290</v>
      </c>
      <c r="E842" s="148"/>
      <c r="F842" s="148"/>
      <c r="G842" s="148"/>
      <c r="H842" s="148" t="s">
        <v>2886</v>
      </c>
      <c r="I842" s="161"/>
      <c r="J842" s="161" t="s">
        <v>2889</v>
      </c>
      <c r="K842" s="161"/>
      <c r="L842" s="161"/>
      <c r="M842" s="453" t="s">
        <v>4282</v>
      </c>
      <c r="N842" s="186"/>
      <c r="O842" s="186"/>
      <c r="P842" s="186"/>
      <c r="Q842" s="186"/>
      <c r="R842" s="186"/>
      <c r="S842" s="186"/>
      <c r="T842" s="186"/>
      <c r="U842" s="186"/>
      <c r="V842" s="186"/>
      <c r="W842" s="186"/>
      <c r="X842" s="186"/>
      <c r="Y842" s="186"/>
      <c r="Z842" s="186"/>
      <c r="AA842" s="186"/>
      <c r="AB842" s="186"/>
      <c r="AC842" s="186"/>
      <c r="AD842" s="268"/>
      <c r="AE842" s="268"/>
      <c r="AF842" s="144">
        <f t="shared" si="63"/>
        <v>5.6055684000000001</v>
      </c>
      <c r="AG842" s="144" t="str">
        <f t="shared" si="61"/>
        <v/>
      </c>
      <c r="AH842" s="146">
        <f t="shared" si="64"/>
        <v>0.79245741999999997</v>
      </c>
      <c r="AI842" s="146" t="str">
        <f t="shared" si="65"/>
        <v/>
      </c>
      <c r="AJ842" s="313"/>
      <c r="AK842" s="313"/>
      <c r="AL842" s="313"/>
      <c r="AM842" s="313"/>
      <c r="AN842" s="313"/>
      <c r="AO842" s="313"/>
      <c r="AP842" s="313"/>
      <c r="AQ842" s="313"/>
      <c r="AR842" s="313"/>
      <c r="AS842" s="287">
        <v>5.6055684000000001</v>
      </c>
      <c r="AT842" s="169"/>
      <c r="AU842" s="310"/>
      <c r="AV842" s="322"/>
      <c r="AW842" s="276"/>
      <c r="AX842" s="276"/>
      <c r="AY842" s="276"/>
      <c r="AZ842" s="276"/>
      <c r="BA842" s="276"/>
      <c r="BB842" s="276"/>
      <c r="BC842" s="276"/>
      <c r="BD842" s="276"/>
      <c r="BE842" s="276"/>
      <c r="BF842" s="401">
        <v>0.79245741999999997</v>
      </c>
      <c r="BG842" s="382"/>
      <c r="BH842" s="278"/>
      <c r="BI842" s="365"/>
    </row>
    <row r="843" spans="1:61" ht="15.75" customHeight="1" thickBot="1" x14ac:dyDescent="0.25">
      <c r="A843" s="156">
        <v>844</v>
      </c>
      <c r="B843" s="155">
        <v>2</v>
      </c>
      <c r="C843" s="148" t="s">
        <v>760</v>
      </c>
      <c r="D843" s="141" t="s">
        <v>2290</v>
      </c>
      <c r="E843" s="148"/>
      <c r="F843" s="148"/>
      <c r="G843" s="148"/>
      <c r="H843" s="148" t="s">
        <v>2879</v>
      </c>
      <c r="I843" s="161"/>
      <c r="J843" s="161" t="s">
        <v>2889</v>
      </c>
      <c r="K843" s="161"/>
      <c r="L843" s="161"/>
      <c r="M843" s="453" t="s">
        <v>4282</v>
      </c>
      <c r="N843" s="186"/>
      <c r="O843" s="186"/>
      <c r="P843" s="186"/>
      <c r="Q843" s="186"/>
      <c r="R843" s="186"/>
      <c r="S843" s="186"/>
      <c r="T843" s="186"/>
      <c r="U843" s="186"/>
      <c r="V843" s="186"/>
      <c r="W843" s="186"/>
      <c r="X843" s="186"/>
      <c r="Y843" s="186"/>
      <c r="Z843" s="186"/>
      <c r="AA843" s="186"/>
      <c r="AB843" s="186"/>
      <c r="AC843" s="186"/>
      <c r="AD843" s="268"/>
      <c r="AE843" s="268"/>
      <c r="AF843" s="144">
        <f t="shared" si="63"/>
        <v>6.2167235999999999</v>
      </c>
      <c r="AG843" s="144" t="str">
        <f t="shared" si="61"/>
        <v/>
      </c>
      <c r="AH843" s="146">
        <f t="shared" si="64"/>
        <v>0.78888897999999996</v>
      </c>
      <c r="AI843" s="146" t="str">
        <f t="shared" si="65"/>
        <v/>
      </c>
      <c r="AJ843" s="313"/>
      <c r="AK843" s="313"/>
      <c r="AL843" s="313"/>
      <c r="AM843" s="313"/>
      <c r="AN843" s="313"/>
      <c r="AO843" s="313"/>
      <c r="AP843" s="313"/>
      <c r="AQ843" s="313"/>
      <c r="AR843" s="313"/>
      <c r="AS843" s="287">
        <v>6.2167235999999999</v>
      </c>
      <c r="AT843" s="169"/>
      <c r="AU843" s="310"/>
      <c r="AV843" s="322"/>
      <c r="AW843" s="276"/>
      <c r="AX843" s="276"/>
      <c r="AY843" s="276"/>
      <c r="AZ843" s="276"/>
      <c r="BA843" s="276"/>
      <c r="BB843" s="276"/>
      <c r="BC843" s="276"/>
      <c r="BD843" s="276"/>
      <c r="BE843" s="276"/>
      <c r="BF843" s="401">
        <v>0.78888897999999996</v>
      </c>
      <c r="BG843" s="382"/>
      <c r="BH843" s="278"/>
      <c r="BI843" s="365"/>
    </row>
    <row r="844" spans="1:61" ht="15.75" customHeight="1" thickBot="1" x14ac:dyDescent="0.25">
      <c r="A844" s="156">
        <v>845</v>
      </c>
      <c r="B844" s="155">
        <v>2</v>
      </c>
      <c r="C844" s="148" t="s">
        <v>760</v>
      </c>
      <c r="D844" s="141" t="s">
        <v>2290</v>
      </c>
      <c r="E844" s="148"/>
      <c r="F844" s="148"/>
      <c r="G844" s="148"/>
      <c r="H844" s="148" t="s">
        <v>2880</v>
      </c>
      <c r="I844" s="161"/>
      <c r="J844" s="161" t="s">
        <v>2889</v>
      </c>
      <c r="K844" s="161"/>
      <c r="L844" s="161"/>
      <c r="M844" s="453" t="s">
        <v>4282</v>
      </c>
      <c r="N844" s="186"/>
      <c r="O844" s="186"/>
      <c r="P844" s="186"/>
      <c r="Q844" s="186"/>
      <c r="R844" s="186"/>
      <c r="S844" s="186"/>
      <c r="T844" s="186"/>
      <c r="U844" s="186"/>
      <c r="V844" s="186"/>
      <c r="W844" s="186"/>
      <c r="X844" s="186"/>
      <c r="Y844" s="186"/>
      <c r="Z844" s="186"/>
      <c r="AA844" s="186"/>
      <c r="AB844" s="186"/>
      <c r="AC844" s="186"/>
      <c r="AD844" s="268"/>
      <c r="AE844" s="268"/>
      <c r="AF844" s="144">
        <f t="shared" si="63"/>
        <v>6.9760612999999996</v>
      </c>
      <c r="AG844" s="144" t="str">
        <f t="shared" si="61"/>
        <v/>
      </c>
      <c r="AH844" s="146">
        <f t="shared" si="64"/>
        <v>1.2574736</v>
      </c>
      <c r="AI844" s="146" t="str">
        <f t="shared" si="65"/>
        <v/>
      </c>
      <c r="AJ844" s="313"/>
      <c r="AK844" s="313"/>
      <c r="AL844" s="313"/>
      <c r="AM844" s="313"/>
      <c r="AN844" s="313"/>
      <c r="AO844" s="313"/>
      <c r="AP844" s="313"/>
      <c r="AQ844" s="313"/>
      <c r="AR844" s="313"/>
      <c r="AS844" s="287">
        <v>6.9760612999999996</v>
      </c>
      <c r="AT844" s="169"/>
      <c r="AU844" s="310"/>
      <c r="AV844" s="322"/>
      <c r="AW844" s="276"/>
      <c r="AX844" s="276"/>
      <c r="AY844" s="276"/>
      <c r="AZ844" s="276"/>
      <c r="BA844" s="276"/>
      <c r="BB844" s="276"/>
      <c r="BC844" s="276"/>
      <c r="BD844" s="276"/>
      <c r="BE844" s="276"/>
      <c r="BF844" s="401">
        <v>1.2574736</v>
      </c>
      <c r="BG844" s="382"/>
      <c r="BH844" s="278"/>
      <c r="BI844" s="365"/>
    </row>
    <row r="845" spans="1:61" ht="15.75" customHeight="1" thickBot="1" x14ac:dyDescent="0.25">
      <c r="A845" s="156">
        <v>846</v>
      </c>
      <c r="B845" s="155">
        <v>2</v>
      </c>
      <c r="C845" s="148" t="s">
        <v>760</v>
      </c>
      <c r="D845" s="141" t="s">
        <v>2290</v>
      </c>
      <c r="E845" s="148"/>
      <c r="F845" s="148"/>
      <c r="G845" s="148"/>
      <c r="H845" s="148" t="s">
        <v>2887</v>
      </c>
      <c r="I845" s="161"/>
      <c r="J845" s="161" t="s">
        <v>2889</v>
      </c>
      <c r="K845" s="161"/>
      <c r="L845" s="161"/>
      <c r="M845" s="453" t="s">
        <v>4282</v>
      </c>
      <c r="N845" s="186"/>
      <c r="O845" s="186"/>
      <c r="P845" s="186"/>
      <c r="Q845" s="186"/>
      <c r="R845" s="186"/>
      <c r="S845" s="186"/>
      <c r="T845" s="186"/>
      <c r="U845" s="186"/>
      <c r="V845" s="186"/>
      <c r="W845" s="186"/>
      <c r="X845" s="186"/>
      <c r="Y845" s="186"/>
      <c r="Z845" s="186"/>
      <c r="AA845" s="186"/>
      <c r="AB845" s="186"/>
      <c r="AC845" s="186"/>
      <c r="AD845" s="268"/>
      <c r="AE845" s="268"/>
      <c r="AF845" s="144">
        <f t="shared" si="63"/>
        <v>6.4303505000000003</v>
      </c>
      <c r="AG845" s="144" t="str">
        <f t="shared" si="61"/>
        <v/>
      </c>
      <c r="AH845" s="146">
        <f t="shared" si="64"/>
        <v>1.0446394000000001</v>
      </c>
      <c r="AI845" s="146" t="str">
        <f t="shared" si="65"/>
        <v/>
      </c>
      <c r="AJ845" s="313"/>
      <c r="AK845" s="313"/>
      <c r="AL845" s="313"/>
      <c r="AM845" s="313"/>
      <c r="AN845" s="313"/>
      <c r="AO845" s="313"/>
      <c r="AP845" s="313"/>
      <c r="AQ845" s="313"/>
      <c r="AR845" s="313"/>
      <c r="AS845" s="287">
        <v>6.4303505000000003</v>
      </c>
      <c r="AT845" s="169"/>
      <c r="AU845" s="310"/>
      <c r="AV845" s="322"/>
      <c r="AW845" s="276"/>
      <c r="AX845" s="276"/>
      <c r="AY845" s="276"/>
      <c r="AZ845" s="276"/>
      <c r="BA845" s="276"/>
      <c r="BB845" s="276"/>
      <c r="BC845" s="276"/>
      <c r="BD845" s="276"/>
      <c r="BE845" s="276"/>
      <c r="BF845" s="401">
        <v>1.0446394000000001</v>
      </c>
      <c r="BG845" s="382"/>
      <c r="BH845" s="278"/>
      <c r="BI845" s="365"/>
    </row>
    <row r="846" spans="1:61" ht="15.75" customHeight="1" thickBot="1" x14ac:dyDescent="0.25">
      <c r="A846" s="156">
        <v>847</v>
      </c>
      <c r="B846" s="155">
        <v>2</v>
      </c>
      <c r="C846" s="148" t="s">
        <v>760</v>
      </c>
      <c r="D846" s="141" t="s">
        <v>1920</v>
      </c>
      <c r="E846" s="148"/>
      <c r="F846" s="148"/>
      <c r="G846" s="148"/>
      <c r="H846" s="148" t="s">
        <v>2890</v>
      </c>
      <c r="I846" s="161"/>
      <c r="J846" s="161" t="s">
        <v>2893</v>
      </c>
      <c r="K846" s="161"/>
      <c r="L846" s="161"/>
      <c r="M846" s="453" t="s">
        <v>4282</v>
      </c>
      <c r="N846" s="186"/>
      <c r="O846" s="186"/>
      <c r="P846" s="186"/>
      <c r="Q846" s="186"/>
      <c r="R846" s="186"/>
      <c r="S846" s="186"/>
      <c r="T846" s="186"/>
      <c r="U846" s="186"/>
      <c r="V846" s="186"/>
      <c r="W846" s="186"/>
      <c r="X846" s="186"/>
      <c r="Y846" s="186"/>
      <c r="Z846" s="186"/>
      <c r="AA846" s="186"/>
      <c r="AB846" s="186"/>
      <c r="AC846" s="186"/>
      <c r="AD846" s="268"/>
      <c r="AE846" s="268"/>
      <c r="AF846" s="144">
        <f t="shared" si="63"/>
        <v>2.5039583333333333</v>
      </c>
      <c r="AG846" s="144" t="str">
        <f t="shared" si="61"/>
        <v/>
      </c>
      <c r="AH846" s="146">
        <f t="shared" si="64"/>
        <v>1.3134791666666668</v>
      </c>
      <c r="AI846" s="146" t="str">
        <f t="shared" si="65"/>
        <v/>
      </c>
      <c r="AJ846" s="313"/>
      <c r="AK846" s="313"/>
      <c r="AL846" s="313"/>
      <c r="AM846" s="313"/>
      <c r="AN846" s="313"/>
      <c r="AO846" s="313"/>
      <c r="AP846" s="313"/>
      <c r="AQ846" s="313"/>
      <c r="AR846" s="313"/>
      <c r="AS846" s="288">
        <f>1.2019/0.48</f>
        <v>2.5039583333333333</v>
      </c>
      <c r="AT846" s="169"/>
      <c r="AU846" s="310"/>
      <c r="AV846" s="322"/>
      <c r="AW846" s="276"/>
      <c r="AX846" s="276"/>
      <c r="AY846" s="276"/>
      <c r="AZ846" s="276"/>
      <c r="BA846" s="276"/>
      <c r="BB846" s="276"/>
      <c r="BC846" s="276"/>
      <c r="BD846" s="276"/>
      <c r="BE846" s="276"/>
      <c r="BF846" s="402">
        <f>0.63047/0.48</f>
        <v>1.3134791666666668</v>
      </c>
      <c r="BG846" s="382"/>
      <c r="BH846" s="278"/>
      <c r="BI846" s="365"/>
    </row>
    <row r="847" spans="1:61" ht="15.75" customHeight="1" thickBot="1" x14ac:dyDescent="0.25">
      <c r="A847" s="156">
        <v>848</v>
      </c>
      <c r="B847" s="155">
        <v>2</v>
      </c>
      <c r="C847" s="148" t="s">
        <v>760</v>
      </c>
      <c r="D847" s="141" t="s">
        <v>1920</v>
      </c>
      <c r="E847" s="148"/>
      <c r="F847" s="148"/>
      <c r="G847" s="148"/>
      <c r="H847" s="148" t="s">
        <v>2891</v>
      </c>
      <c r="I847" s="161"/>
      <c r="J847" s="161" t="s">
        <v>2893</v>
      </c>
      <c r="K847" s="161"/>
      <c r="L847" s="161"/>
      <c r="M847" s="453" t="s">
        <v>4282</v>
      </c>
      <c r="N847" s="186"/>
      <c r="O847" s="186"/>
      <c r="P847" s="186"/>
      <c r="Q847" s="186"/>
      <c r="R847" s="186"/>
      <c r="S847" s="186"/>
      <c r="T847" s="186"/>
      <c r="U847" s="186"/>
      <c r="V847" s="186"/>
      <c r="W847" s="186"/>
      <c r="X847" s="186"/>
      <c r="Y847" s="186"/>
      <c r="Z847" s="186"/>
      <c r="AA847" s="186"/>
      <c r="AB847" s="186"/>
      <c r="AC847" s="186"/>
      <c r="AD847" s="268"/>
      <c r="AE847" s="268"/>
      <c r="AF847" s="144">
        <f t="shared" si="63"/>
        <v>2.9379166666666667</v>
      </c>
      <c r="AG847" s="144" t="str">
        <f t="shared" si="61"/>
        <v/>
      </c>
      <c r="AH847" s="146">
        <f t="shared" si="64"/>
        <v>0.48656250000000001</v>
      </c>
      <c r="AI847" s="146" t="str">
        <f t="shared" si="65"/>
        <v/>
      </c>
      <c r="AJ847" s="313"/>
      <c r="AK847" s="313"/>
      <c r="AL847" s="313"/>
      <c r="AM847" s="313"/>
      <c r="AN847" s="313"/>
      <c r="AO847" s="313"/>
      <c r="AP847" s="313"/>
      <c r="AQ847" s="313"/>
      <c r="AR847" s="313"/>
      <c r="AS847" s="288">
        <f>1.4102/0.48</f>
        <v>2.9379166666666667</v>
      </c>
      <c r="AT847" s="169"/>
      <c r="AU847" s="310"/>
      <c r="AV847" s="322"/>
      <c r="AW847" s="276"/>
      <c r="AX847" s="276"/>
      <c r="AY847" s="276"/>
      <c r="AZ847" s="276"/>
      <c r="BA847" s="276"/>
      <c r="BB847" s="276"/>
      <c r="BC847" s="276"/>
      <c r="BD847" s="276"/>
      <c r="BE847" s="276"/>
      <c r="BF847" s="402">
        <f>0.23355/0.48</f>
        <v>0.48656250000000001</v>
      </c>
      <c r="BG847" s="382"/>
      <c r="BH847" s="278"/>
      <c r="BI847" s="365"/>
    </row>
    <row r="848" spans="1:61" ht="15.75" customHeight="1" thickBot="1" x14ac:dyDescent="0.25">
      <c r="A848" s="156">
        <v>849</v>
      </c>
      <c r="B848" s="155">
        <v>2</v>
      </c>
      <c r="C848" s="148" t="s">
        <v>760</v>
      </c>
      <c r="D848" s="141" t="s">
        <v>1920</v>
      </c>
      <c r="E848" s="148"/>
      <c r="F848" s="148"/>
      <c r="G848" s="148"/>
      <c r="H848" s="148" t="s">
        <v>2892</v>
      </c>
      <c r="I848" s="161"/>
      <c r="J848" s="161" t="s">
        <v>2893</v>
      </c>
      <c r="K848" s="161"/>
      <c r="L848" s="161"/>
      <c r="M848" s="453" t="s">
        <v>4282</v>
      </c>
      <c r="N848" s="186"/>
      <c r="O848" s="186"/>
      <c r="P848" s="186"/>
      <c r="Q848" s="186"/>
      <c r="R848" s="186"/>
      <c r="S848" s="186"/>
      <c r="T848" s="186"/>
      <c r="U848" s="186"/>
      <c r="V848" s="186"/>
      <c r="W848" s="186"/>
      <c r="X848" s="186"/>
      <c r="Y848" s="186"/>
      <c r="Z848" s="186"/>
      <c r="AA848" s="186"/>
      <c r="AB848" s="186"/>
      <c r="AC848" s="186"/>
      <c r="AD848" s="268"/>
      <c r="AE848" s="268"/>
      <c r="AF848" s="144">
        <f t="shared" si="63"/>
        <v>3.5764583333333331</v>
      </c>
      <c r="AG848" s="144" t="str">
        <f t="shared" si="61"/>
        <v/>
      </c>
      <c r="AH848" s="146">
        <f t="shared" si="64"/>
        <v>0.57585416666666667</v>
      </c>
      <c r="AI848" s="146" t="str">
        <f t="shared" si="65"/>
        <v/>
      </c>
      <c r="AJ848" s="313"/>
      <c r="AK848" s="313"/>
      <c r="AL848" s="313"/>
      <c r="AM848" s="313"/>
      <c r="AN848" s="313"/>
      <c r="AO848" s="313"/>
      <c r="AP848" s="313"/>
      <c r="AQ848" s="313"/>
      <c r="AR848" s="313"/>
      <c r="AS848" s="288">
        <f>1.7167/0.48</f>
        <v>3.5764583333333331</v>
      </c>
      <c r="AT848" s="169"/>
      <c r="AU848" s="310"/>
      <c r="AV848" s="322"/>
      <c r="AW848" s="276"/>
      <c r="AX848" s="276"/>
      <c r="AY848" s="276"/>
      <c r="AZ848" s="276"/>
      <c r="BA848" s="276"/>
      <c r="BB848" s="276"/>
      <c r="BC848" s="276"/>
      <c r="BD848" s="276"/>
      <c r="BE848" s="276"/>
      <c r="BF848" s="402">
        <f>0.27641/0.48</f>
        <v>0.57585416666666667</v>
      </c>
      <c r="BG848" s="382"/>
      <c r="BH848" s="278"/>
      <c r="BI848" s="365"/>
    </row>
    <row r="849" spans="1:61" ht="15.75" customHeight="1" thickBot="1" x14ac:dyDescent="0.25">
      <c r="A849" s="156">
        <v>850</v>
      </c>
      <c r="B849" s="155">
        <v>2</v>
      </c>
      <c r="C849" s="148" t="s">
        <v>259</v>
      </c>
      <c r="D849" s="148" t="s">
        <v>2239</v>
      </c>
      <c r="E849" s="148"/>
      <c r="F849" s="148"/>
      <c r="G849" s="148"/>
      <c r="H849" s="148" t="s">
        <v>2884</v>
      </c>
      <c r="I849" s="161"/>
      <c r="J849" s="161" t="s">
        <v>2894</v>
      </c>
      <c r="K849" s="161"/>
      <c r="L849" s="161"/>
      <c r="M849" s="453" t="s">
        <v>4282</v>
      </c>
      <c r="N849" s="186"/>
      <c r="O849" s="186"/>
      <c r="P849" s="186"/>
      <c r="Q849" s="186"/>
      <c r="R849" s="186"/>
      <c r="S849" s="186"/>
      <c r="T849" s="186"/>
      <c r="U849" s="186"/>
      <c r="V849" s="186"/>
      <c r="W849" s="186"/>
      <c r="X849" s="186"/>
      <c r="Y849" s="186"/>
      <c r="Z849" s="186"/>
      <c r="AA849" s="186" t="s">
        <v>2896</v>
      </c>
      <c r="AB849" s="186"/>
      <c r="AC849" s="186"/>
      <c r="AD849" s="268"/>
      <c r="AE849" s="268"/>
      <c r="AF849" s="144" t="str">
        <f t="shared" si="63"/>
        <v/>
      </c>
      <c r="AG849" s="144">
        <f t="shared" si="61"/>
        <v>7.75</v>
      </c>
      <c r="AH849" s="146" t="str">
        <f t="shared" si="64"/>
        <v/>
      </c>
      <c r="AI849" s="146">
        <f t="shared" si="65"/>
        <v>1.54</v>
      </c>
      <c r="AJ849" s="313"/>
      <c r="AK849" s="313"/>
      <c r="AL849" s="310">
        <v>7.75</v>
      </c>
      <c r="AM849" s="313"/>
      <c r="AN849" s="313"/>
      <c r="AO849" s="313"/>
      <c r="AP849" s="313"/>
      <c r="AQ849" s="313"/>
      <c r="AR849" s="313"/>
      <c r="AS849" s="176"/>
      <c r="AT849" s="175">
        <f>SUM(AJ849:AR849)</f>
        <v>7.75</v>
      </c>
      <c r="AU849" s="310"/>
      <c r="AV849" s="322"/>
      <c r="AW849" s="276"/>
      <c r="AX849" s="276"/>
      <c r="AY849" s="278">
        <v>1.54</v>
      </c>
      <c r="AZ849" s="276"/>
      <c r="BA849" s="276"/>
      <c r="BB849" s="276"/>
      <c r="BC849" s="276"/>
      <c r="BD849" s="276"/>
      <c r="BE849" s="276"/>
      <c r="BF849" s="401"/>
      <c r="BG849" s="389">
        <f>SUM(AW849:BE849)</f>
        <v>1.54</v>
      </c>
      <c r="BH849" s="278"/>
      <c r="BI849" s="365"/>
    </row>
    <row r="850" spans="1:61" ht="15.75" customHeight="1" thickBot="1" x14ac:dyDescent="0.25">
      <c r="A850" s="156">
        <v>851</v>
      </c>
      <c r="B850" s="155">
        <v>2</v>
      </c>
      <c r="C850" s="148" t="s">
        <v>259</v>
      </c>
      <c r="D850" s="141" t="s">
        <v>1934</v>
      </c>
      <c r="E850" s="148"/>
      <c r="F850" s="148"/>
      <c r="G850" s="148"/>
      <c r="H850" s="148" t="s">
        <v>351</v>
      </c>
      <c r="I850" s="161"/>
      <c r="J850" s="161" t="s">
        <v>2897</v>
      </c>
      <c r="K850" s="161"/>
      <c r="L850" s="161"/>
      <c r="M850" s="453" t="s">
        <v>4282</v>
      </c>
      <c r="N850" s="186"/>
      <c r="O850" s="186"/>
      <c r="P850" s="186"/>
      <c r="Q850" s="186"/>
      <c r="R850" s="186"/>
      <c r="S850" s="186"/>
      <c r="T850" s="186"/>
      <c r="U850" s="186"/>
      <c r="V850" s="186"/>
      <c r="W850" s="186"/>
      <c r="X850" s="186"/>
      <c r="Y850" s="186"/>
      <c r="Z850" s="186"/>
      <c r="AA850" s="186" t="s">
        <v>2896</v>
      </c>
      <c r="AB850" s="186"/>
      <c r="AC850" s="186"/>
      <c r="AD850" s="268"/>
      <c r="AE850" s="268"/>
      <c r="AF850" s="144" t="str">
        <f t="shared" si="63"/>
        <v/>
      </c>
      <c r="AG850" s="144">
        <f t="shared" si="61"/>
        <v>5.8</v>
      </c>
      <c r="AH850" s="146" t="str">
        <f t="shared" si="64"/>
        <v/>
      </c>
      <c r="AI850" s="146">
        <f t="shared" si="65"/>
        <v>0.55000000000000004</v>
      </c>
      <c r="AJ850" s="313"/>
      <c r="AK850" s="313"/>
      <c r="AL850" s="310">
        <v>5.8</v>
      </c>
      <c r="AM850" s="313"/>
      <c r="AN850" s="313"/>
      <c r="AO850" s="313"/>
      <c r="AP850" s="313"/>
      <c r="AQ850" s="313"/>
      <c r="AR850" s="313"/>
      <c r="AS850" s="176"/>
      <c r="AT850" s="175">
        <f>SUM(AJ850:AR850)</f>
        <v>5.8</v>
      </c>
      <c r="AU850" s="310"/>
      <c r="AV850" s="322"/>
      <c r="AW850" s="276"/>
      <c r="AX850" s="276"/>
      <c r="AY850" s="278">
        <v>0.55000000000000004</v>
      </c>
      <c r="AZ850" s="276"/>
      <c r="BA850" s="276"/>
      <c r="BB850" s="276"/>
      <c r="BC850" s="276"/>
      <c r="BD850" s="276"/>
      <c r="BE850" s="276"/>
      <c r="BF850" s="400"/>
      <c r="BG850" s="389">
        <f>SUM(AW850:BE850)</f>
        <v>0.55000000000000004</v>
      </c>
      <c r="BH850" s="278"/>
      <c r="BI850" s="365"/>
    </row>
    <row r="851" spans="1:61" ht="15.75" customHeight="1" thickBot="1" x14ac:dyDescent="0.25">
      <c r="A851" s="156">
        <v>852</v>
      </c>
      <c r="B851" s="155">
        <v>2</v>
      </c>
      <c r="C851" s="148" t="s">
        <v>162</v>
      </c>
      <c r="D851" s="148" t="s">
        <v>892</v>
      </c>
      <c r="E851" s="148"/>
      <c r="F851" s="148"/>
      <c r="G851" s="148"/>
      <c r="H851" s="148" t="s">
        <v>2900</v>
      </c>
      <c r="I851" s="161"/>
      <c r="J851" s="161" t="s">
        <v>2898</v>
      </c>
      <c r="K851" s="161"/>
      <c r="L851" s="161"/>
      <c r="M851" s="453" t="s">
        <v>4282</v>
      </c>
      <c r="N851" s="186"/>
      <c r="O851" s="186"/>
      <c r="P851" s="186"/>
      <c r="Q851" s="186"/>
      <c r="R851" s="186"/>
      <c r="S851" s="186"/>
      <c r="T851" s="186"/>
      <c r="U851" s="186"/>
      <c r="V851" s="186"/>
      <c r="W851" s="186"/>
      <c r="X851" s="186"/>
      <c r="Y851" s="186"/>
      <c r="Z851" s="186"/>
      <c r="AA851" s="186"/>
      <c r="AB851" s="186"/>
      <c r="AC851" s="186"/>
      <c r="AD851" s="268"/>
      <c r="AE851" s="268"/>
      <c r="AF851" s="144">
        <f t="shared" si="63"/>
        <v>0.54075452999999996</v>
      </c>
      <c r="AG851" s="144" t="str">
        <f t="shared" ref="AG851:AG914" si="66">IF(AND(SUM(AJ851:AL851)&lt;&gt;0,SUM(AJ851:AL851)&lt;&gt;AJ851),SUM(AJ851:AL851),"")</f>
        <v/>
      </c>
      <c r="AH851" s="146">
        <f t="shared" si="64"/>
        <v>0.13511646999999999</v>
      </c>
      <c r="AI851" s="146" t="str">
        <f t="shared" si="65"/>
        <v/>
      </c>
      <c r="AJ851" s="313"/>
      <c r="AK851" s="313"/>
      <c r="AL851" s="313"/>
      <c r="AM851" s="313"/>
      <c r="AN851" s="313"/>
      <c r="AO851" s="313"/>
      <c r="AP851" s="313"/>
      <c r="AQ851" s="313"/>
      <c r="AR851" s="313"/>
      <c r="AS851" s="287">
        <v>0.54075452999999996</v>
      </c>
      <c r="AT851" s="169"/>
      <c r="AU851" s="310"/>
      <c r="AV851" s="322"/>
      <c r="AW851" s="276"/>
      <c r="AX851" s="276"/>
      <c r="AY851" s="276"/>
      <c r="AZ851" s="276"/>
      <c r="BA851" s="276"/>
      <c r="BB851" s="276"/>
      <c r="BC851" s="276"/>
      <c r="BD851" s="276"/>
      <c r="BE851" s="276"/>
      <c r="BF851" s="401">
        <v>0.13511646999999999</v>
      </c>
      <c r="BG851" s="382"/>
      <c r="BH851" s="278"/>
      <c r="BI851" s="365"/>
    </row>
    <row r="852" spans="1:61" ht="15.75" customHeight="1" thickBot="1" x14ac:dyDescent="0.25">
      <c r="A852" s="156">
        <v>853</v>
      </c>
      <c r="B852" s="155">
        <v>2</v>
      </c>
      <c r="C852" s="148" t="s">
        <v>162</v>
      </c>
      <c r="D852" s="148" t="s">
        <v>892</v>
      </c>
      <c r="E852" s="148"/>
      <c r="F852" s="148"/>
      <c r="G852" s="148"/>
      <c r="H852" s="148" t="s">
        <v>2901</v>
      </c>
      <c r="I852" s="161"/>
      <c r="J852" s="161" t="s">
        <v>2899</v>
      </c>
      <c r="K852" s="161"/>
      <c r="L852" s="161"/>
      <c r="M852" s="453" t="s">
        <v>4282</v>
      </c>
      <c r="N852" s="186"/>
      <c r="O852" s="186"/>
      <c r="P852" s="186"/>
      <c r="Q852" s="186"/>
      <c r="R852" s="186"/>
      <c r="S852" s="186"/>
      <c r="T852" s="186"/>
      <c r="U852" s="186"/>
      <c r="V852" s="186"/>
      <c r="W852" s="186"/>
      <c r="X852" s="186"/>
      <c r="Y852" s="186"/>
      <c r="Z852" s="186"/>
      <c r="AA852" s="186"/>
      <c r="AB852" s="186"/>
      <c r="AC852" s="186"/>
      <c r="AD852" s="268"/>
      <c r="AE852" s="268"/>
      <c r="AF852" s="144">
        <f t="shared" si="63"/>
        <v>0.78148099999999998</v>
      </c>
      <c r="AG852" s="144" t="str">
        <f t="shared" si="66"/>
        <v/>
      </c>
      <c r="AH852" s="146">
        <f t="shared" si="64"/>
        <v>0.22567783999999999</v>
      </c>
      <c r="AI852" s="146" t="str">
        <f t="shared" si="65"/>
        <v/>
      </c>
      <c r="AJ852" s="313"/>
      <c r="AK852" s="313"/>
      <c r="AL852" s="313"/>
      <c r="AM852" s="313"/>
      <c r="AN852" s="313"/>
      <c r="AO852" s="313"/>
      <c r="AP852" s="313"/>
      <c r="AQ852" s="313"/>
      <c r="AR852" s="313"/>
      <c r="AS852" s="287">
        <v>0.78148099999999998</v>
      </c>
      <c r="AT852" s="169"/>
      <c r="AU852" s="310"/>
      <c r="AV852" s="322"/>
      <c r="AW852" s="276"/>
      <c r="AX852" s="276"/>
      <c r="AY852" s="276"/>
      <c r="AZ852" s="276"/>
      <c r="BA852" s="276"/>
      <c r="BB852" s="276"/>
      <c r="BC852" s="276"/>
      <c r="BD852" s="276"/>
      <c r="BE852" s="276"/>
      <c r="BF852" s="401">
        <v>0.22567783999999999</v>
      </c>
      <c r="BG852" s="382"/>
      <c r="BH852" s="278"/>
      <c r="BI852" s="365"/>
    </row>
    <row r="853" spans="1:61" ht="15.75" customHeight="1" thickBot="1" x14ac:dyDescent="0.25">
      <c r="A853" s="156">
        <v>854</v>
      </c>
      <c r="B853" s="155">
        <v>2</v>
      </c>
      <c r="C853" s="148" t="s">
        <v>259</v>
      </c>
      <c r="D853" s="141" t="s">
        <v>2093</v>
      </c>
      <c r="E853" s="148"/>
      <c r="F853" s="148"/>
      <c r="G853" s="148"/>
      <c r="H853" s="148" t="s">
        <v>2900</v>
      </c>
      <c r="I853" s="161"/>
      <c r="J853" s="161" t="s">
        <v>2902</v>
      </c>
      <c r="K853" s="161"/>
      <c r="L853" s="161"/>
      <c r="M853" s="453" t="s">
        <v>4282</v>
      </c>
      <c r="N853" s="186"/>
      <c r="O853" s="186"/>
      <c r="P853" s="186"/>
      <c r="Q853" s="186"/>
      <c r="R853" s="186"/>
      <c r="S853" s="186"/>
      <c r="T853" s="186"/>
      <c r="U853" s="186"/>
      <c r="V853" s="186"/>
      <c r="W853" s="186"/>
      <c r="X853" s="186"/>
      <c r="Y853" s="186"/>
      <c r="Z853" s="186"/>
      <c r="AA853" s="186"/>
      <c r="AB853" s="186"/>
      <c r="AC853" s="186"/>
      <c r="AD853" s="268"/>
      <c r="AE853" s="268"/>
      <c r="AF853" s="144" t="str">
        <f t="shared" si="63"/>
        <v/>
      </c>
      <c r="AG853" s="144">
        <f t="shared" si="66"/>
        <v>4.8492999999999995</v>
      </c>
      <c r="AH853" s="146" t="str">
        <f t="shared" si="64"/>
        <v/>
      </c>
      <c r="AI853" s="146">
        <f t="shared" si="65"/>
        <v>0.47300999999999999</v>
      </c>
      <c r="AJ853" s="313"/>
      <c r="AK853" s="313"/>
      <c r="AL853" s="313">
        <f>2.8693+1.98</f>
        <v>4.8492999999999995</v>
      </c>
      <c r="AM853" s="313"/>
      <c r="AN853" s="313"/>
      <c r="AO853" s="313"/>
      <c r="AP853" s="313"/>
      <c r="AQ853" s="313"/>
      <c r="AR853" s="313"/>
      <c r="AS853" s="176"/>
      <c r="AT853" s="175">
        <f>SUM(AJ853:AR853)</f>
        <v>4.8492999999999995</v>
      </c>
      <c r="AU853" s="310"/>
      <c r="AV853" s="322"/>
      <c r="AW853" s="276"/>
      <c r="AX853" s="276"/>
      <c r="AY853" s="276">
        <f>0.36201+0.111</f>
        <v>0.47300999999999999</v>
      </c>
      <c r="AZ853" s="276"/>
      <c r="BA853" s="276"/>
      <c r="BB853" s="276"/>
      <c r="BC853" s="276"/>
      <c r="BD853" s="276"/>
      <c r="BE853" s="276"/>
      <c r="BF853" s="400"/>
      <c r="BG853" s="389">
        <f>SUM(AW853:BE853)</f>
        <v>0.47300999999999999</v>
      </c>
      <c r="BH853" s="278"/>
      <c r="BI853" s="365"/>
    </row>
    <row r="854" spans="1:61" ht="15.75" customHeight="1" thickBot="1" x14ac:dyDescent="0.25">
      <c r="A854" s="156">
        <v>855</v>
      </c>
      <c r="B854" s="155">
        <v>2</v>
      </c>
      <c r="C854" s="148" t="s">
        <v>259</v>
      </c>
      <c r="D854" s="141" t="s">
        <v>2093</v>
      </c>
      <c r="E854" s="148"/>
      <c r="F854" s="148"/>
      <c r="G854" s="148"/>
      <c r="H854" s="148" t="s">
        <v>2901</v>
      </c>
      <c r="I854" s="161"/>
      <c r="J854" s="161" t="s">
        <v>2903</v>
      </c>
      <c r="K854" s="161"/>
      <c r="L854" s="161"/>
      <c r="M854" s="453" t="s">
        <v>4282</v>
      </c>
      <c r="N854" s="186"/>
      <c r="O854" s="186"/>
      <c r="P854" s="186"/>
      <c r="Q854" s="186"/>
      <c r="R854" s="186"/>
      <c r="S854" s="186"/>
      <c r="T854" s="186"/>
      <c r="U854" s="186"/>
      <c r="V854" s="186"/>
      <c r="W854" s="186"/>
      <c r="X854" s="186"/>
      <c r="Y854" s="186"/>
      <c r="Z854" s="186"/>
      <c r="AA854" s="186"/>
      <c r="AB854" s="186"/>
      <c r="AC854" s="186"/>
      <c r="AD854" s="268"/>
      <c r="AE854" s="268"/>
      <c r="AF854" s="144" t="str">
        <f t="shared" si="63"/>
        <v/>
      </c>
      <c r="AG854" s="144">
        <f t="shared" si="66"/>
        <v>4.5222999999999995</v>
      </c>
      <c r="AH854" s="146" t="str">
        <f t="shared" si="64"/>
        <v/>
      </c>
      <c r="AI854" s="146">
        <f t="shared" si="65"/>
        <v>0.52376</v>
      </c>
      <c r="AJ854" s="313"/>
      <c r="AK854" s="313"/>
      <c r="AL854" s="313">
        <f>2.5423+1.98</f>
        <v>4.5222999999999995</v>
      </c>
      <c r="AM854" s="313"/>
      <c r="AN854" s="313"/>
      <c r="AO854" s="313"/>
      <c r="AP854" s="313"/>
      <c r="AQ854" s="313"/>
      <c r="AR854" s="313"/>
      <c r="AS854" s="176"/>
      <c r="AT854" s="175">
        <f>SUM(AJ854:AR854)</f>
        <v>4.5222999999999995</v>
      </c>
      <c r="AU854" s="310"/>
      <c r="AV854" s="322"/>
      <c r="AW854" s="276"/>
      <c r="AX854" s="276"/>
      <c r="AY854" s="276">
        <f>0.41276+0.111</f>
        <v>0.52376</v>
      </c>
      <c r="AZ854" s="276"/>
      <c r="BA854" s="276"/>
      <c r="BB854" s="276"/>
      <c r="BC854" s="276"/>
      <c r="BD854" s="276"/>
      <c r="BE854" s="276"/>
      <c r="BF854" s="400"/>
      <c r="BG854" s="389">
        <f>SUM(AW854:BE854)</f>
        <v>0.52376</v>
      </c>
      <c r="BH854" s="278"/>
      <c r="BI854" s="365"/>
    </row>
    <row r="855" spans="1:61" ht="15.75" customHeight="1" thickBot="1" x14ac:dyDescent="0.25">
      <c r="A855" s="156">
        <v>856</v>
      </c>
      <c r="B855" s="155">
        <v>2</v>
      </c>
      <c r="C855" s="148" t="s">
        <v>162</v>
      </c>
      <c r="D855" s="141" t="s">
        <v>2904</v>
      </c>
      <c r="E855" s="148"/>
      <c r="F855" s="148"/>
      <c r="G855" s="148"/>
      <c r="H855" s="148" t="s">
        <v>2906</v>
      </c>
      <c r="I855" s="161"/>
      <c r="J855" s="161" t="s">
        <v>2905</v>
      </c>
      <c r="K855" s="161"/>
      <c r="L855" s="161"/>
      <c r="M855" s="453" t="s">
        <v>4283</v>
      </c>
      <c r="N855" s="186"/>
      <c r="O855" s="186"/>
      <c r="P855" s="186"/>
      <c r="Q855" s="186"/>
      <c r="R855" s="186"/>
      <c r="S855" s="186"/>
      <c r="T855" s="186"/>
      <c r="U855" s="186"/>
      <c r="V855" s="186"/>
      <c r="W855" s="186"/>
      <c r="X855" s="186"/>
      <c r="Y855" s="186"/>
      <c r="Z855" s="186"/>
      <c r="AA855" s="186"/>
      <c r="AB855" s="186"/>
      <c r="AC855" s="186"/>
      <c r="AD855" s="268"/>
      <c r="AE855" s="268"/>
      <c r="AF855" s="144">
        <f t="shared" si="63"/>
        <v>8.24</v>
      </c>
      <c r="AG855" s="144" t="str">
        <f t="shared" si="66"/>
        <v/>
      </c>
      <c r="AH855" s="146">
        <f t="shared" si="64"/>
        <v>6.25</v>
      </c>
      <c r="AI855" s="146" t="str">
        <f t="shared" si="65"/>
        <v/>
      </c>
      <c r="AJ855" s="313"/>
      <c r="AK855" s="313"/>
      <c r="AL855" s="313"/>
      <c r="AM855" s="313"/>
      <c r="AN855" s="313"/>
      <c r="AO855" s="313"/>
      <c r="AP855" s="313"/>
      <c r="AQ855" s="313"/>
      <c r="AR855" s="313"/>
      <c r="AS855" s="176">
        <v>8.24</v>
      </c>
      <c r="AT855" s="169"/>
      <c r="AU855" s="310"/>
      <c r="AV855" s="322"/>
      <c r="AW855" s="276"/>
      <c r="AX855" s="276"/>
      <c r="AY855" s="276"/>
      <c r="AZ855" s="276"/>
      <c r="BA855" s="276"/>
      <c r="BB855" s="276"/>
      <c r="BC855" s="276"/>
      <c r="BD855" s="276"/>
      <c r="BE855" s="276"/>
      <c r="BF855" s="400">
        <v>6.25</v>
      </c>
      <c r="BG855" s="382"/>
      <c r="BH855" s="278"/>
      <c r="BI855" s="365"/>
    </row>
    <row r="856" spans="1:61" ht="15.75" customHeight="1" thickBot="1" x14ac:dyDescent="0.25">
      <c r="A856" s="156">
        <v>857</v>
      </c>
      <c r="B856" s="155">
        <v>2</v>
      </c>
      <c r="C856" s="148" t="s">
        <v>236</v>
      </c>
      <c r="D856" s="148" t="s">
        <v>2034</v>
      </c>
      <c r="E856" s="148"/>
      <c r="F856" s="148"/>
      <c r="G856" s="148"/>
      <c r="H856" s="148"/>
      <c r="I856" s="161"/>
      <c r="J856" s="161" t="s">
        <v>2907</v>
      </c>
      <c r="K856" s="161"/>
      <c r="L856" s="161"/>
      <c r="M856" s="453" t="s">
        <v>4281</v>
      </c>
      <c r="N856" s="186"/>
      <c r="O856" s="186"/>
      <c r="P856" s="186"/>
      <c r="Q856" s="186"/>
      <c r="R856" s="186"/>
      <c r="S856" s="186"/>
      <c r="T856" s="186"/>
      <c r="U856" s="186"/>
      <c r="V856" s="186"/>
      <c r="W856" s="186"/>
      <c r="X856" s="186"/>
      <c r="Y856" s="186"/>
      <c r="Z856" s="186"/>
      <c r="AA856" s="186"/>
      <c r="AB856" s="186"/>
      <c r="AC856" s="186"/>
      <c r="AD856" s="268"/>
      <c r="AE856" s="268"/>
      <c r="AF856" s="144">
        <f t="shared" si="63"/>
        <v>1.46</v>
      </c>
      <c r="AG856" s="144" t="str">
        <f t="shared" si="66"/>
        <v/>
      </c>
      <c r="AH856" s="146">
        <f t="shared" si="64"/>
        <v>0.13100000000000001</v>
      </c>
      <c r="AI856" s="146" t="str">
        <f t="shared" si="65"/>
        <v/>
      </c>
      <c r="AJ856" s="313"/>
      <c r="AK856" s="313"/>
      <c r="AL856" s="313"/>
      <c r="AM856" s="313"/>
      <c r="AN856" s="313"/>
      <c r="AO856" s="313"/>
      <c r="AP856" s="313"/>
      <c r="AQ856" s="313"/>
      <c r="AR856" s="313"/>
      <c r="AS856" s="176">
        <v>1.46</v>
      </c>
      <c r="AT856" s="169"/>
      <c r="AU856" s="310"/>
      <c r="AV856" s="322"/>
      <c r="AW856" s="276"/>
      <c r="AX856" s="276"/>
      <c r="AY856" s="276"/>
      <c r="AZ856" s="276"/>
      <c r="BA856" s="276"/>
      <c r="BB856" s="276"/>
      <c r="BC856" s="276"/>
      <c r="BD856" s="276"/>
      <c r="BE856" s="276"/>
      <c r="BF856" s="400">
        <v>0.13100000000000001</v>
      </c>
      <c r="BG856" s="382"/>
      <c r="BH856" s="278"/>
      <c r="BI856" s="365"/>
    </row>
    <row r="857" spans="1:61" ht="15.75" customHeight="1" thickBot="1" x14ac:dyDescent="0.25">
      <c r="A857" s="156">
        <v>858</v>
      </c>
      <c r="B857" s="155">
        <v>2</v>
      </c>
      <c r="C857" s="148" t="s">
        <v>760</v>
      </c>
      <c r="D857" s="141" t="s">
        <v>1787</v>
      </c>
      <c r="E857" s="148"/>
      <c r="F857" s="148"/>
      <c r="G857" s="148"/>
      <c r="H857" s="148" t="s">
        <v>2878</v>
      </c>
      <c r="I857" s="161"/>
      <c r="J857" s="161" t="s">
        <v>2908</v>
      </c>
      <c r="K857" s="161"/>
      <c r="L857" s="161"/>
      <c r="M857" s="453" t="s">
        <v>4282</v>
      </c>
      <c r="N857" s="186"/>
      <c r="O857" s="186"/>
      <c r="P857" s="186"/>
      <c r="Q857" s="186"/>
      <c r="R857" s="186"/>
      <c r="S857" s="186"/>
      <c r="T857" s="186"/>
      <c r="U857" s="186"/>
      <c r="V857" s="186"/>
      <c r="W857" s="186"/>
      <c r="X857" s="186"/>
      <c r="Y857" s="186"/>
      <c r="Z857" s="186"/>
      <c r="AA857" s="186"/>
      <c r="AB857" s="186"/>
      <c r="AC857" s="186"/>
      <c r="AD857" s="268"/>
      <c r="AE857" s="268"/>
      <c r="AF857" s="144" t="str">
        <f t="shared" si="63"/>
        <v/>
      </c>
      <c r="AG857" s="144" t="str">
        <f t="shared" si="66"/>
        <v/>
      </c>
      <c r="AH857" s="146">
        <f t="shared" si="64"/>
        <v>0.50936000000000003</v>
      </c>
      <c r="AI857" s="146" t="str">
        <f t="shared" si="65"/>
        <v/>
      </c>
      <c r="AJ857" s="313"/>
      <c r="AK857" s="313"/>
      <c r="AL857" s="313"/>
      <c r="AM857" s="313"/>
      <c r="AN857" s="313"/>
      <c r="AO857" s="313"/>
      <c r="AP857" s="313"/>
      <c r="AQ857" s="313"/>
      <c r="AR857" s="313"/>
      <c r="AS857" s="176"/>
      <c r="AT857" s="169">
        <v>0.83374000000000004</v>
      </c>
      <c r="AU857" s="310"/>
      <c r="AV857" s="322"/>
      <c r="AW857" s="276"/>
      <c r="AX857" s="276"/>
      <c r="AY857" s="276"/>
      <c r="AZ857" s="276"/>
      <c r="BA857" s="276"/>
      <c r="BB857" s="276"/>
      <c r="BC857" s="276"/>
      <c r="BD857" s="276"/>
      <c r="BE857" s="276"/>
      <c r="BF857" s="400">
        <v>0.50936000000000003</v>
      </c>
      <c r="BG857" s="382"/>
      <c r="BH857" s="278"/>
      <c r="BI857" s="365"/>
    </row>
    <row r="858" spans="1:61" ht="15.75" customHeight="1" thickBot="1" x14ac:dyDescent="0.25">
      <c r="A858" s="156">
        <v>859</v>
      </c>
      <c r="B858" s="155">
        <v>2</v>
      </c>
      <c r="C858" s="148" t="s">
        <v>760</v>
      </c>
      <c r="D858" s="141" t="s">
        <v>1787</v>
      </c>
      <c r="E858" s="148"/>
      <c r="F858" s="148"/>
      <c r="G858" s="148"/>
      <c r="H858" s="148" t="s">
        <v>2874</v>
      </c>
      <c r="I858" s="161"/>
      <c r="J858" s="161" t="s">
        <v>2909</v>
      </c>
      <c r="K858" s="161"/>
      <c r="L858" s="161"/>
      <c r="M858" s="453" t="s">
        <v>4282</v>
      </c>
      <c r="N858" s="186"/>
      <c r="O858" s="186"/>
      <c r="P858" s="186"/>
      <c r="Q858" s="186"/>
      <c r="R858" s="186"/>
      <c r="S858" s="186"/>
      <c r="T858" s="186"/>
      <c r="U858" s="186"/>
      <c r="V858" s="186"/>
      <c r="W858" s="186"/>
      <c r="X858" s="186"/>
      <c r="Y858" s="186"/>
      <c r="Z858" s="186"/>
      <c r="AA858" s="186"/>
      <c r="AB858" s="186"/>
      <c r="AC858" s="186"/>
      <c r="AD858" s="268"/>
      <c r="AE858" s="268"/>
      <c r="AF858" s="144" t="str">
        <f t="shared" si="63"/>
        <v/>
      </c>
      <c r="AG858" s="144" t="str">
        <f t="shared" si="66"/>
        <v/>
      </c>
      <c r="AH858" s="146">
        <f t="shared" si="64"/>
        <v>1.82582</v>
      </c>
      <c r="AI858" s="146" t="str">
        <f t="shared" si="65"/>
        <v/>
      </c>
      <c r="AJ858" s="313"/>
      <c r="AK858" s="313"/>
      <c r="AL858" s="313"/>
      <c r="AM858" s="313"/>
      <c r="AN858" s="313"/>
      <c r="AO858" s="313"/>
      <c r="AP858" s="313"/>
      <c r="AQ858" s="313"/>
      <c r="AR858" s="313"/>
      <c r="AS858" s="176"/>
      <c r="AT858" s="169">
        <v>1.4863999999999999</v>
      </c>
      <c r="AU858" s="310"/>
      <c r="AV858" s="322"/>
      <c r="AW858" s="276"/>
      <c r="AX858" s="276"/>
      <c r="AY858" s="276"/>
      <c r="AZ858" s="276"/>
      <c r="BA858" s="276"/>
      <c r="BB858" s="276"/>
      <c r="BC858" s="276"/>
      <c r="BD858" s="276"/>
      <c r="BE858" s="276"/>
      <c r="BF858" s="400">
        <v>1.82582</v>
      </c>
      <c r="BG858" s="382"/>
      <c r="BH858" s="278"/>
      <c r="BI858" s="365"/>
    </row>
    <row r="859" spans="1:61" ht="15.75" customHeight="1" thickBot="1" x14ac:dyDescent="0.25">
      <c r="A859" s="156">
        <v>860</v>
      </c>
      <c r="B859" s="155">
        <v>2</v>
      </c>
      <c r="C859" s="148" t="s">
        <v>162</v>
      </c>
      <c r="D859" s="141" t="s">
        <v>1822</v>
      </c>
      <c r="E859" s="148"/>
      <c r="F859" s="148"/>
      <c r="G859" s="148"/>
      <c r="H859" s="148" t="s">
        <v>2881</v>
      </c>
      <c r="I859" s="161">
        <v>2011</v>
      </c>
      <c r="J859" s="161" t="s">
        <v>2910</v>
      </c>
      <c r="K859" s="161"/>
      <c r="L859" s="161" t="s">
        <v>19</v>
      </c>
      <c r="M859" s="453" t="s">
        <v>4284</v>
      </c>
      <c r="N859" s="186"/>
      <c r="O859" s="186"/>
      <c r="P859" s="186"/>
      <c r="Q859" s="186"/>
      <c r="R859" s="186"/>
      <c r="S859" s="186"/>
      <c r="T859" s="186"/>
      <c r="U859" s="186"/>
      <c r="V859" s="186"/>
      <c r="W859" s="186"/>
      <c r="X859" s="186"/>
      <c r="Y859" s="186"/>
      <c r="Z859" s="186"/>
      <c r="AA859" s="186"/>
      <c r="AB859" s="186"/>
      <c r="AC859" s="186"/>
      <c r="AD859" s="268"/>
      <c r="AE859" s="268"/>
      <c r="AF859" s="144">
        <f t="shared" si="63"/>
        <v>1.1000000000000001</v>
      </c>
      <c r="AG859" s="144" t="str">
        <f t="shared" si="66"/>
        <v/>
      </c>
      <c r="AH859" s="146">
        <f t="shared" si="64"/>
        <v>0.11</v>
      </c>
      <c r="AI859" s="146" t="str">
        <f t="shared" si="65"/>
        <v/>
      </c>
      <c r="AJ859" s="313"/>
      <c r="AK859" s="313"/>
      <c r="AL859" s="313"/>
      <c r="AM859" s="313"/>
      <c r="AN859" s="313"/>
      <c r="AO859" s="313"/>
      <c r="AP859" s="313"/>
      <c r="AQ859" s="313"/>
      <c r="AR859" s="313"/>
      <c r="AS859" s="176">
        <v>1.1000000000000001</v>
      </c>
      <c r="AT859" s="169"/>
      <c r="AU859" s="310"/>
      <c r="AV859" s="322"/>
      <c r="AW859" s="276"/>
      <c r="AX859" s="276"/>
      <c r="AY859" s="276"/>
      <c r="AZ859" s="276"/>
      <c r="BA859" s="276"/>
      <c r="BB859" s="276"/>
      <c r="BC859" s="276"/>
      <c r="BD859" s="276"/>
      <c r="BE859" s="276"/>
      <c r="BF859" s="400">
        <v>0.11</v>
      </c>
      <c r="BG859" s="382"/>
      <c r="BH859" s="278"/>
      <c r="BI859" s="365"/>
    </row>
    <row r="860" spans="1:61" ht="15.75" customHeight="1" thickBot="1" x14ac:dyDescent="0.25">
      <c r="A860" s="156">
        <v>861</v>
      </c>
      <c r="B860" s="155">
        <v>2</v>
      </c>
      <c r="C860" s="148" t="s">
        <v>162</v>
      </c>
      <c r="D860" s="148" t="s">
        <v>1853</v>
      </c>
      <c r="E860" s="148"/>
      <c r="F860" s="148"/>
      <c r="G860" s="148"/>
      <c r="H860" s="148" t="s">
        <v>2881</v>
      </c>
      <c r="I860" s="161">
        <v>2011</v>
      </c>
      <c r="J860" s="161" t="s">
        <v>2910</v>
      </c>
      <c r="K860" s="161"/>
      <c r="L860" s="161" t="s">
        <v>19</v>
      </c>
      <c r="M860" s="453" t="s">
        <v>4284</v>
      </c>
      <c r="N860" s="186"/>
      <c r="O860" s="186"/>
      <c r="P860" s="186"/>
      <c r="Q860" s="186"/>
      <c r="R860" s="186"/>
      <c r="S860" s="186"/>
      <c r="T860" s="186"/>
      <c r="U860" s="186"/>
      <c r="V860" s="186"/>
      <c r="W860" s="186"/>
      <c r="X860" s="186"/>
      <c r="Y860" s="186"/>
      <c r="Z860" s="186"/>
      <c r="AA860" s="186"/>
      <c r="AB860" s="186"/>
      <c r="AC860" s="186"/>
      <c r="AD860" s="268"/>
      <c r="AE860" s="268"/>
      <c r="AF860" s="144">
        <f t="shared" si="63"/>
        <v>1.1000000000000001</v>
      </c>
      <c r="AG860" s="144" t="str">
        <f t="shared" si="66"/>
        <v/>
      </c>
      <c r="AH860" s="146">
        <f t="shared" si="64"/>
        <v>0.12</v>
      </c>
      <c r="AI860" s="146" t="str">
        <f t="shared" si="65"/>
        <v/>
      </c>
      <c r="AJ860" s="313"/>
      <c r="AK860" s="313"/>
      <c r="AL860" s="313"/>
      <c r="AM860" s="313"/>
      <c r="AN860" s="313"/>
      <c r="AO860" s="313"/>
      <c r="AP860" s="313"/>
      <c r="AQ860" s="313"/>
      <c r="AR860" s="313"/>
      <c r="AS860" s="176">
        <v>1.1000000000000001</v>
      </c>
      <c r="AT860" s="169"/>
      <c r="AU860" s="310"/>
      <c r="AV860" s="322"/>
      <c r="AW860" s="276"/>
      <c r="AX860" s="276"/>
      <c r="AY860" s="276"/>
      <c r="AZ860" s="276"/>
      <c r="BA860" s="276"/>
      <c r="BB860" s="276"/>
      <c r="BC860" s="276"/>
      <c r="BD860" s="276"/>
      <c r="BE860" s="276"/>
      <c r="BF860" s="400">
        <v>0.12</v>
      </c>
      <c r="BG860" s="382"/>
      <c r="BH860" s="278"/>
      <c r="BI860" s="365"/>
    </row>
    <row r="861" spans="1:61" ht="15.75" customHeight="1" thickBot="1" x14ac:dyDescent="0.25">
      <c r="A861" s="156">
        <v>862</v>
      </c>
      <c r="B861" s="155">
        <v>2</v>
      </c>
      <c r="C861" s="148" t="s">
        <v>236</v>
      </c>
      <c r="D861" s="141" t="s">
        <v>2042</v>
      </c>
      <c r="E861" s="148"/>
      <c r="F861" s="148"/>
      <c r="G861" s="148"/>
      <c r="H861" s="148"/>
      <c r="I861" s="161"/>
      <c r="J861" s="161" t="s">
        <v>2911</v>
      </c>
      <c r="K861" s="161"/>
      <c r="L861" s="161"/>
      <c r="M861" s="453" t="s">
        <v>4281</v>
      </c>
      <c r="N861" s="186"/>
      <c r="O861" s="186"/>
      <c r="P861" s="186"/>
      <c r="Q861" s="186"/>
      <c r="R861" s="186"/>
      <c r="S861" s="186"/>
      <c r="T861" s="186"/>
      <c r="U861" s="186"/>
      <c r="V861" s="186"/>
      <c r="W861" s="186"/>
      <c r="X861" s="186"/>
      <c r="Y861" s="186"/>
      <c r="Z861" s="186"/>
      <c r="AA861" s="186"/>
      <c r="AB861" s="186"/>
      <c r="AC861" s="186"/>
      <c r="AD861" s="268"/>
      <c r="AE861" s="268"/>
      <c r="AF861" s="144">
        <f t="shared" si="63"/>
        <v>5.4400101999999997</v>
      </c>
      <c r="AG861" s="144" t="str">
        <f t="shared" si="66"/>
        <v/>
      </c>
      <c r="AH861" s="146">
        <f t="shared" si="64"/>
        <v>0.43526999999999999</v>
      </c>
      <c r="AI861" s="146" t="str">
        <f t="shared" si="65"/>
        <v/>
      </c>
      <c r="AJ861" s="313"/>
      <c r="AK861" s="313"/>
      <c r="AL861" s="313"/>
      <c r="AM861" s="313"/>
      <c r="AN861" s="313"/>
      <c r="AO861" s="313"/>
      <c r="AP861" s="313"/>
      <c r="AQ861" s="313"/>
      <c r="AR861" s="313"/>
      <c r="AS861" s="176">
        <f>4.668+0.76938+0.0026302</f>
        <v>5.4400101999999997</v>
      </c>
      <c r="AT861" s="169"/>
      <c r="AU861" s="310"/>
      <c r="AV861" s="322"/>
      <c r="AW861" s="276"/>
      <c r="AX861" s="276"/>
      <c r="AY861" s="276"/>
      <c r="AZ861" s="276"/>
      <c r="BA861" s="276"/>
      <c r="BB861" s="276"/>
      <c r="BC861" s="276"/>
      <c r="BD861" s="276"/>
      <c r="BE861" s="276"/>
      <c r="BF861" s="400">
        <v>0.43526999999999999</v>
      </c>
      <c r="BG861" s="382"/>
      <c r="BH861" s="278"/>
      <c r="BI861" s="365"/>
    </row>
    <row r="862" spans="1:61" ht="15.75" customHeight="1" thickBot="1" x14ac:dyDescent="0.25">
      <c r="A862" s="156">
        <v>863</v>
      </c>
      <c r="B862" s="155">
        <v>2</v>
      </c>
      <c r="C862" s="148" t="s">
        <v>587</v>
      </c>
      <c r="D862" s="148" t="s">
        <v>1339</v>
      </c>
      <c r="E862" s="148"/>
      <c r="F862" s="148"/>
      <c r="G862" s="148"/>
      <c r="H862" s="148" t="s">
        <v>2881</v>
      </c>
      <c r="I862" s="161">
        <v>2003</v>
      </c>
      <c r="J862" s="165" t="s">
        <v>2913</v>
      </c>
      <c r="K862" s="161"/>
      <c r="L862" s="161" t="s">
        <v>19</v>
      </c>
      <c r="M862" s="453" t="s">
        <v>4285</v>
      </c>
      <c r="N862" s="186"/>
      <c r="O862" s="186"/>
      <c r="P862" s="186"/>
      <c r="Q862" s="186"/>
      <c r="R862" s="186"/>
      <c r="S862" s="186"/>
      <c r="T862" s="186"/>
      <c r="U862" s="186"/>
      <c r="V862" s="186"/>
      <c r="W862" s="186"/>
      <c r="X862" s="186"/>
      <c r="Y862" s="186"/>
      <c r="Z862" s="186"/>
      <c r="AA862" s="186"/>
      <c r="AB862" s="186"/>
      <c r="AC862" s="186"/>
      <c r="AD862" s="268"/>
      <c r="AE862" s="268"/>
      <c r="AF862" s="144" t="str">
        <f t="shared" si="63"/>
        <v/>
      </c>
      <c r="AG862" s="144">
        <f t="shared" si="66"/>
        <v>1.3</v>
      </c>
      <c r="AH862" s="146" t="str">
        <f t="shared" si="64"/>
        <v/>
      </c>
      <c r="AI862" s="146" t="str">
        <f t="shared" si="65"/>
        <v/>
      </c>
      <c r="AJ862" s="313"/>
      <c r="AK862" s="313"/>
      <c r="AL862" s="310">
        <v>1.3</v>
      </c>
      <c r="AM862" s="313"/>
      <c r="AN862" s="313"/>
      <c r="AO862" s="313"/>
      <c r="AP862" s="313"/>
      <c r="AQ862" s="313"/>
      <c r="AR862" s="313"/>
      <c r="AS862" s="176"/>
      <c r="AT862" s="175">
        <f>SUM(AJ862:AR862)</f>
        <v>1.3</v>
      </c>
      <c r="AU862" s="310"/>
      <c r="AV862" s="322"/>
      <c r="AW862" s="276"/>
      <c r="AX862" s="276"/>
      <c r="AY862" s="276"/>
      <c r="AZ862" s="276"/>
      <c r="BA862" s="276"/>
      <c r="BB862" s="276"/>
      <c r="BC862" s="276"/>
      <c r="BD862" s="276"/>
      <c r="BE862" s="276"/>
      <c r="BF862" s="400"/>
      <c r="BG862" s="389"/>
      <c r="BH862" s="278"/>
      <c r="BI862" s="365"/>
    </row>
    <row r="863" spans="1:61" ht="15.75" customHeight="1" thickBot="1" x14ac:dyDescent="0.25">
      <c r="A863" s="156">
        <v>864</v>
      </c>
      <c r="B863" s="155">
        <v>2</v>
      </c>
      <c r="C863" s="148" t="s">
        <v>587</v>
      </c>
      <c r="D863" s="148" t="s">
        <v>1339</v>
      </c>
      <c r="E863" s="148"/>
      <c r="F863" s="148"/>
      <c r="G863" s="148"/>
      <c r="H863" s="148" t="s">
        <v>2912</v>
      </c>
      <c r="I863" s="161">
        <v>2003</v>
      </c>
      <c r="J863" s="165" t="s">
        <v>2913</v>
      </c>
      <c r="K863" s="161"/>
      <c r="L863" s="161" t="s">
        <v>19</v>
      </c>
      <c r="M863" s="453" t="s">
        <v>4285</v>
      </c>
      <c r="N863" s="186"/>
      <c r="O863" s="186"/>
      <c r="P863" s="186"/>
      <c r="Q863" s="186"/>
      <c r="R863" s="186"/>
      <c r="S863" s="186"/>
      <c r="T863" s="186"/>
      <c r="U863" s="186"/>
      <c r="V863" s="186"/>
      <c r="W863" s="186"/>
      <c r="X863" s="186"/>
      <c r="Y863" s="186"/>
      <c r="Z863" s="186"/>
      <c r="AA863" s="186"/>
      <c r="AB863" s="186"/>
      <c r="AC863" s="186"/>
      <c r="AD863" s="268"/>
      <c r="AE863" s="268"/>
      <c r="AF863" s="144" t="str">
        <f t="shared" si="63"/>
        <v/>
      </c>
      <c r="AG863" s="144">
        <f t="shared" si="66"/>
        <v>5.6</v>
      </c>
      <c r="AH863" s="146" t="str">
        <f t="shared" si="64"/>
        <v/>
      </c>
      <c r="AI863" s="146" t="str">
        <f t="shared" si="65"/>
        <v/>
      </c>
      <c r="AJ863" s="313"/>
      <c r="AK863" s="313"/>
      <c r="AL863" s="310">
        <v>5.6</v>
      </c>
      <c r="AM863" s="313"/>
      <c r="AN863" s="313"/>
      <c r="AO863" s="313"/>
      <c r="AP863" s="313"/>
      <c r="AQ863" s="313"/>
      <c r="AR863" s="313"/>
      <c r="AS863" s="176"/>
      <c r="AT863" s="175">
        <f>SUM(AJ863:AR863)</f>
        <v>5.6</v>
      </c>
      <c r="AU863" s="310"/>
      <c r="AV863" s="322"/>
      <c r="AW863" s="276"/>
      <c r="AX863" s="276"/>
      <c r="AY863" s="276"/>
      <c r="AZ863" s="276"/>
      <c r="BA863" s="276"/>
      <c r="BB863" s="276"/>
      <c r="BC863" s="276"/>
      <c r="BD863" s="276"/>
      <c r="BE863" s="276"/>
      <c r="BF863" s="400"/>
      <c r="BG863" s="389"/>
      <c r="BH863" s="278"/>
      <c r="BI863" s="365"/>
    </row>
    <row r="864" spans="1:61" ht="15.75" customHeight="1" thickBot="1" x14ac:dyDescent="0.25">
      <c r="A864" s="156">
        <v>865</v>
      </c>
      <c r="B864" s="155">
        <v>2</v>
      </c>
      <c r="C864" s="148" t="s">
        <v>162</v>
      </c>
      <c r="D864" s="148" t="s">
        <v>827</v>
      </c>
      <c r="E864" s="148"/>
      <c r="F864" s="148"/>
      <c r="G864" s="148"/>
      <c r="H864" s="148" t="s">
        <v>248</v>
      </c>
      <c r="I864" s="161"/>
      <c r="J864" s="161" t="s">
        <v>2914</v>
      </c>
      <c r="K864" s="161"/>
      <c r="L864" s="161"/>
      <c r="M864" s="453" t="s">
        <v>4281</v>
      </c>
      <c r="N864" s="186"/>
      <c r="O864" s="186"/>
      <c r="P864" s="186"/>
      <c r="Q864" s="186"/>
      <c r="R864" s="186"/>
      <c r="S864" s="186"/>
      <c r="T864" s="186"/>
      <c r="U864" s="186"/>
      <c r="V864" s="186"/>
      <c r="W864" s="186"/>
      <c r="X864" s="186"/>
      <c r="Y864" s="186"/>
      <c r="Z864" s="186"/>
      <c r="AA864" s="186"/>
      <c r="AB864" s="186"/>
      <c r="AC864" s="186"/>
      <c r="AD864" s="268"/>
      <c r="AE864" s="268"/>
      <c r="AF864" s="144">
        <f t="shared" si="63"/>
        <v>7.9758566000000002</v>
      </c>
      <c r="AG864" s="144" t="str">
        <f t="shared" si="66"/>
        <v/>
      </c>
      <c r="AH864" s="146">
        <f t="shared" si="64"/>
        <v>0.86667000000000005</v>
      </c>
      <c r="AI864" s="146" t="str">
        <f t="shared" si="65"/>
        <v/>
      </c>
      <c r="AJ864" s="313"/>
      <c r="AK864" s="313"/>
      <c r="AL864" s="313"/>
      <c r="AM864" s="313"/>
      <c r="AN864" s="313"/>
      <c r="AO864" s="313"/>
      <c r="AP864" s="313"/>
      <c r="AQ864" s="313"/>
      <c r="AR864" s="313"/>
      <c r="AS864" s="176">
        <f>7.7191+0.25395+0.0028066</f>
        <v>7.9758566000000002</v>
      </c>
      <c r="AT864" s="169"/>
      <c r="AU864" s="310"/>
      <c r="AV864" s="322"/>
      <c r="AW864" s="276"/>
      <c r="AX864" s="276"/>
      <c r="AY864" s="276"/>
      <c r="AZ864" s="276"/>
      <c r="BA864" s="276"/>
      <c r="BB864" s="276"/>
      <c r="BC864" s="276"/>
      <c r="BD864" s="276"/>
      <c r="BE864" s="276"/>
      <c r="BF864" s="400">
        <v>0.86667000000000005</v>
      </c>
      <c r="BG864" s="382"/>
      <c r="BH864" s="278"/>
      <c r="BI864" s="365"/>
    </row>
    <row r="865" spans="1:61" ht="15.75" customHeight="1" thickBot="1" x14ac:dyDescent="0.25">
      <c r="A865" s="156">
        <v>866</v>
      </c>
      <c r="B865" s="155">
        <v>2</v>
      </c>
      <c r="C865" s="148" t="s">
        <v>162</v>
      </c>
      <c r="D865" s="148" t="s">
        <v>827</v>
      </c>
      <c r="E865" s="148"/>
      <c r="F865" s="148"/>
      <c r="G865" s="148"/>
      <c r="H865" s="148" t="s">
        <v>2884</v>
      </c>
      <c r="I865" s="161"/>
      <c r="J865" s="161" t="s">
        <v>2915</v>
      </c>
      <c r="K865" s="161"/>
      <c r="L865" s="161"/>
      <c r="M865" s="453" t="s">
        <v>4281</v>
      </c>
      <c r="N865" s="186"/>
      <c r="O865" s="186"/>
      <c r="P865" s="186"/>
      <c r="Q865" s="186"/>
      <c r="R865" s="186"/>
      <c r="S865" s="186"/>
      <c r="T865" s="186"/>
      <c r="U865" s="186"/>
      <c r="V865" s="186"/>
      <c r="W865" s="186"/>
      <c r="X865" s="186"/>
      <c r="Y865" s="186"/>
      <c r="Z865" s="186"/>
      <c r="AA865" s="186"/>
      <c r="AB865" s="186"/>
      <c r="AC865" s="186"/>
      <c r="AD865" s="268"/>
      <c r="AE865" s="268"/>
      <c r="AF865" s="144">
        <f t="shared" si="63"/>
        <v>7.9089621000000001</v>
      </c>
      <c r="AG865" s="144" t="str">
        <f t="shared" si="66"/>
        <v/>
      </c>
      <c r="AH865" s="146">
        <f t="shared" si="64"/>
        <v>0.72014999999999996</v>
      </c>
      <c r="AI865" s="146" t="str">
        <f t="shared" si="65"/>
        <v/>
      </c>
      <c r="AJ865" s="313"/>
      <c r="AK865" s="313"/>
      <c r="AL865" s="313"/>
      <c r="AM865" s="313"/>
      <c r="AN865" s="313"/>
      <c r="AO865" s="313"/>
      <c r="AP865" s="313"/>
      <c r="AQ865" s="313"/>
      <c r="AR865" s="313"/>
      <c r="AS865" s="176">
        <f>7.47+0.43203+0.0069321</f>
        <v>7.9089621000000001</v>
      </c>
      <c r="AT865" s="169"/>
      <c r="AU865" s="310"/>
      <c r="AV865" s="322"/>
      <c r="AW865" s="276"/>
      <c r="AX865" s="276"/>
      <c r="AY865" s="276"/>
      <c r="AZ865" s="276"/>
      <c r="BA865" s="276"/>
      <c r="BB865" s="276"/>
      <c r="BC865" s="276"/>
      <c r="BD865" s="276"/>
      <c r="BE865" s="276"/>
      <c r="BF865" s="400">
        <v>0.72014999999999996</v>
      </c>
      <c r="BG865" s="382"/>
      <c r="BH865" s="278"/>
      <c r="BI865" s="365"/>
    </row>
    <row r="866" spans="1:61" ht="15.75" customHeight="1" thickBot="1" x14ac:dyDescent="0.25">
      <c r="A866" s="156">
        <v>867</v>
      </c>
      <c r="B866" s="155">
        <v>2</v>
      </c>
      <c r="C866" s="148" t="s">
        <v>162</v>
      </c>
      <c r="D866" s="148" t="s">
        <v>827</v>
      </c>
      <c r="E866" s="148"/>
      <c r="F866" s="148"/>
      <c r="G866" s="148"/>
      <c r="H866" s="148" t="s">
        <v>2878</v>
      </c>
      <c r="I866" s="161"/>
      <c r="J866" s="161" t="s">
        <v>2916</v>
      </c>
      <c r="K866" s="161"/>
      <c r="L866" s="161"/>
      <c r="M866" s="453" t="s">
        <v>4281</v>
      </c>
      <c r="N866" s="186"/>
      <c r="O866" s="186"/>
      <c r="P866" s="186"/>
      <c r="Q866" s="186"/>
      <c r="R866" s="186"/>
      <c r="S866" s="186"/>
      <c r="T866" s="186"/>
      <c r="U866" s="186"/>
      <c r="V866" s="186"/>
      <c r="W866" s="186"/>
      <c r="X866" s="186"/>
      <c r="Y866" s="186"/>
      <c r="Z866" s="186"/>
      <c r="AA866" s="186"/>
      <c r="AB866" s="186"/>
      <c r="AC866" s="186"/>
      <c r="AD866" s="268"/>
      <c r="AE866" s="268"/>
      <c r="AF866" s="144">
        <f t="shared" si="63"/>
        <v>8.896547</v>
      </c>
      <c r="AG866" s="144" t="str">
        <f t="shared" si="66"/>
        <v/>
      </c>
      <c r="AH866" s="146">
        <f t="shared" si="64"/>
        <v>0.74765000000000004</v>
      </c>
      <c r="AI866" s="146" t="str">
        <f t="shared" si="65"/>
        <v/>
      </c>
      <c r="AJ866" s="313"/>
      <c r="AK866" s="313"/>
      <c r="AL866" s="313"/>
      <c r="AM866" s="313"/>
      <c r="AN866" s="313"/>
      <c r="AO866" s="313"/>
      <c r="AP866" s="313"/>
      <c r="AQ866" s="313"/>
      <c r="AR866" s="313"/>
      <c r="AS866" s="176">
        <f>6.984+1.8916+0.020947</f>
        <v>8.896547</v>
      </c>
      <c r="AT866" s="169"/>
      <c r="AU866" s="310"/>
      <c r="AV866" s="322"/>
      <c r="AW866" s="276"/>
      <c r="AX866" s="276"/>
      <c r="AY866" s="276"/>
      <c r="AZ866" s="276"/>
      <c r="BA866" s="276"/>
      <c r="BB866" s="276"/>
      <c r="BC866" s="276"/>
      <c r="BD866" s="276"/>
      <c r="BE866" s="276"/>
      <c r="BF866" s="400">
        <v>0.74765000000000004</v>
      </c>
      <c r="BG866" s="382"/>
      <c r="BH866" s="278"/>
      <c r="BI866" s="365"/>
    </row>
    <row r="867" spans="1:61" ht="15.75" customHeight="1" thickBot="1" x14ac:dyDescent="0.25">
      <c r="A867" s="156">
        <v>868</v>
      </c>
      <c r="B867" s="155">
        <v>2</v>
      </c>
      <c r="C867" s="148" t="s">
        <v>162</v>
      </c>
      <c r="D867" s="148" t="s">
        <v>827</v>
      </c>
      <c r="E867" s="148"/>
      <c r="F867" s="148"/>
      <c r="G867" s="148"/>
      <c r="H867" s="148" t="s">
        <v>2918</v>
      </c>
      <c r="I867" s="161"/>
      <c r="J867" s="161" t="s">
        <v>2917</v>
      </c>
      <c r="K867" s="161"/>
      <c r="L867" s="161"/>
      <c r="M867" s="453" t="s">
        <v>4281</v>
      </c>
      <c r="N867" s="186"/>
      <c r="O867" s="186"/>
      <c r="P867" s="186"/>
      <c r="Q867" s="186"/>
      <c r="R867" s="186"/>
      <c r="S867" s="186"/>
      <c r="T867" s="186"/>
      <c r="U867" s="186"/>
      <c r="V867" s="186"/>
      <c r="W867" s="186"/>
      <c r="X867" s="186"/>
      <c r="Y867" s="186"/>
      <c r="Z867" s="186"/>
      <c r="AA867" s="186"/>
      <c r="AB867" s="186"/>
      <c r="AC867" s="186"/>
      <c r="AD867" s="268"/>
      <c r="AE867" s="268"/>
      <c r="AF867" s="144">
        <f t="shared" si="63"/>
        <v>17.929449999999999</v>
      </c>
      <c r="AG867" s="144" t="str">
        <f t="shared" si="66"/>
        <v/>
      </c>
      <c r="AH867" s="146">
        <f t="shared" si="64"/>
        <v>1.9469000000000001</v>
      </c>
      <c r="AI867" s="146" t="str">
        <f t="shared" si="65"/>
        <v/>
      </c>
      <c r="AJ867" s="313"/>
      <c r="AK867" s="313"/>
      <c r="AL867" s="313"/>
      <c r="AM867" s="313"/>
      <c r="AN867" s="313"/>
      <c r="AO867" s="313"/>
      <c r="AP867" s="313"/>
      <c r="AQ867" s="313"/>
      <c r="AR867" s="313"/>
      <c r="AS867" s="176">
        <f>4.2115+0.53195+13.186</f>
        <v>17.929449999999999</v>
      </c>
      <c r="AT867" s="169"/>
      <c r="AU867" s="310"/>
      <c r="AV867" s="322"/>
      <c r="AW867" s="276"/>
      <c r="AX867" s="276"/>
      <c r="AY867" s="276"/>
      <c r="AZ867" s="276"/>
      <c r="BA867" s="276"/>
      <c r="BB867" s="276"/>
      <c r="BC867" s="276"/>
      <c r="BD867" s="276"/>
      <c r="BE867" s="276"/>
      <c r="BF867" s="400">
        <v>1.9469000000000001</v>
      </c>
      <c r="BG867" s="382"/>
      <c r="BH867" s="278"/>
      <c r="BI867" s="365"/>
    </row>
    <row r="868" spans="1:61" ht="15.75" customHeight="1" thickBot="1" x14ac:dyDescent="0.25">
      <c r="A868" s="156">
        <v>869</v>
      </c>
      <c r="B868" s="155">
        <v>2</v>
      </c>
      <c r="C868" s="148" t="s">
        <v>760</v>
      </c>
      <c r="D868" s="148" t="s">
        <v>2140</v>
      </c>
      <c r="E868" s="148"/>
      <c r="F868" s="148"/>
      <c r="G868" s="148"/>
      <c r="H868" s="148" t="s">
        <v>351</v>
      </c>
      <c r="I868" s="161"/>
      <c r="J868" s="161" t="s">
        <v>2919</v>
      </c>
      <c r="K868" s="161"/>
      <c r="L868" s="161"/>
      <c r="M868" s="453" t="s">
        <v>4282</v>
      </c>
      <c r="N868" s="186"/>
      <c r="O868" s="186"/>
      <c r="P868" s="186"/>
      <c r="Q868" s="186"/>
      <c r="R868" s="186"/>
      <c r="S868" s="186"/>
      <c r="T868" s="186"/>
      <c r="U868" s="186"/>
      <c r="V868" s="186"/>
      <c r="W868" s="186"/>
      <c r="X868" s="186"/>
      <c r="Y868" s="186"/>
      <c r="Z868" s="186"/>
      <c r="AA868" s="186"/>
      <c r="AB868" s="186"/>
      <c r="AC868" s="186"/>
      <c r="AD868" s="268"/>
      <c r="AE868" s="268"/>
      <c r="AF868" s="144">
        <f t="shared" si="63"/>
        <v>1.0900000000000001</v>
      </c>
      <c r="AG868" s="144" t="str">
        <f t="shared" si="66"/>
        <v/>
      </c>
      <c r="AH868" s="146">
        <f t="shared" si="64"/>
        <v>0.32</v>
      </c>
      <c r="AI868" s="146" t="str">
        <f t="shared" si="65"/>
        <v/>
      </c>
      <c r="AJ868" s="313"/>
      <c r="AK868" s="313"/>
      <c r="AL868" s="313"/>
      <c r="AM868" s="313"/>
      <c r="AN868" s="313"/>
      <c r="AO868" s="313"/>
      <c r="AP868" s="313"/>
      <c r="AQ868" s="313"/>
      <c r="AR868" s="313"/>
      <c r="AS868" s="176">
        <v>1.0900000000000001</v>
      </c>
      <c r="AT868" s="169"/>
      <c r="AU868" s="310"/>
      <c r="AV868" s="322"/>
      <c r="AW868" s="276"/>
      <c r="AX868" s="276"/>
      <c r="AY868" s="276"/>
      <c r="AZ868" s="276"/>
      <c r="BA868" s="276"/>
      <c r="BB868" s="276"/>
      <c r="BC868" s="276"/>
      <c r="BD868" s="276"/>
      <c r="BE868" s="276"/>
      <c r="BF868" s="400">
        <v>0.32</v>
      </c>
      <c r="BG868" s="382"/>
      <c r="BH868" s="278"/>
      <c r="BI868" s="365"/>
    </row>
    <row r="869" spans="1:61" ht="15.75" customHeight="1" thickBot="1" x14ac:dyDescent="0.25">
      <c r="A869" s="156">
        <v>870</v>
      </c>
      <c r="B869" s="155">
        <v>2</v>
      </c>
      <c r="C869" s="148" t="s">
        <v>162</v>
      </c>
      <c r="D869" s="148" t="s">
        <v>771</v>
      </c>
      <c r="E869" s="148"/>
      <c r="F869" s="148"/>
      <c r="G869" s="148"/>
      <c r="H869" s="148" t="s">
        <v>2878</v>
      </c>
      <c r="I869" s="161"/>
      <c r="J869" s="161" t="s">
        <v>2920</v>
      </c>
      <c r="K869" s="161"/>
      <c r="L869" s="161"/>
      <c r="M869" s="453" t="s">
        <v>4282</v>
      </c>
      <c r="N869" s="186"/>
      <c r="O869" s="186"/>
      <c r="P869" s="186"/>
      <c r="Q869" s="186"/>
      <c r="R869" s="186"/>
      <c r="S869" s="186"/>
      <c r="T869" s="186"/>
      <c r="U869" s="186"/>
      <c r="V869" s="186"/>
      <c r="W869" s="186"/>
      <c r="X869" s="186"/>
      <c r="Y869" s="186"/>
      <c r="Z869" s="186"/>
      <c r="AA869" s="186"/>
      <c r="AB869" s="186"/>
      <c r="AC869" s="186"/>
      <c r="AD869" s="268"/>
      <c r="AE869" s="268"/>
      <c r="AF869" s="144">
        <f t="shared" si="63"/>
        <v>1.6081475999999999</v>
      </c>
      <c r="AG869" s="144" t="str">
        <f t="shared" si="66"/>
        <v/>
      </c>
      <c r="AH869" s="146">
        <f t="shared" si="64"/>
        <v>0.35991274000000001</v>
      </c>
      <c r="AI869" s="146" t="str">
        <f t="shared" si="65"/>
        <v/>
      </c>
      <c r="AJ869" s="313"/>
      <c r="AK869" s="313"/>
      <c r="AL869" s="313"/>
      <c r="AM869" s="313"/>
      <c r="AN869" s="313"/>
      <c r="AO869" s="313"/>
      <c r="AP869" s="313"/>
      <c r="AQ869" s="313"/>
      <c r="AR869" s="313"/>
      <c r="AS869" s="287">
        <v>1.6081475999999999</v>
      </c>
      <c r="AT869" s="169"/>
      <c r="AU869" s="310"/>
      <c r="AV869" s="322"/>
      <c r="AW869" s="276"/>
      <c r="AX869" s="276"/>
      <c r="AY869" s="276"/>
      <c r="AZ869" s="276"/>
      <c r="BA869" s="276"/>
      <c r="BB869" s="276"/>
      <c r="BC869" s="276"/>
      <c r="BD869" s="276"/>
      <c r="BE869" s="276"/>
      <c r="BF869" s="401">
        <v>0.35991274000000001</v>
      </c>
      <c r="BG869" s="382"/>
      <c r="BH869" s="278"/>
      <c r="BI869" s="365"/>
    </row>
    <row r="870" spans="1:61" ht="15.75" customHeight="1" thickBot="1" x14ac:dyDescent="0.25">
      <c r="A870" s="156">
        <v>871</v>
      </c>
      <c r="B870" s="155">
        <v>2</v>
      </c>
      <c r="C870" s="148" t="s">
        <v>162</v>
      </c>
      <c r="D870" s="148" t="s">
        <v>771</v>
      </c>
      <c r="E870" s="148"/>
      <c r="F870" s="148"/>
      <c r="G870" s="148"/>
      <c r="H870" s="148" t="s">
        <v>2901</v>
      </c>
      <c r="I870" s="161"/>
      <c r="J870" s="161" t="s">
        <v>2921</v>
      </c>
      <c r="K870" s="161"/>
      <c r="L870" s="161"/>
      <c r="M870" s="453" t="s">
        <v>4282</v>
      </c>
      <c r="N870" s="186"/>
      <c r="O870" s="186"/>
      <c r="P870" s="186"/>
      <c r="Q870" s="186"/>
      <c r="R870" s="186"/>
      <c r="S870" s="186"/>
      <c r="T870" s="186"/>
      <c r="U870" s="186"/>
      <c r="V870" s="186"/>
      <c r="W870" s="186"/>
      <c r="X870" s="186"/>
      <c r="Y870" s="186"/>
      <c r="Z870" s="186"/>
      <c r="AA870" s="186"/>
      <c r="AB870" s="186"/>
      <c r="AC870" s="186"/>
      <c r="AD870" s="268"/>
      <c r="AE870" s="268"/>
      <c r="AF870" s="144">
        <f t="shared" si="63"/>
        <v>2.9124268</v>
      </c>
      <c r="AG870" s="144" t="str">
        <f t="shared" si="66"/>
        <v/>
      </c>
      <c r="AH870" s="146">
        <f t="shared" si="64"/>
        <v>0.68451923000000003</v>
      </c>
      <c r="AI870" s="146" t="str">
        <f t="shared" si="65"/>
        <v/>
      </c>
      <c r="AJ870" s="313"/>
      <c r="AK870" s="313"/>
      <c r="AL870" s="313"/>
      <c r="AM870" s="313"/>
      <c r="AN870" s="313"/>
      <c r="AO870" s="313"/>
      <c r="AP870" s="313"/>
      <c r="AQ870" s="313"/>
      <c r="AR870" s="313"/>
      <c r="AS870" s="287">
        <v>2.9124268</v>
      </c>
      <c r="AT870" s="169"/>
      <c r="AU870" s="310"/>
      <c r="AV870" s="322"/>
      <c r="AW870" s="276"/>
      <c r="AX870" s="276"/>
      <c r="AY870" s="276"/>
      <c r="AZ870" s="276"/>
      <c r="BA870" s="276"/>
      <c r="BB870" s="276"/>
      <c r="BC870" s="276"/>
      <c r="BD870" s="276"/>
      <c r="BE870" s="276"/>
      <c r="BF870" s="401">
        <v>0.68451923000000003</v>
      </c>
      <c r="BG870" s="382"/>
      <c r="BH870" s="278"/>
      <c r="BI870" s="365"/>
    </row>
    <row r="871" spans="1:61" ht="15.75" customHeight="1" thickBot="1" x14ac:dyDescent="0.25">
      <c r="A871" s="156">
        <v>872</v>
      </c>
      <c r="B871" s="155">
        <v>2</v>
      </c>
      <c r="C871" s="148" t="s">
        <v>162</v>
      </c>
      <c r="D871" s="148" t="s">
        <v>875</v>
      </c>
      <c r="E871" s="148"/>
      <c r="F871" s="148"/>
      <c r="G871" s="148"/>
      <c r="H871" s="148" t="s">
        <v>2877</v>
      </c>
      <c r="I871" s="161"/>
      <c r="J871" s="165" t="s">
        <v>2922</v>
      </c>
      <c r="K871" s="161"/>
      <c r="L871" s="161"/>
      <c r="M871" s="453" t="s">
        <v>4282</v>
      </c>
      <c r="N871" s="186"/>
      <c r="O871" s="186"/>
      <c r="P871" s="186"/>
      <c r="Q871" s="186"/>
      <c r="R871" s="186"/>
      <c r="S871" s="186"/>
      <c r="T871" s="186"/>
      <c r="U871" s="186"/>
      <c r="V871" s="186"/>
      <c r="W871" s="186"/>
      <c r="X871" s="186"/>
      <c r="Y871" s="186"/>
      <c r="Z871" s="186"/>
      <c r="AA871" s="186"/>
      <c r="AB871" s="186"/>
      <c r="AC871" s="186"/>
      <c r="AD871" s="268"/>
      <c r="AE871" s="268"/>
      <c r="AF871" s="144">
        <f t="shared" si="63"/>
        <v>1.4390966999999999</v>
      </c>
      <c r="AG871" s="144" t="str">
        <f t="shared" si="66"/>
        <v/>
      </c>
      <c r="AH871" s="146">
        <f t="shared" si="64"/>
        <v>0.27288365999999997</v>
      </c>
      <c r="AI871" s="146" t="str">
        <f t="shared" si="65"/>
        <v/>
      </c>
      <c r="AJ871" s="313"/>
      <c r="AK871" s="313"/>
      <c r="AL871" s="313"/>
      <c r="AM871" s="313"/>
      <c r="AN871" s="313"/>
      <c r="AO871" s="313"/>
      <c r="AP871" s="313"/>
      <c r="AQ871" s="313"/>
      <c r="AR871" s="313"/>
      <c r="AS871" s="287">
        <v>1.4390966999999999</v>
      </c>
      <c r="AT871" s="169"/>
      <c r="AU871" s="310"/>
      <c r="AV871" s="322"/>
      <c r="AW871" s="276"/>
      <c r="AX871" s="276"/>
      <c r="AY871" s="276"/>
      <c r="AZ871" s="276"/>
      <c r="BA871" s="276"/>
      <c r="BB871" s="276"/>
      <c r="BC871" s="276"/>
      <c r="BD871" s="276"/>
      <c r="BE871" s="276"/>
      <c r="BF871" s="401">
        <v>0.27288365999999997</v>
      </c>
      <c r="BG871" s="382"/>
      <c r="BH871" s="278"/>
      <c r="BI871" s="365"/>
    </row>
    <row r="872" spans="1:61" ht="15.75" customHeight="1" thickBot="1" x14ac:dyDescent="0.25">
      <c r="A872" s="156">
        <v>873</v>
      </c>
      <c r="B872" s="155">
        <v>2</v>
      </c>
      <c r="C872" s="148" t="s">
        <v>162</v>
      </c>
      <c r="D872" s="148" t="s">
        <v>875</v>
      </c>
      <c r="E872" s="148"/>
      <c r="F872" s="148"/>
      <c r="G872" s="148"/>
      <c r="H872" s="148" t="s">
        <v>2901</v>
      </c>
      <c r="I872" s="161"/>
      <c r="J872" s="165" t="s">
        <v>2923</v>
      </c>
      <c r="K872" s="161"/>
      <c r="L872" s="161"/>
      <c r="M872" s="453" t="s">
        <v>4282</v>
      </c>
      <c r="N872" s="186"/>
      <c r="O872" s="186"/>
      <c r="P872" s="186"/>
      <c r="Q872" s="186"/>
      <c r="R872" s="186"/>
      <c r="S872" s="186"/>
      <c r="T872" s="186"/>
      <c r="U872" s="186"/>
      <c r="V872" s="186"/>
      <c r="W872" s="186"/>
      <c r="X872" s="186"/>
      <c r="Y872" s="186"/>
      <c r="Z872" s="186"/>
      <c r="AA872" s="186"/>
      <c r="AB872" s="186"/>
      <c r="AC872" s="186"/>
      <c r="AD872" s="268"/>
      <c r="AE872" s="268"/>
      <c r="AF872" s="144">
        <f t="shared" si="63"/>
        <v>2.0014116</v>
      </c>
      <c r="AG872" s="144" t="str">
        <f t="shared" si="66"/>
        <v/>
      </c>
      <c r="AH872" s="146">
        <f t="shared" si="64"/>
        <v>0.44161191999999999</v>
      </c>
      <c r="AI872" s="146" t="str">
        <f t="shared" si="65"/>
        <v/>
      </c>
      <c r="AJ872" s="313"/>
      <c r="AK872" s="313"/>
      <c r="AL872" s="313"/>
      <c r="AM872" s="313"/>
      <c r="AN872" s="313"/>
      <c r="AO872" s="313"/>
      <c r="AP872" s="313"/>
      <c r="AQ872" s="313"/>
      <c r="AR872" s="313"/>
      <c r="AS872" s="287">
        <v>2.0014116</v>
      </c>
      <c r="AT872" s="169"/>
      <c r="AU872" s="310"/>
      <c r="AV872" s="322"/>
      <c r="AW872" s="276"/>
      <c r="AX872" s="276"/>
      <c r="AY872" s="276"/>
      <c r="AZ872" s="276"/>
      <c r="BA872" s="276"/>
      <c r="BB872" s="276"/>
      <c r="BC872" s="276"/>
      <c r="BD872" s="276"/>
      <c r="BE872" s="276"/>
      <c r="BF872" s="401">
        <v>0.44161191999999999</v>
      </c>
      <c r="BG872" s="382"/>
      <c r="BH872" s="278"/>
      <c r="BI872" s="365"/>
    </row>
    <row r="873" spans="1:61" ht="15.75" customHeight="1" thickBot="1" x14ac:dyDescent="0.25">
      <c r="A873" s="156">
        <v>874</v>
      </c>
      <c r="B873" s="155">
        <v>2</v>
      </c>
      <c r="C873" s="148" t="s">
        <v>162</v>
      </c>
      <c r="D873" s="148" t="s">
        <v>2460</v>
      </c>
      <c r="E873" s="148"/>
      <c r="F873" s="148"/>
      <c r="G873" s="148"/>
      <c r="H873" s="148" t="s">
        <v>2877</v>
      </c>
      <c r="I873" s="161"/>
      <c r="J873" s="165" t="s">
        <v>2924</v>
      </c>
      <c r="K873" s="161"/>
      <c r="L873" s="161"/>
      <c r="M873" s="453" t="s">
        <v>4282</v>
      </c>
      <c r="N873" s="186"/>
      <c r="O873" s="186"/>
      <c r="P873" s="186"/>
      <c r="Q873" s="186"/>
      <c r="R873" s="186"/>
      <c r="S873" s="186"/>
      <c r="T873" s="186"/>
      <c r="U873" s="186"/>
      <c r="V873" s="186"/>
      <c r="W873" s="186"/>
      <c r="X873" s="186"/>
      <c r="Y873" s="186"/>
      <c r="Z873" s="186"/>
      <c r="AA873" s="186"/>
      <c r="AB873" s="186"/>
      <c r="AC873" s="186"/>
      <c r="AD873" s="268"/>
      <c r="AE873" s="268"/>
      <c r="AF873" s="144">
        <f t="shared" si="63"/>
        <v>0.56645767999999996</v>
      </c>
      <c r="AG873" s="144" t="str">
        <f t="shared" si="66"/>
        <v/>
      </c>
      <c r="AH873" s="146">
        <f t="shared" si="64"/>
        <v>0.11944332000000001</v>
      </c>
      <c r="AI873" s="146" t="str">
        <f t="shared" si="65"/>
        <v/>
      </c>
      <c r="AJ873" s="313"/>
      <c r="AK873" s="313"/>
      <c r="AL873" s="313"/>
      <c r="AM873" s="313"/>
      <c r="AN873" s="313"/>
      <c r="AO873" s="313"/>
      <c r="AP873" s="313"/>
      <c r="AQ873" s="313"/>
      <c r="AR873" s="313"/>
      <c r="AS873" s="287">
        <v>0.56645767999999996</v>
      </c>
      <c r="AT873" s="169"/>
      <c r="AU873" s="310"/>
      <c r="AV873" s="322"/>
      <c r="AW873" s="276"/>
      <c r="AX873" s="276"/>
      <c r="AY873" s="276"/>
      <c r="AZ873" s="276"/>
      <c r="BA873" s="276"/>
      <c r="BB873" s="276"/>
      <c r="BC873" s="276"/>
      <c r="BD873" s="276"/>
      <c r="BE873" s="276"/>
      <c r="BF873" s="401">
        <v>0.11944332000000001</v>
      </c>
      <c r="BG873" s="382"/>
      <c r="BH873" s="278"/>
      <c r="BI873" s="365"/>
    </row>
    <row r="874" spans="1:61" ht="15.75" customHeight="1" thickBot="1" x14ac:dyDescent="0.25">
      <c r="A874" s="156">
        <v>875</v>
      </c>
      <c r="B874" s="155">
        <v>2</v>
      </c>
      <c r="C874" s="148" t="s">
        <v>162</v>
      </c>
      <c r="D874" s="148" t="s">
        <v>2460</v>
      </c>
      <c r="E874" s="148"/>
      <c r="F874" s="148"/>
      <c r="G874" s="148"/>
      <c r="H874" s="148" t="s">
        <v>2901</v>
      </c>
      <c r="I874" s="161"/>
      <c r="J874" s="165" t="s">
        <v>2925</v>
      </c>
      <c r="K874" s="161"/>
      <c r="L874" s="161"/>
      <c r="M874" s="453" t="s">
        <v>4282</v>
      </c>
      <c r="N874" s="186"/>
      <c r="O874" s="186"/>
      <c r="P874" s="186"/>
      <c r="Q874" s="186"/>
      <c r="R874" s="186"/>
      <c r="S874" s="186"/>
      <c r="T874" s="186"/>
      <c r="U874" s="186"/>
      <c r="V874" s="186"/>
      <c r="W874" s="186"/>
      <c r="X874" s="186"/>
      <c r="Y874" s="186"/>
      <c r="Z874" s="186"/>
      <c r="AA874" s="186"/>
      <c r="AB874" s="186"/>
      <c r="AC874" s="186"/>
      <c r="AD874" s="268"/>
      <c r="AE874" s="268"/>
      <c r="AF874" s="144">
        <f t="shared" si="63"/>
        <v>0.35823792999999998</v>
      </c>
      <c r="AG874" s="144" t="str">
        <f t="shared" si="66"/>
        <v/>
      </c>
      <c r="AH874" s="146">
        <f t="shared" si="64"/>
        <v>0.11627535</v>
      </c>
      <c r="AI874" s="146" t="str">
        <f t="shared" si="65"/>
        <v/>
      </c>
      <c r="AJ874" s="313"/>
      <c r="AK874" s="313"/>
      <c r="AL874" s="313"/>
      <c r="AM874" s="313"/>
      <c r="AN874" s="313"/>
      <c r="AO874" s="313"/>
      <c r="AP874" s="313"/>
      <c r="AQ874" s="313"/>
      <c r="AR874" s="313"/>
      <c r="AS874" s="287">
        <v>0.35823792999999998</v>
      </c>
      <c r="AT874" s="169"/>
      <c r="AU874" s="310"/>
      <c r="AV874" s="322"/>
      <c r="AW874" s="276"/>
      <c r="AX874" s="276"/>
      <c r="AY874" s="276"/>
      <c r="AZ874" s="276"/>
      <c r="BA874" s="276"/>
      <c r="BB874" s="276"/>
      <c r="BC874" s="276"/>
      <c r="BD874" s="276"/>
      <c r="BE874" s="276"/>
      <c r="BF874" s="401">
        <v>0.11627535</v>
      </c>
      <c r="BG874" s="382"/>
      <c r="BH874" s="278"/>
      <c r="BI874" s="365"/>
    </row>
    <row r="875" spans="1:61" ht="15.75" customHeight="1" thickBot="1" x14ac:dyDescent="0.25">
      <c r="A875" s="156">
        <v>876</v>
      </c>
      <c r="B875" s="155">
        <v>2</v>
      </c>
      <c r="C875" s="148" t="s">
        <v>542</v>
      </c>
      <c r="D875" s="141" t="s">
        <v>2228</v>
      </c>
      <c r="E875" s="148"/>
      <c r="F875" s="148"/>
      <c r="G875" s="148"/>
      <c r="H875" s="148"/>
      <c r="I875" s="161"/>
      <c r="J875" s="161" t="s">
        <v>2926</v>
      </c>
      <c r="K875" s="161"/>
      <c r="L875" s="161"/>
      <c r="M875" s="453" t="s">
        <v>4282</v>
      </c>
      <c r="N875" s="186"/>
      <c r="O875" s="186"/>
      <c r="P875" s="186"/>
      <c r="Q875" s="186"/>
      <c r="R875" s="186"/>
      <c r="S875" s="186"/>
      <c r="T875" s="186"/>
      <c r="U875" s="186"/>
      <c r="V875" s="186"/>
      <c r="W875" s="186"/>
      <c r="X875" s="186"/>
      <c r="Y875" s="186"/>
      <c r="Z875" s="186"/>
      <c r="AA875" s="186"/>
      <c r="AB875" s="186"/>
      <c r="AC875" s="186"/>
      <c r="AD875" s="268"/>
      <c r="AE875" s="268"/>
      <c r="AF875" s="144" t="str">
        <f t="shared" si="63"/>
        <v/>
      </c>
      <c r="AG875" s="144">
        <f t="shared" si="66"/>
        <v>13.327939000000001</v>
      </c>
      <c r="AH875" s="146" t="str">
        <f t="shared" si="64"/>
        <v/>
      </c>
      <c r="AI875" s="146">
        <f t="shared" si="65"/>
        <v>1.92</v>
      </c>
      <c r="AJ875" s="313"/>
      <c r="AK875" s="313"/>
      <c r="AL875" s="314">
        <v>13.327939000000001</v>
      </c>
      <c r="AM875" s="313"/>
      <c r="AN875" s="313"/>
      <c r="AO875" s="313"/>
      <c r="AP875" s="313"/>
      <c r="AQ875" s="313"/>
      <c r="AR875" s="313"/>
      <c r="AS875" s="176"/>
      <c r="AT875" s="175">
        <f>SUM(AJ875:AR875)</f>
        <v>13.327939000000001</v>
      </c>
      <c r="AU875" s="310"/>
      <c r="AV875" s="337"/>
      <c r="AW875" s="276"/>
      <c r="AX875" s="276"/>
      <c r="AY875" s="278">
        <v>1.92</v>
      </c>
      <c r="AZ875" s="276"/>
      <c r="BA875" s="276"/>
      <c r="BB875" s="276"/>
      <c r="BC875" s="276"/>
      <c r="BD875" s="276"/>
      <c r="BE875" s="276"/>
      <c r="BF875" s="400"/>
      <c r="BG875" s="389">
        <f>SUM(AW875:BE875)</f>
        <v>1.92</v>
      </c>
      <c r="BH875" s="278"/>
      <c r="BI875" s="365"/>
    </row>
    <row r="876" spans="1:61" ht="15.75" customHeight="1" thickBot="1" x14ac:dyDescent="0.25">
      <c r="A876" s="156">
        <v>877</v>
      </c>
      <c r="B876" s="155">
        <v>2</v>
      </c>
      <c r="C876" s="148" t="s">
        <v>236</v>
      </c>
      <c r="D876" s="148" t="s">
        <v>2343</v>
      </c>
      <c r="E876" s="148"/>
      <c r="F876" s="148"/>
      <c r="G876" s="148"/>
      <c r="H876" s="148" t="s">
        <v>2869</v>
      </c>
      <c r="I876" s="164" t="s">
        <v>2868</v>
      </c>
      <c r="J876" s="161" t="s">
        <v>2866</v>
      </c>
      <c r="K876" s="161" t="s">
        <v>2867</v>
      </c>
      <c r="L876" s="161" t="s">
        <v>83</v>
      </c>
      <c r="M876" s="453" t="s">
        <v>4280</v>
      </c>
      <c r="N876" s="186"/>
      <c r="O876" s="186"/>
      <c r="P876" s="186"/>
      <c r="Q876" s="186"/>
      <c r="R876" s="186"/>
      <c r="S876" s="186"/>
      <c r="T876" s="186"/>
      <c r="U876" s="186"/>
      <c r="V876" s="186"/>
      <c r="W876" s="186"/>
      <c r="X876" s="186"/>
      <c r="Y876" s="186"/>
      <c r="Z876" s="186"/>
      <c r="AA876" s="186"/>
      <c r="AB876" s="186"/>
      <c r="AC876" s="186"/>
      <c r="AD876" s="268"/>
      <c r="AE876" s="268"/>
      <c r="AF876" s="144" t="str">
        <f t="shared" si="63"/>
        <v/>
      </c>
      <c r="AG876" s="144" t="str">
        <f t="shared" si="66"/>
        <v/>
      </c>
      <c r="AH876" s="146">
        <f t="shared" si="64"/>
        <v>1.33</v>
      </c>
      <c r="AI876" s="146" t="str">
        <f t="shared" si="65"/>
        <v/>
      </c>
      <c r="AJ876" s="313"/>
      <c r="AK876" s="313"/>
      <c r="AL876" s="313"/>
      <c r="AM876" s="313"/>
      <c r="AN876" s="313"/>
      <c r="AO876" s="313"/>
      <c r="AP876" s="313"/>
      <c r="AQ876" s="313"/>
      <c r="AR876" s="313"/>
      <c r="AS876" s="176"/>
      <c r="AT876" s="169"/>
      <c r="AU876" s="310"/>
      <c r="AV876" s="322"/>
      <c r="AW876" s="276"/>
      <c r="AX876" s="276"/>
      <c r="AY876" s="276"/>
      <c r="AZ876" s="276"/>
      <c r="BA876" s="276"/>
      <c r="BB876" s="276"/>
      <c r="BC876" s="276"/>
      <c r="BD876" s="276"/>
      <c r="BE876" s="276"/>
      <c r="BF876" s="400">
        <v>1.33</v>
      </c>
      <c r="BG876" s="382"/>
      <c r="BH876" s="278"/>
      <c r="BI876" s="365"/>
    </row>
    <row r="877" spans="1:61" ht="15.75" customHeight="1" thickBot="1" x14ac:dyDescent="0.25">
      <c r="A877" s="156">
        <v>878</v>
      </c>
      <c r="B877" s="155">
        <v>2</v>
      </c>
      <c r="C877" s="148" t="s">
        <v>236</v>
      </c>
      <c r="D877" s="148" t="s">
        <v>2343</v>
      </c>
      <c r="E877" s="148"/>
      <c r="F877" s="148"/>
      <c r="G877" s="148"/>
      <c r="H877" s="148" t="s">
        <v>2870</v>
      </c>
      <c r="I877" s="164" t="s">
        <v>2868</v>
      </c>
      <c r="J877" s="161" t="s">
        <v>2866</v>
      </c>
      <c r="K877" s="161" t="s">
        <v>2867</v>
      </c>
      <c r="L877" s="161" t="s">
        <v>83</v>
      </c>
      <c r="M877" s="453" t="s">
        <v>4280</v>
      </c>
      <c r="N877" s="186"/>
      <c r="O877" s="186"/>
      <c r="P877" s="186"/>
      <c r="Q877" s="186"/>
      <c r="R877" s="186"/>
      <c r="S877" s="186"/>
      <c r="T877" s="186"/>
      <c r="U877" s="186"/>
      <c r="V877" s="186"/>
      <c r="W877" s="186"/>
      <c r="X877" s="186"/>
      <c r="Y877" s="186"/>
      <c r="Z877" s="186"/>
      <c r="AA877" s="186"/>
      <c r="AB877" s="186"/>
      <c r="AC877" s="186"/>
      <c r="AD877" s="268"/>
      <c r="AE877" s="268"/>
      <c r="AF877" s="144" t="str">
        <f t="shared" ref="AF877:AF940" si="67">IF(AS877&lt;&gt;0,AS877,"")</f>
        <v/>
      </c>
      <c r="AG877" s="144" t="str">
        <f t="shared" si="66"/>
        <v/>
      </c>
      <c r="AH877" s="146">
        <f t="shared" si="64"/>
        <v>1.33</v>
      </c>
      <c r="AI877" s="146" t="str">
        <f t="shared" si="65"/>
        <v/>
      </c>
      <c r="AJ877" s="313"/>
      <c r="AK877" s="313"/>
      <c r="AL877" s="313"/>
      <c r="AM877" s="313"/>
      <c r="AN877" s="313"/>
      <c r="AO877" s="313"/>
      <c r="AP877" s="313"/>
      <c r="AQ877" s="313"/>
      <c r="AR877" s="313"/>
      <c r="AS877" s="176"/>
      <c r="AT877" s="169"/>
      <c r="AU877" s="310"/>
      <c r="AV877" s="322"/>
      <c r="AW877" s="276"/>
      <c r="AX877" s="276"/>
      <c r="AY877" s="276"/>
      <c r="AZ877" s="276"/>
      <c r="BA877" s="276"/>
      <c r="BB877" s="276"/>
      <c r="BC877" s="276"/>
      <c r="BD877" s="276"/>
      <c r="BE877" s="276"/>
      <c r="BF877" s="400">
        <v>1.33</v>
      </c>
      <c r="BG877" s="382"/>
      <c r="BH877" s="278"/>
      <c r="BI877" s="365"/>
    </row>
    <row r="878" spans="1:61" ht="15.75" customHeight="1" thickBot="1" x14ac:dyDescent="0.25">
      <c r="A878" s="156">
        <v>879</v>
      </c>
      <c r="B878" s="155">
        <v>2</v>
      </c>
      <c r="C878" s="148" t="s">
        <v>236</v>
      </c>
      <c r="D878" s="148" t="s">
        <v>1879</v>
      </c>
      <c r="E878" s="148"/>
      <c r="F878" s="148"/>
      <c r="G878" s="148"/>
      <c r="H878" s="148" t="s">
        <v>2881</v>
      </c>
      <c r="I878" s="161">
        <v>2011</v>
      </c>
      <c r="J878" s="161" t="s">
        <v>2910</v>
      </c>
      <c r="K878" s="161"/>
      <c r="L878" s="161" t="s">
        <v>19</v>
      </c>
      <c r="M878" s="453" t="s">
        <v>4284</v>
      </c>
      <c r="N878" s="186"/>
      <c r="O878" s="186"/>
      <c r="P878" s="186"/>
      <c r="Q878" s="186"/>
      <c r="R878" s="186"/>
      <c r="S878" s="186"/>
      <c r="T878" s="186"/>
      <c r="U878" s="186"/>
      <c r="V878" s="186"/>
      <c r="W878" s="186"/>
      <c r="X878" s="186"/>
      <c r="Y878" s="186"/>
      <c r="Z878" s="186"/>
      <c r="AA878" s="186"/>
      <c r="AB878" s="186"/>
      <c r="AC878" s="186"/>
      <c r="AD878" s="268"/>
      <c r="AE878" s="268"/>
      <c r="AF878" s="144">
        <f t="shared" si="67"/>
        <v>3</v>
      </c>
      <c r="AG878" s="144" t="str">
        <f t="shared" si="66"/>
        <v/>
      </c>
      <c r="AH878" s="146">
        <f t="shared" si="64"/>
        <v>0.26</v>
      </c>
      <c r="AI878" s="146" t="str">
        <f t="shared" si="65"/>
        <v/>
      </c>
      <c r="AJ878" s="313"/>
      <c r="AK878" s="313"/>
      <c r="AL878" s="313"/>
      <c r="AM878" s="313"/>
      <c r="AN878" s="313"/>
      <c r="AO878" s="313"/>
      <c r="AP878" s="313"/>
      <c r="AQ878" s="313"/>
      <c r="AR878" s="313"/>
      <c r="AS878" s="176">
        <v>3</v>
      </c>
      <c r="AT878" s="169"/>
      <c r="AU878" s="310"/>
      <c r="AV878" s="322"/>
      <c r="AW878" s="276"/>
      <c r="AX878" s="276"/>
      <c r="AY878" s="276"/>
      <c r="AZ878" s="276"/>
      <c r="BA878" s="276"/>
      <c r="BB878" s="276"/>
      <c r="BC878" s="276"/>
      <c r="BD878" s="276"/>
      <c r="BE878" s="276"/>
      <c r="BF878" s="400">
        <v>0.26</v>
      </c>
      <c r="BG878" s="382"/>
      <c r="BH878" s="278"/>
      <c r="BI878" s="365"/>
    </row>
    <row r="879" spans="1:61" ht="15.75" customHeight="1" thickBot="1" x14ac:dyDescent="0.25">
      <c r="A879" s="156">
        <v>880</v>
      </c>
      <c r="B879" s="155">
        <v>2</v>
      </c>
      <c r="C879" s="148" t="s">
        <v>236</v>
      </c>
      <c r="D879" s="148" t="s">
        <v>1879</v>
      </c>
      <c r="E879" s="148"/>
      <c r="F879" s="148"/>
      <c r="G879" s="148"/>
      <c r="H879" s="148" t="s">
        <v>351</v>
      </c>
      <c r="I879" s="161">
        <v>2011</v>
      </c>
      <c r="J879" s="161" t="s">
        <v>2910</v>
      </c>
      <c r="K879" s="161"/>
      <c r="L879" s="161" t="s">
        <v>19</v>
      </c>
      <c r="M879" s="453" t="s">
        <v>4284</v>
      </c>
      <c r="N879" s="186"/>
      <c r="O879" s="186"/>
      <c r="P879" s="186"/>
      <c r="Q879" s="186"/>
      <c r="R879" s="186"/>
      <c r="S879" s="186"/>
      <c r="T879" s="186"/>
      <c r="U879" s="186"/>
      <c r="V879" s="186"/>
      <c r="W879" s="186"/>
      <c r="X879" s="186"/>
      <c r="Y879" s="186"/>
      <c r="Z879" s="186"/>
      <c r="AA879" s="186"/>
      <c r="AB879" s="186"/>
      <c r="AC879" s="186"/>
      <c r="AD879" s="268"/>
      <c r="AE879" s="268"/>
      <c r="AF879" s="144">
        <f t="shared" si="67"/>
        <v>5</v>
      </c>
      <c r="AG879" s="144" t="str">
        <f t="shared" si="66"/>
        <v/>
      </c>
      <c r="AH879" s="146">
        <f t="shared" si="64"/>
        <v>0.45</v>
      </c>
      <c r="AI879" s="146" t="str">
        <f t="shared" si="65"/>
        <v/>
      </c>
      <c r="AJ879" s="313"/>
      <c r="AK879" s="313"/>
      <c r="AL879" s="313"/>
      <c r="AM879" s="313"/>
      <c r="AN879" s="313"/>
      <c r="AO879" s="313"/>
      <c r="AP879" s="313"/>
      <c r="AQ879" s="313"/>
      <c r="AR879" s="313"/>
      <c r="AS879" s="176">
        <v>5</v>
      </c>
      <c r="AT879" s="169"/>
      <c r="AU879" s="310"/>
      <c r="AV879" s="322"/>
      <c r="AW879" s="276"/>
      <c r="AX879" s="276"/>
      <c r="AY879" s="276"/>
      <c r="AZ879" s="276"/>
      <c r="BA879" s="276"/>
      <c r="BB879" s="276"/>
      <c r="BC879" s="276"/>
      <c r="BD879" s="276"/>
      <c r="BE879" s="276"/>
      <c r="BF879" s="400">
        <v>0.45</v>
      </c>
      <c r="BG879" s="382"/>
      <c r="BH879" s="278"/>
      <c r="BI879" s="365"/>
    </row>
    <row r="880" spans="1:61" ht="15.75" customHeight="1" thickBot="1" x14ac:dyDescent="0.25">
      <c r="A880" s="156">
        <v>881</v>
      </c>
      <c r="B880" s="155">
        <v>2</v>
      </c>
      <c r="C880" s="148" t="s">
        <v>162</v>
      </c>
      <c r="D880" s="148" t="s">
        <v>846</v>
      </c>
      <c r="E880" s="148"/>
      <c r="F880" s="148"/>
      <c r="G880" s="148"/>
      <c r="H880" s="148" t="s">
        <v>2881</v>
      </c>
      <c r="I880" s="161">
        <v>2011</v>
      </c>
      <c r="J880" s="161" t="s">
        <v>2910</v>
      </c>
      <c r="K880" s="161"/>
      <c r="L880" s="161" t="s">
        <v>19</v>
      </c>
      <c r="M880" s="453" t="s">
        <v>4284</v>
      </c>
      <c r="N880" s="186"/>
      <c r="O880" s="186"/>
      <c r="P880" s="186"/>
      <c r="Q880" s="186"/>
      <c r="R880" s="186"/>
      <c r="S880" s="186"/>
      <c r="T880" s="186"/>
      <c r="U880" s="186"/>
      <c r="V880" s="186"/>
      <c r="W880" s="186"/>
      <c r="X880" s="186"/>
      <c r="Y880" s="186"/>
      <c r="Z880" s="186"/>
      <c r="AA880" s="186"/>
      <c r="AB880" s="186"/>
      <c r="AC880" s="186"/>
      <c r="AD880" s="268"/>
      <c r="AE880" s="268"/>
      <c r="AF880" s="144">
        <f t="shared" si="67"/>
        <v>0.84</v>
      </c>
      <c r="AG880" s="144" t="str">
        <f t="shared" si="66"/>
        <v/>
      </c>
      <c r="AH880" s="146">
        <f t="shared" si="64"/>
        <v>0.08</v>
      </c>
      <c r="AI880" s="146" t="str">
        <f t="shared" si="65"/>
        <v/>
      </c>
      <c r="AJ880" s="313"/>
      <c r="AK880" s="313"/>
      <c r="AL880" s="313"/>
      <c r="AM880" s="313"/>
      <c r="AN880" s="313"/>
      <c r="AO880" s="313"/>
      <c r="AP880" s="313"/>
      <c r="AQ880" s="313"/>
      <c r="AR880" s="313"/>
      <c r="AS880" s="176">
        <v>0.84</v>
      </c>
      <c r="AT880" s="169"/>
      <c r="AU880" s="310"/>
      <c r="AV880" s="322"/>
      <c r="AW880" s="276"/>
      <c r="AX880" s="276"/>
      <c r="AY880" s="276"/>
      <c r="AZ880" s="276"/>
      <c r="BA880" s="276"/>
      <c r="BB880" s="276"/>
      <c r="BC880" s="276"/>
      <c r="BD880" s="276"/>
      <c r="BE880" s="276"/>
      <c r="BF880" s="400">
        <v>0.08</v>
      </c>
      <c r="BG880" s="382"/>
      <c r="BH880" s="278"/>
      <c r="BI880" s="365"/>
    </row>
    <row r="881" spans="1:61" ht="15.75" customHeight="1" thickBot="1" x14ac:dyDescent="0.25">
      <c r="A881" s="156">
        <v>882</v>
      </c>
      <c r="B881" s="155">
        <v>2</v>
      </c>
      <c r="C881" s="148" t="s">
        <v>162</v>
      </c>
      <c r="D881" s="148" t="s">
        <v>890</v>
      </c>
      <c r="E881" s="148"/>
      <c r="F881" s="148"/>
      <c r="G881" s="148"/>
      <c r="H881" s="148"/>
      <c r="I881" s="161"/>
      <c r="J881" s="161" t="s">
        <v>2927</v>
      </c>
      <c r="K881" s="161"/>
      <c r="L881" s="161"/>
      <c r="M881" s="453" t="s">
        <v>4281</v>
      </c>
      <c r="N881" s="186"/>
      <c r="O881" s="186"/>
      <c r="P881" s="186"/>
      <c r="Q881" s="186"/>
      <c r="R881" s="186"/>
      <c r="S881" s="186"/>
      <c r="T881" s="186"/>
      <c r="U881" s="186"/>
      <c r="V881" s="186"/>
      <c r="W881" s="186"/>
      <c r="X881" s="186"/>
      <c r="Y881" s="186"/>
      <c r="Z881" s="186"/>
      <c r="AA881" s="186"/>
      <c r="AB881" s="186"/>
      <c r="AC881" s="186"/>
      <c r="AD881" s="268"/>
      <c r="AE881" s="268"/>
      <c r="AF881" s="144">
        <f t="shared" si="67"/>
        <v>0.18415999999999999</v>
      </c>
      <c r="AG881" s="144" t="str">
        <f t="shared" si="66"/>
        <v/>
      </c>
      <c r="AH881" s="146">
        <f t="shared" si="64"/>
        <v>2.2156125099999997</v>
      </c>
      <c r="AI881" s="146" t="str">
        <f t="shared" si="65"/>
        <v/>
      </c>
      <c r="AJ881" s="313"/>
      <c r="AK881" s="313"/>
      <c r="AL881" s="313"/>
      <c r="AM881" s="313"/>
      <c r="AN881" s="313"/>
      <c r="AO881" s="313"/>
      <c r="AP881" s="313"/>
      <c r="AQ881" s="313"/>
      <c r="AR881" s="313"/>
      <c r="AS881" s="176">
        <v>0.18415999999999999</v>
      </c>
      <c r="AT881" s="169"/>
      <c r="AU881" s="310"/>
      <c r="AV881" s="322"/>
      <c r="AW881" s="276"/>
      <c r="AX881" s="276"/>
      <c r="AY881" s="276"/>
      <c r="AZ881" s="276"/>
      <c r="BA881" s="276"/>
      <c r="BB881" s="276"/>
      <c r="BC881" s="276"/>
      <c r="BD881" s="276"/>
      <c r="BE881" s="276"/>
      <c r="BF881" s="400">
        <f>2.1416+0.073612+0.00040051</f>
        <v>2.2156125099999997</v>
      </c>
      <c r="BG881" s="382"/>
      <c r="BH881" s="278"/>
      <c r="BI881" s="365"/>
    </row>
    <row r="882" spans="1:61" ht="15.75" customHeight="1" thickBot="1" x14ac:dyDescent="0.25">
      <c r="A882" s="156">
        <v>883</v>
      </c>
      <c r="B882" s="155">
        <v>2</v>
      </c>
      <c r="C882" s="148" t="s">
        <v>259</v>
      </c>
      <c r="D882" s="141" t="s">
        <v>2094</v>
      </c>
      <c r="E882" s="148"/>
      <c r="F882" s="148"/>
      <c r="G882" s="148"/>
      <c r="H882" s="148" t="s">
        <v>2881</v>
      </c>
      <c r="I882" s="161">
        <v>2011</v>
      </c>
      <c r="J882" s="161" t="s">
        <v>2910</v>
      </c>
      <c r="K882" s="161"/>
      <c r="L882" s="161" t="s">
        <v>19</v>
      </c>
      <c r="M882" s="453" t="s">
        <v>4284</v>
      </c>
      <c r="N882" s="186"/>
      <c r="O882" s="186"/>
      <c r="P882" s="186"/>
      <c r="Q882" s="186"/>
      <c r="R882" s="186"/>
      <c r="S882" s="186"/>
      <c r="T882" s="186"/>
      <c r="U882" s="186"/>
      <c r="V882" s="186"/>
      <c r="W882" s="186"/>
      <c r="X882" s="186"/>
      <c r="Y882" s="186"/>
      <c r="Z882" s="186"/>
      <c r="AA882" s="186"/>
      <c r="AB882" s="186"/>
      <c r="AC882" s="186"/>
      <c r="AD882" s="268"/>
      <c r="AE882" s="268"/>
      <c r="AF882" s="144">
        <f t="shared" si="67"/>
        <v>2.9</v>
      </c>
      <c r="AG882" s="144" t="str">
        <f t="shared" si="66"/>
        <v/>
      </c>
      <c r="AH882" s="146">
        <f t="shared" si="64"/>
        <v>0.47</v>
      </c>
      <c r="AI882" s="146" t="str">
        <f t="shared" si="65"/>
        <v/>
      </c>
      <c r="AJ882" s="313"/>
      <c r="AK882" s="313"/>
      <c r="AL882" s="313"/>
      <c r="AM882" s="313"/>
      <c r="AN882" s="313"/>
      <c r="AO882" s="313"/>
      <c r="AP882" s="313"/>
      <c r="AQ882" s="313"/>
      <c r="AR882" s="313"/>
      <c r="AS882" s="176">
        <v>2.9</v>
      </c>
      <c r="AT882" s="169"/>
      <c r="AU882" s="310"/>
      <c r="AV882" s="322"/>
      <c r="AW882" s="276"/>
      <c r="AX882" s="276"/>
      <c r="AY882" s="276"/>
      <c r="AZ882" s="276"/>
      <c r="BA882" s="276"/>
      <c r="BB882" s="276"/>
      <c r="BC882" s="276"/>
      <c r="BD882" s="276"/>
      <c r="BE882" s="276"/>
      <c r="BF882" s="400">
        <v>0.47</v>
      </c>
      <c r="BG882" s="382"/>
      <c r="BH882" s="278"/>
      <c r="BI882" s="365"/>
    </row>
    <row r="883" spans="1:61" ht="15.75" customHeight="1" thickBot="1" x14ac:dyDescent="0.25">
      <c r="A883" s="156">
        <v>884</v>
      </c>
      <c r="B883" s="155">
        <v>2</v>
      </c>
      <c r="C883" s="148" t="s">
        <v>259</v>
      </c>
      <c r="D883" s="141" t="s">
        <v>2094</v>
      </c>
      <c r="E883" s="148"/>
      <c r="F883" s="148"/>
      <c r="G883" s="148"/>
      <c r="H883" s="148" t="s">
        <v>2900</v>
      </c>
      <c r="I883" s="161"/>
      <c r="J883" s="161" t="s">
        <v>2928</v>
      </c>
      <c r="K883" s="161"/>
      <c r="L883" s="161"/>
      <c r="M883" s="453" t="s">
        <v>4282</v>
      </c>
      <c r="N883" s="186"/>
      <c r="O883" s="186"/>
      <c r="P883" s="186"/>
      <c r="Q883" s="186"/>
      <c r="R883" s="186"/>
      <c r="S883" s="186"/>
      <c r="T883" s="186"/>
      <c r="U883" s="186"/>
      <c r="V883" s="186"/>
      <c r="W883" s="186"/>
      <c r="X883" s="186"/>
      <c r="Y883" s="186"/>
      <c r="Z883" s="186"/>
      <c r="AA883" s="186"/>
      <c r="AB883" s="186"/>
      <c r="AC883" s="186"/>
      <c r="AD883" s="268"/>
      <c r="AE883" s="268"/>
      <c r="AF883" s="144">
        <f t="shared" si="67"/>
        <v>2.8693</v>
      </c>
      <c r="AG883" s="144" t="str">
        <f t="shared" si="66"/>
        <v/>
      </c>
      <c r="AH883" s="146">
        <f t="shared" si="64"/>
        <v>0.36201</v>
      </c>
      <c r="AI883" s="146" t="str">
        <f t="shared" si="65"/>
        <v/>
      </c>
      <c r="AJ883" s="313"/>
      <c r="AK883" s="313"/>
      <c r="AL883" s="313"/>
      <c r="AM883" s="313"/>
      <c r="AN883" s="313"/>
      <c r="AO883" s="313"/>
      <c r="AP883" s="313"/>
      <c r="AQ883" s="313"/>
      <c r="AR883" s="313"/>
      <c r="AS883" s="287">
        <v>2.8693</v>
      </c>
      <c r="AT883" s="169"/>
      <c r="AU883" s="310"/>
      <c r="AV883" s="322"/>
      <c r="AW883" s="276"/>
      <c r="AX883" s="276"/>
      <c r="AY883" s="276"/>
      <c r="AZ883" s="276"/>
      <c r="BA883" s="276"/>
      <c r="BB883" s="276"/>
      <c r="BC883" s="276"/>
      <c r="BD883" s="276"/>
      <c r="BE883" s="276"/>
      <c r="BF883" s="401">
        <v>0.36201</v>
      </c>
      <c r="BG883" s="382"/>
      <c r="BH883" s="278"/>
      <c r="BI883" s="365"/>
    </row>
    <row r="884" spans="1:61" ht="15.75" customHeight="1" thickBot="1" x14ac:dyDescent="0.25">
      <c r="A884" s="156">
        <v>885</v>
      </c>
      <c r="B884" s="155">
        <v>2</v>
      </c>
      <c r="C884" s="148" t="s">
        <v>259</v>
      </c>
      <c r="D884" s="141" t="s">
        <v>2094</v>
      </c>
      <c r="E884" s="148"/>
      <c r="F884" s="148"/>
      <c r="G884" s="148"/>
      <c r="H884" s="148" t="s">
        <v>2901</v>
      </c>
      <c r="I884" s="161"/>
      <c r="J884" s="161" t="s">
        <v>2929</v>
      </c>
      <c r="K884" s="161"/>
      <c r="L884" s="161"/>
      <c r="M884" s="453" t="s">
        <v>4282</v>
      </c>
      <c r="N884" s="186"/>
      <c r="O884" s="186"/>
      <c r="P884" s="186"/>
      <c r="Q884" s="186"/>
      <c r="R884" s="186"/>
      <c r="S884" s="186"/>
      <c r="T884" s="186"/>
      <c r="U884" s="186"/>
      <c r="V884" s="186"/>
      <c r="W884" s="186"/>
      <c r="X884" s="186"/>
      <c r="Y884" s="186"/>
      <c r="Z884" s="186"/>
      <c r="AA884" s="186"/>
      <c r="AB884" s="186"/>
      <c r="AC884" s="186"/>
      <c r="AD884" s="268"/>
      <c r="AE884" s="268"/>
      <c r="AF884" s="144">
        <f t="shared" si="67"/>
        <v>2.5423</v>
      </c>
      <c r="AG884" s="144" t="str">
        <f t="shared" si="66"/>
        <v/>
      </c>
      <c r="AH884" s="146">
        <f t="shared" si="64"/>
        <v>0.41276000000000002</v>
      </c>
      <c r="AI884" s="146" t="str">
        <f t="shared" si="65"/>
        <v/>
      </c>
      <c r="AJ884" s="313"/>
      <c r="AK884" s="313"/>
      <c r="AL884" s="313"/>
      <c r="AM884" s="313"/>
      <c r="AN884" s="313"/>
      <c r="AO884" s="313"/>
      <c r="AP884" s="313"/>
      <c r="AQ884" s="313"/>
      <c r="AR884" s="313"/>
      <c r="AS884" s="287">
        <v>2.5423</v>
      </c>
      <c r="AT884" s="169"/>
      <c r="AU884" s="310"/>
      <c r="AV884" s="322"/>
      <c r="AW884" s="276"/>
      <c r="AX884" s="276"/>
      <c r="AY884" s="276"/>
      <c r="AZ884" s="276"/>
      <c r="BA884" s="276"/>
      <c r="BB884" s="276"/>
      <c r="BC884" s="276"/>
      <c r="BD884" s="276"/>
      <c r="BE884" s="276"/>
      <c r="BF884" s="401">
        <v>0.41276000000000002</v>
      </c>
      <c r="BG884" s="382"/>
      <c r="BH884" s="278"/>
      <c r="BI884" s="365"/>
    </row>
    <row r="885" spans="1:61" ht="15.75" customHeight="1" thickBot="1" x14ac:dyDescent="0.25">
      <c r="A885" s="156">
        <v>886</v>
      </c>
      <c r="B885" s="155">
        <v>2</v>
      </c>
      <c r="C885" s="148" t="s">
        <v>162</v>
      </c>
      <c r="D885" s="148" t="s">
        <v>2447</v>
      </c>
      <c r="E885" s="148"/>
      <c r="F885" s="148"/>
      <c r="G885" s="148"/>
      <c r="H885" s="148" t="s">
        <v>2881</v>
      </c>
      <c r="I885" s="161">
        <v>2011</v>
      </c>
      <c r="J885" s="161" t="s">
        <v>2910</v>
      </c>
      <c r="K885" s="161"/>
      <c r="L885" s="161" t="s">
        <v>19</v>
      </c>
      <c r="M885" s="453" t="s">
        <v>4284</v>
      </c>
      <c r="N885" s="186"/>
      <c r="O885" s="186"/>
      <c r="P885" s="186"/>
      <c r="Q885" s="186"/>
      <c r="R885" s="186"/>
      <c r="S885" s="186"/>
      <c r="T885" s="186"/>
      <c r="U885" s="186"/>
      <c r="V885" s="186"/>
      <c r="W885" s="186"/>
      <c r="X885" s="186"/>
      <c r="Y885" s="186"/>
      <c r="Z885" s="186"/>
      <c r="AA885" s="186"/>
      <c r="AB885" s="186"/>
      <c r="AC885" s="186"/>
      <c r="AD885" s="268"/>
      <c r="AE885" s="268"/>
      <c r="AF885" s="144">
        <f t="shared" si="67"/>
        <v>1</v>
      </c>
      <c r="AG885" s="144" t="str">
        <f t="shared" si="66"/>
        <v/>
      </c>
      <c r="AH885" s="146">
        <f t="shared" si="64"/>
        <v>0.1</v>
      </c>
      <c r="AI885" s="146" t="str">
        <f t="shared" si="65"/>
        <v/>
      </c>
      <c r="AJ885" s="313"/>
      <c r="AK885" s="313"/>
      <c r="AL885" s="313"/>
      <c r="AM885" s="313"/>
      <c r="AN885" s="313"/>
      <c r="AO885" s="313"/>
      <c r="AP885" s="313"/>
      <c r="AQ885" s="313"/>
      <c r="AR885" s="313"/>
      <c r="AS885" s="176">
        <v>1</v>
      </c>
      <c r="AT885" s="169"/>
      <c r="AU885" s="310"/>
      <c r="AV885" s="322"/>
      <c r="AW885" s="276"/>
      <c r="AX885" s="276"/>
      <c r="AY885" s="276"/>
      <c r="AZ885" s="276"/>
      <c r="BA885" s="276"/>
      <c r="BB885" s="276"/>
      <c r="BC885" s="276"/>
      <c r="BD885" s="276"/>
      <c r="BE885" s="276"/>
      <c r="BF885" s="400">
        <v>0.1</v>
      </c>
      <c r="BG885" s="382"/>
      <c r="BH885" s="278"/>
      <c r="BI885" s="365"/>
    </row>
    <row r="886" spans="1:61" ht="15.75" customHeight="1" thickBot="1" x14ac:dyDescent="0.25">
      <c r="A886" s="156">
        <v>887</v>
      </c>
      <c r="B886" s="155">
        <v>2</v>
      </c>
      <c r="C886" s="148" t="s">
        <v>2933</v>
      </c>
      <c r="D886" s="148" t="s">
        <v>2745</v>
      </c>
      <c r="E886" s="148"/>
      <c r="F886" s="148"/>
      <c r="G886" s="148"/>
      <c r="H886" s="148" t="s">
        <v>101</v>
      </c>
      <c r="I886" s="161">
        <v>2011</v>
      </c>
      <c r="J886" s="161" t="s">
        <v>2910</v>
      </c>
      <c r="K886" s="161"/>
      <c r="L886" s="161" t="s">
        <v>19</v>
      </c>
      <c r="M886" s="453" t="s">
        <v>4284</v>
      </c>
      <c r="N886" s="186"/>
      <c r="O886" s="186"/>
      <c r="P886" s="186"/>
      <c r="Q886" s="186"/>
      <c r="R886" s="186"/>
      <c r="S886" s="186"/>
      <c r="T886" s="186"/>
      <c r="U886" s="186"/>
      <c r="V886" s="186"/>
      <c r="W886" s="186"/>
      <c r="X886" s="186"/>
      <c r="Y886" s="186"/>
      <c r="Z886" s="186"/>
      <c r="AA886" s="186"/>
      <c r="AB886" s="186"/>
      <c r="AC886" s="186"/>
      <c r="AD886" s="268"/>
      <c r="AE886" s="268"/>
      <c r="AF886" s="144">
        <f t="shared" si="67"/>
        <v>82</v>
      </c>
      <c r="AG886" s="144" t="str">
        <f t="shared" si="66"/>
        <v/>
      </c>
      <c r="AH886" s="146">
        <f t="shared" si="64"/>
        <v>20</v>
      </c>
      <c r="AI886" s="146" t="str">
        <f t="shared" si="65"/>
        <v/>
      </c>
      <c r="AJ886" s="313"/>
      <c r="AK886" s="313"/>
      <c r="AL886" s="313"/>
      <c r="AM886" s="313"/>
      <c r="AN886" s="313"/>
      <c r="AO886" s="313"/>
      <c r="AP886" s="313"/>
      <c r="AQ886" s="313"/>
      <c r="AR886" s="313"/>
      <c r="AS886" s="176">
        <v>82</v>
      </c>
      <c r="AT886" s="169"/>
      <c r="AU886" s="310"/>
      <c r="AV886" s="322"/>
      <c r="AW886" s="276"/>
      <c r="AX886" s="276"/>
      <c r="AY886" s="276"/>
      <c r="AZ886" s="276"/>
      <c r="BA886" s="276"/>
      <c r="BB886" s="276"/>
      <c r="BC886" s="276"/>
      <c r="BD886" s="276"/>
      <c r="BE886" s="276"/>
      <c r="BF886" s="400">
        <v>20</v>
      </c>
      <c r="BG886" s="382"/>
      <c r="BH886" s="278"/>
      <c r="BI886" s="365"/>
    </row>
    <row r="887" spans="1:61" ht="15.75" customHeight="1" thickBot="1" x14ac:dyDescent="0.25">
      <c r="A887" s="156">
        <v>888</v>
      </c>
      <c r="B887" s="155">
        <v>2</v>
      </c>
      <c r="C887" s="148" t="s">
        <v>2933</v>
      </c>
      <c r="D887" s="148" t="s">
        <v>2745</v>
      </c>
      <c r="E887" s="148"/>
      <c r="F887" s="148"/>
      <c r="G887" s="148"/>
      <c r="H887" s="148" t="s">
        <v>369</v>
      </c>
      <c r="I887" s="161">
        <v>2011</v>
      </c>
      <c r="J887" s="161" t="s">
        <v>2910</v>
      </c>
      <c r="K887" s="161"/>
      <c r="L887" s="161" t="s">
        <v>19</v>
      </c>
      <c r="M887" s="453" t="s">
        <v>4284</v>
      </c>
      <c r="N887" s="186"/>
      <c r="O887" s="186"/>
      <c r="P887" s="186"/>
      <c r="Q887" s="186"/>
      <c r="R887" s="186"/>
      <c r="S887" s="186"/>
      <c r="T887" s="186"/>
      <c r="U887" s="186"/>
      <c r="V887" s="186"/>
      <c r="W887" s="186"/>
      <c r="X887" s="186"/>
      <c r="Y887" s="186"/>
      <c r="Z887" s="186"/>
      <c r="AA887" s="186"/>
      <c r="AB887" s="186"/>
      <c r="AC887" s="186"/>
      <c r="AD887" s="268"/>
      <c r="AE887" s="268"/>
      <c r="AF887" s="144">
        <f t="shared" si="67"/>
        <v>52</v>
      </c>
      <c r="AG887" s="144" t="str">
        <f t="shared" si="66"/>
        <v/>
      </c>
      <c r="AH887" s="146">
        <f t="shared" si="64"/>
        <v>22</v>
      </c>
      <c r="AI887" s="146" t="str">
        <f t="shared" si="65"/>
        <v/>
      </c>
      <c r="AJ887" s="313"/>
      <c r="AK887" s="313"/>
      <c r="AL887" s="313"/>
      <c r="AM887" s="313"/>
      <c r="AN887" s="313"/>
      <c r="AO887" s="313"/>
      <c r="AP887" s="313"/>
      <c r="AQ887" s="313"/>
      <c r="AR887" s="313"/>
      <c r="AS887" s="176">
        <v>52</v>
      </c>
      <c r="AT887" s="169"/>
      <c r="AU887" s="310"/>
      <c r="AV887" s="322"/>
      <c r="AW887" s="276"/>
      <c r="AX887" s="276"/>
      <c r="AY887" s="276"/>
      <c r="AZ887" s="276"/>
      <c r="BA887" s="276"/>
      <c r="BB887" s="276"/>
      <c r="BC887" s="276"/>
      <c r="BD887" s="276"/>
      <c r="BE887" s="276"/>
      <c r="BF887" s="400">
        <v>22</v>
      </c>
      <c r="BG887" s="382"/>
      <c r="BH887" s="278"/>
      <c r="BI887" s="365"/>
    </row>
    <row r="888" spans="1:61" ht="15.75" customHeight="1" thickBot="1" x14ac:dyDescent="0.25">
      <c r="A888" s="156">
        <v>889</v>
      </c>
      <c r="B888" s="155">
        <v>2</v>
      </c>
      <c r="C888" s="148" t="s">
        <v>2933</v>
      </c>
      <c r="D888" s="148" t="s">
        <v>2745</v>
      </c>
      <c r="E888" s="148"/>
      <c r="F888" s="148"/>
      <c r="G888" s="148"/>
      <c r="H888" s="148" t="s">
        <v>2930</v>
      </c>
      <c r="I888" s="161">
        <v>2011</v>
      </c>
      <c r="J888" s="161" t="s">
        <v>2910</v>
      </c>
      <c r="K888" s="161"/>
      <c r="L888" s="161" t="s">
        <v>19</v>
      </c>
      <c r="M888" s="453" t="s">
        <v>4284</v>
      </c>
      <c r="N888" s="186"/>
      <c r="O888" s="186"/>
      <c r="P888" s="186"/>
      <c r="Q888" s="186"/>
      <c r="R888" s="186"/>
      <c r="S888" s="186"/>
      <c r="T888" s="186"/>
      <c r="U888" s="186"/>
      <c r="V888" s="186"/>
      <c r="W888" s="186"/>
      <c r="X888" s="186"/>
      <c r="Y888" s="186"/>
      <c r="Z888" s="186"/>
      <c r="AA888" s="186"/>
      <c r="AB888" s="186"/>
      <c r="AC888" s="186"/>
      <c r="AD888" s="268"/>
      <c r="AE888" s="268"/>
      <c r="AF888" s="144">
        <f t="shared" si="67"/>
        <v>38</v>
      </c>
      <c r="AG888" s="144" t="str">
        <f t="shared" si="66"/>
        <v/>
      </c>
      <c r="AH888" s="146">
        <f t="shared" si="64"/>
        <v>29</v>
      </c>
      <c r="AI888" s="146" t="str">
        <f t="shared" si="65"/>
        <v/>
      </c>
      <c r="AJ888" s="313"/>
      <c r="AK888" s="313"/>
      <c r="AL888" s="313"/>
      <c r="AM888" s="313"/>
      <c r="AN888" s="313"/>
      <c r="AO888" s="313"/>
      <c r="AP888" s="313"/>
      <c r="AQ888" s="313"/>
      <c r="AR888" s="313"/>
      <c r="AS888" s="176">
        <v>38</v>
      </c>
      <c r="AT888" s="169"/>
      <c r="AU888" s="310"/>
      <c r="AV888" s="322"/>
      <c r="AW888" s="276"/>
      <c r="AX888" s="276"/>
      <c r="AY888" s="276"/>
      <c r="AZ888" s="276"/>
      <c r="BA888" s="276"/>
      <c r="BB888" s="276"/>
      <c r="BC888" s="276"/>
      <c r="BD888" s="276"/>
      <c r="BE888" s="276"/>
      <c r="BF888" s="400">
        <v>29</v>
      </c>
      <c r="BG888" s="382"/>
      <c r="BH888" s="278"/>
      <c r="BI888" s="365"/>
    </row>
    <row r="889" spans="1:61" ht="15.75" customHeight="1" thickBot="1" x14ac:dyDescent="0.25">
      <c r="A889" s="156">
        <v>890</v>
      </c>
      <c r="B889" s="155">
        <v>2</v>
      </c>
      <c r="C889" s="148" t="s">
        <v>2933</v>
      </c>
      <c r="D889" s="148" t="s">
        <v>346</v>
      </c>
      <c r="E889" s="148"/>
      <c r="F889" s="148"/>
      <c r="G889" s="148"/>
      <c r="H889" s="148" t="s">
        <v>101</v>
      </c>
      <c r="I889" s="161">
        <v>2011</v>
      </c>
      <c r="J889" s="161" t="s">
        <v>2910</v>
      </c>
      <c r="K889" s="161"/>
      <c r="L889" s="161" t="s">
        <v>19</v>
      </c>
      <c r="M889" s="453" t="s">
        <v>4284</v>
      </c>
      <c r="N889" s="186"/>
      <c r="O889" s="186"/>
      <c r="P889" s="186"/>
      <c r="Q889" s="186"/>
      <c r="R889" s="186"/>
      <c r="S889" s="186"/>
      <c r="T889" s="186"/>
      <c r="U889" s="186"/>
      <c r="V889" s="186"/>
      <c r="W889" s="186"/>
      <c r="X889" s="186"/>
      <c r="Y889" s="186"/>
      <c r="Z889" s="186"/>
      <c r="AA889" s="186"/>
      <c r="AB889" s="186"/>
      <c r="AC889" s="186"/>
      <c r="AD889" s="268"/>
      <c r="AE889" s="268"/>
      <c r="AF889" s="144">
        <f t="shared" si="67"/>
        <v>65</v>
      </c>
      <c r="AG889" s="144" t="str">
        <f t="shared" si="66"/>
        <v/>
      </c>
      <c r="AH889" s="146">
        <f t="shared" si="64"/>
        <v>17</v>
      </c>
      <c r="AI889" s="146" t="str">
        <f t="shared" si="65"/>
        <v/>
      </c>
      <c r="AJ889" s="313"/>
      <c r="AK889" s="313"/>
      <c r="AL889" s="313"/>
      <c r="AM889" s="313"/>
      <c r="AN889" s="313"/>
      <c r="AO889" s="313"/>
      <c r="AP889" s="313"/>
      <c r="AQ889" s="313"/>
      <c r="AR889" s="313"/>
      <c r="AS889" s="176">
        <v>65</v>
      </c>
      <c r="AT889" s="169"/>
      <c r="AU889" s="310"/>
      <c r="AV889" s="322"/>
      <c r="AW889" s="276"/>
      <c r="AX889" s="276"/>
      <c r="AY889" s="276"/>
      <c r="AZ889" s="276"/>
      <c r="BA889" s="276"/>
      <c r="BB889" s="276"/>
      <c r="BC889" s="276"/>
      <c r="BD889" s="276"/>
      <c r="BE889" s="276"/>
      <c r="BF889" s="400">
        <v>17</v>
      </c>
      <c r="BG889" s="382"/>
      <c r="BH889" s="278"/>
      <c r="BI889" s="365"/>
    </row>
    <row r="890" spans="1:61" ht="15.75" customHeight="1" thickBot="1" x14ac:dyDescent="0.25">
      <c r="A890" s="156">
        <v>891</v>
      </c>
      <c r="B890" s="155">
        <v>2</v>
      </c>
      <c r="C890" s="148" t="s">
        <v>2933</v>
      </c>
      <c r="D890" s="148" t="s">
        <v>346</v>
      </c>
      <c r="E890" s="148"/>
      <c r="F890" s="148"/>
      <c r="G890" s="148"/>
      <c r="H890" s="148" t="s">
        <v>2930</v>
      </c>
      <c r="I890" s="161">
        <v>2011</v>
      </c>
      <c r="J890" s="161" t="s">
        <v>2910</v>
      </c>
      <c r="K890" s="161"/>
      <c r="L890" s="161" t="s">
        <v>19</v>
      </c>
      <c r="M890" s="453" t="s">
        <v>4284</v>
      </c>
      <c r="N890" s="186"/>
      <c r="O890" s="186"/>
      <c r="P890" s="186"/>
      <c r="Q890" s="186"/>
      <c r="R890" s="186"/>
      <c r="S890" s="186"/>
      <c r="T890" s="186"/>
      <c r="U890" s="186"/>
      <c r="V890" s="186"/>
      <c r="W890" s="186"/>
      <c r="X890" s="186"/>
      <c r="Y890" s="186"/>
      <c r="Z890" s="186"/>
      <c r="AA890" s="186"/>
      <c r="AB890" s="186"/>
      <c r="AC890" s="186"/>
      <c r="AD890" s="268"/>
      <c r="AE890" s="268"/>
      <c r="AF890" s="144">
        <f t="shared" si="67"/>
        <v>40</v>
      </c>
      <c r="AG890" s="144" t="str">
        <f t="shared" si="66"/>
        <v/>
      </c>
      <c r="AH890" s="146">
        <f t="shared" si="64"/>
        <v>36</v>
      </c>
      <c r="AI890" s="146" t="str">
        <f t="shared" si="65"/>
        <v/>
      </c>
      <c r="AJ890" s="313"/>
      <c r="AK890" s="313"/>
      <c r="AL890" s="313"/>
      <c r="AM890" s="313"/>
      <c r="AN890" s="313"/>
      <c r="AO890" s="313"/>
      <c r="AP890" s="313"/>
      <c r="AQ890" s="313"/>
      <c r="AR890" s="313"/>
      <c r="AS890" s="176">
        <v>40</v>
      </c>
      <c r="AT890" s="169"/>
      <c r="AU890" s="310"/>
      <c r="AV890" s="322"/>
      <c r="AW890" s="276"/>
      <c r="AX890" s="276"/>
      <c r="AY890" s="276"/>
      <c r="AZ890" s="276"/>
      <c r="BA890" s="276"/>
      <c r="BB890" s="276"/>
      <c r="BC890" s="276"/>
      <c r="BD890" s="276"/>
      <c r="BE890" s="276"/>
      <c r="BF890" s="400">
        <v>36</v>
      </c>
      <c r="BG890" s="382"/>
      <c r="BH890" s="278"/>
      <c r="BI890" s="365"/>
    </row>
    <row r="891" spans="1:61" ht="15.75" customHeight="1" thickBot="1" x14ac:dyDescent="0.25">
      <c r="A891" s="156">
        <v>892</v>
      </c>
      <c r="B891" s="155">
        <v>2</v>
      </c>
      <c r="C891" s="148" t="s">
        <v>2933</v>
      </c>
      <c r="D891" s="148" t="s">
        <v>2931</v>
      </c>
      <c r="E891" s="148"/>
      <c r="F891" s="148"/>
      <c r="G891" s="148"/>
      <c r="H891" s="148" t="s">
        <v>101</v>
      </c>
      <c r="I891" s="161">
        <v>2011</v>
      </c>
      <c r="J891" s="161" t="s">
        <v>2910</v>
      </c>
      <c r="K891" s="161"/>
      <c r="L891" s="161" t="s">
        <v>19</v>
      </c>
      <c r="M891" s="453" t="s">
        <v>4284</v>
      </c>
      <c r="N891" s="186"/>
      <c r="O891" s="186"/>
      <c r="P891" s="186"/>
      <c r="Q891" s="186"/>
      <c r="R891" s="186"/>
      <c r="S891" s="186"/>
      <c r="T891" s="186"/>
      <c r="U891" s="186"/>
      <c r="V891" s="186"/>
      <c r="W891" s="186"/>
      <c r="X891" s="186"/>
      <c r="Y891" s="186"/>
      <c r="Z891" s="186"/>
      <c r="AA891" s="186"/>
      <c r="AB891" s="186"/>
      <c r="AC891" s="186"/>
      <c r="AD891" s="268"/>
      <c r="AE891" s="268"/>
      <c r="AF891" s="144">
        <f t="shared" si="67"/>
        <v>31</v>
      </c>
      <c r="AG891" s="144" t="str">
        <f t="shared" si="66"/>
        <v/>
      </c>
      <c r="AH891" s="146">
        <f t="shared" si="64"/>
        <v>7.2</v>
      </c>
      <c r="AI891" s="146" t="str">
        <f t="shared" si="65"/>
        <v/>
      </c>
      <c r="AJ891" s="313"/>
      <c r="AK891" s="313"/>
      <c r="AL891" s="313"/>
      <c r="AM891" s="313"/>
      <c r="AN891" s="313"/>
      <c r="AO891" s="313"/>
      <c r="AP891" s="313"/>
      <c r="AQ891" s="313"/>
      <c r="AR891" s="313"/>
      <c r="AS891" s="176">
        <v>31</v>
      </c>
      <c r="AT891" s="169"/>
      <c r="AU891" s="310"/>
      <c r="AV891" s="322"/>
      <c r="AW891" s="276"/>
      <c r="AX891" s="276"/>
      <c r="AY891" s="276"/>
      <c r="AZ891" s="276"/>
      <c r="BA891" s="276"/>
      <c r="BB891" s="276"/>
      <c r="BC891" s="276"/>
      <c r="BD891" s="276"/>
      <c r="BE891" s="276"/>
      <c r="BF891" s="400">
        <v>7.2</v>
      </c>
      <c r="BG891" s="382"/>
      <c r="BH891" s="278"/>
      <c r="BI891" s="365"/>
    </row>
    <row r="892" spans="1:61" ht="15.75" customHeight="1" thickBot="1" x14ac:dyDescent="0.25">
      <c r="A892" s="156">
        <v>893</v>
      </c>
      <c r="B892" s="155">
        <v>2</v>
      </c>
      <c r="C892" s="148" t="s">
        <v>2933</v>
      </c>
      <c r="D892" s="148" t="s">
        <v>2448</v>
      </c>
      <c r="E892" s="148"/>
      <c r="F892" s="148"/>
      <c r="G892" s="148"/>
      <c r="H892" s="148" t="s">
        <v>101</v>
      </c>
      <c r="I892" s="161">
        <v>2011</v>
      </c>
      <c r="J892" s="161" t="s">
        <v>2910</v>
      </c>
      <c r="K892" s="161"/>
      <c r="L892" s="161" t="s">
        <v>19</v>
      </c>
      <c r="M892" s="453" t="s">
        <v>4284</v>
      </c>
      <c r="N892" s="186"/>
      <c r="O892" s="186"/>
      <c r="P892" s="186"/>
      <c r="Q892" s="186"/>
      <c r="R892" s="186"/>
      <c r="S892" s="186"/>
      <c r="T892" s="186"/>
      <c r="U892" s="186"/>
      <c r="V892" s="186"/>
      <c r="W892" s="186"/>
      <c r="X892" s="186"/>
      <c r="Y892" s="186"/>
      <c r="Z892" s="186"/>
      <c r="AA892" s="186"/>
      <c r="AB892" s="186"/>
      <c r="AC892" s="186"/>
      <c r="AD892" s="268"/>
      <c r="AE892" s="268"/>
      <c r="AF892" s="144">
        <f t="shared" si="67"/>
        <v>29</v>
      </c>
      <c r="AG892" s="144" t="str">
        <f t="shared" si="66"/>
        <v/>
      </c>
      <c r="AH892" s="146">
        <f t="shared" si="64"/>
        <v>2.9</v>
      </c>
      <c r="AI892" s="146" t="str">
        <f t="shared" si="65"/>
        <v/>
      </c>
      <c r="AJ892" s="313"/>
      <c r="AK892" s="313"/>
      <c r="AL892" s="313"/>
      <c r="AM892" s="313"/>
      <c r="AN892" s="313"/>
      <c r="AO892" s="313"/>
      <c r="AP892" s="313"/>
      <c r="AQ892" s="313"/>
      <c r="AR892" s="313"/>
      <c r="AS892" s="176">
        <v>29</v>
      </c>
      <c r="AT892" s="169"/>
      <c r="AU892" s="310"/>
      <c r="AV892" s="322"/>
      <c r="AW892" s="276"/>
      <c r="AX892" s="276"/>
      <c r="AY892" s="276"/>
      <c r="AZ892" s="276"/>
      <c r="BA892" s="276"/>
      <c r="BB892" s="276"/>
      <c r="BC892" s="276"/>
      <c r="BD892" s="276"/>
      <c r="BE892" s="276"/>
      <c r="BF892" s="400">
        <v>2.9</v>
      </c>
      <c r="BG892" s="382"/>
      <c r="BH892" s="278"/>
      <c r="BI892" s="365"/>
    </row>
    <row r="893" spans="1:61" ht="15.75" customHeight="1" thickBot="1" x14ac:dyDescent="0.25">
      <c r="A893" s="156">
        <v>894</v>
      </c>
      <c r="B893" s="155">
        <v>2</v>
      </c>
      <c r="C893" s="148" t="s">
        <v>39</v>
      </c>
      <c r="D893" s="148" t="s">
        <v>40</v>
      </c>
      <c r="E893" s="148"/>
      <c r="F893" s="148"/>
      <c r="G893" s="148"/>
      <c r="H893" s="148" t="s">
        <v>101</v>
      </c>
      <c r="I893" s="161">
        <v>2011</v>
      </c>
      <c r="J893" s="161" t="s">
        <v>2910</v>
      </c>
      <c r="K893" s="161"/>
      <c r="L893" s="161" t="s">
        <v>19</v>
      </c>
      <c r="M893" s="453" t="s">
        <v>4284</v>
      </c>
      <c r="N893" s="186"/>
      <c r="O893" s="186"/>
      <c r="P893" s="186"/>
      <c r="Q893" s="186"/>
      <c r="R893" s="186"/>
      <c r="S893" s="186"/>
      <c r="T893" s="186"/>
      <c r="U893" s="186"/>
      <c r="V893" s="186"/>
      <c r="W893" s="186"/>
      <c r="X893" s="186"/>
      <c r="Y893" s="186"/>
      <c r="Z893" s="186"/>
      <c r="AA893" s="186"/>
      <c r="AB893" s="186"/>
      <c r="AC893" s="186"/>
      <c r="AD893" s="268"/>
      <c r="AE893" s="268"/>
      <c r="AF893" s="144">
        <f t="shared" si="67"/>
        <v>12</v>
      </c>
      <c r="AG893" s="144" t="str">
        <f t="shared" si="66"/>
        <v/>
      </c>
      <c r="AH893" s="146">
        <f t="shared" si="64"/>
        <v>1.6</v>
      </c>
      <c r="AI893" s="146" t="str">
        <f t="shared" si="65"/>
        <v/>
      </c>
      <c r="AJ893" s="313"/>
      <c r="AK893" s="313"/>
      <c r="AL893" s="313"/>
      <c r="AM893" s="313"/>
      <c r="AN893" s="313"/>
      <c r="AO893" s="313"/>
      <c r="AP893" s="313"/>
      <c r="AQ893" s="313"/>
      <c r="AR893" s="313"/>
      <c r="AS893" s="176">
        <v>12</v>
      </c>
      <c r="AT893" s="169"/>
      <c r="AU893" s="310"/>
      <c r="AV893" s="322"/>
      <c r="AW893" s="276"/>
      <c r="AX893" s="276"/>
      <c r="AY893" s="276"/>
      <c r="AZ893" s="276"/>
      <c r="BA893" s="276"/>
      <c r="BB893" s="276"/>
      <c r="BC893" s="276"/>
      <c r="BD893" s="276"/>
      <c r="BE893" s="276"/>
      <c r="BF893" s="400">
        <v>1.6</v>
      </c>
      <c r="BG893" s="382"/>
      <c r="BH893" s="278"/>
      <c r="BI893" s="365"/>
    </row>
    <row r="894" spans="1:61" ht="15.75" customHeight="1" thickBot="1" x14ac:dyDescent="0.25">
      <c r="A894" s="156">
        <v>895</v>
      </c>
      <c r="B894" s="155">
        <v>2</v>
      </c>
      <c r="C894" s="148" t="s">
        <v>39</v>
      </c>
      <c r="D894" s="148" t="s">
        <v>40</v>
      </c>
      <c r="E894" s="148"/>
      <c r="F894" s="148"/>
      <c r="G894" s="148"/>
      <c r="H894" s="148" t="s">
        <v>101</v>
      </c>
      <c r="I894" s="161">
        <v>2011</v>
      </c>
      <c r="J894" s="161" t="s">
        <v>2910</v>
      </c>
      <c r="K894" s="161"/>
      <c r="L894" s="161" t="s">
        <v>19</v>
      </c>
      <c r="M894" s="453" t="s">
        <v>4284</v>
      </c>
      <c r="N894" s="186"/>
      <c r="O894" s="186"/>
      <c r="P894" s="186"/>
      <c r="Q894" s="186"/>
      <c r="R894" s="186"/>
      <c r="S894" s="186"/>
      <c r="T894" s="186"/>
      <c r="U894" s="186"/>
      <c r="V894" s="186"/>
      <c r="W894" s="186"/>
      <c r="X894" s="186"/>
      <c r="Y894" s="186"/>
      <c r="Z894" s="186"/>
      <c r="AA894" s="186"/>
      <c r="AB894" s="186"/>
      <c r="AC894" s="186"/>
      <c r="AD894" s="268"/>
      <c r="AE894" s="268"/>
      <c r="AF894" s="144">
        <f t="shared" si="67"/>
        <v>17</v>
      </c>
      <c r="AG894" s="144" t="str">
        <f t="shared" si="66"/>
        <v/>
      </c>
      <c r="AH894" s="146">
        <f t="shared" si="64"/>
        <v>1.9</v>
      </c>
      <c r="AI894" s="146" t="str">
        <f t="shared" si="65"/>
        <v/>
      </c>
      <c r="AJ894" s="313"/>
      <c r="AK894" s="313"/>
      <c r="AL894" s="313"/>
      <c r="AM894" s="313"/>
      <c r="AN894" s="313"/>
      <c r="AO894" s="313"/>
      <c r="AP894" s="313"/>
      <c r="AQ894" s="313"/>
      <c r="AR894" s="313"/>
      <c r="AS894" s="176">
        <v>17</v>
      </c>
      <c r="AT894" s="169"/>
      <c r="AU894" s="310"/>
      <c r="AV894" s="322"/>
      <c r="AW894" s="276"/>
      <c r="AX894" s="276"/>
      <c r="AY894" s="276"/>
      <c r="AZ894" s="276"/>
      <c r="BA894" s="276"/>
      <c r="BB894" s="276"/>
      <c r="BC894" s="276"/>
      <c r="BD894" s="276"/>
      <c r="BE894" s="276"/>
      <c r="BF894" s="400">
        <v>1.9</v>
      </c>
      <c r="BG894" s="382"/>
      <c r="BH894" s="278"/>
      <c r="BI894" s="365"/>
    </row>
    <row r="895" spans="1:61" ht="15.75" customHeight="1" thickBot="1" x14ac:dyDescent="0.25">
      <c r="A895" s="156">
        <v>896</v>
      </c>
      <c r="B895" s="155">
        <v>2</v>
      </c>
      <c r="C895" s="148" t="s">
        <v>760</v>
      </c>
      <c r="D895" s="148" t="s">
        <v>3072</v>
      </c>
      <c r="E895" s="148"/>
      <c r="F895" s="148"/>
      <c r="G895" s="148"/>
      <c r="H895" s="148" t="s">
        <v>375</v>
      </c>
      <c r="I895" s="161">
        <v>2011</v>
      </c>
      <c r="J895" s="161" t="s">
        <v>2910</v>
      </c>
      <c r="K895" s="161"/>
      <c r="L895" s="161" t="s">
        <v>19</v>
      </c>
      <c r="M895" s="453" t="s">
        <v>4284</v>
      </c>
      <c r="N895" s="186"/>
      <c r="O895" s="186"/>
      <c r="P895" s="186"/>
      <c r="Q895" s="186"/>
      <c r="R895" s="186"/>
      <c r="S895" s="186"/>
      <c r="T895" s="186"/>
      <c r="U895" s="186"/>
      <c r="V895" s="186"/>
      <c r="W895" s="186"/>
      <c r="X895" s="186"/>
      <c r="Y895" s="186"/>
      <c r="Z895" s="186"/>
      <c r="AA895" s="186"/>
      <c r="AB895" s="186"/>
      <c r="AC895" s="186"/>
      <c r="AD895" s="268" t="s">
        <v>2932</v>
      </c>
      <c r="AE895" s="268"/>
      <c r="AF895" s="144">
        <f t="shared" si="67"/>
        <v>4</v>
      </c>
      <c r="AG895" s="144" t="str">
        <f t="shared" si="66"/>
        <v/>
      </c>
      <c r="AH895" s="146">
        <f t="shared" si="64"/>
        <v>3.8</v>
      </c>
      <c r="AI895" s="146" t="str">
        <f t="shared" si="65"/>
        <v/>
      </c>
      <c r="AJ895" s="313"/>
      <c r="AK895" s="313"/>
      <c r="AL895" s="313"/>
      <c r="AM895" s="313"/>
      <c r="AN895" s="313"/>
      <c r="AO895" s="313"/>
      <c r="AP895" s="313"/>
      <c r="AQ895" s="313"/>
      <c r="AR895" s="313"/>
      <c r="AS895" s="176">
        <v>4</v>
      </c>
      <c r="AT895" s="169"/>
      <c r="AU895" s="310"/>
      <c r="AV895" s="322"/>
      <c r="AW895" s="276"/>
      <c r="AX895" s="276"/>
      <c r="AY895" s="276"/>
      <c r="AZ895" s="276"/>
      <c r="BA895" s="276"/>
      <c r="BB895" s="276"/>
      <c r="BC895" s="276"/>
      <c r="BD895" s="276"/>
      <c r="BE895" s="276"/>
      <c r="BF895" s="400">
        <v>3.8</v>
      </c>
      <c r="BG895" s="382"/>
      <c r="BH895" s="278"/>
      <c r="BI895" s="365"/>
    </row>
    <row r="896" spans="1:61" ht="15.75" customHeight="1" thickBot="1" x14ac:dyDescent="0.25">
      <c r="A896" s="156">
        <v>897</v>
      </c>
      <c r="B896" s="155">
        <v>2</v>
      </c>
      <c r="C896" s="148" t="s">
        <v>760</v>
      </c>
      <c r="D896" s="148" t="s">
        <v>3292</v>
      </c>
      <c r="E896" s="148"/>
      <c r="F896" s="148" t="s">
        <v>4054</v>
      </c>
      <c r="G896" s="148"/>
      <c r="H896" s="148" t="s">
        <v>101</v>
      </c>
      <c r="I896" s="161">
        <v>2011</v>
      </c>
      <c r="J896" s="161" t="s">
        <v>2910</v>
      </c>
      <c r="K896" s="161"/>
      <c r="L896" s="161" t="s">
        <v>19</v>
      </c>
      <c r="M896" s="453" t="s">
        <v>4284</v>
      </c>
      <c r="N896" s="186"/>
      <c r="O896" s="186"/>
      <c r="P896" s="186"/>
      <c r="Q896" s="186"/>
      <c r="R896" s="186"/>
      <c r="S896" s="186"/>
      <c r="T896" s="186"/>
      <c r="U896" s="186"/>
      <c r="V896" s="186"/>
      <c r="W896" s="186"/>
      <c r="X896" s="186"/>
      <c r="Y896" s="186"/>
      <c r="Z896" s="186"/>
      <c r="AA896" s="186"/>
      <c r="AB896" s="186"/>
      <c r="AC896" s="186"/>
      <c r="AD896" s="268" t="s">
        <v>2932</v>
      </c>
      <c r="AE896" s="268"/>
      <c r="AF896" s="144">
        <f t="shared" si="67"/>
        <v>7.4</v>
      </c>
      <c r="AG896" s="144" t="str">
        <f t="shared" si="66"/>
        <v/>
      </c>
      <c r="AH896" s="146">
        <f t="shared" si="64"/>
        <v>0.68</v>
      </c>
      <c r="AI896" s="146" t="str">
        <f t="shared" si="65"/>
        <v/>
      </c>
      <c r="AJ896" s="313"/>
      <c r="AK896" s="313"/>
      <c r="AL896" s="313"/>
      <c r="AM896" s="313"/>
      <c r="AN896" s="313"/>
      <c r="AO896" s="313"/>
      <c r="AP896" s="313"/>
      <c r="AQ896" s="313"/>
      <c r="AR896" s="313"/>
      <c r="AS896" s="176">
        <v>7.4</v>
      </c>
      <c r="AT896" s="169"/>
      <c r="AU896" s="310"/>
      <c r="AV896" s="322"/>
      <c r="AW896" s="276"/>
      <c r="AX896" s="276"/>
      <c r="AY896" s="276"/>
      <c r="AZ896" s="276"/>
      <c r="BA896" s="276"/>
      <c r="BB896" s="276"/>
      <c r="BC896" s="276"/>
      <c r="BD896" s="276"/>
      <c r="BE896" s="276"/>
      <c r="BF896" s="400">
        <v>0.68</v>
      </c>
      <c r="BG896" s="382"/>
      <c r="BH896" s="278"/>
      <c r="BI896" s="365"/>
    </row>
    <row r="897" spans="1:61" ht="15.75" customHeight="1" thickBot="1" x14ac:dyDescent="0.25">
      <c r="A897" s="156">
        <v>898</v>
      </c>
      <c r="B897" s="155">
        <v>2</v>
      </c>
      <c r="C897" s="148" t="s">
        <v>162</v>
      </c>
      <c r="D897" s="141" t="s">
        <v>2134</v>
      </c>
      <c r="E897" s="148"/>
      <c r="F897" s="148"/>
      <c r="G897" s="148"/>
      <c r="H897" s="148" t="s">
        <v>101</v>
      </c>
      <c r="I897" s="161">
        <v>2011</v>
      </c>
      <c r="J897" s="161" t="s">
        <v>2910</v>
      </c>
      <c r="K897" s="161"/>
      <c r="L897" s="161" t="s">
        <v>19</v>
      </c>
      <c r="M897" s="453" t="s">
        <v>4284</v>
      </c>
      <c r="N897" s="186"/>
      <c r="O897" s="186"/>
      <c r="P897" s="186"/>
      <c r="Q897" s="186"/>
      <c r="R897" s="186"/>
      <c r="S897" s="186"/>
      <c r="T897" s="186"/>
      <c r="U897" s="186"/>
      <c r="V897" s="186"/>
      <c r="W897" s="186"/>
      <c r="X897" s="186"/>
      <c r="Y897" s="186"/>
      <c r="Z897" s="186"/>
      <c r="AA897" s="186"/>
      <c r="AB897" s="186"/>
      <c r="AC897" s="186"/>
      <c r="AD897" s="268" t="s">
        <v>2932</v>
      </c>
      <c r="AE897" s="268"/>
      <c r="AF897" s="144">
        <f t="shared" si="67"/>
        <v>3.5</v>
      </c>
      <c r="AG897" s="144" t="str">
        <f t="shared" si="66"/>
        <v/>
      </c>
      <c r="AH897" s="146">
        <f t="shared" si="64"/>
        <v>0.49</v>
      </c>
      <c r="AI897" s="146" t="str">
        <f t="shared" si="65"/>
        <v/>
      </c>
      <c r="AJ897" s="313"/>
      <c r="AK897" s="313"/>
      <c r="AL897" s="313"/>
      <c r="AM897" s="313"/>
      <c r="AN897" s="313"/>
      <c r="AO897" s="313"/>
      <c r="AP897" s="313"/>
      <c r="AQ897" s="313"/>
      <c r="AR897" s="313"/>
      <c r="AS897" s="176">
        <v>3.5</v>
      </c>
      <c r="AT897" s="169"/>
      <c r="AU897" s="310"/>
      <c r="AV897" s="322"/>
      <c r="AW897" s="276"/>
      <c r="AX897" s="276"/>
      <c r="AY897" s="276"/>
      <c r="AZ897" s="276"/>
      <c r="BA897" s="276"/>
      <c r="BB897" s="276"/>
      <c r="BC897" s="276"/>
      <c r="BD897" s="276"/>
      <c r="BE897" s="276"/>
      <c r="BF897" s="400">
        <v>0.49</v>
      </c>
      <c r="BG897" s="382"/>
      <c r="BH897" s="278"/>
      <c r="BI897" s="365"/>
    </row>
    <row r="898" spans="1:61" ht="15.75" customHeight="1" thickBot="1" x14ac:dyDescent="0.25">
      <c r="A898" s="156">
        <v>899</v>
      </c>
      <c r="B898" s="155">
        <v>2</v>
      </c>
      <c r="C898" s="148" t="s">
        <v>259</v>
      </c>
      <c r="D898" s="148" t="s">
        <v>3068</v>
      </c>
      <c r="E898" s="148"/>
      <c r="F898" s="148"/>
      <c r="G898" s="148"/>
      <c r="H898" s="148" t="s">
        <v>351</v>
      </c>
      <c r="I898" s="161">
        <v>2011</v>
      </c>
      <c r="J898" s="161" t="s">
        <v>2910</v>
      </c>
      <c r="K898" s="161"/>
      <c r="L898" s="161" t="s">
        <v>19</v>
      </c>
      <c r="M898" s="453" t="s">
        <v>4284</v>
      </c>
      <c r="N898" s="186"/>
      <c r="O898" s="186"/>
      <c r="P898" s="186"/>
      <c r="Q898" s="186"/>
      <c r="R898" s="186"/>
      <c r="S898" s="186"/>
      <c r="T898" s="186"/>
      <c r="U898" s="186"/>
      <c r="V898" s="186"/>
      <c r="W898" s="186"/>
      <c r="X898" s="186"/>
      <c r="Y898" s="186"/>
      <c r="Z898" s="186"/>
      <c r="AA898" s="186"/>
      <c r="AB898" s="186"/>
      <c r="AC898" s="186"/>
      <c r="AD898" s="268" t="s">
        <v>2934</v>
      </c>
      <c r="AE898" s="268"/>
      <c r="AF898" s="144">
        <f t="shared" si="67"/>
        <v>6.6</v>
      </c>
      <c r="AG898" s="144" t="str">
        <f t="shared" si="66"/>
        <v/>
      </c>
      <c r="AH898" s="146">
        <f t="shared" ref="AH898:AH961" si="68">IF(BF898&lt;&gt;0,BF898,"")</f>
        <v>1.1000000000000001</v>
      </c>
      <c r="AI898" s="146" t="str">
        <f t="shared" ref="AI898:AI961" si="69">IF(AND(SUM(AW898:AY898)&lt;&gt;0,SUM(AW898:AY898)&lt;&gt;AW898),SUM(AW898:AY898),"")</f>
        <v/>
      </c>
      <c r="AJ898" s="313"/>
      <c r="AK898" s="313"/>
      <c r="AL898" s="313"/>
      <c r="AM898" s="313"/>
      <c r="AN898" s="313"/>
      <c r="AO898" s="313"/>
      <c r="AP898" s="313"/>
      <c r="AQ898" s="313"/>
      <c r="AR898" s="313"/>
      <c r="AS898" s="176">
        <v>6.6</v>
      </c>
      <c r="AT898" s="169"/>
      <c r="AU898" s="310"/>
      <c r="AV898" s="322"/>
      <c r="AW898" s="276"/>
      <c r="AX898" s="276"/>
      <c r="AY898" s="276"/>
      <c r="AZ898" s="276"/>
      <c r="BA898" s="276"/>
      <c r="BB898" s="276"/>
      <c r="BC898" s="276"/>
      <c r="BD898" s="276"/>
      <c r="BE898" s="276"/>
      <c r="BF898" s="400">
        <v>1.1000000000000001</v>
      </c>
      <c r="BG898" s="382"/>
      <c r="BH898" s="278"/>
      <c r="BI898" s="365"/>
    </row>
    <row r="899" spans="1:61" ht="15.75" customHeight="1" thickBot="1" x14ac:dyDescent="0.25">
      <c r="A899" s="156">
        <v>900</v>
      </c>
      <c r="B899" s="155">
        <v>2</v>
      </c>
      <c r="C899" s="148" t="s">
        <v>259</v>
      </c>
      <c r="D899" s="148" t="s">
        <v>3068</v>
      </c>
      <c r="E899" s="148"/>
      <c r="F899" s="148"/>
      <c r="G899" s="148"/>
      <c r="H899" s="148" t="s">
        <v>1284</v>
      </c>
      <c r="I899" s="161">
        <v>2011</v>
      </c>
      <c r="J899" s="161" t="s">
        <v>2910</v>
      </c>
      <c r="K899" s="161"/>
      <c r="L899" s="161" t="s">
        <v>19</v>
      </c>
      <c r="M899" s="453" t="s">
        <v>4284</v>
      </c>
      <c r="N899" s="186"/>
      <c r="O899" s="186"/>
      <c r="P899" s="186"/>
      <c r="Q899" s="186"/>
      <c r="R899" s="186"/>
      <c r="S899" s="186"/>
      <c r="T899" s="186"/>
      <c r="U899" s="186"/>
      <c r="V899" s="186"/>
      <c r="W899" s="186"/>
      <c r="X899" s="186"/>
      <c r="Y899" s="186"/>
      <c r="Z899" s="186"/>
      <c r="AA899" s="186"/>
      <c r="AB899" s="186"/>
      <c r="AC899" s="186"/>
      <c r="AD899" s="268" t="s">
        <v>2934</v>
      </c>
      <c r="AE899" s="268"/>
      <c r="AF899" s="144">
        <f t="shared" si="67"/>
        <v>7.4</v>
      </c>
      <c r="AG899" s="144" t="str">
        <f t="shared" si="66"/>
        <v/>
      </c>
      <c r="AH899" s="146">
        <f t="shared" si="68"/>
        <v>1.2</v>
      </c>
      <c r="AI899" s="146" t="str">
        <f t="shared" si="69"/>
        <v/>
      </c>
      <c r="AJ899" s="313"/>
      <c r="AK899" s="313"/>
      <c r="AL899" s="313"/>
      <c r="AM899" s="313"/>
      <c r="AN899" s="313"/>
      <c r="AO899" s="313"/>
      <c r="AP899" s="313"/>
      <c r="AQ899" s="313"/>
      <c r="AR899" s="313"/>
      <c r="AS899" s="176">
        <v>7.4</v>
      </c>
      <c r="AT899" s="169"/>
      <c r="AU899" s="310"/>
      <c r="AV899" s="322"/>
      <c r="AW899" s="276"/>
      <c r="AX899" s="276"/>
      <c r="AY899" s="276"/>
      <c r="AZ899" s="276"/>
      <c r="BA899" s="276"/>
      <c r="BB899" s="276"/>
      <c r="BC899" s="276"/>
      <c r="BD899" s="276"/>
      <c r="BE899" s="276"/>
      <c r="BF899" s="400">
        <v>1.2</v>
      </c>
      <c r="BG899" s="382"/>
      <c r="BH899" s="278"/>
      <c r="BI899" s="365"/>
    </row>
    <row r="900" spans="1:61" ht="15.75" customHeight="1" thickBot="1" x14ac:dyDescent="0.25">
      <c r="A900" s="156">
        <v>901</v>
      </c>
      <c r="B900" s="155">
        <v>2</v>
      </c>
      <c r="C900" s="148" t="s">
        <v>162</v>
      </c>
      <c r="D900" s="141" t="s">
        <v>2206</v>
      </c>
      <c r="E900" s="148"/>
      <c r="F900" s="148"/>
      <c r="G900" s="148"/>
      <c r="H900" s="148" t="s">
        <v>101</v>
      </c>
      <c r="I900" s="161">
        <v>2011</v>
      </c>
      <c r="J900" s="161" t="s">
        <v>2910</v>
      </c>
      <c r="K900" s="161"/>
      <c r="L900" s="161" t="s">
        <v>19</v>
      </c>
      <c r="M900" s="453" t="s">
        <v>4284</v>
      </c>
      <c r="N900" s="186"/>
      <c r="O900" s="186"/>
      <c r="P900" s="186"/>
      <c r="Q900" s="186"/>
      <c r="R900" s="186"/>
      <c r="S900" s="186"/>
      <c r="T900" s="186"/>
      <c r="U900" s="186"/>
      <c r="V900" s="186"/>
      <c r="W900" s="186"/>
      <c r="X900" s="186"/>
      <c r="Y900" s="186"/>
      <c r="Z900" s="186"/>
      <c r="AA900" s="186"/>
      <c r="AB900" s="186"/>
      <c r="AC900" s="186"/>
      <c r="AD900" s="268"/>
      <c r="AE900" s="268"/>
      <c r="AF900" s="144">
        <f t="shared" si="67"/>
        <v>1.5</v>
      </c>
      <c r="AG900" s="144" t="str">
        <f t="shared" si="66"/>
        <v/>
      </c>
      <c r="AH900" s="146">
        <f t="shared" si="68"/>
        <v>0.16</v>
      </c>
      <c r="AI900" s="146" t="str">
        <f t="shared" si="69"/>
        <v/>
      </c>
      <c r="AJ900" s="313"/>
      <c r="AK900" s="313"/>
      <c r="AL900" s="313"/>
      <c r="AM900" s="313"/>
      <c r="AN900" s="313"/>
      <c r="AO900" s="313"/>
      <c r="AP900" s="313"/>
      <c r="AQ900" s="313"/>
      <c r="AR900" s="313"/>
      <c r="AS900" s="176">
        <v>1.5</v>
      </c>
      <c r="AT900" s="169"/>
      <c r="AU900" s="310"/>
      <c r="AV900" s="322"/>
      <c r="AW900" s="276"/>
      <c r="AX900" s="276"/>
      <c r="AY900" s="276"/>
      <c r="AZ900" s="276"/>
      <c r="BA900" s="276"/>
      <c r="BB900" s="276"/>
      <c r="BC900" s="276"/>
      <c r="BD900" s="276"/>
      <c r="BE900" s="276"/>
      <c r="BF900" s="400">
        <v>0.16</v>
      </c>
      <c r="BG900" s="382"/>
      <c r="BH900" s="278"/>
      <c r="BI900" s="365"/>
    </row>
    <row r="901" spans="1:61" ht="15.75" customHeight="1" thickBot="1" x14ac:dyDescent="0.25">
      <c r="A901" s="156">
        <v>902</v>
      </c>
      <c r="B901" s="155">
        <v>2</v>
      </c>
      <c r="C901" s="148" t="s">
        <v>162</v>
      </c>
      <c r="D901" s="141" t="s">
        <v>2206</v>
      </c>
      <c r="E901" s="148"/>
      <c r="F901" s="148"/>
      <c r="G901" s="148"/>
      <c r="H901" s="148" t="s">
        <v>708</v>
      </c>
      <c r="I901" s="161">
        <v>2011</v>
      </c>
      <c r="J901" s="161" t="s">
        <v>2910</v>
      </c>
      <c r="K901" s="161"/>
      <c r="L901" s="161" t="s">
        <v>19</v>
      </c>
      <c r="M901" s="453" t="s">
        <v>4284</v>
      </c>
      <c r="N901" s="186"/>
      <c r="O901" s="186"/>
      <c r="P901" s="186"/>
      <c r="Q901" s="186"/>
      <c r="R901" s="186"/>
      <c r="S901" s="186"/>
      <c r="T901" s="186"/>
      <c r="U901" s="186"/>
      <c r="V901" s="186"/>
      <c r="W901" s="186"/>
      <c r="X901" s="186"/>
      <c r="Y901" s="186"/>
      <c r="Z901" s="186"/>
      <c r="AA901" s="186"/>
      <c r="AB901" s="186"/>
      <c r="AC901" s="186"/>
      <c r="AD901" s="268"/>
      <c r="AE901" s="268"/>
      <c r="AF901" s="144">
        <f t="shared" si="67"/>
        <v>1.5</v>
      </c>
      <c r="AG901" s="144" t="str">
        <f t="shared" si="66"/>
        <v/>
      </c>
      <c r="AH901" s="146">
        <f t="shared" si="68"/>
        <v>0.14000000000000001</v>
      </c>
      <c r="AI901" s="146" t="str">
        <f t="shared" si="69"/>
        <v/>
      </c>
      <c r="AJ901" s="313"/>
      <c r="AK901" s="313"/>
      <c r="AL901" s="313"/>
      <c r="AM901" s="313"/>
      <c r="AN901" s="313"/>
      <c r="AO901" s="313"/>
      <c r="AP901" s="313"/>
      <c r="AQ901" s="313"/>
      <c r="AR901" s="313"/>
      <c r="AS901" s="176">
        <v>1.5</v>
      </c>
      <c r="AT901" s="169"/>
      <c r="AU901" s="310"/>
      <c r="AV901" s="322"/>
      <c r="AW901" s="276"/>
      <c r="AX901" s="276"/>
      <c r="AY901" s="276"/>
      <c r="AZ901" s="276"/>
      <c r="BA901" s="276"/>
      <c r="BB901" s="276"/>
      <c r="BC901" s="276"/>
      <c r="BD901" s="276"/>
      <c r="BE901" s="276"/>
      <c r="BF901" s="400">
        <v>0.14000000000000001</v>
      </c>
      <c r="BG901" s="382"/>
      <c r="BH901" s="278"/>
      <c r="BI901" s="365"/>
    </row>
    <row r="902" spans="1:61" ht="15.75" customHeight="1" thickBot="1" x14ac:dyDescent="0.25">
      <c r="A902" s="156">
        <v>903</v>
      </c>
      <c r="B902" s="155">
        <v>2</v>
      </c>
      <c r="C902" s="148" t="s">
        <v>162</v>
      </c>
      <c r="D902" s="141" t="s">
        <v>2206</v>
      </c>
      <c r="E902" s="148"/>
      <c r="F902" s="148"/>
      <c r="G902" s="148"/>
      <c r="H902" s="148" t="s">
        <v>80</v>
      </c>
      <c r="I902" s="161">
        <v>2011</v>
      </c>
      <c r="J902" s="161" t="s">
        <v>2910</v>
      </c>
      <c r="K902" s="161"/>
      <c r="L902" s="161" t="s">
        <v>19</v>
      </c>
      <c r="M902" s="453" t="s">
        <v>4284</v>
      </c>
      <c r="N902" s="186"/>
      <c r="O902" s="186"/>
      <c r="P902" s="186"/>
      <c r="Q902" s="186"/>
      <c r="R902" s="186"/>
      <c r="S902" s="186"/>
      <c r="T902" s="186"/>
      <c r="U902" s="186"/>
      <c r="V902" s="186"/>
      <c r="W902" s="186"/>
      <c r="X902" s="186"/>
      <c r="Y902" s="186"/>
      <c r="Z902" s="186"/>
      <c r="AA902" s="186"/>
      <c r="AB902" s="186"/>
      <c r="AC902" s="186"/>
      <c r="AD902" s="268"/>
      <c r="AE902" s="268"/>
      <c r="AF902" s="144">
        <f t="shared" si="67"/>
        <v>0.8</v>
      </c>
      <c r="AG902" s="144" t="str">
        <f t="shared" si="66"/>
        <v/>
      </c>
      <c r="AH902" s="146">
        <f t="shared" si="68"/>
        <v>0.09</v>
      </c>
      <c r="AI902" s="146" t="str">
        <f t="shared" si="69"/>
        <v/>
      </c>
      <c r="AJ902" s="313"/>
      <c r="AK902" s="313"/>
      <c r="AL902" s="313"/>
      <c r="AM902" s="313"/>
      <c r="AN902" s="313"/>
      <c r="AO902" s="313"/>
      <c r="AP902" s="313"/>
      <c r="AQ902" s="313"/>
      <c r="AR902" s="313"/>
      <c r="AS902" s="176">
        <v>0.8</v>
      </c>
      <c r="AT902" s="169"/>
      <c r="AU902" s="310"/>
      <c r="AV902" s="322"/>
      <c r="AW902" s="276"/>
      <c r="AX902" s="276"/>
      <c r="AY902" s="276"/>
      <c r="AZ902" s="276"/>
      <c r="BA902" s="276"/>
      <c r="BB902" s="276"/>
      <c r="BC902" s="276"/>
      <c r="BD902" s="276"/>
      <c r="BE902" s="276"/>
      <c r="BF902" s="400">
        <v>0.09</v>
      </c>
      <c r="BG902" s="382"/>
      <c r="BH902" s="278"/>
      <c r="BI902" s="365"/>
    </row>
    <row r="903" spans="1:61" ht="15.75" customHeight="1" thickBot="1" x14ac:dyDescent="0.25">
      <c r="A903" s="156">
        <v>904</v>
      </c>
      <c r="B903" s="155">
        <v>2</v>
      </c>
      <c r="C903" s="148" t="s">
        <v>162</v>
      </c>
      <c r="D903" s="148" t="s">
        <v>2935</v>
      </c>
      <c r="E903" s="148"/>
      <c r="F903" s="148"/>
      <c r="G903" s="148"/>
      <c r="H903" s="148" t="s">
        <v>101</v>
      </c>
      <c r="I903" s="161">
        <v>2011</v>
      </c>
      <c r="J903" s="161" t="s">
        <v>2910</v>
      </c>
      <c r="K903" s="161"/>
      <c r="L903" s="161" t="s">
        <v>19</v>
      </c>
      <c r="M903" s="453" t="s">
        <v>4284</v>
      </c>
      <c r="N903" s="186"/>
      <c r="O903" s="186"/>
      <c r="P903" s="186"/>
      <c r="Q903" s="186"/>
      <c r="R903" s="186"/>
      <c r="S903" s="186"/>
      <c r="T903" s="186"/>
      <c r="U903" s="186"/>
      <c r="V903" s="186"/>
      <c r="W903" s="186"/>
      <c r="X903" s="186"/>
      <c r="Y903" s="186"/>
      <c r="Z903" s="186"/>
      <c r="AA903" s="186"/>
      <c r="AB903" s="186"/>
      <c r="AC903" s="186"/>
      <c r="AD903" s="268"/>
      <c r="AE903" s="268"/>
      <c r="AF903" s="144">
        <f t="shared" si="67"/>
        <v>0.96</v>
      </c>
      <c r="AG903" s="144" t="str">
        <f t="shared" si="66"/>
        <v/>
      </c>
      <c r="AH903" s="146">
        <f t="shared" si="68"/>
        <v>0.09</v>
      </c>
      <c r="AI903" s="146" t="str">
        <f t="shared" si="69"/>
        <v/>
      </c>
      <c r="AJ903" s="313"/>
      <c r="AK903" s="313"/>
      <c r="AL903" s="313"/>
      <c r="AM903" s="313"/>
      <c r="AN903" s="313"/>
      <c r="AO903" s="313"/>
      <c r="AP903" s="313"/>
      <c r="AQ903" s="313"/>
      <c r="AR903" s="313"/>
      <c r="AS903" s="176">
        <v>0.96</v>
      </c>
      <c r="AT903" s="169"/>
      <c r="AU903" s="310"/>
      <c r="AV903" s="322"/>
      <c r="AW903" s="276"/>
      <c r="AX903" s="276"/>
      <c r="AY903" s="276"/>
      <c r="AZ903" s="276"/>
      <c r="BA903" s="276"/>
      <c r="BB903" s="276"/>
      <c r="BC903" s="276"/>
      <c r="BD903" s="276"/>
      <c r="BE903" s="276"/>
      <c r="BF903" s="400">
        <v>0.09</v>
      </c>
      <c r="BG903" s="382"/>
      <c r="BH903" s="278"/>
      <c r="BI903" s="365"/>
    </row>
    <row r="904" spans="1:61" ht="15.75" customHeight="1" thickBot="1" x14ac:dyDescent="0.25">
      <c r="A904" s="156">
        <v>905</v>
      </c>
      <c r="B904" s="155">
        <v>2</v>
      </c>
      <c r="C904" s="148" t="s">
        <v>162</v>
      </c>
      <c r="D904" s="148" t="s">
        <v>2311</v>
      </c>
      <c r="E904" s="148"/>
      <c r="F904" s="148"/>
      <c r="G904" s="148"/>
      <c r="H904" s="148" t="s">
        <v>73</v>
      </c>
      <c r="I904" s="161">
        <v>2011</v>
      </c>
      <c r="J904" s="161" t="s">
        <v>2910</v>
      </c>
      <c r="K904" s="161"/>
      <c r="L904" s="161" t="s">
        <v>19</v>
      </c>
      <c r="M904" s="453" t="s">
        <v>4284</v>
      </c>
      <c r="N904" s="186"/>
      <c r="O904" s="186"/>
      <c r="P904" s="186"/>
      <c r="Q904" s="186"/>
      <c r="R904" s="186"/>
      <c r="S904" s="186"/>
      <c r="T904" s="186"/>
      <c r="U904" s="186"/>
      <c r="V904" s="186"/>
      <c r="W904" s="186"/>
      <c r="X904" s="186"/>
      <c r="Y904" s="186"/>
      <c r="Z904" s="186"/>
      <c r="AA904" s="186"/>
      <c r="AB904" s="186"/>
      <c r="AC904" s="186"/>
      <c r="AD904" s="268"/>
      <c r="AE904" s="268"/>
      <c r="AF904" s="144">
        <f t="shared" si="67"/>
        <v>3</v>
      </c>
      <c r="AG904" s="144" t="str">
        <f t="shared" si="66"/>
        <v/>
      </c>
      <c r="AH904" s="146">
        <f t="shared" si="68"/>
        <v>0.37</v>
      </c>
      <c r="AI904" s="146" t="str">
        <f t="shared" si="69"/>
        <v/>
      </c>
      <c r="AJ904" s="313"/>
      <c r="AK904" s="313"/>
      <c r="AL904" s="313"/>
      <c r="AM904" s="313"/>
      <c r="AN904" s="313"/>
      <c r="AO904" s="313"/>
      <c r="AP904" s="313"/>
      <c r="AQ904" s="313"/>
      <c r="AR904" s="313"/>
      <c r="AS904" s="176">
        <v>3</v>
      </c>
      <c r="AT904" s="169"/>
      <c r="AU904" s="310"/>
      <c r="AV904" s="322"/>
      <c r="AW904" s="276"/>
      <c r="AX904" s="276"/>
      <c r="AY904" s="276"/>
      <c r="AZ904" s="276"/>
      <c r="BA904" s="276"/>
      <c r="BB904" s="276"/>
      <c r="BC904" s="276"/>
      <c r="BD904" s="276"/>
      <c r="BE904" s="276"/>
      <c r="BF904" s="400">
        <v>0.37</v>
      </c>
      <c r="BG904" s="382"/>
      <c r="BH904" s="278"/>
      <c r="BI904" s="365"/>
    </row>
    <row r="905" spans="1:61" ht="15.75" customHeight="1" thickBot="1" x14ac:dyDescent="0.25">
      <c r="A905" s="156">
        <v>906</v>
      </c>
      <c r="B905" s="155">
        <v>2</v>
      </c>
      <c r="C905" s="148" t="s">
        <v>162</v>
      </c>
      <c r="D905" s="148" t="s">
        <v>771</v>
      </c>
      <c r="E905" s="148"/>
      <c r="F905" s="148"/>
      <c r="G905" s="148"/>
      <c r="H905" s="148" t="s">
        <v>101</v>
      </c>
      <c r="I905" s="161">
        <v>2011</v>
      </c>
      <c r="J905" s="161" t="s">
        <v>2910</v>
      </c>
      <c r="K905" s="161"/>
      <c r="L905" s="161" t="s">
        <v>19</v>
      </c>
      <c r="M905" s="453" t="s">
        <v>4284</v>
      </c>
      <c r="N905" s="186"/>
      <c r="O905" s="186"/>
      <c r="P905" s="186"/>
      <c r="Q905" s="186"/>
      <c r="R905" s="186"/>
      <c r="S905" s="186"/>
      <c r="T905" s="186"/>
      <c r="U905" s="186"/>
      <c r="V905" s="186"/>
      <c r="W905" s="186"/>
      <c r="X905" s="186"/>
      <c r="Y905" s="186"/>
      <c r="Z905" s="186"/>
      <c r="AA905" s="186"/>
      <c r="AB905" s="186"/>
      <c r="AC905" s="186"/>
      <c r="AD905" s="268"/>
      <c r="AE905" s="268"/>
      <c r="AF905" s="144">
        <f t="shared" si="67"/>
        <v>3.6</v>
      </c>
      <c r="AG905" s="144" t="str">
        <f t="shared" si="66"/>
        <v/>
      </c>
      <c r="AH905" s="146">
        <f t="shared" si="68"/>
        <v>0.37</v>
      </c>
      <c r="AI905" s="146" t="str">
        <f t="shared" si="69"/>
        <v/>
      </c>
      <c r="AJ905" s="313"/>
      <c r="AK905" s="313"/>
      <c r="AL905" s="313"/>
      <c r="AM905" s="313"/>
      <c r="AN905" s="313"/>
      <c r="AO905" s="313"/>
      <c r="AP905" s="313"/>
      <c r="AQ905" s="313"/>
      <c r="AR905" s="313"/>
      <c r="AS905" s="176">
        <v>3.6</v>
      </c>
      <c r="AT905" s="169"/>
      <c r="AU905" s="310"/>
      <c r="AV905" s="322"/>
      <c r="AW905" s="276"/>
      <c r="AX905" s="276"/>
      <c r="AY905" s="276"/>
      <c r="AZ905" s="276"/>
      <c r="BA905" s="276"/>
      <c r="BB905" s="276"/>
      <c r="BC905" s="276"/>
      <c r="BD905" s="276"/>
      <c r="BE905" s="276"/>
      <c r="BF905" s="400">
        <v>0.37</v>
      </c>
      <c r="BG905" s="382"/>
      <c r="BH905" s="278"/>
      <c r="BI905" s="365"/>
    </row>
    <row r="906" spans="1:61" ht="15.75" customHeight="1" thickBot="1" x14ac:dyDescent="0.25">
      <c r="A906" s="156">
        <v>907</v>
      </c>
      <c r="B906" s="155">
        <v>2</v>
      </c>
      <c r="C906" s="148" t="s">
        <v>162</v>
      </c>
      <c r="D906" s="148" t="s">
        <v>1864</v>
      </c>
      <c r="E906" s="148"/>
      <c r="F906" s="148"/>
      <c r="G906" s="148"/>
      <c r="H906" s="148" t="s">
        <v>101</v>
      </c>
      <c r="I906" s="161">
        <v>2011</v>
      </c>
      <c r="J906" s="161" t="s">
        <v>2910</v>
      </c>
      <c r="K906" s="161"/>
      <c r="L906" s="161" t="s">
        <v>19</v>
      </c>
      <c r="M906" s="453" t="s">
        <v>4284</v>
      </c>
      <c r="N906" s="186"/>
      <c r="O906" s="186"/>
      <c r="P906" s="186"/>
      <c r="Q906" s="186"/>
      <c r="R906" s="186"/>
      <c r="S906" s="186"/>
      <c r="T906" s="186"/>
      <c r="U906" s="186"/>
      <c r="V906" s="186"/>
      <c r="W906" s="186"/>
      <c r="X906" s="186"/>
      <c r="Y906" s="186"/>
      <c r="Z906" s="186"/>
      <c r="AA906" s="186"/>
      <c r="AB906" s="186"/>
      <c r="AC906" s="186"/>
      <c r="AD906" s="268"/>
      <c r="AE906" s="268"/>
      <c r="AF906" s="144">
        <f t="shared" si="67"/>
        <v>0.97</v>
      </c>
      <c r="AG906" s="144" t="str">
        <f t="shared" si="66"/>
        <v/>
      </c>
      <c r="AH906" s="146">
        <f t="shared" si="68"/>
        <v>0.09</v>
      </c>
      <c r="AI906" s="146" t="str">
        <f t="shared" si="69"/>
        <v/>
      </c>
      <c r="AJ906" s="313"/>
      <c r="AK906" s="313"/>
      <c r="AL906" s="313"/>
      <c r="AM906" s="313"/>
      <c r="AN906" s="313"/>
      <c r="AO906" s="313"/>
      <c r="AP906" s="313"/>
      <c r="AQ906" s="313"/>
      <c r="AR906" s="313"/>
      <c r="AS906" s="176">
        <v>0.97</v>
      </c>
      <c r="AT906" s="169"/>
      <c r="AU906" s="310"/>
      <c r="AV906" s="322"/>
      <c r="AW906" s="276"/>
      <c r="AX906" s="276"/>
      <c r="AY906" s="276"/>
      <c r="AZ906" s="276"/>
      <c r="BA906" s="276"/>
      <c r="BB906" s="276"/>
      <c r="BC906" s="276"/>
      <c r="BD906" s="276"/>
      <c r="BE906" s="276"/>
      <c r="BF906" s="400">
        <v>0.09</v>
      </c>
      <c r="BG906" s="382"/>
      <c r="BH906" s="278"/>
      <c r="BI906" s="365"/>
    </row>
    <row r="907" spans="1:61" ht="15.75" customHeight="1" thickBot="1" x14ac:dyDescent="0.25">
      <c r="A907" s="156">
        <v>908</v>
      </c>
      <c r="B907" s="155">
        <v>2</v>
      </c>
      <c r="C907" s="148" t="s">
        <v>162</v>
      </c>
      <c r="D907" s="148" t="s">
        <v>1864</v>
      </c>
      <c r="E907" s="148"/>
      <c r="F907" s="148"/>
      <c r="G907" s="148"/>
      <c r="H907" s="148" t="s">
        <v>708</v>
      </c>
      <c r="I907" s="161">
        <v>2011</v>
      </c>
      <c r="J907" s="161" t="s">
        <v>2910</v>
      </c>
      <c r="K907" s="161"/>
      <c r="L907" s="161" t="s">
        <v>19</v>
      </c>
      <c r="M907" s="453" t="s">
        <v>4284</v>
      </c>
      <c r="N907" s="186"/>
      <c r="O907" s="186"/>
      <c r="P907" s="186"/>
      <c r="Q907" s="186"/>
      <c r="R907" s="186"/>
      <c r="S907" s="186"/>
      <c r="T907" s="186"/>
      <c r="U907" s="186"/>
      <c r="V907" s="186"/>
      <c r="W907" s="186"/>
      <c r="X907" s="186"/>
      <c r="Y907" s="186"/>
      <c r="Z907" s="186"/>
      <c r="AA907" s="186"/>
      <c r="AB907" s="186"/>
      <c r="AC907" s="186"/>
      <c r="AD907" s="268"/>
      <c r="AE907" s="268"/>
      <c r="AF907" s="144">
        <f t="shared" si="67"/>
        <v>1.7</v>
      </c>
      <c r="AG907" s="144" t="str">
        <f t="shared" si="66"/>
        <v/>
      </c>
      <c r="AH907" s="146">
        <f t="shared" si="68"/>
        <v>0.14000000000000001</v>
      </c>
      <c r="AI907" s="146" t="str">
        <f t="shared" si="69"/>
        <v/>
      </c>
      <c r="AJ907" s="313"/>
      <c r="AK907" s="313"/>
      <c r="AL907" s="313"/>
      <c r="AM907" s="313"/>
      <c r="AN907" s="313"/>
      <c r="AO907" s="313"/>
      <c r="AP907" s="313"/>
      <c r="AQ907" s="313"/>
      <c r="AR907" s="313"/>
      <c r="AS907" s="176">
        <v>1.7</v>
      </c>
      <c r="AT907" s="169"/>
      <c r="AU907" s="310"/>
      <c r="AV907" s="322"/>
      <c r="AW907" s="276"/>
      <c r="AX907" s="276"/>
      <c r="AY907" s="276"/>
      <c r="AZ907" s="276"/>
      <c r="BA907" s="276"/>
      <c r="BB907" s="276"/>
      <c r="BC907" s="276"/>
      <c r="BD907" s="276"/>
      <c r="BE907" s="276"/>
      <c r="BF907" s="400">
        <v>0.14000000000000001</v>
      </c>
      <c r="BG907" s="382"/>
      <c r="BH907" s="278"/>
      <c r="BI907" s="365"/>
    </row>
    <row r="908" spans="1:61" ht="15.75" customHeight="1" thickBot="1" x14ac:dyDescent="0.25">
      <c r="A908" s="156">
        <v>909</v>
      </c>
      <c r="B908" s="155">
        <v>2</v>
      </c>
      <c r="C908" s="148" t="s">
        <v>162</v>
      </c>
      <c r="D908" s="141" t="s">
        <v>2057</v>
      </c>
      <c r="E908" s="148"/>
      <c r="F908" s="148"/>
      <c r="G908" s="148"/>
      <c r="H908" s="148" t="s">
        <v>101</v>
      </c>
      <c r="I908" s="161">
        <v>2011</v>
      </c>
      <c r="J908" s="161" t="s">
        <v>2910</v>
      </c>
      <c r="K908" s="161"/>
      <c r="L908" s="161" t="s">
        <v>19</v>
      </c>
      <c r="M908" s="453" t="s">
        <v>4284</v>
      </c>
      <c r="N908" s="186"/>
      <c r="O908" s="186"/>
      <c r="P908" s="186"/>
      <c r="Q908" s="186"/>
      <c r="R908" s="186"/>
      <c r="S908" s="186"/>
      <c r="T908" s="186"/>
      <c r="U908" s="186"/>
      <c r="V908" s="186"/>
      <c r="W908" s="186"/>
      <c r="X908" s="186"/>
      <c r="Y908" s="186"/>
      <c r="Z908" s="186"/>
      <c r="AA908" s="186"/>
      <c r="AB908" s="186"/>
      <c r="AC908" s="186"/>
      <c r="AD908" s="268"/>
      <c r="AE908" s="268"/>
      <c r="AF908" s="144">
        <f t="shared" si="67"/>
        <v>1.4</v>
      </c>
      <c r="AG908" s="144" t="str">
        <f t="shared" si="66"/>
        <v/>
      </c>
      <c r="AH908" s="146">
        <f t="shared" si="68"/>
        <v>0.13</v>
      </c>
      <c r="AI908" s="146" t="str">
        <f t="shared" si="69"/>
        <v/>
      </c>
      <c r="AJ908" s="313"/>
      <c r="AK908" s="313"/>
      <c r="AL908" s="313"/>
      <c r="AM908" s="313"/>
      <c r="AN908" s="313"/>
      <c r="AO908" s="313"/>
      <c r="AP908" s="313"/>
      <c r="AQ908" s="313"/>
      <c r="AR908" s="313"/>
      <c r="AS908" s="176">
        <v>1.4</v>
      </c>
      <c r="AT908" s="169"/>
      <c r="AU908" s="310"/>
      <c r="AV908" s="322"/>
      <c r="AW908" s="276"/>
      <c r="AX908" s="276"/>
      <c r="AY908" s="276"/>
      <c r="AZ908" s="276"/>
      <c r="BA908" s="276"/>
      <c r="BB908" s="276"/>
      <c r="BC908" s="276"/>
      <c r="BD908" s="276"/>
      <c r="BE908" s="276"/>
      <c r="BF908" s="400">
        <v>0.13</v>
      </c>
      <c r="BG908" s="382"/>
      <c r="BH908" s="278"/>
      <c r="BI908" s="365"/>
    </row>
    <row r="909" spans="1:61" ht="15.75" customHeight="1" thickBot="1" x14ac:dyDescent="0.25">
      <c r="A909" s="156">
        <v>910</v>
      </c>
      <c r="B909" s="155">
        <v>2</v>
      </c>
      <c r="C909" s="148" t="s">
        <v>162</v>
      </c>
      <c r="D909" s="141" t="s">
        <v>2057</v>
      </c>
      <c r="E909" s="148"/>
      <c r="F909" s="148"/>
      <c r="G909" s="148"/>
      <c r="H909" s="148" t="s">
        <v>2936</v>
      </c>
      <c r="I909" s="161">
        <v>2011</v>
      </c>
      <c r="J909" s="161" t="s">
        <v>2910</v>
      </c>
      <c r="K909" s="161"/>
      <c r="L909" s="161" t="s">
        <v>19</v>
      </c>
      <c r="M909" s="453" t="s">
        <v>4284</v>
      </c>
      <c r="N909" s="186"/>
      <c r="O909" s="186"/>
      <c r="P909" s="186"/>
      <c r="Q909" s="186"/>
      <c r="R909" s="186"/>
      <c r="S909" s="186"/>
      <c r="T909" s="186"/>
      <c r="U909" s="186"/>
      <c r="V909" s="186"/>
      <c r="W909" s="186"/>
      <c r="X909" s="186"/>
      <c r="Y909" s="186"/>
      <c r="Z909" s="186"/>
      <c r="AA909" s="186"/>
      <c r="AB909" s="186"/>
      <c r="AC909" s="186"/>
      <c r="AD909" s="268"/>
      <c r="AE909" s="268"/>
      <c r="AF909" s="144">
        <f t="shared" si="67"/>
        <v>1.3</v>
      </c>
      <c r="AG909" s="144" t="str">
        <f t="shared" si="66"/>
        <v/>
      </c>
      <c r="AH909" s="146">
        <f t="shared" si="68"/>
        <v>0.14000000000000001</v>
      </c>
      <c r="AI909" s="146" t="str">
        <f t="shared" si="69"/>
        <v/>
      </c>
      <c r="AJ909" s="313"/>
      <c r="AK909" s="313"/>
      <c r="AL909" s="313"/>
      <c r="AM909" s="313"/>
      <c r="AN909" s="313"/>
      <c r="AO909" s="313"/>
      <c r="AP909" s="313"/>
      <c r="AQ909" s="313"/>
      <c r="AR909" s="313"/>
      <c r="AS909" s="176">
        <v>1.3</v>
      </c>
      <c r="AT909" s="169"/>
      <c r="AU909" s="310"/>
      <c r="AV909" s="322"/>
      <c r="AW909" s="276"/>
      <c r="AX909" s="276"/>
      <c r="AY909" s="276"/>
      <c r="AZ909" s="276"/>
      <c r="BA909" s="276"/>
      <c r="BB909" s="276"/>
      <c r="BC909" s="276"/>
      <c r="BD909" s="276"/>
      <c r="BE909" s="276"/>
      <c r="BF909" s="400">
        <v>0.14000000000000001</v>
      </c>
      <c r="BG909" s="382"/>
      <c r="BH909" s="278"/>
      <c r="BI909" s="365"/>
    </row>
    <row r="910" spans="1:61" ht="15.75" customHeight="1" thickBot="1" x14ac:dyDescent="0.25">
      <c r="A910" s="156">
        <v>911</v>
      </c>
      <c r="B910" s="155">
        <v>2</v>
      </c>
      <c r="C910" s="148" t="s">
        <v>162</v>
      </c>
      <c r="D910" s="141" t="s">
        <v>2057</v>
      </c>
      <c r="E910" s="148"/>
      <c r="F910" s="148"/>
      <c r="G910" s="148"/>
      <c r="H910" s="148" t="s">
        <v>351</v>
      </c>
      <c r="I910" s="161">
        <v>2011</v>
      </c>
      <c r="J910" s="161" t="s">
        <v>2910</v>
      </c>
      <c r="K910" s="161"/>
      <c r="L910" s="161" t="s">
        <v>19</v>
      </c>
      <c r="M910" s="453" t="s">
        <v>4284</v>
      </c>
      <c r="N910" s="186"/>
      <c r="O910" s="186"/>
      <c r="P910" s="186"/>
      <c r="Q910" s="186"/>
      <c r="R910" s="186"/>
      <c r="S910" s="186"/>
      <c r="T910" s="186"/>
      <c r="U910" s="186"/>
      <c r="V910" s="186"/>
      <c r="W910" s="186"/>
      <c r="X910" s="186"/>
      <c r="Y910" s="186"/>
      <c r="Z910" s="186"/>
      <c r="AA910" s="186"/>
      <c r="AB910" s="186"/>
      <c r="AC910" s="186"/>
      <c r="AD910" s="268"/>
      <c r="AE910" s="268"/>
      <c r="AF910" s="144">
        <f t="shared" si="67"/>
        <v>3.9</v>
      </c>
      <c r="AG910" s="144" t="str">
        <f t="shared" si="66"/>
        <v/>
      </c>
      <c r="AH910" s="146">
        <f t="shared" si="68"/>
        <v>0.32</v>
      </c>
      <c r="AI910" s="146" t="str">
        <f t="shared" si="69"/>
        <v/>
      </c>
      <c r="AJ910" s="313"/>
      <c r="AK910" s="313"/>
      <c r="AL910" s="313"/>
      <c r="AM910" s="313"/>
      <c r="AN910" s="313"/>
      <c r="AO910" s="313"/>
      <c r="AP910" s="313"/>
      <c r="AQ910" s="313"/>
      <c r="AR910" s="313"/>
      <c r="AS910" s="176">
        <v>3.9</v>
      </c>
      <c r="AT910" s="169"/>
      <c r="AU910" s="310"/>
      <c r="AV910" s="322"/>
      <c r="AW910" s="276"/>
      <c r="AX910" s="276"/>
      <c r="AY910" s="276"/>
      <c r="AZ910" s="276"/>
      <c r="BA910" s="276"/>
      <c r="BB910" s="276"/>
      <c r="BC910" s="276"/>
      <c r="BD910" s="276"/>
      <c r="BE910" s="276"/>
      <c r="BF910" s="400">
        <v>0.32</v>
      </c>
      <c r="BG910" s="382"/>
      <c r="BH910" s="278"/>
      <c r="BI910" s="365"/>
    </row>
    <row r="911" spans="1:61" ht="15.75" customHeight="1" thickBot="1" x14ac:dyDescent="0.25">
      <c r="A911" s="156">
        <v>912</v>
      </c>
      <c r="B911" s="155">
        <v>2</v>
      </c>
      <c r="C911" s="148" t="s">
        <v>236</v>
      </c>
      <c r="D911" s="141" t="s">
        <v>1739</v>
      </c>
      <c r="E911" s="148"/>
      <c r="F911" s="148"/>
      <c r="G911" s="148"/>
      <c r="H911" s="148" t="s">
        <v>101</v>
      </c>
      <c r="I911" s="161">
        <v>2011</v>
      </c>
      <c r="J911" s="161" t="s">
        <v>2910</v>
      </c>
      <c r="K911" s="161"/>
      <c r="L911" s="161" t="s">
        <v>19</v>
      </c>
      <c r="M911" s="453" t="s">
        <v>4284</v>
      </c>
      <c r="N911" s="186"/>
      <c r="O911" s="186"/>
      <c r="P911" s="186"/>
      <c r="Q911" s="186"/>
      <c r="R911" s="186"/>
      <c r="S911" s="186"/>
      <c r="T911" s="186"/>
      <c r="U911" s="186"/>
      <c r="V911" s="186"/>
      <c r="W911" s="186"/>
      <c r="X911" s="186"/>
      <c r="Y911" s="186"/>
      <c r="Z911" s="186"/>
      <c r="AA911" s="186"/>
      <c r="AB911" s="186"/>
      <c r="AC911" s="186"/>
      <c r="AD911" s="268"/>
      <c r="AE911" s="268"/>
      <c r="AF911" s="144">
        <f t="shared" si="67"/>
        <v>0.63</v>
      </c>
      <c r="AG911" s="144" t="str">
        <f t="shared" si="66"/>
        <v/>
      </c>
      <c r="AH911" s="146">
        <f t="shared" si="68"/>
        <v>0.06</v>
      </c>
      <c r="AI911" s="146" t="str">
        <f t="shared" si="69"/>
        <v/>
      </c>
      <c r="AJ911" s="313"/>
      <c r="AK911" s="313"/>
      <c r="AL911" s="313"/>
      <c r="AM911" s="313"/>
      <c r="AN911" s="313"/>
      <c r="AO911" s="313"/>
      <c r="AP911" s="313"/>
      <c r="AQ911" s="313"/>
      <c r="AR911" s="313"/>
      <c r="AS911" s="176">
        <v>0.63</v>
      </c>
      <c r="AT911" s="169"/>
      <c r="AU911" s="310"/>
      <c r="AV911" s="322"/>
      <c r="AW911" s="276"/>
      <c r="AX911" s="276"/>
      <c r="AY911" s="276"/>
      <c r="AZ911" s="276"/>
      <c r="BA911" s="276"/>
      <c r="BB911" s="276"/>
      <c r="BC911" s="276"/>
      <c r="BD911" s="276"/>
      <c r="BE911" s="276"/>
      <c r="BF911" s="400">
        <v>0.06</v>
      </c>
      <c r="BG911" s="382"/>
      <c r="BH911" s="278"/>
      <c r="BI911" s="365"/>
    </row>
    <row r="912" spans="1:61" ht="15.75" customHeight="1" thickBot="1" x14ac:dyDescent="0.25">
      <c r="A912" s="156">
        <v>913</v>
      </c>
      <c r="B912" s="155">
        <v>2</v>
      </c>
      <c r="C912" s="148" t="s">
        <v>236</v>
      </c>
      <c r="D912" s="141" t="s">
        <v>1739</v>
      </c>
      <c r="E912" s="148"/>
      <c r="F912" s="148"/>
      <c r="G912" s="148"/>
      <c r="H912" s="148" t="s">
        <v>700</v>
      </c>
      <c r="I912" s="161">
        <v>2011</v>
      </c>
      <c r="J912" s="161" t="s">
        <v>2910</v>
      </c>
      <c r="K912" s="161"/>
      <c r="L912" s="161" t="s">
        <v>19</v>
      </c>
      <c r="M912" s="453" t="s">
        <v>4284</v>
      </c>
      <c r="N912" s="186"/>
      <c r="O912" s="186"/>
      <c r="P912" s="186"/>
      <c r="Q912" s="186"/>
      <c r="R912" s="186"/>
      <c r="S912" s="186"/>
      <c r="T912" s="186"/>
      <c r="U912" s="186"/>
      <c r="V912" s="186"/>
      <c r="W912" s="186"/>
      <c r="X912" s="186"/>
      <c r="Y912" s="186"/>
      <c r="Z912" s="186"/>
      <c r="AA912" s="186"/>
      <c r="AB912" s="186"/>
      <c r="AC912" s="186"/>
      <c r="AD912" s="268"/>
      <c r="AE912" s="268"/>
      <c r="AF912" s="144">
        <f t="shared" si="67"/>
        <v>6.1</v>
      </c>
      <c r="AG912" s="144" t="str">
        <f t="shared" si="66"/>
        <v/>
      </c>
      <c r="AH912" s="146">
        <f t="shared" si="68"/>
        <v>0.48</v>
      </c>
      <c r="AI912" s="146" t="str">
        <f t="shared" si="69"/>
        <v/>
      </c>
      <c r="AJ912" s="313"/>
      <c r="AK912" s="313"/>
      <c r="AL912" s="313"/>
      <c r="AM912" s="313"/>
      <c r="AN912" s="313"/>
      <c r="AO912" s="313"/>
      <c r="AP912" s="313"/>
      <c r="AQ912" s="313"/>
      <c r="AR912" s="313"/>
      <c r="AS912" s="176">
        <v>6.1</v>
      </c>
      <c r="AT912" s="169"/>
      <c r="AU912" s="310"/>
      <c r="AV912" s="322"/>
      <c r="AW912" s="276"/>
      <c r="AX912" s="276"/>
      <c r="AY912" s="276"/>
      <c r="AZ912" s="276"/>
      <c r="BA912" s="276"/>
      <c r="BB912" s="276"/>
      <c r="BC912" s="276"/>
      <c r="BD912" s="276"/>
      <c r="BE912" s="276"/>
      <c r="BF912" s="400">
        <v>0.48</v>
      </c>
      <c r="BG912" s="382"/>
      <c r="BH912" s="278"/>
      <c r="BI912" s="365"/>
    </row>
    <row r="913" spans="1:61" ht="15.75" customHeight="1" thickBot="1" x14ac:dyDescent="0.25">
      <c r="A913" s="156">
        <v>914</v>
      </c>
      <c r="B913" s="155">
        <v>2</v>
      </c>
      <c r="C913" s="148" t="s">
        <v>236</v>
      </c>
      <c r="D913" s="141" t="s">
        <v>1739</v>
      </c>
      <c r="E913" s="148"/>
      <c r="F913" s="148"/>
      <c r="G913" s="148"/>
      <c r="H913" s="148" t="s">
        <v>165</v>
      </c>
      <c r="I913" s="161">
        <v>2011</v>
      </c>
      <c r="J913" s="161" t="s">
        <v>2910</v>
      </c>
      <c r="K913" s="161"/>
      <c r="L913" s="161" t="s">
        <v>19</v>
      </c>
      <c r="M913" s="453" t="s">
        <v>4284</v>
      </c>
      <c r="N913" s="186"/>
      <c r="O913" s="186"/>
      <c r="P913" s="186"/>
      <c r="Q913" s="186"/>
      <c r="R913" s="186"/>
      <c r="S913" s="186"/>
      <c r="T913" s="186"/>
      <c r="U913" s="186"/>
      <c r="V913" s="186"/>
      <c r="W913" s="186"/>
      <c r="X913" s="186"/>
      <c r="Y913" s="186"/>
      <c r="Z913" s="186"/>
      <c r="AA913" s="186"/>
      <c r="AB913" s="186"/>
      <c r="AC913" s="186"/>
      <c r="AD913" s="268"/>
      <c r="AE913" s="268"/>
      <c r="AF913" s="144">
        <f t="shared" si="67"/>
        <v>1.6</v>
      </c>
      <c r="AG913" s="144" t="str">
        <f t="shared" si="66"/>
        <v/>
      </c>
      <c r="AH913" s="146">
        <f t="shared" si="68"/>
        <v>0.12</v>
      </c>
      <c r="AI913" s="146" t="str">
        <f t="shared" si="69"/>
        <v/>
      </c>
      <c r="AJ913" s="313"/>
      <c r="AK913" s="313"/>
      <c r="AL913" s="313"/>
      <c r="AM913" s="313"/>
      <c r="AN913" s="313"/>
      <c r="AO913" s="313"/>
      <c r="AP913" s="313"/>
      <c r="AQ913" s="313"/>
      <c r="AR913" s="313"/>
      <c r="AS913" s="176">
        <v>1.6</v>
      </c>
      <c r="AT913" s="169"/>
      <c r="AU913" s="310"/>
      <c r="AV913" s="322"/>
      <c r="AW913" s="276"/>
      <c r="AX913" s="276"/>
      <c r="AY913" s="276"/>
      <c r="AZ913" s="276"/>
      <c r="BA913" s="276"/>
      <c r="BB913" s="276"/>
      <c r="BC913" s="276"/>
      <c r="BD913" s="276"/>
      <c r="BE913" s="276"/>
      <c r="BF913" s="400">
        <v>0.12</v>
      </c>
      <c r="BG913" s="382"/>
      <c r="BH913" s="278"/>
      <c r="BI913" s="365"/>
    </row>
    <row r="914" spans="1:61" ht="15.75" customHeight="1" thickBot="1" x14ac:dyDescent="0.25">
      <c r="A914" s="156">
        <v>915</v>
      </c>
      <c r="B914" s="155">
        <v>2</v>
      </c>
      <c r="C914" s="148" t="s">
        <v>236</v>
      </c>
      <c r="D914" s="148" t="s">
        <v>2769</v>
      </c>
      <c r="E914" s="148"/>
      <c r="F914" s="148"/>
      <c r="G914" s="148"/>
      <c r="H914" s="148" t="s">
        <v>351</v>
      </c>
      <c r="I914" s="161">
        <v>2011</v>
      </c>
      <c r="J914" s="161" t="s">
        <v>2910</v>
      </c>
      <c r="K914" s="161"/>
      <c r="L914" s="161" t="s">
        <v>19</v>
      </c>
      <c r="M914" s="453" t="s">
        <v>4284</v>
      </c>
      <c r="N914" s="186"/>
      <c r="O914" s="186"/>
      <c r="P914" s="186"/>
      <c r="Q914" s="186"/>
      <c r="R914" s="186"/>
      <c r="S914" s="186"/>
      <c r="T914" s="186"/>
      <c r="U914" s="186"/>
      <c r="V914" s="186"/>
      <c r="W914" s="186"/>
      <c r="X914" s="186"/>
      <c r="Y914" s="186"/>
      <c r="Z914" s="186"/>
      <c r="AA914" s="186"/>
      <c r="AB914" s="186"/>
      <c r="AC914" s="186"/>
      <c r="AD914" s="268"/>
      <c r="AE914" s="268"/>
      <c r="AF914" s="144">
        <f t="shared" si="67"/>
        <v>3.7</v>
      </c>
      <c r="AG914" s="144" t="str">
        <f t="shared" si="66"/>
        <v/>
      </c>
      <c r="AH914" s="146">
        <f t="shared" si="68"/>
        <v>0.33</v>
      </c>
      <c r="AI914" s="146" t="str">
        <f t="shared" si="69"/>
        <v/>
      </c>
      <c r="AJ914" s="313"/>
      <c r="AK914" s="313"/>
      <c r="AL914" s="313"/>
      <c r="AM914" s="313"/>
      <c r="AN914" s="313"/>
      <c r="AO914" s="313"/>
      <c r="AP914" s="313"/>
      <c r="AQ914" s="313"/>
      <c r="AR914" s="313"/>
      <c r="AS914" s="176">
        <v>3.7</v>
      </c>
      <c r="AT914" s="169"/>
      <c r="AU914" s="310"/>
      <c r="AV914" s="322"/>
      <c r="AW914" s="276"/>
      <c r="AX914" s="276"/>
      <c r="AY914" s="276"/>
      <c r="AZ914" s="276"/>
      <c r="BA914" s="276"/>
      <c r="BB914" s="276"/>
      <c r="BC914" s="276"/>
      <c r="BD914" s="276"/>
      <c r="BE914" s="276"/>
      <c r="BF914" s="400">
        <v>0.33</v>
      </c>
      <c r="BG914" s="382"/>
      <c r="BH914" s="278"/>
      <c r="BI914" s="365"/>
    </row>
    <row r="915" spans="1:61" ht="15.75" customHeight="1" thickBot="1" x14ac:dyDescent="0.25">
      <c r="A915" s="156">
        <v>916</v>
      </c>
      <c r="B915" s="155">
        <v>2</v>
      </c>
      <c r="C915" s="148" t="s">
        <v>236</v>
      </c>
      <c r="D915" s="148" t="s">
        <v>2282</v>
      </c>
      <c r="E915" s="148"/>
      <c r="F915" s="148"/>
      <c r="G915" s="148"/>
      <c r="H915" s="148" t="s">
        <v>101</v>
      </c>
      <c r="I915" s="161">
        <v>2011</v>
      </c>
      <c r="J915" s="161" t="s">
        <v>2910</v>
      </c>
      <c r="K915" s="161"/>
      <c r="L915" s="161" t="s">
        <v>19</v>
      </c>
      <c r="M915" s="453" t="s">
        <v>4284</v>
      </c>
      <c r="N915" s="186"/>
      <c r="O915" s="186"/>
      <c r="P915" s="186"/>
      <c r="Q915" s="186"/>
      <c r="R915" s="186"/>
      <c r="S915" s="186"/>
      <c r="T915" s="186"/>
      <c r="U915" s="186"/>
      <c r="V915" s="186"/>
      <c r="W915" s="186"/>
      <c r="X915" s="186"/>
      <c r="Y915" s="186"/>
      <c r="Z915" s="186"/>
      <c r="AA915" s="186"/>
      <c r="AB915" s="186"/>
      <c r="AC915" s="186"/>
      <c r="AD915" s="268"/>
      <c r="AE915" s="268"/>
      <c r="AF915" s="144">
        <f t="shared" si="67"/>
        <v>2.8</v>
      </c>
      <c r="AG915" s="144" t="str">
        <f t="shared" ref="AG915:AG978" si="70">IF(AND(SUM(AJ915:AL915)&lt;&gt;0,SUM(AJ915:AL915)&lt;&gt;AJ915),SUM(AJ915:AL915),"")</f>
        <v/>
      </c>
      <c r="AH915" s="146">
        <f t="shared" si="68"/>
        <v>0.21</v>
      </c>
      <c r="AI915" s="146" t="str">
        <f t="shared" si="69"/>
        <v/>
      </c>
      <c r="AJ915" s="313"/>
      <c r="AK915" s="313"/>
      <c r="AL915" s="313"/>
      <c r="AM915" s="313"/>
      <c r="AN915" s="313"/>
      <c r="AO915" s="313"/>
      <c r="AP915" s="313"/>
      <c r="AQ915" s="313"/>
      <c r="AR915" s="313"/>
      <c r="AS915" s="176">
        <v>2.8</v>
      </c>
      <c r="AT915" s="169"/>
      <c r="AU915" s="310"/>
      <c r="AV915" s="322"/>
      <c r="AW915" s="276"/>
      <c r="AX915" s="276"/>
      <c r="AY915" s="276"/>
      <c r="AZ915" s="276"/>
      <c r="BA915" s="276"/>
      <c r="BB915" s="276"/>
      <c r="BC915" s="276"/>
      <c r="BD915" s="276"/>
      <c r="BE915" s="276"/>
      <c r="BF915" s="400">
        <v>0.21</v>
      </c>
      <c r="BG915" s="382"/>
      <c r="BH915" s="278"/>
      <c r="BI915" s="365"/>
    </row>
    <row r="916" spans="1:61" ht="15.75" customHeight="1" thickBot="1" x14ac:dyDescent="0.25">
      <c r="A916" s="156">
        <v>917</v>
      </c>
      <c r="B916" s="155">
        <v>2</v>
      </c>
      <c r="C916" s="148" t="s">
        <v>236</v>
      </c>
      <c r="D916" s="148" t="s">
        <v>2282</v>
      </c>
      <c r="E916" s="148"/>
      <c r="F916" s="148"/>
      <c r="G916" s="148"/>
      <c r="H916" s="148" t="s">
        <v>351</v>
      </c>
      <c r="I916" s="161">
        <v>2011</v>
      </c>
      <c r="J916" s="161" t="s">
        <v>2910</v>
      </c>
      <c r="K916" s="161"/>
      <c r="L916" s="161" t="s">
        <v>19</v>
      </c>
      <c r="M916" s="453" t="s">
        <v>4284</v>
      </c>
      <c r="N916" s="186"/>
      <c r="O916" s="186"/>
      <c r="P916" s="186"/>
      <c r="Q916" s="186"/>
      <c r="R916" s="186"/>
      <c r="S916" s="186"/>
      <c r="T916" s="186"/>
      <c r="U916" s="186"/>
      <c r="V916" s="186"/>
      <c r="W916" s="186"/>
      <c r="X916" s="186"/>
      <c r="Y916" s="186"/>
      <c r="Z916" s="186"/>
      <c r="AA916" s="186"/>
      <c r="AB916" s="186"/>
      <c r="AC916" s="186"/>
      <c r="AD916" s="268"/>
      <c r="AE916" s="268"/>
      <c r="AF916" s="144">
        <f t="shared" si="67"/>
        <v>5.4</v>
      </c>
      <c r="AG916" s="144" t="str">
        <f t="shared" si="70"/>
        <v/>
      </c>
      <c r="AH916" s="146">
        <f t="shared" si="68"/>
        <v>0.55000000000000004</v>
      </c>
      <c r="AI916" s="146" t="str">
        <f t="shared" si="69"/>
        <v/>
      </c>
      <c r="AJ916" s="313"/>
      <c r="AK916" s="313"/>
      <c r="AL916" s="313"/>
      <c r="AM916" s="313"/>
      <c r="AN916" s="313"/>
      <c r="AO916" s="313"/>
      <c r="AP916" s="313"/>
      <c r="AQ916" s="313"/>
      <c r="AR916" s="313"/>
      <c r="AS916" s="176">
        <v>5.4</v>
      </c>
      <c r="AT916" s="169"/>
      <c r="AU916" s="310"/>
      <c r="AV916" s="322"/>
      <c r="AW916" s="276"/>
      <c r="AX916" s="276"/>
      <c r="AY916" s="276"/>
      <c r="AZ916" s="276"/>
      <c r="BA916" s="276"/>
      <c r="BB916" s="276"/>
      <c r="BC916" s="276"/>
      <c r="BD916" s="276"/>
      <c r="BE916" s="276"/>
      <c r="BF916" s="400">
        <v>0.55000000000000004</v>
      </c>
      <c r="BG916" s="382"/>
      <c r="BH916" s="278"/>
      <c r="BI916" s="365"/>
    </row>
    <row r="917" spans="1:61" ht="15.75" customHeight="1" thickBot="1" x14ac:dyDescent="0.25">
      <c r="A917" s="156">
        <v>918</v>
      </c>
      <c r="B917" s="155">
        <v>2</v>
      </c>
      <c r="C917" s="148" t="s">
        <v>236</v>
      </c>
      <c r="D917" s="148" t="s">
        <v>1769</v>
      </c>
      <c r="E917" s="148"/>
      <c r="F917" s="148"/>
      <c r="G917" s="148"/>
      <c r="H917" s="148" t="s">
        <v>2941</v>
      </c>
      <c r="I917" s="161"/>
      <c r="J917" s="165" t="s">
        <v>2937</v>
      </c>
      <c r="K917" s="161"/>
      <c r="L917" s="161"/>
      <c r="M917" s="453" t="s">
        <v>4281</v>
      </c>
      <c r="N917" s="186"/>
      <c r="O917" s="186"/>
      <c r="P917" s="186"/>
      <c r="Q917" s="186"/>
      <c r="R917" s="186"/>
      <c r="S917" s="186"/>
      <c r="T917" s="186"/>
      <c r="U917" s="186"/>
      <c r="V917" s="186"/>
      <c r="W917" s="186"/>
      <c r="X917" s="186"/>
      <c r="Y917" s="186"/>
      <c r="Z917" s="186"/>
      <c r="AA917" s="186"/>
      <c r="AB917" s="186"/>
      <c r="AC917" s="186"/>
      <c r="AD917" s="268"/>
      <c r="AE917" s="268"/>
      <c r="AF917" s="144">
        <f t="shared" si="67"/>
        <v>0.97439113229999996</v>
      </c>
      <c r="AG917" s="144" t="str">
        <f t="shared" si="70"/>
        <v/>
      </c>
      <c r="AH917" s="146">
        <f t="shared" si="68"/>
        <v>8.1206746999999996E-2</v>
      </c>
      <c r="AI917" s="146" t="str">
        <f t="shared" si="69"/>
        <v/>
      </c>
      <c r="AJ917" s="313"/>
      <c r="AK917" s="313"/>
      <c r="AL917" s="313"/>
      <c r="AM917" s="313"/>
      <c r="AN917" s="313"/>
      <c r="AO917" s="313"/>
      <c r="AP917" s="313"/>
      <c r="AQ917" s="313"/>
      <c r="AR917" s="313"/>
      <c r="AS917" s="287">
        <v>0.97439113229999996</v>
      </c>
      <c r="AT917" s="169"/>
      <c r="AU917" s="310"/>
      <c r="AV917" s="322"/>
      <c r="AW917" s="276"/>
      <c r="AX917" s="276"/>
      <c r="AY917" s="276"/>
      <c r="AZ917" s="276"/>
      <c r="BA917" s="276"/>
      <c r="BB917" s="276"/>
      <c r="BC917" s="276"/>
      <c r="BD917" s="276"/>
      <c r="BE917" s="276"/>
      <c r="BF917" s="401">
        <v>8.1206746999999996E-2</v>
      </c>
      <c r="BG917" s="382"/>
      <c r="BH917" s="278"/>
      <c r="BI917" s="365"/>
    </row>
    <row r="918" spans="1:61" ht="15.75" customHeight="1" thickBot="1" x14ac:dyDescent="0.25">
      <c r="A918" s="156">
        <v>919</v>
      </c>
      <c r="B918" s="155">
        <v>2</v>
      </c>
      <c r="C918" s="148" t="s">
        <v>236</v>
      </c>
      <c r="D918" s="148" t="s">
        <v>1769</v>
      </c>
      <c r="E918" s="148"/>
      <c r="F918" s="148"/>
      <c r="G918" s="148"/>
      <c r="H918" s="148" t="s">
        <v>2942</v>
      </c>
      <c r="I918" s="161"/>
      <c r="J918" s="165" t="s">
        <v>2938</v>
      </c>
      <c r="K918" s="161"/>
      <c r="L918" s="161"/>
      <c r="M918" s="453" t="s">
        <v>4281</v>
      </c>
      <c r="N918" s="186"/>
      <c r="O918" s="186"/>
      <c r="P918" s="186"/>
      <c r="Q918" s="186"/>
      <c r="R918" s="186"/>
      <c r="S918" s="186"/>
      <c r="T918" s="186"/>
      <c r="U918" s="186"/>
      <c r="V918" s="186"/>
      <c r="W918" s="186"/>
      <c r="X918" s="186"/>
      <c r="Y918" s="186"/>
      <c r="Z918" s="186"/>
      <c r="AA918" s="186"/>
      <c r="AB918" s="186"/>
      <c r="AC918" s="186"/>
      <c r="AD918" s="268"/>
      <c r="AE918" s="268"/>
      <c r="AF918" s="144">
        <f t="shared" si="67"/>
        <v>3.3026936950999999</v>
      </c>
      <c r="AG918" s="144" t="str">
        <f t="shared" si="70"/>
        <v/>
      </c>
      <c r="AH918" s="146">
        <f t="shared" si="68"/>
        <v>0.26266316000000001</v>
      </c>
      <c r="AI918" s="146" t="str">
        <f t="shared" si="69"/>
        <v/>
      </c>
      <c r="AJ918" s="313"/>
      <c r="AK918" s="313"/>
      <c r="AL918" s="313"/>
      <c r="AM918" s="313"/>
      <c r="AN918" s="313"/>
      <c r="AO918" s="313"/>
      <c r="AP918" s="313"/>
      <c r="AQ918" s="313"/>
      <c r="AR918" s="313"/>
      <c r="AS918" s="287">
        <v>3.3026936950999999</v>
      </c>
      <c r="AT918" s="169"/>
      <c r="AU918" s="310"/>
      <c r="AV918" s="322"/>
      <c r="AW918" s="276"/>
      <c r="AX918" s="276"/>
      <c r="AY918" s="276"/>
      <c r="AZ918" s="276"/>
      <c r="BA918" s="276"/>
      <c r="BB918" s="276"/>
      <c r="BC918" s="276"/>
      <c r="BD918" s="276"/>
      <c r="BE918" s="276"/>
      <c r="BF918" s="401">
        <v>0.26266316000000001</v>
      </c>
      <c r="BG918" s="382"/>
      <c r="BH918" s="278"/>
      <c r="BI918" s="365"/>
    </row>
    <row r="919" spans="1:61" ht="15.75" customHeight="1" thickBot="1" x14ac:dyDescent="0.25">
      <c r="A919" s="156">
        <v>920</v>
      </c>
      <c r="B919" s="155">
        <v>2</v>
      </c>
      <c r="C919" s="148" t="s">
        <v>236</v>
      </c>
      <c r="D919" s="148" t="s">
        <v>1769</v>
      </c>
      <c r="E919" s="148"/>
      <c r="F919" s="148"/>
      <c r="G919" s="148"/>
      <c r="H919" s="148" t="s">
        <v>2943</v>
      </c>
      <c r="I919" s="161"/>
      <c r="J919" s="165" t="s">
        <v>2939</v>
      </c>
      <c r="K919" s="161"/>
      <c r="L919" s="161"/>
      <c r="M919" s="453" t="s">
        <v>4281</v>
      </c>
      <c r="N919" s="186"/>
      <c r="O919" s="186"/>
      <c r="P919" s="186"/>
      <c r="Q919" s="186"/>
      <c r="R919" s="186"/>
      <c r="S919" s="186"/>
      <c r="T919" s="186"/>
      <c r="U919" s="186"/>
      <c r="V919" s="186"/>
      <c r="W919" s="186"/>
      <c r="X919" s="186"/>
      <c r="Y919" s="186"/>
      <c r="Z919" s="186"/>
      <c r="AA919" s="186"/>
      <c r="AB919" s="186"/>
      <c r="AC919" s="186"/>
      <c r="AD919" s="268"/>
      <c r="AE919" s="268"/>
      <c r="AF919" s="144">
        <f t="shared" si="67"/>
        <v>3.1540473375000002</v>
      </c>
      <c r="AG919" s="144" t="str">
        <f t="shared" si="70"/>
        <v/>
      </c>
      <c r="AH919" s="146">
        <f t="shared" si="68"/>
        <v>0.26752540000000002</v>
      </c>
      <c r="AI919" s="146" t="str">
        <f t="shared" si="69"/>
        <v/>
      </c>
      <c r="AJ919" s="313"/>
      <c r="AK919" s="313"/>
      <c r="AL919" s="313"/>
      <c r="AM919" s="313"/>
      <c r="AN919" s="313"/>
      <c r="AO919" s="313"/>
      <c r="AP919" s="313"/>
      <c r="AQ919" s="313"/>
      <c r="AR919" s="313"/>
      <c r="AS919" s="287">
        <v>3.1540473375000002</v>
      </c>
      <c r="AT919" s="169"/>
      <c r="AU919" s="310"/>
      <c r="AV919" s="322"/>
      <c r="AW919" s="276"/>
      <c r="AX919" s="276"/>
      <c r="AY919" s="276"/>
      <c r="AZ919" s="276"/>
      <c r="BA919" s="276"/>
      <c r="BB919" s="276"/>
      <c r="BC919" s="276"/>
      <c r="BD919" s="276"/>
      <c r="BE919" s="276"/>
      <c r="BF919" s="401">
        <v>0.26752540000000002</v>
      </c>
      <c r="BG919" s="382"/>
      <c r="BH919" s="278"/>
      <c r="BI919" s="365"/>
    </row>
    <row r="920" spans="1:61" ht="15.75" customHeight="1" thickBot="1" x14ac:dyDescent="0.25">
      <c r="A920" s="156">
        <v>921</v>
      </c>
      <c r="B920" s="155">
        <v>2</v>
      </c>
      <c r="C920" s="148" t="s">
        <v>236</v>
      </c>
      <c r="D920" s="148" t="s">
        <v>1769</v>
      </c>
      <c r="E920" s="148"/>
      <c r="F920" s="148"/>
      <c r="G920" s="148"/>
      <c r="H920" s="148" t="s">
        <v>2870</v>
      </c>
      <c r="I920" s="161"/>
      <c r="J920" s="165" t="s">
        <v>2940</v>
      </c>
      <c r="K920" s="161"/>
      <c r="L920" s="161"/>
      <c r="M920" s="453" t="s">
        <v>4281</v>
      </c>
      <c r="N920" s="186"/>
      <c r="O920" s="186"/>
      <c r="P920" s="186"/>
      <c r="Q920" s="186"/>
      <c r="R920" s="186"/>
      <c r="S920" s="186"/>
      <c r="T920" s="186"/>
      <c r="U920" s="186"/>
      <c r="V920" s="186"/>
      <c r="W920" s="186"/>
      <c r="X920" s="186"/>
      <c r="Y920" s="186"/>
      <c r="Z920" s="186"/>
      <c r="AA920" s="186"/>
      <c r="AB920" s="186"/>
      <c r="AC920" s="186"/>
      <c r="AD920" s="268"/>
      <c r="AE920" s="268"/>
      <c r="AF920" s="144">
        <f t="shared" si="67"/>
        <v>2.6421060044000004</v>
      </c>
      <c r="AG920" s="144" t="str">
        <f t="shared" si="70"/>
        <v/>
      </c>
      <c r="AH920" s="146">
        <f t="shared" si="68"/>
        <v>0.26593591</v>
      </c>
      <c r="AI920" s="146" t="str">
        <f t="shared" si="69"/>
        <v/>
      </c>
      <c r="AJ920" s="313"/>
      <c r="AK920" s="313"/>
      <c r="AL920" s="313"/>
      <c r="AM920" s="313"/>
      <c r="AN920" s="313"/>
      <c r="AO920" s="313"/>
      <c r="AP920" s="313"/>
      <c r="AQ920" s="313"/>
      <c r="AR920" s="313"/>
      <c r="AS920" s="287">
        <v>2.6421060044000004</v>
      </c>
      <c r="AT920" s="169"/>
      <c r="AU920" s="310"/>
      <c r="AV920" s="322"/>
      <c r="AW920" s="276"/>
      <c r="AX920" s="276"/>
      <c r="AY920" s="276"/>
      <c r="AZ920" s="276"/>
      <c r="BA920" s="276"/>
      <c r="BB920" s="276"/>
      <c r="BC920" s="276"/>
      <c r="BD920" s="276"/>
      <c r="BE920" s="276"/>
      <c r="BF920" s="401">
        <v>0.26593591</v>
      </c>
      <c r="BG920" s="382"/>
      <c r="BH920" s="278"/>
      <c r="BI920" s="365"/>
    </row>
    <row r="921" spans="1:61" ht="15.75" customHeight="1" thickBot="1" x14ac:dyDescent="0.25">
      <c r="A921" s="156">
        <v>922</v>
      </c>
      <c r="B921" s="155">
        <v>2</v>
      </c>
      <c r="C921" s="148" t="s">
        <v>162</v>
      </c>
      <c r="D921" s="148" t="s">
        <v>2944</v>
      </c>
      <c r="E921" s="148"/>
      <c r="F921" s="148"/>
      <c r="G921" s="148"/>
      <c r="H921" s="148" t="s">
        <v>2876</v>
      </c>
      <c r="I921" s="161"/>
      <c r="J921" s="165" t="s">
        <v>2945</v>
      </c>
      <c r="K921" s="161"/>
      <c r="L921" s="161"/>
      <c r="M921" s="453" t="s">
        <v>4282</v>
      </c>
      <c r="N921" s="186"/>
      <c r="O921" s="186"/>
      <c r="P921" s="186"/>
      <c r="Q921" s="186"/>
      <c r="R921" s="186"/>
      <c r="S921" s="186"/>
      <c r="T921" s="186"/>
      <c r="U921" s="186"/>
      <c r="V921" s="186"/>
      <c r="W921" s="186"/>
      <c r="X921" s="186"/>
      <c r="Y921" s="186"/>
      <c r="Z921" s="186"/>
      <c r="AA921" s="186"/>
      <c r="AB921" s="186"/>
      <c r="AC921" s="186"/>
      <c r="AD921" s="268"/>
      <c r="AE921" s="268"/>
      <c r="AF921" s="144" t="str">
        <f t="shared" si="67"/>
        <v/>
      </c>
      <c r="AG921" s="144">
        <f t="shared" si="70"/>
        <v>6.7838162000000004</v>
      </c>
      <c r="AH921" s="146" t="str">
        <f t="shared" si="68"/>
        <v/>
      </c>
      <c r="AI921" s="146">
        <f t="shared" si="69"/>
        <v>0.93291893999999997</v>
      </c>
      <c r="AJ921" s="313"/>
      <c r="AK921" s="313"/>
      <c r="AL921" s="314">
        <v>6.7838162000000004</v>
      </c>
      <c r="AM921" s="313"/>
      <c r="AN921" s="313"/>
      <c r="AO921" s="313"/>
      <c r="AP921" s="313"/>
      <c r="AQ921" s="313"/>
      <c r="AR921" s="313"/>
      <c r="AS921" s="176"/>
      <c r="AT921" s="175">
        <f>SUM(AJ921:AR921)</f>
        <v>6.7838162000000004</v>
      </c>
      <c r="AU921" s="310"/>
      <c r="AV921" s="337"/>
      <c r="AW921" s="276"/>
      <c r="AX921" s="276"/>
      <c r="AY921" s="279">
        <v>0.93291893999999997</v>
      </c>
      <c r="AZ921" s="276"/>
      <c r="BA921" s="276"/>
      <c r="BB921" s="276"/>
      <c r="BC921" s="276"/>
      <c r="BD921" s="276"/>
      <c r="BE921" s="276"/>
      <c r="BF921" s="400"/>
      <c r="BG921" s="389">
        <f>SUM(AW921:BE921)</f>
        <v>0.93291893999999997</v>
      </c>
      <c r="BH921" s="278"/>
      <c r="BI921" s="365"/>
    </row>
    <row r="922" spans="1:61" ht="15.75" customHeight="1" thickBot="1" x14ac:dyDescent="0.25">
      <c r="A922" s="156">
        <v>923</v>
      </c>
      <c r="B922" s="155">
        <v>2</v>
      </c>
      <c r="C922" s="148" t="s">
        <v>162</v>
      </c>
      <c r="D922" s="148" t="s">
        <v>2944</v>
      </c>
      <c r="E922" s="148"/>
      <c r="F922" s="148"/>
      <c r="G922" s="148"/>
      <c r="H922" s="148" t="s">
        <v>2901</v>
      </c>
      <c r="I922" s="161"/>
      <c r="J922" s="165" t="s">
        <v>2946</v>
      </c>
      <c r="K922" s="161"/>
      <c r="L922" s="161"/>
      <c r="M922" s="453" t="s">
        <v>4282</v>
      </c>
      <c r="N922" s="186"/>
      <c r="O922" s="186"/>
      <c r="P922" s="186"/>
      <c r="Q922" s="186"/>
      <c r="R922" s="186"/>
      <c r="S922" s="186"/>
      <c r="T922" s="186"/>
      <c r="U922" s="186"/>
      <c r="V922" s="186"/>
      <c r="W922" s="186"/>
      <c r="X922" s="186"/>
      <c r="Y922" s="186"/>
      <c r="Z922" s="186"/>
      <c r="AA922" s="186"/>
      <c r="AB922" s="186"/>
      <c r="AC922" s="186"/>
      <c r="AD922" s="268"/>
      <c r="AE922" s="268"/>
      <c r="AF922" s="144" t="str">
        <f t="shared" si="67"/>
        <v/>
      </c>
      <c r="AG922" s="144">
        <f t="shared" si="70"/>
        <v>6.4781129000000002</v>
      </c>
      <c r="AH922" s="146" t="str">
        <f t="shared" si="68"/>
        <v/>
      </c>
      <c r="AI922" s="146">
        <f t="shared" si="69"/>
        <v>0.97211035000000001</v>
      </c>
      <c r="AJ922" s="313"/>
      <c r="AK922" s="313"/>
      <c r="AL922" s="314">
        <v>6.4781129000000002</v>
      </c>
      <c r="AM922" s="313"/>
      <c r="AN922" s="313"/>
      <c r="AO922" s="313"/>
      <c r="AP922" s="313"/>
      <c r="AQ922" s="313"/>
      <c r="AR922" s="313"/>
      <c r="AS922" s="176"/>
      <c r="AT922" s="175">
        <f>SUM(AJ922:AR922)</f>
        <v>6.4781129000000002</v>
      </c>
      <c r="AU922" s="310"/>
      <c r="AV922" s="337"/>
      <c r="AW922" s="276"/>
      <c r="AX922" s="276"/>
      <c r="AY922" s="279">
        <v>0.97211035000000001</v>
      </c>
      <c r="AZ922" s="276"/>
      <c r="BA922" s="276"/>
      <c r="BB922" s="276"/>
      <c r="BC922" s="276"/>
      <c r="BD922" s="276"/>
      <c r="BE922" s="276"/>
      <c r="BF922" s="400"/>
      <c r="BG922" s="389">
        <f>SUM(AW922:BE922)</f>
        <v>0.97211035000000001</v>
      </c>
      <c r="BH922" s="278"/>
      <c r="BI922" s="365"/>
    </row>
    <row r="923" spans="1:61" ht="15.75" customHeight="1" thickBot="1" x14ac:dyDescent="0.25">
      <c r="A923" s="156">
        <v>924</v>
      </c>
      <c r="B923" s="155">
        <v>2</v>
      </c>
      <c r="C923" s="148" t="s">
        <v>162</v>
      </c>
      <c r="D923" s="148" t="s">
        <v>1872</v>
      </c>
      <c r="E923" s="148"/>
      <c r="F923" s="148"/>
      <c r="G923" s="148"/>
      <c r="H923" s="148"/>
      <c r="I923" s="161"/>
      <c r="J923" s="161" t="s">
        <v>2947</v>
      </c>
      <c r="K923" s="161"/>
      <c r="L923" s="161"/>
      <c r="M923" s="453" t="s">
        <v>4281</v>
      </c>
      <c r="N923" s="186"/>
      <c r="O923" s="186"/>
      <c r="P923" s="186"/>
      <c r="Q923" s="186"/>
      <c r="R923" s="186"/>
      <c r="S923" s="186"/>
      <c r="T923" s="186"/>
      <c r="U923" s="186"/>
      <c r="V923" s="186"/>
      <c r="W923" s="186"/>
      <c r="X923" s="186"/>
      <c r="Y923" s="186"/>
      <c r="Z923" s="186"/>
      <c r="AA923" s="186"/>
      <c r="AB923" s="186"/>
      <c r="AC923" s="186"/>
      <c r="AD923" s="268"/>
      <c r="AE923" s="268"/>
      <c r="AF923" s="144">
        <f t="shared" si="67"/>
        <v>5.2511022999999994</v>
      </c>
      <c r="AG923" s="144" t="str">
        <f t="shared" si="70"/>
        <v/>
      </c>
      <c r="AH923" s="146">
        <f t="shared" si="68"/>
        <v>0.41115000000000002</v>
      </c>
      <c r="AI923" s="146" t="str">
        <f t="shared" si="69"/>
        <v/>
      </c>
      <c r="AJ923" s="313"/>
      <c r="AK923" s="313"/>
      <c r="AL923" s="313"/>
      <c r="AM923" s="313"/>
      <c r="AN923" s="313"/>
      <c r="AO923" s="313"/>
      <c r="AP923" s="313"/>
      <c r="AQ923" s="313"/>
      <c r="AR923" s="313"/>
      <c r="AS923" s="287">
        <f>4.6259+0.62412+0.0010823</f>
        <v>5.2511022999999994</v>
      </c>
      <c r="AT923" s="169"/>
      <c r="AU923" s="310"/>
      <c r="AV923" s="322"/>
      <c r="AW923" s="276"/>
      <c r="AX923" s="276"/>
      <c r="AY923" s="276"/>
      <c r="AZ923" s="276"/>
      <c r="BA923" s="276"/>
      <c r="BB923" s="276"/>
      <c r="BC923" s="276"/>
      <c r="BD923" s="276"/>
      <c r="BE923" s="276"/>
      <c r="BF923" s="446">
        <v>0.41115000000000002</v>
      </c>
      <c r="BG923" s="382"/>
      <c r="BH923" s="278"/>
      <c r="BI923" s="365"/>
    </row>
    <row r="924" spans="1:61" ht="15.75" customHeight="1" thickBot="1" x14ac:dyDescent="0.25">
      <c r="A924" s="156">
        <v>925</v>
      </c>
      <c r="B924" s="155">
        <v>2</v>
      </c>
      <c r="C924" s="148" t="s">
        <v>162</v>
      </c>
      <c r="D924" s="148" t="s">
        <v>2949</v>
      </c>
      <c r="E924" s="148"/>
      <c r="F924" s="148"/>
      <c r="G924" s="148"/>
      <c r="H924" s="148"/>
      <c r="I924" s="161"/>
      <c r="J924" s="161" t="s">
        <v>2948</v>
      </c>
      <c r="K924" s="161"/>
      <c r="L924" s="161"/>
      <c r="M924" s="453" t="s">
        <v>4281</v>
      </c>
      <c r="N924" s="186"/>
      <c r="O924" s="186"/>
      <c r="P924" s="186"/>
      <c r="Q924" s="186"/>
      <c r="R924" s="186"/>
      <c r="S924" s="186"/>
      <c r="T924" s="186"/>
      <c r="U924" s="186"/>
      <c r="V924" s="186"/>
      <c r="W924" s="186"/>
      <c r="X924" s="186"/>
      <c r="Y924" s="186"/>
      <c r="Z924" s="186"/>
      <c r="AA924" s="186"/>
      <c r="AB924" s="186"/>
      <c r="AC924" s="186"/>
      <c r="AD924" s="268"/>
      <c r="AE924" s="268"/>
      <c r="AF924" s="144">
        <f t="shared" si="67"/>
        <v>1.9850391699999999</v>
      </c>
      <c r="AG924" s="144" t="str">
        <f t="shared" si="70"/>
        <v/>
      </c>
      <c r="AH924" s="146">
        <f t="shared" si="68"/>
        <v>0.15075</v>
      </c>
      <c r="AI924" s="146" t="str">
        <f t="shared" si="69"/>
        <v/>
      </c>
      <c r="AJ924" s="313"/>
      <c r="AK924" s="313"/>
      <c r="AL924" s="313"/>
      <c r="AM924" s="313"/>
      <c r="AN924" s="313"/>
      <c r="AO924" s="313"/>
      <c r="AP924" s="313"/>
      <c r="AQ924" s="313"/>
      <c r="AR924" s="313"/>
      <c r="AS924" s="176">
        <f>1.9163+0.068475+0.00026417</f>
        <v>1.9850391699999999</v>
      </c>
      <c r="AT924" s="169"/>
      <c r="AU924" s="310"/>
      <c r="AV924" s="322"/>
      <c r="AW924" s="276"/>
      <c r="AX924" s="276"/>
      <c r="AY924" s="276"/>
      <c r="AZ924" s="276"/>
      <c r="BA924" s="276"/>
      <c r="BB924" s="276"/>
      <c r="BC924" s="276"/>
      <c r="BD924" s="276"/>
      <c r="BE924" s="276"/>
      <c r="BF924" s="400">
        <v>0.15075</v>
      </c>
      <c r="BG924" s="382"/>
      <c r="BH924" s="278"/>
      <c r="BI924" s="365"/>
    </row>
    <row r="925" spans="1:61" ht="15.75" customHeight="1" thickBot="1" x14ac:dyDescent="0.25">
      <c r="A925" s="156">
        <v>926</v>
      </c>
      <c r="B925" s="155">
        <v>2</v>
      </c>
      <c r="C925" s="148" t="s">
        <v>596</v>
      </c>
      <c r="D925" s="141" t="s">
        <v>2272</v>
      </c>
      <c r="E925" s="148"/>
      <c r="F925" s="148"/>
      <c r="G925" s="148"/>
      <c r="H925" s="148" t="s">
        <v>2951</v>
      </c>
      <c r="I925" s="161"/>
      <c r="J925" s="161" t="s">
        <v>2950</v>
      </c>
      <c r="K925" s="161"/>
      <c r="L925" s="161"/>
      <c r="M925" s="453" t="s">
        <v>4281</v>
      </c>
      <c r="N925" s="186"/>
      <c r="O925" s="186"/>
      <c r="P925" s="186"/>
      <c r="Q925" s="186"/>
      <c r="R925" s="186"/>
      <c r="S925" s="186"/>
      <c r="T925" s="186"/>
      <c r="U925" s="186"/>
      <c r="V925" s="186"/>
      <c r="W925" s="186"/>
      <c r="X925" s="186"/>
      <c r="Y925" s="186"/>
      <c r="Z925" s="186"/>
      <c r="AA925" s="186"/>
      <c r="AB925" s="186"/>
      <c r="AC925" s="186"/>
      <c r="AD925" s="268"/>
      <c r="AE925" s="268"/>
      <c r="AF925" s="144" t="str">
        <f t="shared" si="67"/>
        <v/>
      </c>
      <c r="AG925" s="144">
        <f t="shared" si="70"/>
        <v>1.6030119999999999</v>
      </c>
      <c r="AH925" s="146" t="str">
        <f t="shared" si="68"/>
        <v/>
      </c>
      <c r="AI925" s="146">
        <f t="shared" si="69"/>
        <v>0.15309</v>
      </c>
      <c r="AJ925" s="313"/>
      <c r="AK925" s="313"/>
      <c r="AL925" s="310">
        <f>1.4946+0.054206+0.054206</f>
        <v>1.6030119999999999</v>
      </c>
      <c r="AM925" s="313"/>
      <c r="AN925" s="313"/>
      <c r="AO925" s="313"/>
      <c r="AP925" s="313"/>
      <c r="AQ925" s="313"/>
      <c r="AR925" s="313"/>
      <c r="AS925" s="287"/>
      <c r="AT925" s="175">
        <f>SUM(AJ925:AR925)</f>
        <v>1.6030119999999999</v>
      </c>
      <c r="AU925" s="310"/>
      <c r="AV925" s="322"/>
      <c r="AW925" s="276"/>
      <c r="AX925" s="276"/>
      <c r="AY925" s="278">
        <v>0.15309</v>
      </c>
      <c r="AZ925" s="276"/>
      <c r="BA925" s="276"/>
      <c r="BB925" s="276"/>
      <c r="BC925" s="276"/>
      <c r="BD925" s="276"/>
      <c r="BE925" s="276"/>
      <c r="BF925" s="401"/>
      <c r="BG925" s="389">
        <f>SUM(AW925:BE925)</f>
        <v>0.15309</v>
      </c>
      <c r="BH925" s="278"/>
      <c r="BI925" s="365"/>
    </row>
    <row r="926" spans="1:61" ht="15.75" customHeight="1" thickBot="1" x14ac:dyDescent="0.25">
      <c r="A926" s="156">
        <v>927</v>
      </c>
      <c r="B926" s="155">
        <v>2</v>
      </c>
      <c r="C926" s="148" t="s">
        <v>596</v>
      </c>
      <c r="D926" s="141" t="s">
        <v>2272</v>
      </c>
      <c r="E926" s="148"/>
      <c r="F926" s="148"/>
      <c r="G926" s="148"/>
      <c r="H926" s="148" t="s">
        <v>2870</v>
      </c>
      <c r="I926" s="161"/>
      <c r="J926" s="161" t="s">
        <v>2952</v>
      </c>
      <c r="K926" s="161"/>
      <c r="L926" s="161"/>
      <c r="M926" s="453" t="s">
        <v>4281</v>
      </c>
      <c r="N926" s="186"/>
      <c r="O926" s="186"/>
      <c r="P926" s="186"/>
      <c r="Q926" s="186"/>
      <c r="R926" s="186"/>
      <c r="S926" s="186"/>
      <c r="T926" s="186"/>
      <c r="U926" s="186"/>
      <c r="V926" s="186"/>
      <c r="W926" s="186"/>
      <c r="X926" s="186"/>
      <c r="Y926" s="186"/>
      <c r="Z926" s="186"/>
      <c r="AA926" s="186"/>
      <c r="AB926" s="186"/>
      <c r="AC926" s="186"/>
      <c r="AD926" s="268"/>
      <c r="AE926" s="268"/>
      <c r="AF926" s="144" t="str">
        <f t="shared" si="67"/>
        <v/>
      </c>
      <c r="AG926" s="144">
        <f t="shared" si="70"/>
        <v>1.76278241</v>
      </c>
      <c r="AH926" s="146" t="str">
        <f t="shared" si="68"/>
        <v/>
      </c>
      <c r="AI926" s="146">
        <f t="shared" si="69"/>
        <v>0.16888</v>
      </c>
      <c r="AJ926" s="313"/>
      <c r="AK926" s="313"/>
      <c r="AL926" s="310">
        <f>1.6732+0.089422+0.00016041</f>
        <v>1.76278241</v>
      </c>
      <c r="AM926" s="313"/>
      <c r="AN926" s="313"/>
      <c r="AO926" s="313"/>
      <c r="AP926" s="313"/>
      <c r="AQ926" s="313"/>
      <c r="AR926" s="313"/>
      <c r="AS926" s="287"/>
      <c r="AT926" s="175">
        <f>SUM(AJ926:AR926)</f>
        <v>1.76278241</v>
      </c>
      <c r="AU926" s="310"/>
      <c r="AV926" s="322"/>
      <c r="AW926" s="276"/>
      <c r="AX926" s="276"/>
      <c r="AY926" s="278">
        <v>0.16888</v>
      </c>
      <c r="AZ926" s="276"/>
      <c r="BA926" s="276"/>
      <c r="BB926" s="276"/>
      <c r="BC926" s="276"/>
      <c r="BD926" s="276"/>
      <c r="BE926" s="276"/>
      <c r="BF926" s="401"/>
      <c r="BG926" s="389">
        <f>SUM(AW926:BE926)</f>
        <v>0.16888</v>
      </c>
      <c r="BH926" s="278"/>
      <c r="BI926" s="365"/>
    </row>
    <row r="927" spans="1:61" ht="15.75" customHeight="1" thickBot="1" x14ac:dyDescent="0.25">
      <c r="A927" s="156">
        <v>928</v>
      </c>
      <c r="B927" s="155">
        <v>2</v>
      </c>
      <c r="C927" s="148" t="s">
        <v>1110</v>
      </c>
      <c r="D927" s="148" t="s">
        <v>2954</v>
      </c>
      <c r="E927" s="148"/>
      <c r="F927" s="148"/>
      <c r="G927" s="148"/>
      <c r="H927" s="148"/>
      <c r="I927" s="161">
        <v>2008</v>
      </c>
      <c r="J927" s="161" t="s">
        <v>2953</v>
      </c>
      <c r="K927" s="161"/>
      <c r="L927" s="161"/>
      <c r="M927" s="453" t="s">
        <v>4274</v>
      </c>
      <c r="N927" s="186"/>
      <c r="O927" s="186"/>
      <c r="P927" s="186"/>
      <c r="Q927" s="186"/>
      <c r="R927" s="186"/>
      <c r="S927" s="186"/>
      <c r="T927" s="186"/>
      <c r="U927" s="186"/>
      <c r="V927" s="186"/>
      <c r="W927" s="186"/>
      <c r="X927" s="186"/>
      <c r="Y927" s="186"/>
      <c r="Z927" s="186"/>
      <c r="AA927" s="186"/>
      <c r="AB927" s="186"/>
      <c r="AC927" s="186"/>
      <c r="AD927" s="268"/>
      <c r="AE927" s="268"/>
      <c r="AF927" s="144" t="str">
        <f t="shared" si="67"/>
        <v/>
      </c>
      <c r="AG927" s="144" t="str">
        <f t="shared" si="70"/>
        <v/>
      </c>
      <c r="AH927" s="146">
        <f t="shared" si="68"/>
        <v>2.35</v>
      </c>
      <c r="AI927" s="146" t="str">
        <f t="shared" si="69"/>
        <v/>
      </c>
      <c r="AJ927" s="313"/>
      <c r="AK927" s="313"/>
      <c r="AL927" s="313"/>
      <c r="AM927" s="313"/>
      <c r="AN927" s="313"/>
      <c r="AO927" s="313"/>
      <c r="AP927" s="313"/>
      <c r="AQ927" s="313"/>
      <c r="AR927" s="313"/>
      <c r="AS927" s="176"/>
      <c r="AT927" s="169"/>
      <c r="AU927" s="310"/>
      <c r="AV927" s="322"/>
      <c r="AW927" s="276"/>
      <c r="AX927" s="276"/>
      <c r="AY927" s="276"/>
      <c r="AZ927" s="276"/>
      <c r="BA927" s="276"/>
      <c r="BB927" s="276"/>
      <c r="BC927" s="276"/>
      <c r="BD927" s="276"/>
      <c r="BE927" s="276"/>
      <c r="BF927" s="399">
        <v>2.35</v>
      </c>
      <c r="BG927" s="382"/>
      <c r="BH927" s="278"/>
      <c r="BI927" s="365"/>
    </row>
    <row r="928" spans="1:61" ht="15.75" customHeight="1" thickBot="1" x14ac:dyDescent="0.25">
      <c r="A928" s="156">
        <v>929</v>
      </c>
      <c r="B928" s="155">
        <v>2</v>
      </c>
      <c r="C928" s="148" t="s">
        <v>162</v>
      </c>
      <c r="D928" s="148" t="s">
        <v>893</v>
      </c>
      <c r="E928" s="148"/>
      <c r="F928" s="148"/>
      <c r="G928" s="148"/>
      <c r="H928" s="148"/>
      <c r="I928" s="161">
        <v>2011</v>
      </c>
      <c r="J928" s="161" t="s">
        <v>2956</v>
      </c>
      <c r="K928" s="161"/>
      <c r="L928" s="161" t="s">
        <v>83</v>
      </c>
      <c r="M928" s="453" t="s">
        <v>4286</v>
      </c>
      <c r="N928" s="186"/>
      <c r="O928" s="186"/>
      <c r="P928" s="186"/>
      <c r="Q928" s="186"/>
      <c r="R928" s="186"/>
      <c r="S928" s="186"/>
      <c r="T928" s="186"/>
      <c r="U928" s="186"/>
      <c r="V928" s="186"/>
      <c r="W928" s="186"/>
      <c r="X928" s="186"/>
      <c r="Y928" s="186"/>
      <c r="Z928" s="186"/>
      <c r="AA928" s="186"/>
      <c r="AB928" s="186"/>
      <c r="AC928" s="186"/>
      <c r="AD928" s="268" t="s">
        <v>2957</v>
      </c>
      <c r="AE928" s="268"/>
      <c r="AF928" s="144">
        <f t="shared" si="67"/>
        <v>3.33</v>
      </c>
      <c r="AG928" s="144" t="str">
        <f t="shared" si="70"/>
        <v/>
      </c>
      <c r="AH928" s="146">
        <f t="shared" si="68"/>
        <v>0.30199999999999999</v>
      </c>
      <c r="AI928" s="146" t="str">
        <f t="shared" si="69"/>
        <v/>
      </c>
      <c r="AJ928" s="313"/>
      <c r="AK928" s="313"/>
      <c r="AL928" s="313"/>
      <c r="AM928" s="313"/>
      <c r="AN928" s="313"/>
      <c r="AO928" s="313"/>
      <c r="AP928" s="313"/>
      <c r="AQ928" s="313"/>
      <c r="AR928" s="313"/>
      <c r="AS928" s="176">
        <v>3.33</v>
      </c>
      <c r="AT928" s="169"/>
      <c r="AU928" s="310"/>
      <c r="AV928" s="322"/>
      <c r="AW928" s="276"/>
      <c r="AX928" s="276"/>
      <c r="AY928" s="276"/>
      <c r="AZ928" s="276"/>
      <c r="BA928" s="276"/>
      <c r="BB928" s="276"/>
      <c r="BC928" s="276"/>
      <c r="BD928" s="276"/>
      <c r="BE928" s="276"/>
      <c r="BF928" s="400">
        <v>0.30199999999999999</v>
      </c>
      <c r="BG928" s="382"/>
      <c r="BH928" s="278"/>
      <c r="BI928" s="365" t="s">
        <v>2958</v>
      </c>
    </row>
    <row r="929" spans="1:61" ht="15.75" customHeight="1" thickBot="1" x14ac:dyDescent="0.25">
      <c r="A929" s="156">
        <v>930</v>
      </c>
      <c r="B929" s="155">
        <v>2</v>
      </c>
      <c r="C929" s="148" t="s">
        <v>162</v>
      </c>
      <c r="D929" s="148" t="s">
        <v>2746</v>
      </c>
      <c r="E929" s="148"/>
      <c r="F929" s="148"/>
      <c r="G929" s="148"/>
      <c r="H929" s="148"/>
      <c r="I929" s="161">
        <v>2011</v>
      </c>
      <c r="J929" s="161" t="s">
        <v>2956</v>
      </c>
      <c r="K929" s="161"/>
      <c r="L929" s="161" t="s">
        <v>83</v>
      </c>
      <c r="M929" s="453" t="s">
        <v>4286</v>
      </c>
      <c r="N929" s="186"/>
      <c r="O929" s="186"/>
      <c r="P929" s="186"/>
      <c r="Q929" s="186"/>
      <c r="R929" s="186"/>
      <c r="S929" s="186"/>
      <c r="T929" s="186"/>
      <c r="U929" s="186"/>
      <c r="V929" s="186"/>
      <c r="W929" s="186"/>
      <c r="X929" s="186"/>
      <c r="Y929" s="186"/>
      <c r="Z929" s="186"/>
      <c r="AA929" s="186"/>
      <c r="AB929" s="186"/>
      <c r="AC929" s="186"/>
      <c r="AD929" s="268" t="s">
        <v>2957</v>
      </c>
      <c r="AE929" s="268"/>
      <c r="AF929" s="144">
        <f t="shared" si="67"/>
        <v>1.92</v>
      </c>
      <c r="AG929" s="144" t="str">
        <f t="shared" si="70"/>
        <v/>
      </c>
      <c r="AH929" s="146">
        <f t="shared" si="68"/>
        <v>0.152</v>
      </c>
      <c r="AI929" s="146" t="str">
        <f t="shared" si="69"/>
        <v/>
      </c>
      <c r="AJ929" s="313"/>
      <c r="AK929" s="313"/>
      <c r="AL929" s="313"/>
      <c r="AM929" s="313"/>
      <c r="AN929" s="313"/>
      <c r="AO929" s="313"/>
      <c r="AP929" s="313"/>
      <c r="AQ929" s="313"/>
      <c r="AR929" s="313"/>
      <c r="AS929" s="176">
        <v>1.92</v>
      </c>
      <c r="AT929" s="169"/>
      <c r="AU929" s="310"/>
      <c r="AV929" s="322"/>
      <c r="AW929" s="276"/>
      <c r="AX929" s="276"/>
      <c r="AY929" s="276"/>
      <c r="AZ929" s="276"/>
      <c r="BA929" s="276"/>
      <c r="BB929" s="276"/>
      <c r="BC929" s="276"/>
      <c r="BD929" s="276"/>
      <c r="BE929" s="276"/>
      <c r="BF929" s="400">
        <v>0.152</v>
      </c>
      <c r="BG929" s="382"/>
      <c r="BH929" s="278"/>
      <c r="BI929" s="365" t="s">
        <v>2958</v>
      </c>
    </row>
    <row r="930" spans="1:61" ht="15.75" customHeight="1" thickBot="1" x14ac:dyDescent="0.25">
      <c r="A930" s="156">
        <v>931</v>
      </c>
      <c r="B930" s="155">
        <v>2</v>
      </c>
      <c r="C930" s="148" t="s">
        <v>162</v>
      </c>
      <c r="D930" s="148" t="s">
        <v>1864</v>
      </c>
      <c r="E930" s="148"/>
      <c r="F930" s="148"/>
      <c r="G930" s="148"/>
      <c r="H930" s="148"/>
      <c r="I930" s="161">
        <v>2011</v>
      </c>
      <c r="J930" s="161" t="s">
        <v>2956</v>
      </c>
      <c r="K930" s="161"/>
      <c r="L930" s="161" t="s">
        <v>83</v>
      </c>
      <c r="M930" s="453" t="s">
        <v>4286</v>
      </c>
      <c r="N930" s="186"/>
      <c r="O930" s="186"/>
      <c r="P930" s="186"/>
      <c r="Q930" s="186"/>
      <c r="R930" s="186"/>
      <c r="S930" s="186"/>
      <c r="T930" s="186"/>
      <c r="U930" s="186"/>
      <c r="V930" s="186"/>
      <c r="W930" s="186"/>
      <c r="X930" s="186"/>
      <c r="Y930" s="186"/>
      <c r="Z930" s="186"/>
      <c r="AA930" s="186"/>
      <c r="AB930" s="186"/>
      <c r="AC930" s="186"/>
      <c r="AD930" s="268" t="s">
        <v>2957</v>
      </c>
      <c r="AE930" s="268"/>
      <c r="AF930" s="144">
        <f t="shared" si="67"/>
        <v>1.81</v>
      </c>
      <c r="AG930" s="144" t="str">
        <f t="shared" si="70"/>
        <v/>
      </c>
      <c r="AH930" s="146">
        <f t="shared" si="68"/>
        <v>0.121</v>
      </c>
      <c r="AI930" s="146" t="str">
        <f t="shared" si="69"/>
        <v/>
      </c>
      <c r="AJ930" s="313"/>
      <c r="AK930" s="313"/>
      <c r="AL930" s="313"/>
      <c r="AM930" s="313"/>
      <c r="AN930" s="313"/>
      <c r="AO930" s="313"/>
      <c r="AP930" s="313"/>
      <c r="AQ930" s="313"/>
      <c r="AR930" s="313"/>
      <c r="AS930" s="176">
        <v>1.81</v>
      </c>
      <c r="AT930" s="169"/>
      <c r="AU930" s="310"/>
      <c r="AV930" s="322"/>
      <c r="AW930" s="276"/>
      <c r="AX930" s="276"/>
      <c r="AY930" s="276"/>
      <c r="AZ930" s="276"/>
      <c r="BA930" s="276"/>
      <c r="BB930" s="276"/>
      <c r="BC930" s="276"/>
      <c r="BD930" s="276"/>
      <c r="BE930" s="276"/>
      <c r="BF930" s="400">
        <v>0.121</v>
      </c>
      <c r="BG930" s="382"/>
      <c r="BH930" s="278"/>
      <c r="BI930" s="365" t="s">
        <v>2958</v>
      </c>
    </row>
    <row r="931" spans="1:61" ht="15.75" customHeight="1" thickBot="1" x14ac:dyDescent="0.25">
      <c r="A931" s="156">
        <v>932</v>
      </c>
      <c r="B931" s="155">
        <v>2</v>
      </c>
      <c r="C931" s="148" t="s">
        <v>162</v>
      </c>
      <c r="D931" s="148" t="s">
        <v>2447</v>
      </c>
      <c r="E931" s="148"/>
      <c r="F931" s="148"/>
      <c r="G931" s="148"/>
      <c r="H931" s="148"/>
      <c r="I931" s="161">
        <v>2011</v>
      </c>
      <c r="J931" s="161" t="s">
        <v>2956</v>
      </c>
      <c r="K931" s="161"/>
      <c r="L931" s="161" t="s">
        <v>83</v>
      </c>
      <c r="M931" s="453" t="s">
        <v>4286</v>
      </c>
      <c r="N931" s="186"/>
      <c r="O931" s="186"/>
      <c r="P931" s="186"/>
      <c r="Q931" s="186"/>
      <c r="R931" s="186"/>
      <c r="S931" s="186"/>
      <c r="T931" s="186"/>
      <c r="U931" s="186"/>
      <c r="V931" s="186"/>
      <c r="W931" s="186"/>
      <c r="X931" s="186"/>
      <c r="Y931" s="186"/>
      <c r="Z931" s="186"/>
      <c r="AA931" s="186"/>
      <c r="AB931" s="186"/>
      <c r="AC931" s="186"/>
      <c r="AD931" s="268" t="s">
        <v>2957</v>
      </c>
      <c r="AE931" s="268"/>
      <c r="AF931" s="144">
        <f t="shared" si="67"/>
        <v>0.96699999999999997</v>
      </c>
      <c r="AG931" s="144" t="str">
        <f t="shared" si="70"/>
        <v/>
      </c>
      <c r="AH931" s="146">
        <f t="shared" si="68"/>
        <v>9.8400000000000001E-2</v>
      </c>
      <c r="AI931" s="146" t="str">
        <f t="shared" si="69"/>
        <v/>
      </c>
      <c r="AJ931" s="313"/>
      <c r="AK931" s="313"/>
      <c r="AL931" s="313"/>
      <c r="AM931" s="313"/>
      <c r="AN931" s="313"/>
      <c r="AO931" s="313"/>
      <c r="AP931" s="313"/>
      <c r="AQ931" s="313"/>
      <c r="AR931" s="313"/>
      <c r="AS931" s="176">
        <v>0.96699999999999997</v>
      </c>
      <c r="AT931" s="169"/>
      <c r="AU931" s="310"/>
      <c r="AV931" s="322"/>
      <c r="AW931" s="276"/>
      <c r="AX931" s="276"/>
      <c r="AY931" s="276"/>
      <c r="AZ931" s="276"/>
      <c r="BA931" s="276"/>
      <c r="BB931" s="276"/>
      <c r="BC931" s="276"/>
      <c r="BD931" s="276"/>
      <c r="BE931" s="276"/>
      <c r="BF931" s="400">
        <v>9.8400000000000001E-2</v>
      </c>
      <c r="BG931" s="382"/>
      <c r="BH931" s="278"/>
      <c r="BI931" s="365" t="s">
        <v>2958</v>
      </c>
    </row>
    <row r="932" spans="1:61" ht="15.75" customHeight="1" thickBot="1" x14ac:dyDescent="0.25">
      <c r="A932" s="156">
        <v>933</v>
      </c>
      <c r="B932" s="155">
        <v>2</v>
      </c>
      <c r="C932" s="148" t="s">
        <v>162</v>
      </c>
      <c r="D932" s="148" t="s">
        <v>2152</v>
      </c>
      <c r="E932" s="148"/>
      <c r="F932" s="148"/>
      <c r="G932" s="148"/>
      <c r="H932" s="148"/>
      <c r="I932" s="161">
        <v>2011</v>
      </c>
      <c r="J932" s="161" t="s">
        <v>2956</v>
      </c>
      <c r="K932" s="161"/>
      <c r="L932" s="161" t="s">
        <v>83</v>
      </c>
      <c r="M932" s="453" t="s">
        <v>4286</v>
      </c>
      <c r="N932" s="186"/>
      <c r="O932" s="186"/>
      <c r="P932" s="186"/>
      <c r="Q932" s="186"/>
      <c r="R932" s="186"/>
      <c r="S932" s="186"/>
      <c r="T932" s="186"/>
      <c r="U932" s="186"/>
      <c r="V932" s="186"/>
      <c r="W932" s="186"/>
      <c r="X932" s="186"/>
      <c r="Y932" s="186"/>
      <c r="Z932" s="186"/>
      <c r="AA932" s="186"/>
      <c r="AB932" s="186"/>
      <c r="AC932" s="186"/>
      <c r="AD932" s="268" t="s">
        <v>2957</v>
      </c>
      <c r="AE932" s="268"/>
      <c r="AF932" s="144">
        <f t="shared" si="67"/>
        <v>5.64</v>
      </c>
      <c r="AG932" s="144" t="str">
        <f t="shared" si="70"/>
        <v/>
      </c>
      <c r="AH932" s="146">
        <f t="shared" si="68"/>
        <v>0.27</v>
      </c>
      <c r="AI932" s="146" t="str">
        <f t="shared" si="69"/>
        <v/>
      </c>
      <c r="AJ932" s="313"/>
      <c r="AK932" s="313"/>
      <c r="AL932" s="313"/>
      <c r="AM932" s="313"/>
      <c r="AN932" s="313"/>
      <c r="AO932" s="313"/>
      <c r="AP932" s="313"/>
      <c r="AQ932" s="313"/>
      <c r="AR932" s="313"/>
      <c r="AS932" s="176">
        <v>5.64</v>
      </c>
      <c r="AT932" s="169"/>
      <c r="AU932" s="310"/>
      <c r="AV932" s="322"/>
      <c r="AW932" s="276"/>
      <c r="AX932" s="276"/>
      <c r="AY932" s="276"/>
      <c r="AZ932" s="276"/>
      <c r="BA932" s="276"/>
      <c r="BB932" s="276"/>
      <c r="BC932" s="276"/>
      <c r="BD932" s="276"/>
      <c r="BE932" s="276"/>
      <c r="BF932" s="400">
        <v>0.27</v>
      </c>
      <c r="BG932" s="382"/>
      <c r="BH932" s="278"/>
      <c r="BI932" s="365" t="s">
        <v>2958</v>
      </c>
    </row>
    <row r="933" spans="1:61" ht="15.75" customHeight="1" thickBot="1" x14ac:dyDescent="0.25">
      <c r="A933" s="156">
        <v>934</v>
      </c>
      <c r="B933" s="155">
        <v>2</v>
      </c>
      <c r="C933" s="148" t="s">
        <v>760</v>
      </c>
      <c r="D933" s="148" t="s">
        <v>2959</v>
      </c>
      <c r="E933" s="148"/>
      <c r="F933" s="148"/>
      <c r="G933" s="148"/>
      <c r="H933" s="148"/>
      <c r="I933" s="161">
        <v>2011</v>
      </c>
      <c r="J933" s="161" t="s">
        <v>2956</v>
      </c>
      <c r="K933" s="161"/>
      <c r="L933" s="161" t="s">
        <v>83</v>
      </c>
      <c r="M933" s="453" t="s">
        <v>4286</v>
      </c>
      <c r="N933" s="186"/>
      <c r="O933" s="186"/>
      <c r="P933" s="186"/>
      <c r="Q933" s="186"/>
      <c r="R933" s="186"/>
      <c r="S933" s="186"/>
      <c r="T933" s="186"/>
      <c r="U933" s="186"/>
      <c r="V933" s="186"/>
      <c r="W933" s="186"/>
      <c r="X933" s="186"/>
      <c r="Y933" s="186"/>
      <c r="Z933" s="186"/>
      <c r="AA933" s="186"/>
      <c r="AB933" s="186"/>
      <c r="AC933" s="186"/>
      <c r="AD933" s="268" t="s">
        <v>2957</v>
      </c>
      <c r="AE933" s="268"/>
      <c r="AF933" s="144">
        <f t="shared" si="67"/>
        <v>28.4</v>
      </c>
      <c r="AG933" s="144" t="str">
        <f t="shared" si="70"/>
        <v/>
      </c>
      <c r="AH933" s="146">
        <f t="shared" si="68"/>
        <v>1.46</v>
      </c>
      <c r="AI933" s="146" t="str">
        <f t="shared" si="69"/>
        <v/>
      </c>
      <c r="AJ933" s="313"/>
      <c r="AK933" s="313"/>
      <c r="AL933" s="313"/>
      <c r="AM933" s="313"/>
      <c r="AN933" s="313"/>
      <c r="AO933" s="313"/>
      <c r="AP933" s="313"/>
      <c r="AQ933" s="313"/>
      <c r="AR933" s="313"/>
      <c r="AS933" s="176">
        <v>28.4</v>
      </c>
      <c r="AT933" s="169"/>
      <c r="AU933" s="310"/>
      <c r="AV933" s="322"/>
      <c r="AW933" s="276"/>
      <c r="AX933" s="276"/>
      <c r="AY933" s="276"/>
      <c r="AZ933" s="276"/>
      <c r="BA933" s="276"/>
      <c r="BB933" s="276"/>
      <c r="BC933" s="276"/>
      <c r="BD933" s="276"/>
      <c r="BE933" s="276"/>
      <c r="BF933" s="400">
        <v>1.46</v>
      </c>
      <c r="BG933" s="382"/>
      <c r="BH933" s="278"/>
      <c r="BI933" s="365" t="s">
        <v>2958</v>
      </c>
    </row>
    <row r="934" spans="1:61" ht="15.75" customHeight="1" thickBot="1" x14ac:dyDescent="0.25">
      <c r="A934" s="156">
        <v>935</v>
      </c>
      <c r="B934" s="155">
        <v>2</v>
      </c>
      <c r="C934" s="148" t="s">
        <v>760</v>
      </c>
      <c r="D934" s="148" t="s">
        <v>2449</v>
      </c>
      <c r="E934" s="148"/>
      <c r="F934" s="148"/>
      <c r="G934" s="148"/>
      <c r="H934" s="148"/>
      <c r="I934" s="161">
        <v>2011</v>
      </c>
      <c r="J934" s="161" t="s">
        <v>2956</v>
      </c>
      <c r="K934" s="161"/>
      <c r="L934" s="161" t="s">
        <v>83</v>
      </c>
      <c r="M934" s="453" t="s">
        <v>4286</v>
      </c>
      <c r="N934" s="186"/>
      <c r="O934" s="186"/>
      <c r="P934" s="186"/>
      <c r="Q934" s="186"/>
      <c r="R934" s="186"/>
      <c r="S934" s="186"/>
      <c r="T934" s="186"/>
      <c r="U934" s="186"/>
      <c r="V934" s="186"/>
      <c r="W934" s="186"/>
      <c r="X934" s="186"/>
      <c r="Y934" s="186"/>
      <c r="Z934" s="186"/>
      <c r="AA934" s="186"/>
      <c r="AB934" s="186"/>
      <c r="AC934" s="186"/>
      <c r="AD934" s="268" t="s">
        <v>2957</v>
      </c>
      <c r="AE934" s="268"/>
      <c r="AF934" s="144">
        <f t="shared" si="67"/>
        <v>22.4</v>
      </c>
      <c r="AG934" s="144" t="str">
        <f t="shared" si="70"/>
        <v/>
      </c>
      <c r="AH934" s="146">
        <f t="shared" si="68"/>
        <v>1.1599999999999999</v>
      </c>
      <c r="AI934" s="146" t="str">
        <f t="shared" si="69"/>
        <v/>
      </c>
      <c r="AJ934" s="313"/>
      <c r="AK934" s="313"/>
      <c r="AL934" s="313"/>
      <c r="AM934" s="313"/>
      <c r="AN934" s="313"/>
      <c r="AO934" s="313"/>
      <c r="AP934" s="313"/>
      <c r="AQ934" s="313"/>
      <c r="AR934" s="313"/>
      <c r="AS934" s="176">
        <v>22.4</v>
      </c>
      <c r="AT934" s="169"/>
      <c r="AU934" s="310"/>
      <c r="AV934" s="322"/>
      <c r="AW934" s="276"/>
      <c r="AX934" s="276"/>
      <c r="AY934" s="276"/>
      <c r="AZ934" s="276"/>
      <c r="BA934" s="276"/>
      <c r="BB934" s="276"/>
      <c r="BC934" s="276"/>
      <c r="BD934" s="276"/>
      <c r="BE934" s="276"/>
      <c r="BF934" s="400">
        <v>1.1599999999999999</v>
      </c>
      <c r="BG934" s="382"/>
      <c r="BH934" s="278"/>
      <c r="BI934" s="365" t="s">
        <v>2958</v>
      </c>
    </row>
    <row r="935" spans="1:61" ht="15.75" customHeight="1" thickBot="1" x14ac:dyDescent="0.25">
      <c r="A935" s="156">
        <v>936</v>
      </c>
      <c r="B935" s="155">
        <v>2</v>
      </c>
      <c r="C935" s="148" t="s">
        <v>236</v>
      </c>
      <c r="D935" s="148" t="s">
        <v>2136</v>
      </c>
      <c r="E935" s="148"/>
      <c r="F935" s="148"/>
      <c r="G935" s="148"/>
      <c r="H935" s="148"/>
      <c r="I935" s="161">
        <v>2011</v>
      </c>
      <c r="J935" s="161" t="s">
        <v>2956</v>
      </c>
      <c r="K935" s="161"/>
      <c r="L935" s="161" t="s">
        <v>83</v>
      </c>
      <c r="M935" s="453" t="s">
        <v>4286</v>
      </c>
      <c r="N935" s="186"/>
      <c r="O935" s="186"/>
      <c r="P935" s="186"/>
      <c r="Q935" s="186"/>
      <c r="R935" s="186"/>
      <c r="S935" s="186"/>
      <c r="T935" s="186"/>
      <c r="U935" s="186"/>
      <c r="V935" s="186"/>
      <c r="W935" s="186"/>
      <c r="X935" s="186"/>
      <c r="Y935" s="186"/>
      <c r="Z935" s="186"/>
      <c r="AA935" s="186"/>
      <c r="AB935" s="186"/>
      <c r="AC935" s="186"/>
      <c r="AD935" s="268" t="s">
        <v>2957</v>
      </c>
      <c r="AE935" s="268"/>
      <c r="AF935" s="144">
        <f t="shared" si="67"/>
        <v>7.08</v>
      </c>
      <c r="AG935" s="144" t="str">
        <f t="shared" si="70"/>
        <v/>
      </c>
      <c r="AH935" s="146">
        <f t="shared" si="68"/>
        <v>0.28499999999999998</v>
      </c>
      <c r="AI935" s="146" t="str">
        <f t="shared" si="69"/>
        <v/>
      </c>
      <c r="AJ935" s="313"/>
      <c r="AK935" s="313"/>
      <c r="AL935" s="313"/>
      <c r="AM935" s="313"/>
      <c r="AN935" s="313"/>
      <c r="AO935" s="313"/>
      <c r="AP935" s="313"/>
      <c r="AQ935" s="313"/>
      <c r="AR935" s="313"/>
      <c r="AS935" s="176">
        <v>7.08</v>
      </c>
      <c r="AT935" s="169"/>
      <c r="AU935" s="310"/>
      <c r="AV935" s="322"/>
      <c r="AW935" s="276"/>
      <c r="AX935" s="276"/>
      <c r="AY935" s="276"/>
      <c r="AZ935" s="276"/>
      <c r="BA935" s="276"/>
      <c r="BB935" s="276"/>
      <c r="BC935" s="276"/>
      <c r="BD935" s="276"/>
      <c r="BE935" s="276"/>
      <c r="BF935" s="400">
        <v>0.28499999999999998</v>
      </c>
      <c r="BG935" s="382"/>
      <c r="BH935" s="278"/>
      <c r="BI935" s="365" t="s">
        <v>2958</v>
      </c>
    </row>
    <row r="936" spans="1:61" ht="15.75" customHeight="1" thickBot="1" x14ac:dyDescent="0.25">
      <c r="A936" s="156">
        <v>937</v>
      </c>
      <c r="B936" s="155">
        <v>2</v>
      </c>
      <c r="C936" s="148" t="s">
        <v>236</v>
      </c>
      <c r="D936" s="148" t="s">
        <v>2769</v>
      </c>
      <c r="E936" s="148"/>
      <c r="F936" s="148"/>
      <c r="G936" s="148"/>
      <c r="H936" s="148"/>
      <c r="I936" s="161">
        <v>2011</v>
      </c>
      <c r="J936" s="161" t="s">
        <v>2956</v>
      </c>
      <c r="K936" s="161"/>
      <c r="L936" s="161" t="s">
        <v>83</v>
      </c>
      <c r="M936" s="453" t="s">
        <v>4286</v>
      </c>
      <c r="N936" s="186"/>
      <c r="O936" s="186"/>
      <c r="P936" s="186"/>
      <c r="Q936" s="186"/>
      <c r="R936" s="186"/>
      <c r="S936" s="186"/>
      <c r="T936" s="186"/>
      <c r="U936" s="186"/>
      <c r="V936" s="186"/>
      <c r="W936" s="186"/>
      <c r="X936" s="186"/>
      <c r="Y936" s="186"/>
      <c r="Z936" s="186"/>
      <c r="AA936" s="186"/>
      <c r="AB936" s="186"/>
      <c r="AC936" s="186"/>
      <c r="AD936" s="268" t="s">
        <v>2957</v>
      </c>
      <c r="AE936" s="268"/>
      <c r="AF936" s="144">
        <f t="shared" si="67"/>
        <v>1.93</v>
      </c>
      <c r="AG936" s="144" t="str">
        <f t="shared" si="70"/>
        <v/>
      </c>
      <c r="AH936" s="146">
        <f t="shared" si="68"/>
        <v>0.107</v>
      </c>
      <c r="AI936" s="146" t="str">
        <f t="shared" si="69"/>
        <v/>
      </c>
      <c r="AJ936" s="313"/>
      <c r="AK936" s="313"/>
      <c r="AL936" s="313"/>
      <c r="AM936" s="313"/>
      <c r="AN936" s="313"/>
      <c r="AO936" s="313"/>
      <c r="AP936" s="313"/>
      <c r="AQ936" s="313"/>
      <c r="AR936" s="313"/>
      <c r="AS936" s="176">
        <v>1.93</v>
      </c>
      <c r="AT936" s="169"/>
      <c r="AU936" s="310"/>
      <c r="AV936" s="322"/>
      <c r="AW936" s="276"/>
      <c r="AX936" s="276"/>
      <c r="AY936" s="276"/>
      <c r="AZ936" s="276"/>
      <c r="BA936" s="276"/>
      <c r="BB936" s="276"/>
      <c r="BC936" s="276"/>
      <c r="BD936" s="276"/>
      <c r="BE936" s="276"/>
      <c r="BF936" s="400">
        <v>0.107</v>
      </c>
      <c r="BG936" s="382"/>
      <c r="BH936" s="278"/>
      <c r="BI936" s="365" t="s">
        <v>2958</v>
      </c>
    </row>
    <row r="937" spans="1:61" ht="15.75" customHeight="1" thickBot="1" x14ac:dyDescent="0.25">
      <c r="A937" s="156">
        <v>938</v>
      </c>
      <c r="B937" s="155">
        <v>2</v>
      </c>
      <c r="C937" s="148" t="s">
        <v>236</v>
      </c>
      <c r="D937" s="148" t="s">
        <v>1769</v>
      </c>
      <c r="E937" s="148"/>
      <c r="F937" s="148"/>
      <c r="G937" s="148"/>
      <c r="H937" s="148"/>
      <c r="I937" s="161">
        <v>2011</v>
      </c>
      <c r="J937" s="161" t="s">
        <v>2956</v>
      </c>
      <c r="K937" s="161"/>
      <c r="L937" s="161" t="s">
        <v>83</v>
      </c>
      <c r="M937" s="453" t="s">
        <v>4286</v>
      </c>
      <c r="N937" s="186"/>
      <c r="O937" s="186"/>
      <c r="P937" s="186"/>
      <c r="Q937" s="186"/>
      <c r="R937" s="186"/>
      <c r="S937" s="186"/>
      <c r="T937" s="186"/>
      <c r="U937" s="186"/>
      <c r="V937" s="186"/>
      <c r="W937" s="186"/>
      <c r="X937" s="186"/>
      <c r="Y937" s="186"/>
      <c r="Z937" s="186"/>
      <c r="AA937" s="186"/>
      <c r="AB937" s="186"/>
      <c r="AC937" s="186"/>
      <c r="AD937" s="268" t="s">
        <v>2957</v>
      </c>
      <c r="AE937" s="268"/>
      <c r="AF937" s="144">
        <f t="shared" si="67"/>
        <v>2.68</v>
      </c>
      <c r="AG937" s="144" t="str">
        <f t="shared" si="70"/>
        <v/>
      </c>
      <c r="AH937" s="146">
        <f t="shared" si="68"/>
        <v>0.23</v>
      </c>
      <c r="AI937" s="146" t="str">
        <f t="shared" si="69"/>
        <v/>
      </c>
      <c r="AJ937" s="313"/>
      <c r="AK937" s="313"/>
      <c r="AL937" s="313"/>
      <c r="AM937" s="313"/>
      <c r="AN937" s="313"/>
      <c r="AO937" s="313"/>
      <c r="AP937" s="313"/>
      <c r="AQ937" s="313"/>
      <c r="AR937" s="313"/>
      <c r="AS937" s="176">
        <v>2.68</v>
      </c>
      <c r="AT937" s="169"/>
      <c r="AU937" s="310"/>
      <c r="AV937" s="322"/>
      <c r="AW937" s="276"/>
      <c r="AX937" s="276"/>
      <c r="AY937" s="276"/>
      <c r="AZ937" s="276"/>
      <c r="BA937" s="276"/>
      <c r="BB937" s="276"/>
      <c r="BC937" s="276"/>
      <c r="BD937" s="276"/>
      <c r="BE937" s="276"/>
      <c r="BF937" s="400">
        <v>0.23</v>
      </c>
      <c r="BG937" s="382"/>
      <c r="BH937" s="278"/>
      <c r="BI937" s="365" t="s">
        <v>2958</v>
      </c>
    </row>
    <row r="938" spans="1:61" ht="15.75" customHeight="1" thickBot="1" x14ac:dyDescent="0.25">
      <c r="A938" s="156">
        <v>939</v>
      </c>
      <c r="B938" s="155">
        <v>2</v>
      </c>
      <c r="C938" s="148" t="s">
        <v>236</v>
      </c>
      <c r="D938" s="141" t="s">
        <v>1739</v>
      </c>
      <c r="E938" s="148"/>
      <c r="F938" s="148"/>
      <c r="G938" s="148"/>
      <c r="H938" s="148"/>
      <c r="I938" s="161">
        <v>2011</v>
      </c>
      <c r="J938" s="161" t="s">
        <v>2956</v>
      </c>
      <c r="K938" s="161"/>
      <c r="L938" s="161" t="s">
        <v>83</v>
      </c>
      <c r="M938" s="453" t="s">
        <v>4286</v>
      </c>
      <c r="N938" s="186"/>
      <c r="O938" s="186"/>
      <c r="P938" s="186"/>
      <c r="Q938" s="186"/>
      <c r="R938" s="186"/>
      <c r="S938" s="186"/>
      <c r="T938" s="186"/>
      <c r="U938" s="186"/>
      <c r="V938" s="186"/>
      <c r="W938" s="186"/>
      <c r="X938" s="186"/>
      <c r="Y938" s="186"/>
      <c r="Z938" s="186"/>
      <c r="AA938" s="186"/>
      <c r="AB938" s="186"/>
      <c r="AC938" s="186"/>
      <c r="AD938" s="268" t="s">
        <v>2957</v>
      </c>
      <c r="AE938" s="268"/>
      <c r="AF938" s="144">
        <f t="shared" si="67"/>
        <v>3.13</v>
      </c>
      <c r="AG938" s="144" t="str">
        <f t="shared" si="70"/>
        <v/>
      </c>
      <c r="AH938" s="146">
        <f t="shared" si="68"/>
        <v>0.14799999999999999</v>
      </c>
      <c r="AI938" s="146" t="str">
        <f t="shared" si="69"/>
        <v/>
      </c>
      <c r="AJ938" s="313"/>
      <c r="AK938" s="313"/>
      <c r="AL938" s="313"/>
      <c r="AM938" s="313"/>
      <c r="AN938" s="313"/>
      <c r="AO938" s="313"/>
      <c r="AP938" s="313"/>
      <c r="AQ938" s="313"/>
      <c r="AR938" s="313"/>
      <c r="AS938" s="176">
        <v>3.13</v>
      </c>
      <c r="AT938" s="169"/>
      <c r="AU938" s="310"/>
      <c r="AV938" s="322"/>
      <c r="AW938" s="276"/>
      <c r="AX938" s="276"/>
      <c r="AY938" s="276"/>
      <c r="AZ938" s="276"/>
      <c r="BA938" s="276"/>
      <c r="BB938" s="276"/>
      <c r="BC938" s="276"/>
      <c r="BD938" s="276"/>
      <c r="BE938" s="276"/>
      <c r="BF938" s="400">
        <v>0.14799999999999999</v>
      </c>
      <c r="BG938" s="382"/>
      <c r="BH938" s="278"/>
      <c r="BI938" s="365" t="s">
        <v>2958</v>
      </c>
    </row>
    <row r="939" spans="1:61" ht="15.75" customHeight="1" thickBot="1" x14ac:dyDescent="0.25">
      <c r="A939" s="156">
        <v>940</v>
      </c>
      <c r="B939" s="155">
        <v>2</v>
      </c>
      <c r="C939" s="148" t="s">
        <v>162</v>
      </c>
      <c r="D939" s="141" t="s">
        <v>2206</v>
      </c>
      <c r="E939" s="148"/>
      <c r="F939" s="148"/>
      <c r="G939" s="148"/>
      <c r="H939" s="148"/>
      <c r="I939" s="161">
        <v>2018</v>
      </c>
      <c r="J939" s="161" t="s">
        <v>2956</v>
      </c>
      <c r="K939" s="161"/>
      <c r="L939" s="161" t="s">
        <v>83</v>
      </c>
      <c r="M939" s="453" t="s">
        <v>4286</v>
      </c>
      <c r="N939" s="186"/>
      <c r="O939" s="186"/>
      <c r="P939" s="186"/>
      <c r="Q939" s="186"/>
      <c r="R939" s="186"/>
      <c r="S939" s="186"/>
      <c r="T939" s="186"/>
      <c r="U939" s="186"/>
      <c r="V939" s="186"/>
      <c r="W939" s="186"/>
      <c r="X939" s="186"/>
      <c r="Y939" s="186"/>
      <c r="Z939" s="186"/>
      <c r="AA939" s="186"/>
      <c r="AB939" s="186"/>
      <c r="AC939" s="186"/>
      <c r="AD939" s="268" t="s">
        <v>2957</v>
      </c>
      <c r="AE939" s="268"/>
      <c r="AF939" s="144">
        <f t="shared" si="67"/>
        <v>2.69</v>
      </c>
      <c r="AG939" s="144" t="str">
        <f t="shared" si="70"/>
        <v/>
      </c>
      <c r="AH939" s="146">
        <f t="shared" si="68"/>
        <v>0.157</v>
      </c>
      <c r="AI939" s="146" t="str">
        <f t="shared" si="69"/>
        <v/>
      </c>
      <c r="AJ939" s="313"/>
      <c r="AK939" s="313"/>
      <c r="AL939" s="313"/>
      <c r="AM939" s="313"/>
      <c r="AN939" s="313"/>
      <c r="AO939" s="313"/>
      <c r="AP939" s="313"/>
      <c r="AQ939" s="313"/>
      <c r="AR939" s="313"/>
      <c r="AS939" s="176">
        <v>2.69</v>
      </c>
      <c r="AT939" s="169"/>
      <c r="AU939" s="310"/>
      <c r="AV939" s="322"/>
      <c r="AW939" s="276"/>
      <c r="AX939" s="276"/>
      <c r="AY939" s="276"/>
      <c r="AZ939" s="276"/>
      <c r="BA939" s="276"/>
      <c r="BB939" s="276"/>
      <c r="BC939" s="276"/>
      <c r="BD939" s="276"/>
      <c r="BE939" s="276"/>
      <c r="BF939" s="400">
        <v>0.157</v>
      </c>
      <c r="BG939" s="382"/>
      <c r="BH939" s="278"/>
      <c r="BI939" s="365" t="s">
        <v>2958</v>
      </c>
    </row>
    <row r="940" spans="1:61" ht="15.75" customHeight="1" thickBot="1" x14ac:dyDescent="0.25">
      <c r="A940" s="156">
        <v>941</v>
      </c>
      <c r="B940" s="155">
        <v>2</v>
      </c>
      <c r="C940" s="148" t="s">
        <v>760</v>
      </c>
      <c r="D940" s="148" t="s">
        <v>2450</v>
      </c>
      <c r="E940" s="148"/>
      <c r="F940" s="148"/>
      <c r="G940" s="148"/>
      <c r="H940" s="148" t="s">
        <v>2961</v>
      </c>
      <c r="I940" s="161"/>
      <c r="J940" s="161" t="s">
        <v>2960</v>
      </c>
      <c r="K940" s="161"/>
      <c r="L940" s="161"/>
      <c r="M940" s="453" t="s">
        <v>4282</v>
      </c>
      <c r="N940" s="186"/>
      <c r="O940" s="186"/>
      <c r="P940" s="186"/>
      <c r="Q940" s="186"/>
      <c r="R940" s="186"/>
      <c r="S940" s="186"/>
      <c r="T940" s="186"/>
      <c r="U940" s="186"/>
      <c r="V940" s="186"/>
      <c r="W940" s="186"/>
      <c r="X940" s="186"/>
      <c r="Y940" s="186"/>
      <c r="Z940" s="186"/>
      <c r="AA940" s="186"/>
      <c r="AB940" s="186"/>
      <c r="AC940" s="186"/>
      <c r="AD940" s="268"/>
      <c r="AE940" s="268"/>
      <c r="AF940" s="144">
        <f t="shared" si="67"/>
        <v>1.4028</v>
      </c>
      <c r="AG940" s="144" t="str">
        <f t="shared" si="70"/>
        <v/>
      </c>
      <c r="AH940" s="146">
        <f t="shared" si="68"/>
        <v>0.42380000000000001</v>
      </c>
      <c r="AI940" s="146" t="str">
        <f t="shared" si="69"/>
        <v/>
      </c>
      <c r="AJ940" s="313"/>
      <c r="AK940" s="313"/>
      <c r="AL940" s="313"/>
      <c r="AM940" s="313"/>
      <c r="AN940" s="313"/>
      <c r="AO940" s="313"/>
      <c r="AP940" s="313"/>
      <c r="AQ940" s="313"/>
      <c r="AR940" s="313"/>
      <c r="AS940" s="176">
        <v>1.4028</v>
      </c>
      <c r="AT940" s="169"/>
      <c r="AU940" s="310"/>
      <c r="AV940" s="322"/>
      <c r="AW940" s="276"/>
      <c r="AX940" s="276"/>
      <c r="AY940" s="276"/>
      <c r="AZ940" s="276"/>
      <c r="BA940" s="276"/>
      <c r="BB940" s="276"/>
      <c r="BC940" s="276"/>
      <c r="BD940" s="276"/>
      <c r="BE940" s="276"/>
      <c r="BF940" s="400">
        <v>0.42380000000000001</v>
      </c>
      <c r="BG940" s="382"/>
      <c r="BH940" s="278"/>
      <c r="BI940" s="365"/>
    </row>
    <row r="941" spans="1:61" ht="15.75" customHeight="1" thickBot="1" x14ac:dyDescent="0.25">
      <c r="A941" s="156">
        <v>942</v>
      </c>
      <c r="B941" s="155">
        <v>2</v>
      </c>
      <c r="C941" s="148" t="s">
        <v>760</v>
      </c>
      <c r="D941" s="148" t="s">
        <v>2450</v>
      </c>
      <c r="E941" s="148"/>
      <c r="F941" s="148"/>
      <c r="G941" s="148"/>
      <c r="H941" s="148" t="s">
        <v>2874</v>
      </c>
      <c r="I941" s="161"/>
      <c r="J941" s="161" t="s">
        <v>2962</v>
      </c>
      <c r="K941" s="161"/>
      <c r="L941" s="161"/>
      <c r="M941" s="453" t="s">
        <v>4282</v>
      </c>
      <c r="N941" s="186"/>
      <c r="O941" s="186"/>
      <c r="P941" s="186"/>
      <c r="Q941" s="186"/>
      <c r="R941" s="186"/>
      <c r="S941" s="186"/>
      <c r="T941" s="186"/>
      <c r="U941" s="186"/>
      <c r="V941" s="186"/>
      <c r="W941" s="186"/>
      <c r="X941" s="186"/>
      <c r="Y941" s="186"/>
      <c r="Z941" s="186"/>
      <c r="AA941" s="186"/>
      <c r="AB941" s="186"/>
      <c r="AC941" s="186"/>
      <c r="AD941" s="268"/>
      <c r="AE941" s="268"/>
      <c r="AF941" s="144">
        <f t="shared" ref="AF941:AF1004" si="71">IF(AS941&lt;&gt;0,AS941,"")</f>
        <v>1.2381</v>
      </c>
      <c r="AG941" s="144" t="str">
        <f t="shared" si="70"/>
        <v/>
      </c>
      <c r="AH941" s="146">
        <f t="shared" si="68"/>
        <v>3.3369</v>
      </c>
      <c r="AI941" s="146" t="str">
        <f t="shared" si="69"/>
        <v/>
      </c>
      <c r="AJ941" s="313"/>
      <c r="AK941" s="313"/>
      <c r="AL941" s="313"/>
      <c r="AM941" s="313"/>
      <c r="AN941" s="313"/>
      <c r="AO941" s="313"/>
      <c r="AP941" s="313"/>
      <c r="AQ941" s="313"/>
      <c r="AR941" s="313"/>
      <c r="AS941" s="176">
        <v>1.2381</v>
      </c>
      <c r="AT941" s="169"/>
      <c r="AU941" s="310"/>
      <c r="AV941" s="322"/>
      <c r="AW941" s="276"/>
      <c r="AX941" s="276"/>
      <c r="AY941" s="276"/>
      <c r="AZ941" s="276"/>
      <c r="BA941" s="276"/>
      <c r="BB941" s="276"/>
      <c r="BC941" s="276"/>
      <c r="BD941" s="276"/>
      <c r="BE941" s="276"/>
      <c r="BF941" s="400">
        <v>3.3369</v>
      </c>
      <c r="BG941" s="382"/>
      <c r="BH941" s="278"/>
      <c r="BI941" s="365"/>
    </row>
    <row r="942" spans="1:61" ht="15.75" customHeight="1" thickBot="1" x14ac:dyDescent="0.25">
      <c r="A942" s="156">
        <v>943</v>
      </c>
      <c r="B942" s="155">
        <v>2</v>
      </c>
      <c r="C942" s="148" t="s">
        <v>760</v>
      </c>
      <c r="D942" s="141" t="s">
        <v>3292</v>
      </c>
      <c r="E942" s="148"/>
      <c r="F942" s="148"/>
      <c r="G942" s="148"/>
      <c r="H942" s="148" t="s">
        <v>351</v>
      </c>
      <c r="I942" s="161"/>
      <c r="J942" s="161" t="s">
        <v>2963</v>
      </c>
      <c r="K942" s="161"/>
      <c r="L942" s="161"/>
      <c r="M942" s="453" t="s">
        <v>4282</v>
      </c>
      <c r="N942" s="186"/>
      <c r="O942" s="186"/>
      <c r="P942" s="186"/>
      <c r="Q942" s="186"/>
      <c r="R942" s="186"/>
      <c r="S942" s="186"/>
      <c r="T942" s="186"/>
      <c r="U942" s="186"/>
      <c r="V942" s="186"/>
      <c r="W942" s="186"/>
      <c r="X942" s="186"/>
      <c r="Y942" s="186"/>
      <c r="Z942" s="186"/>
      <c r="AA942" s="186"/>
      <c r="AB942" s="186"/>
      <c r="AC942" s="186"/>
      <c r="AD942" s="268"/>
      <c r="AE942" s="268"/>
      <c r="AF942" s="144">
        <f t="shared" si="71"/>
        <v>2.1116000000000001</v>
      </c>
      <c r="AG942" s="144" t="str">
        <f t="shared" si="70"/>
        <v/>
      </c>
      <c r="AH942" s="146">
        <f t="shared" si="68"/>
        <v>0.46848000000000001</v>
      </c>
      <c r="AI942" s="146" t="str">
        <f t="shared" si="69"/>
        <v/>
      </c>
      <c r="AJ942" s="313"/>
      <c r="AK942" s="313"/>
      <c r="AL942" s="313"/>
      <c r="AM942" s="313"/>
      <c r="AN942" s="313"/>
      <c r="AO942" s="313"/>
      <c r="AP942" s="313"/>
      <c r="AQ942" s="313"/>
      <c r="AR942" s="313"/>
      <c r="AS942" s="288">
        <v>2.1116000000000001</v>
      </c>
      <c r="AT942" s="169"/>
      <c r="AU942" s="310"/>
      <c r="AV942" s="322"/>
      <c r="AW942" s="276"/>
      <c r="AX942" s="276"/>
      <c r="AY942" s="276"/>
      <c r="AZ942" s="276"/>
      <c r="BA942" s="276"/>
      <c r="BB942" s="276"/>
      <c r="BC942" s="276"/>
      <c r="BD942" s="276"/>
      <c r="BE942" s="276"/>
      <c r="BF942" s="402">
        <v>0.46848000000000001</v>
      </c>
      <c r="BG942" s="382"/>
      <c r="BH942" s="278"/>
      <c r="BI942" s="365"/>
    </row>
    <row r="943" spans="1:61" ht="15.75" customHeight="1" thickBot="1" x14ac:dyDescent="0.25">
      <c r="A943" s="156">
        <v>944</v>
      </c>
      <c r="B943" s="155">
        <v>2</v>
      </c>
      <c r="C943" s="148" t="s">
        <v>760</v>
      </c>
      <c r="D943" s="141" t="s">
        <v>1896</v>
      </c>
      <c r="E943" s="148"/>
      <c r="F943" s="148"/>
      <c r="G943" s="148"/>
      <c r="H943" s="148" t="s">
        <v>351</v>
      </c>
      <c r="I943" s="161"/>
      <c r="J943" s="161" t="s">
        <v>2964</v>
      </c>
      <c r="K943" s="161"/>
      <c r="L943" s="161"/>
      <c r="M943" s="453" t="s">
        <v>4282</v>
      </c>
      <c r="N943" s="186"/>
      <c r="O943" s="186"/>
      <c r="P943" s="186"/>
      <c r="Q943" s="186"/>
      <c r="R943" s="186"/>
      <c r="S943" s="186"/>
      <c r="T943" s="186"/>
      <c r="U943" s="186"/>
      <c r="V943" s="186"/>
      <c r="W943" s="186"/>
      <c r="X943" s="186"/>
      <c r="Y943" s="186"/>
      <c r="Z943" s="186"/>
      <c r="AA943" s="186"/>
      <c r="AB943" s="186"/>
      <c r="AC943" s="186"/>
      <c r="AD943" s="268"/>
      <c r="AE943" s="268"/>
      <c r="AF943" s="144">
        <f t="shared" si="71"/>
        <v>1.5431999999999999</v>
      </c>
      <c r="AG943" s="144" t="str">
        <f t="shared" si="70"/>
        <v/>
      </c>
      <c r="AH943" s="146">
        <f t="shared" si="68"/>
        <v>0.4914</v>
      </c>
      <c r="AI943" s="146" t="str">
        <f t="shared" si="69"/>
        <v/>
      </c>
      <c r="AJ943" s="313"/>
      <c r="AK943" s="313"/>
      <c r="AL943" s="313"/>
      <c r="AM943" s="313"/>
      <c r="AN943" s="313"/>
      <c r="AO943" s="313"/>
      <c r="AP943" s="313"/>
      <c r="AQ943" s="313"/>
      <c r="AR943" s="313"/>
      <c r="AS943" s="288">
        <v>1.5431999999999999</v>
      </c>
      <c r="AT943" s="169"/>
      <c r="AU943" s="310"/>
      <c r="AV943" s="322"/>
      <c r="AW943" s="276"/>
      <c r="AX943" s="276"/>
      <c r="AY943" s="276"/>
      <c r="AZ943" s="276"/>
      <c r="BA943" s="276"/>
      <c r="BB943" s="276"/>
      <c r="BC943" s="276"/>
      <c r="BD943" s="276"/>
      <c r="BE943" s="276"/>
      <c r="BF943" s="402">
        <v>0.4914</v>
      </c>
      <c r="BG943" s="382"/>
      <c r="BH943" s="278"/>
      <c r="BI943" s="365"/>
    </row>
    <row r="944" spans="1:61" ht="15.75" customHeight="1" thickBot="1" x14ac:dyDescent="0.25">
      <c r="A944" s="156">
        <v>945</v>
      </c>
      <c r="B944" s="155">
        <v>2</v>
      </c>
      <c r="C944" s="148" t="s">
        <v>760</v>
      </c>
      <c r="D944" s="141" t="s">
        <v>2270</v>
      </c>
      <c r="E944" s="148"/>
      <c r="F944" s="148"/>
      <c r="G944" s="148"/>
      <c r="H944" s="148" t="s">
        <v>351</v>
      </c>
      <c r="I944" s="161"/>
      <c r="J944" s="161" t="s">
        <v>2965</v>
      </c>
      <c r="K944" s="161"/>
      <c r="L944" s="161"/>
      <c r="M944" s="453" t="s">
        <v>4282</v>
      </c>
      <c r="N944" s="186"/>
      <c r="O944" s="186"/>
      <c r="P944" s="186"/>
      <c r="Q944" s="186"/>
      <c r="R944" s="186"/>
      <c r="S944" s="186"/>
      <c r="T944" s="186"/>
      <c r="U944" s="186"/>
      <c r="V944" s="186"/>
      <c r="W944" s="186"/>
      <c r="X944" s="186"/>
      <c r="Y944" s="186"/>
      <c r="Z944" s="186"/>
      <c r="AA944" s="186"/>
      <c r="AB944" s="186"/>
      <c r="AC944" s="186"/>
      <c r="AD944" s="268"/>
      <c r="AE944" s="268"/>
      <c r="AF944" s="144">
        <f t="shared" si="71"/>
        <v>3.0627</v>
      </c>
      <c r="AG944" s="144" t="str">
        <f t="shared" si="70"/>
        <v/>
      </c>
      <c r="AH944" s="146">
        <f t="shared" si="68"/>
        <v>0.37952000000000002</v>
      </c>
      <c r="AI944" s="146" t="str">
        <f t="shared" si="69"/>
        <v/>
      </c>
      <c r="AJ944" s="313"/>
      <c r="AK944" s="313"/>
      <c r="AL944" s="313"/>
      <c r="AM944" s="313"/>
      <c r="AN944" s="313"/>
      <c r="AO944" s="313"/>
      <c r="AP944" s="313"/>
      <c r="AQ944" s="313"/>
      <c r="AR944" s="313"/>
      <c r="AS944" s="288">
        <v>3.0627</v>
      </c>
      <c r="AT944" s="169"/>
      <c r="AU944" s="310"/>
      <c r="AV944" s="322"/>
      <c r="AW944" s="276"/>
      <c r="AX944" s="276"/>
      <c r="AY944" s="276"/>
      <c r="AZ944" s="276"/>
      <c r="BA944" s="276"/>
      <c r="BB944" s="276"/>
      <c r="BC944" s="276"/>
      <c r="BD944" s="276"/>
      <c r="BE944" s="276"/>
      <c r="BF944" s="402">
        <v>0.37952000000000002</v>
      </c>
      <c r="BG944" s="382"/>
      <c r="BH944" s="278"/>
      <c r="BI944" s="365"/>
    </row>
    <row r="945" spans="1:61" ht="15.75" customHeight="1" thickBot="1" x14ac:dyDescent="0.25">
      <c r="A945" s="156">
        <v>946</v>
      </c>
      <c r="B945" s="155">
        <v>2</v>
      </c>
      <c r="C945" s="148" t="s">
        <v>587</v>
      </c>
      <c r="D945" s="141" t="s">
        <v>2285</v>
      </c>
      <c r="E945" s="148"/>
      <c r="F945" s="148"/>
      <c r="G945" s="148"/>
      <c r="H945" s="148" t="s">
        <v>351</v>
      </c>
      <c r="I945" s="161"/>
      <c r="J945" s="161" t="s">
        <v>2967</v>
      </c>
      <c r="K945" s="161"/>
      <c r="L945" s="161"/>
      <c r="M945" s="453" t="s">
        <v>4282</v>
      </c>
      <c r="N945" s="186"/>
      <c r="O945" s="186"/>
      <c r="P945" s="186"/>
      <c r="Q945" s="186"/>
      <c r="R945" s="186"/>
      <c r="S945" s="186"/>
      <c r="T945" s="186"/>
      <c r="U945" s="186"/>
      <c r="V945" s="186"/>
      <c r="W945" s="186"/>
      <c r="X945" s="186"/>
      <c r="Y945" s="186"/>
      <c r="Z945" s="186"/>
      <c r="AA945" s="186"/>
      <c r="AB945" s="186"/>
      <c r="AC945" s="186"/>
      <c r="AD945" s="268"/>
      <c r="AE945" s="268"/>
      <c r="AF945" s="144" t="str">
        <f t="shared" si="71"/>
        <v/>
      </c>
      <c r="AG945" s="144">
        <f t="shared" si="70"/>
        <v>5.0787000000000004</v>
      </c>
      <c r="AH945" s="146" t="str">
        <f t="shared" si="68"/>
        <v/>
      </c>
      <c r="AI945" s="146">
        <f t="shared" si="69"/>
        <v>0.48759999999999998</v>
      </c>
      <c r="AJ945" s="313"/>
      <c r="AK945" s="313"/>
      <c r="AL945" s="314">
        <v>5.0787000000000004</v>
      </c>
      <c r="AM945" s="313"/>
      <c r="AN945" s="313"/>
      <c r="AO945" s="313"/>
      <c r="AP945" s="313"/>
      <c r="AQ945" s="313"/>
      <c r="AR945" s="313"/>
      <c r="AS945" s="176"/>
      <c r="AT945" s="175">
        <f>SUM(AJ945:AR945)</f>
        <v>5.0787000000000004</v>
      </c>
      <c r="AU945" s="310"/>
      <c r="AV945" s="337"/>
      <c r="AW945" s="276"/>
      <c r="AX945" s="276"/>
      <c r="AY945" s="279">
        <v>0.48759999999999998</v>
      </c>
      <c r="AZ945" s="276"/>
      <c r="BA945" s="276"/>
      <c r="BB945" s="276"/>
      <c r="BC945" s="276"/>
      <c r="BD945" s="276"/>
      <c r="BE945" s="276"/>
      <c r="BF945" s="400"/>
      <c r="BG945" s="389">
        <f>SUM(AW945:BE945)</f>
        <v>0.48759999999999998</v>
      </c>
      <c r="BH945" s="278"/>
      <c r="BI945" s="365"/>
    </row>
    <row r="946" spans="1:61" ht="15.75" customHeight="1" thickBot="1" x14ac:dyDescent="0.25">
      <c r="A946" s="156">
        <v>947</v>
      </c>
      <c r="B946" s="155">
        <v>2</v>
      </c>
      <c r="C946" s="148" t="s">
        <v>587</v>
      </c>
      <c r="D946" s="141" t="s">
        <v>2287</v>
      </c>
      <c r="E946" s="148"/>
      <c r="F946" s="148"/>
      <c r="G946" s="148"/>
      <c r="H946" s="148" t="s">
        <v>351</v>
      </c>
      <c r="I946" s="161"/>
      <c r="J946" s="161" t="s">
        <v>2966</v>
      </c>
      <c r="K946" s="161"/>
      <c r="L946" s="161"/>
      <c r="M946" s="453" t="s">
        <v>4282</v>
      </c>
      <c r="N946" s="186"/>
      <c r="O946" s="186"/>
      <c r="P946" s="186"/>
      <c r="Q946" s="186"/>
      <c r="R946" s="186"/>
      <c r="S946" s="186"/>
      <c r="T946" s="186"/>
      <c r="U946" s="186"/>
      <c r="V946" s="186"/>
      <c r="W946" s="186"/>
      <c r="X946" s="186"/>
      <c r="Y946" s="186"/>
      <c r="Z946" s="186"/>
      <c r="AA946" s="186"/>
      <c r="AB946" s="186"/>
      <c r="AC946" s="186"/>
      <c r="AD946" s="268"/>
      <c r="AE946" s="268"/>
      <c r="AF946" s="144" t="str">
        <f t="shared" si="71"/>
        <v/>
      </c>
      <c r="AG946" s="144">
        <f t="shared" si="70"/>
        <v>6.7751476000000004</v>
      </c>
      <c r="AH946" s="146" t="str">
        <f t="shared" si="68"/>
        <v/>
      </c>
      <c r="AI946" s="146">
        <f t="shared" si="69"/>
        <v>0.66705736999999998</v>
      </c>
      <c r="AJ946" s="313"/>
      <c r="AK946" s="313"/>
      <c r="AL946" s="314">
        <v>6.7751476000000004</v>
      </c>
      <c r="AM946" s="313"/>
      <c r="AN946" s="313"/>
      <c r="AO946" s="313"/>
      <c r="AP946" s="313"/>
      <c r="AQ946" s="313"/>
      <c r="AR946" s="313"/>
      <c r="AS946" s="176"/>
      <c r="AT946" s="175">
        <f>SUM(AJ946:AR946)</f>
        <v>6.7751476000000004</v>
      </c>
      <c r="AU946" s="310"/>
      <c r="AV946" s="337"/>
      <c r="AW946" s="276"/>
      <c r="AX946" s="276"/>
      <c r="AY946" s="279">
        <v>0.66705736999999998</v>
      </c>
      <c r="AZ946" s="276"/>
      <c r="BA946" s="276"/>
      <c r="BB946" s="276"/>
      <c r="BC946" s="276"/>
      <c r="BD946" s="276"/>
      <c r="BE946" s="276"/>
      <c r="BF946" s="400"/>
      <c r="BG946" s="389">
        <f>SUM(AW946:BE946)</f>
        <v>0.66705736999999998</v>
      </c>
      <c r="BH946" s="278"/>
      <c r="BI946" s="365"/>
    </row>
    <row r="947" spans="1:61" ht="15.75" customHeight="1" thickBot="1" x14ac:dyDescent="0.25">
      <c r="A947" s="156">
        <v>948</v>
      </c>
      <c r="B947" s="155">
        <v>2</v>
      </c>
      <c r="C947" s="148" t="s">
        <v>542</v>
      </c>
      <c r="D947" s="141" t="s">
        <v>2969</v>
      </c>
      <c r="E947" s="148"/>
      <c r="F947" s="148"/>
      <c r="G947" s="148"/>
      <c r="H947" s="148" t="s">
        <v>351</v>
      </c>
      <c r="I947" s="161"/>
      <c r="J947" s="161" t="s">
        <v>2968</v>
      </c>
      <c r="K947" s="161"/>
      <c r="L947" s="161"/>
      <c r="M947" s="453" t="s">
        <v>4282</v>
      </c>
      <c r="N947" s="186"/>
      <c r="O947" s="186"/>
      <c r="P947" s="186"/>
      <c r="Q947" s="186"/>
      <c r="R947" s="186"/>
      <c r="S947" s="186"/>
      <c r="T947" s="186"/>
      <c r="U947" s="186"/>
      <c r="V947" s="186"/>
      <c r="W947" s="186"/>
      <c r="X947" s="186"/>
      <c r="Y947" s="186"/>
      <c r="Z947" s="186"/>
      <c r="AA947" s="186"/>
      <c r="AB947" s="186"/>
      <c r="AC947" s="186"/>
      <c r="AD947" s="268"/>
      <c r="AE947" s="268"/>
      <c r="AF947" s="144" t="str">
        <f t="shared" si="71"/>
        <v/>
      </c>
      <c r="AG947" s="144">
        <f t="shared" si="70"/>
        <v>8.75</v>
      </c>
      <c r="AH947" s="146" t="str">
        <f t="shared" si="68"/>
        <v/>
      </c>
      <c r="AI947" s="146">
        <f t="shared" si="69"/>
        <v>0.80688000000000004</v>
      </c>
      <c r="AJ947" s="313"/>
      <c r="AK947" s="313"/>
      <c r="AL947" s="310">
        <v>8.75</v>
      </c>
      <c r="AM947" s="313"/>
      <c r="AN947" s="313"/>
      <c r="AO947" s="313"/>
      <c r="AP947" s="313"/>
      <c r="AQ947" s="313"/>
      <c r="AR947" s="313"/>
      <c r="AS947" s="176"/>
      <c r="AT947" s="175">
        <f>SUM(AJ947:AR947)</f>
        <v>8.75</v>
      </c>
      <c r="AU947" s="310"/>
      <c r="AV947" s="322"/>
      <c r="AW947" s="276"/>
      <c r="AX947" s="276"/>
      <c r="AY947" s="278">
        <v>0.80688000000000004</v>
      </c>
      <c r="AZ947" s="276"/>
      <c r="BA947" s="276"/>
      <c r="BB947" s="276"/>
      <c r="BC947" s="276"/>
      <c r="BD947" s="276"/>
      <c r="BE947" s="276"/>
      <c r="BF947" s="400"/>
      <c r="BG947" s="389">
        <f>SUM(AW947:BE947)</f>
        <v>0.80688000000000004</v>
      </c>
      <c r="BH947" s="278"/>
      <c r="BI947" s="365"/>
    </row>
    <row r="948" spans="1:61" ht="15.75" customHeight="1" thickBot="1" x14ac:dyDescent="0.25">
      <c r="A948" s="156">
        <v>949</v>
      </c>
      <c r="B948" s="155">
        <v>2</v>
      </c>
      <c r="C948" s="148" t="s">
        <v>760</v>
      </c>
      <c r="D948" s="141" t="s">
        <v>2970</v>
      </c>
      <c r="E948" s="148"/>
      <c r="F948" s="148"/>
      <c r="G948" s="148"/>
      <c r="H948" s="148" t="s">
        <v>351</v>
      </c>
      <c r="I948" s="161"/>
      <c r="J948" s="161" t="s">
        <v>2971</v>
      </c>
      <c r="K948" s="161"/>
      <c r="L948" s="161"/>
      <c r="M948" s="453" t="s">
        <v>4281</v>
      </c>
      <c r="N948" s="186"/>
      <c r="O948" s="186"/>
      <c r="P948" s="186"/>
      <c r="Q948" s="186"/>
      <c r="R948" s="186"/>
      <c r="S948" s="186"/>
      <c r="T948" s="186"/>
      <c r="U948" s="186"/>
      <c r="V948" s="186"/>
      <c r="W948" s="186"/>
      <c r="X948" s="186"/>
      <c r="Y948" s="186"/>
      <c r="Z948" s="186"/>
      <c r="AA948" s="186"/>
      <c r="AB948" s="186"/>
      <c r="AC948" s="186"/>
      <c r="AD948" s="268"/>
      <c r="AE948" s="268"/>
      <c r="AF948" s="144" t="str">
        <f t="shared" si="71"/>
        <v/>
      </c>
      <c r="AG948" s="144">
        <f t="shared" si="70"/>
        <v>2.9633449999999999</v>
      </c>
      <c r="AH948" s="146" t="str">
        <f t="shared" si="68"/>
        <v/>
      </c>
      <c r="AI948" s="146">
        <f t="shared" si="69"/>
        <v>0.40566000000000002</v>
      </c>
      <c r="AJ948" s="313"/>
      <c r="AK948" s="313"/>
      <c r="AL948" s="310">
        <f>2.6946+0.26627+0.002475</f>
        <v>2.9633449999999999</v>
      </c>
      <c r="AM948" s="313"/>
      <c r="AN948" s="313"/>
      <c r="AO948" s="313"/>
      <c r="AP948" s="313"/>
      <c r="AQ948" s="313"/>
      <c r="AR948" s="313"/>
      <c r="AS948" s="176"/>
      <c r="AT948" s="175">
        <f>SUM(AJ948:AR948)</f>
        <v>2.9633449999999999</v>
      </c>
      <c r="AU948" s="310"/>
      <c r="AV948" s="322"/>
      <c r="AW948" s="276"/>
      <c r="AX948" s="276"/>
      <c r="AY948" s="278">
        <v>0.40566000000000002</v>
      </c>
      <c r="AZ948" s="276"/>
      <c r="BA948" s="276"/>
      <c r="BB948" s="276"/>
      <c r="BC948" s="276"/>
      <c r="BD948" s="276"/>
      <c r="BE948" s="276"/>
      <c r="BF948" s="400"/>
      <c r="BG948" s="389">
        <f>SUM(AW948:BE948)</f>
        <v>0.40566000000000002</v>
      </c>
      <c r="BH948" s="278"/>
      <c r="BI948" s="365"/>
    </row>
    <row r="949" spans="1:61" ht="15.75" customHeight="1" thickBot="1" x14ac:dyDescent="0.25">
      <c r="A949" s="156">
        <v>950</v>
      </c>
      <c r="B949" s="155">
        <v>2</v>
      </c>
      <c r="C949" s="148" t="s">
        <v>162</v>
      </c>
      <c r="D949" s="141" t="s">
        <v>1946</v>
      </c>
      <c r="E949" s="148"/>
      <c r="F949" s="148"/>
      <c r="G949" s="148"/>
      <c r="H949" s="148" t="s">
        <v>351</v>
      </c>
      <c r="I949" s="161"/>
      <c r="J949" s="165" t="s">
        <v>2972</v>
      </c>
      <c r="K949" s="161"/>
      <c r="L949" s="161"/>
      <c r="M949" s="453" t="s">
        <v>4281</v>
      </c>
      <c r="N949" s="186"/>
      <c r="O949" s="186"/>
      <c r="P949" s="186"/>
      <c r="Q949" s="186"/>
      <c r="R949" s="186"/>
      <c r="S949" s="186"/>
      <c r="T949" s="186"/>
      <c r="U949" s="186"/>
      <c r="V949" s="186"/>
      <c r="W949" s="186"/>
      <c r="X949" s="186"/>
      <c r="Y949" s="186"/>
      <c r="Z949" s="186"/>
      <c r="AA949" s="186"/>
      <c r="AB949" s="186"/>
      <c r="AC949" s="186"/>
      <c r="AD949" s="268"/>
      <c r="AE949" s="268"/>
      <c r="AF949" s="144">
        <f t="shared" si="71"/>
        <v>2.4748158250000003</v>
      </c>
      <c r="AG949" s="144" t="str">
        <f t="shared" si="70"/>
        <v/>
      </c>
      <c r="AH949" s="146">
        <f t="shared" si="68"/>
        <v>0.24421635</v>
      </c>
      <c r="AI949" s="146" t="str">
        <f t="shared" si="69"/>
        <v/>
      </c>
      <c r="AJ949" s="313"/>
      <c r="AK949" s="313"/>
      <c r="AL949" s="313"/>
      <c r="AM949" s="313"/>
      <c r="AN949" s="313"/>
      <c r="AO949" s="313"/>
      <c r="AP949" s="313"/>
      <c r="AQ949" s="313"/>
      <c r="AR949" s="313"/>
      <c r="AS949" s="176">
        <v>2.4748158250000003</v>
      </c>
      <c r="AT949" s="169"/>
      <c r="AU949" s="310"/>
      <c r="AV949" s="322"/>
      <c r="AW949" s="276"/>
      <c r="AX949" s="276"/>
      <c r="AY949" s="276"/>
      <c r="AZ949" s="276"/>
      <c r="BA949" s="276"/>
      <c r="BB949" s="276"/>
      <c r="BC949" s="276"/>
      <c r="BD949" s="276"/>
      <c r="BE949" s="276"/>
      <c r="BF949" s="401">
        <v>0.24421635</v>
      </c>
      <c r="BG949" s="382"/>
      <c r="BH949" s="278"/>
      <c r="BI949" s="365"/>
    </row>
    <row r="950" spans="1:61" ht="15.75" customHeight="1" thickBot="1" x14ac:dyDescent="0.25">
      <c r="A950" s="156">
        <v>951</v>
      </c>
      <c r="B950" s="155">
        <v>2</v>
      </c>
      <c r="C950" s="148" t="s">
        <v>162</v>
      </c>
      <c r="D950" s="141" t="s">
        <v>1946</v>
      </c>
      <c r="E950" s="148"/>
      <c r="F950" s="148"/>
      <c r="G950" s="148"/>
      <c r="H950" s="148" t="s">
        <v>2886</v>
      </c>
      <c r="I950" s="161"/>
      <c r="J950" s="165" t="s">
        <v>2973</v>
      </c>
      <c r="K950" s="161"/>
      <c r="L950" s="161"/>
      <c r="M950" s="453" t="s">
        <v>4281</v>
      </c>
      <c r="N950" s="186"/>
      <c r="O950" s="186"/>
      <c r="P950" s="186"/>
      <c r="Q950" s="186"/>
      <c r="R950" s="186"/>
      <c r="S950" s="186"/>
      <c r="T950" s="186"/>
      <c r="U950" s="186"/>
      <c r="V950" s="186"/>
      <c r="W950" s="186"/>
      <c r="X950" s="186"/>
      <c r="Y950" s="186"/>
      <c r="Z950" s="186"/>
      <c r="AA950" s="186"/>
      <c r="AB950" s="186"/>
      <c r="AC950" s="186"/>
      <c r="AD950" s="268"/>
      <c r="AE950" s="268"/>
      <c r="AF950" s="144">
        <f t="shared" si="71"/>
        <v>2.6657383942699999</v>
      </c>
      <c r="AG950" s="144" t="str">
        <f t="shared" si="70"/>
        <v/>
      </c>
      <c r="AH950" s="146">
        <f t="shared" si="68"/>
        <v>0.28881754999999998</v>
      </c>
      <c r="AI950" s="146" t="str">
        <f t="shared" si="69"/>
        <v/>
      </c>
      <c r="AJ950" s="313"/>
      <c r="AK950" s="313"/>
      <c r="AL950" s="313"/>
      <c r="AM950" s="313"/>
      <c r="AN950" s="313"/>
      <c r="AO950" s="313"/>
      <c r="AP950" s="313"/>
      <c r="AQ950" s="313"/>
      <c r="AR950" s="313"/>
      <c r="AS950" s="176">
        <v>2.6657383942699999</v>
      </c>
      <c r="AT950" s="169"/>
      <c r="AU950" s="310"/>
      <c r="AV950" s="322"/>
      <c r="AW950" s="276"/>
      <c r="AX950" s="276"/>
      <c r="AY950" s="276"/>
      <c r="AZ950" s="276"/>
      <c r="BA950" s="276"/>
      <c r="BB950" s="276"/>
      <c r="BC950" s="276"/>
      <c r="BD950" s="276"/>
      <c r="BE950" s="276"/>
      <c r="BF950" s="401">
        <v>0.28881754999999998</v>
      </c>
      <c r="BG950" s="382"/>
      <c r="BH950" s="278"/>
      <c r="BI950" s="365"/>
    </row>
    <row r="951" spans="1:61" ht="15.75" customHeight="1" thickBot="1" x14ac:dyDescent="0.25">
      <c r="A951" s="156">
        <v>952</v>
      </c>
      <c r="B951" s="155">
        <v>2</v>
      </c>
      <c r="C951" s="148" t="s">
        <v>162</v>
      </c>
      <c r="D951" s="141" t="s">
        <v>1946</v>
      </c>
      <c r="E951" s="148"/>
      <c r="F951" s="148"/>
      <c r="G951" s="148"/>
      <c r="H951" s="148" t="s">
        <v>2870</v>
      </c>
      <c r="I951" s="161"/>
      <c r="J951" s="165" t="s">
        <v>2974</v>
      </c>
      <c r="K951" s="161"/>
      <c r="L951" s="161"/>
      <c r="M951" s="453" t="s">
        <v>4281</v>
      </c>
      <c r="N951" s="186"/>
      <c r="O951" s="186"/>
      <c r="P951" s="186"/>
      <c r="Q951" s="186"/>
      <c r="R951" s="186"/>
      <c r="S951" s="186"/>
      <c r="T951" s="186"/>
      <c r="U951" s="186"/>
      <c r="V951" s="186"/>
      <c r="W951" s="186"/>
      <c r="X951" s="186"/>
      <c r="Y951" s="186"/>
      <c r="Z951" s="186"/>
      <c r="AA951" s="186"/>
      <c r="AB951" s="186"/>
      <c r="AC951" s="186"/>
      <c r="AD951" s="268"/>
      <c r="AE951" s="268"/>
      <c r="AF951" s="144">
        <f t="shared" si="71"/>
        <v>2.527893089</v>
      </c>
      <c r="AG951" s="144" t="str">
        <f t="shared" si="70"/>
        <v/>
      </c>
      <c r="AH951" s="146">
        <f t="shared" si="68"/>
        <v>0.37178664</v>
      </c>
      <c r="AI951" s="146" t="str">
        <f t="shared" si="69"/>
        <v/>
      </c>
      <c r="AJ951" s="313"/>
      <c r="AK951" s="313"/>
      <c r="AL951" s="313"/>
      <c r="AM951" s="313"/>
      <c r="AN951" s="313"/>
      <c r="AO951" s="313"/>
      <c r="AP951" s="313"/>
      <c r="AQ951" s="313"/>
      <c r="AR951" s="313"/>
      <c r="AS951" s="176">
        <v>2.527893089</v>
      </c>
      <c r="AT951" s="169"/>
      <c r="AU951" s="310"/>
      <c r="AV951" s="322"/>
      <c r="AW951" s="276"/>
      <c r="AX951" s="276"/>
      <c r="AY951" s="276"/>
      <c r="AZ951" s="276"/>
      <c r="BA951" s="276"/>
      <c r="BB951" s="276"/>
      <c r="BC951" s="276"/>
      <c r="BD951" s="276"/>
      <c r="BE951" s="276"/>
      <c r="BF951" s="401">
        <v>0.37178664</v>
      </c>
      <c r="BG951" s="382"/>
      <c r="BH951" s="278"/>
      <c r="BI951" s="365"/>
    </row>
    <row r="952" spans="1:61" ht="15.75" customHeight="1" thickBot="1" x14ac:dyDescent="0.25">
      <c r="A952" s="156">
        <v>953</v>
      </c>
      <c r="B952" s="155">
        <v>2</v>
      </c>
      <c r="C952" s="148" t="s">
        <v>162</v>
      </c>
      <c r="D952" s="141" t="s">
        <v>1946</v>
      </c>
      <c r="E952" s="148"/>
      <c r="F952" s="148"/>
      <c r="G952" s="148"/>
      <c r="H952" s="148" t="s">
        <v>2892</v>
      </c>
      <c r="I952" s="161"/>
      <c r="J952" s="165" t="s">
        <v>2975</v>
      </c>
      <c r="K952" s="161"/>
      <c r="L952" s="161"/>
      <c r="M952" s="453" t="s">
        <v>4281</v>
      </c>
      <c r="N952" s="186"/>
      <c r="O952" s="186"/>
      <c r="P952" s="186"/>
      <c r="Q952" s="186"/>
      <c r="R952" s="186"/>
      <c r="S952" s="186"/>
      <c r="T952" s="186"/>
      <c r="U952" s="186"/>
      <c r="V952" s="186"/>
      <c r="W952" s="186"/>
      <c r="X952" s="186"/>
      <c r="Y952" s="186"/>
      <c r="Z952" s="186"/>
      <c r="AA952" s="186"/>
      <c r="AB952" s="186"/>
      <c r="AC952" s="186"/>
      <c r="AD952" s="268"/>
      <c r="AE952" s="268"/>
      <c r="AF952" s="144">
        <f t="shared" si="71"/>
        <v>1.8887313091</v>
      </c>
      <c r="AG952" s="144" t="str">
        <f t="shared" si="70"/>
        <v/>
      </c>
      <c r="AH952" s="146">
        <f t="shared" si="68"/>
        <v>0.18450696</v>
      </c>
      <c r="AI952" s="146" t="str">
        <f t="shared" si="69"/>
        <v/>
      </c>
      <c r="AJ952" s="313"/>
      <c r="AK952" s="313"/>
      <c r="AL952" s="313"/>
      <c r="AM952" s="313"/>
      <c r="AN952" s="313"/>
      <c r="AO952" s="313"/>
      <c r="AP952" s="313"/>
      <c r="AQ952" s="313"/>
      <c r="AR952" s="313"/>
      <c r="AS952" s="176">
        <v>1.8887313091</v>
      </c>
      <c r="AT952" s="169"/>
      <c r="AU952" s="310"/>
      <c r="AV952" s="322"/>
      <c r="AW952" s="276"/>
      <c r="AX952" s="276"/>
      <c r="AY952" s="276"/>
      <c r="AZ952" s="276"/>
      <c r="BA952" s="276"/>
      <c r="BB952" s="276"/>
      <c r="BC952" s="276"/>
      <c r="BD952" s="276"/>
      <c r="BE952" s="276"/>
      <c r="BF952" s="401">
        <v>0.18450696</v>
      </c>
      <c r="BG952" s="382"/>
      <c r="BH952" s="278"/>
      <c r="BI952" s="365"/>
    </row>
    <row r="953" spans="1:61" ht="15.75" customHeight="1" thickBot="1" x14ac:dyDescent="0.25">
      <c r="A953" s="156">
        <v>954</v>
      </c>
      <c r="B953" s="155">
        <v>2</v>
      </c>
      <c r="C953" s="148" t="s">
        <v>542</v>
      </c>
      <c r="D953" s="148" t="s">
        <v>2144</v>
      </c>
      <c r="E953" s="148"/>
      <c r="F953" s="148"/>
      <c r="G953" s="148"/>
      <c r="H953" s="148" t="s">
        <v>248</v>
      </c>
      <c r="I953" s="161"/>
      <c r="J953" s="161" t="s">
        <v>2976</v>
      </c>
      <c r="K953" s="161"/>
      <c r="L953" s="161"/>
      <c r="M953" s="453" t="s">
        <v>4287</v>
      </c>
      <c r="N953" s="186"/>
      <c r="O953" s="186"/>
      <c r="P953" s="186"/>
      <c r="Q953" s="186"/>
      <c r="R953" s="186"/>
      <c r="S953" s="186"/>
      <c r="T953" s="186"/>
      <c r="U953" s="186"/>
      <c r="V953" s="186"/>
      <c r="W953" s="186"/>
      <c r="X953" s="186"/>
      <c r="Y953" s="186"/>
      <c r="Z953" s="186"/>
      <c r="AA953" s="186"/>
      <c r="AB953" s="186"/>
      <c r="AC953" s="186"/>
      <c r="AD953" s="268"/>
      <c r="AE953" s="268"/>
      <c r="AF953" s="144" t="str">
        <f t="shared" si="71"/>
        <v/>
      </c>
      <c r="AG953" s="144">
        <f t="shared" si="70"/>
        <v>3.1583665999999999</v>
      </c>
      <c r="AH953" s="146" t="str">
        <f t="shared" si="68"/>
        <v/>
      </c>
      <c r="AI953" s="146">
        <f t="shared" si="69"/>
        <v>4.3630063999999997</v>
      </c>
      <c r="AJ953" s="313"/>
      <c r="AK953" s="313"/>
      <c r="AL953" s="315">
        <v>3.1583665999999999</v>
      </c>
      <c r="AM953" s="313"/>
      <c r="AN953" s="313"/>
      <c r="AO953" s="313"/>
      <c r="AP953" s="313"/>
      <c r="AQ953" s="313"/>
      <c r="AR953" s="313"/>
      <c r="AS953" s="176"/>
      <c r="AT953" s="175">
        <f>SUM(AJ953:AR953)</f>
        <v>3.1583665999999999</v>
      </c>
      <c r="AU953" s="310"/>
      <c r="AV953" s="338"/>
      <c r="AW953" s="276"/>
      <c r="AX953" s="276"/>
      <c r="AY953" s="283">
        <v>4.3630063999999997</v>
      </c>
      <c r="AZ953" s="276"/>
      <c r="BA953" s="276"/>
      <c r="BB953" s="276"/>
      <c r="BC953" s="276"/>
      <c r="BD953" s="276"/>
      <c r="BE953" s="276"/>
      <c r="BF953" s="400"/>
      <c r="BG953" s="389">
        <f>SUM(AW953:BE953)</f>
        <v>4.3630063999999997</v>
      </c>
      <c r="BH953" s="278"/>
      <c r="BI953" s="365"/>
    </row>
    <row r="954" spans="1:61" ht="15.75" customHeight="1" thickBot="1" x14ac:dyDescent="0.25">
      <c r="A954" s="156">
        <v>955</v>
      </c>
      <c r="B954" s="155">
        <v>2</v>
      </c>
      <c r="C954" s="148" t="s">
        <v>162</v>
      </c>
      <c r="D954" s="148" t="s">
        <v>2447</v>
      </c>
      <c r="E954" s="148"/>
      <c r="F954" s="148"/>
      <c r="G954" s="148"/>
      <c r="H954" s="148" t="s">
        <v>2884</v>
      </c>
      <c r="I954" s="161"/>
      <c r="J954" s="165" t="s">
        <v>2997</v>
      </c>
      <c r="K954" s="161"/>
      <c r="L954" s="161"/>
      <c r="M954" s="453" t="s">
        <v>4281</v>
      </c>
      <c r="N954" s="186"/>
      <c r="O954" s="186"/>
      <c r="P954" s="186"/>
      <c r="Q954" s="186"/>
      <c r="R954" s="186"/>
      <c r="S954" s="186"/>
      <c r="T954" s="186"/>
      <c r="U954" s="186"/>
      <c r="V954" s="186"/>
      <c r="W954" s="186"/>
      <c r="X954" s="186"/>
      <c r="Y954" s="186"/>
      <c r="Z954" s="186"/>
      <c r="AA954" s="186"/>
      <c r="AB954" s="186"/>
      <c r="AC954" s="186"/>
      <c r="AD954" s="268"/>
      <c r="AE954" s="268"/>
      <c r="AF954" s="144">
        <f t="shared" si="71"/>
        <v>2.1517225358000003</v>
      </c>
      <c r="AG954" s="144" t="str">
        <f t="shared" si="70"/>
        <v/>
      </c>
      <c r="AH954" s="146">
        <f t="shared" si="68"/>
        <v>0.18947802999999999</v>
      </c>
      <c r="AI954" s="146" t="str">
        <f t="shared" si="69"/>
        <v/>
      </c>
      <c r="AJ954" s="313"/>
      <c r="AK954" s="313"/>
      <c r="AL954" s="313"/>
      <c r="AM954" s="313"/>
      <c r="AN954" s="313"/>
      <c r="AO954" s="313"/>
      <c r="AP954" s="313"/>
      <c r="AQ954" s="313"/>
      <c r="AR954" s="313"/>
      <c r="AS954" s="176">
        <v>2.1517225358000003</v>
      </c>
      <c r="AT954" s="169"/>
      <c r="AU954" s="310"/>
      <c r="AV954" s="322"/>
      <c r="AW954" s="276"/>
      <c r="AX954" s="276"/>
      <c r="AY954" s="276"/>
      <c r="AZ954" s="276"/>
      <c r="BA954" s="276"/>
      <c r="BB954" s="276"/>
      <c r="BC954" s="276"/>
      <c r="BD954" s="276"/>
      <c r="BE954" s="276"/>
      <c r="BF954" s="401">
        <v>0.18947802999999999</v>
      </c>
      <c r="BG954" s="389"/>
    </row>
    <row r="955" spans="1:61" ht="15.75" customHeight="1" thickBot="1" x14ac:dyDescent="0.25">
      <c r="A955" s="156">
        <v>956</v>
      </c>
      <c r="B955" s="155">
        <v>2</v>
      </c>
      <c r="C955" s="148" t="s">
        <v>162</v>
      </c>
      <c r="D955" s="148" t="s">
        <v>2447</v>
      </c>
      <c r="E955" s="148"/>
      <c r="F955" s="148"/>
      <c r="G955" s="148"/>
      <c r="H955" s="148" t="s">
        <v>2943</v>
      </c>
      <c r="I955" s="161"/>
      <c r="J955" s="165" t="s">
        <v>2977</v>
      </c>
      <c r="K955" s="161"/>
      <c r="L955" s="161"/>
      <c r="M955" s="453" t="s">
        <v>4281</v>
      </c>
      <c r="N955" s="186"/>
      <c r="O955" s="186"/>
      <c r="P955" s="186"/>
      <c r="Q955" s="186"/>
      <c r="R955" s="186"/>
      <c r="S955" s="186"/>
      <c r="T955" s="186"/>
      <c r="U955" s="186"/>
      <c r="V955" s="186"/>
      <c r="W955" s="186"/>
      <c r="X955" s="186"/>
      <c r="Y955" s="186"/>
      <c r="Z955" s="186"/>
      <c r="AA955" s="186"/>
      <c r="AB955" s="186"/>
      <c r="AC955" s="186"/>
      <c r="AD955" s="268"/>
      <c r="AE955" s="268"/>
      <c r="AF955" s="144">
        <f t="shared" si="71"/>
        <v>5.6378573961000003</v>
      </c>
      <c r="AG955" s="144" t="str">
        <f t="shared" si="70"/>
        <v/>
      </c>
      <c r="AH955" s="146">
        <f t="shared" si="68"/>
        <v>0.54483833000000004</v>
      </c>
      <c r="AI955" s="146" t="str">
        <f t="shared" si="69"/>
        <v/>
      </c>
      <c r="AJ955" s="313"/>
      <c r="AK955" s="313"/>
      <c r="AL955" s="313"/>
      <c r="AM955" s="313"/>
      <c r="AN955" s="313"/>
      <c r="AO955" s="313"/>
      <c r="AP955" s="313"/>
      <c r="AQ955" s="313"/>
      <c r="AR955" s="313"/>
      <c r="AS955" s="176">
        <v>5.6378573961000003</v>
      </c>
      <c r="AT955" s="169"/>
      <c r="AU955" s="310"/>
      <c r="AV955" s="322"/>
      <c r="AW955" s="276"/>
      <c r="AX955" s="276"/>
      <c r="AY955" s="276"/>
      <c r="AZ955" s="276"/>
      <c r="BA955" s="276"/>
      <c r="BB955" s="276"/>
      <c r="BC955" s="276"/>
      <c r="BD955" s="276"/>
      <c r="BE955" s="276"/>
      <c r="BF955" s="401">
        <v>0.54483833000000004</v>
      </c>
      <c r="BG955" s="389"/>
    </row>
    <row r="956" spans="1:61" ht="15.75" customHeight="1" thickBot="1" x14ac:dyDescent="0.25">
      <c r="A956" s="156">
        <v>957</v>
      </c>
      <c r="B956" s="155">
        <v>2</v>
      </c>
      <c r="C956" s="148" t="s">
        <v>162</v>
      </c>
      <c r="D956" s="148" t="s">
        <v>2447</v>
      </c>
      <c r="E956" s="148"/>
      <c r="F956" s="148"/>
      <c r="G956" s="148"/>
      <c r="H956" s="148" t="s">
        <v>2901</v>
      </c>
      <c r="I956" s="161"/>
      <c r="J956" s="165" t="s">
        <v>2978</v>
      </c>
      <c r="K956" s="161"/>
      <c r="L956" s="161"/>
      <c r="M956" s="453" t="s">
        <v>4281</v>
      </c>
      <c r="N956" s="186"/>
      <c r="O956" s="186"/>
      <c r="P956" s="186"/>
      <c r="Q956" s="186"/>
      <c r="R956" s="186"/>
      <c r="S956" s="186"/>
      <c r="T956" s="186"/>
      <c r="U956" s="186"/>
      <c r="V956" s="186"/>
      <c r="W956" s="186"/>
      <c r="X956" s="186"/>
      <c r="Y956" s="186"/>
      <c r="Z956" s="186"/>
      <c r="AA956" s="186"/>
      <c r="AB956" s="186"/>
      <c r="AC956" s="186"/>
      <c r="AD956" s="268"/>
      <c r="AE956" s="268"/>
      <c r="AF956" s="144">
        <f t="shared" si="71"/>
        <v>2.1631013978000002</v>
      </c>
      <c r="AG956" s="144" t="str">
        <f t="shared" si="70"/>
        <v/>
      </c>
      <c r="AH956" s="146">
        <f t="shared" si="68"/>
        <v>0.19278450999999999</v>
      </c>
      <c r="AI956" s="146" t="str">
        <f t="shared" si="69"/>
        <v/>
      </c>
      <c r="AJ956" s="313"/>
      <c r="AK956" s="313"/>
      <c r="AL956" s="313"/>
      <c r="AM956" s="313"/>
      <c r="AN956" s="313"/>
      <c r="AO956" s="313"/>
      <c r="AP956" s="313"/>
      <c r="AQ956" s="313"/>
      <c r="AR956" s="313"/>
      <c r="AS956" s="176">
        <v>2.1631013978000002</v>
      </c>
      <c r="AT956" s="169"/>
      <c r="AU956" s="310"/>
      <c r="AV956" s="322"/>
      <c r="AW956" s="276"/>
      <c r="AX956" s="276"/>
      <c r="AY956" s="276"/>
      <c r="AZ956" s="276"/>
      <c r="BA956" s="276"/>
      <c r="BB956" s="276"/>
      <c r="BC956" s="276"/>
      <c r="BD956" s="276"/>
      <c r="BE956" s="276"/>
      <c r="BF956" s="401">
        <v>0.19278450999999999</v>
      </c>
      <c r="BG956" s="389"/>
    </row>
    <row r="957" spans="1:61" ht="15.75" customHeight="1" thickBot="1" x14ac:dyDescent="0.25">
      <c r="A957" s="156">
        <v>958</v>
      </c>
      <c r="B957" s="155">
        <v>2</v>
      </c>
      <c r="C957" s="148" t="s">
        <v>162</v>
      </c>
      <c r="D957" s="148" t="s">
        <v>2447</v>
      </c>
      <c r="E957" s="148"/>
      <c r="F957" s="148"/>
      <c r="G957" s="148"/>
      <c r="H957" s="148" t="s">
        <v>2998</v>
      </c>
      <c r="I957" s="161"/>
      <c r="J957" s="165" t="s">
        <v>2979</v>
      </c>
      <c r="K957" s="161"/>
      <c r="L957" s="161"/>
      <c r="M957" s="453" t="s">
        <v>4281</v>
      </c>
      <c r="N957" s="186"/>
      <c r="O957" s="186"/>
      <c r="P957" s="186"/>
      <c r="Q957" s="186"/>
      <c r="R957" s="186"/>
      <c r="S957" s="186"/>
      <c r="T957" s="186"/>
      <c r="U957" s="186"/>
      <c r="V957" s="186"/>
      <c r="W957" s="186"/>
      <c r="X957" s="186"/>
      <c r="Y957" s="186"/>
      <c r="Z957" s="186"/>
      <c r="AA957" s="186"/>
      <c r="AB957" s="186"/>
      <c r="AC957" s="186"/>
      <c r="AD957" s="268"/>
      <c r="AE957" s="268"/>
      <c r="AF957" s="144">
        <f t="shared" si="71"/>
        <v>2.5110390611</v>
      </c>
      <c r="AG957" s="144" t="str">
        <f t="shared" si="70"/>
        <v/>
      </c>
      <c r="AH957" s="146">
        <f t="shared" si="68"/>
        <v>0.24044423000000001</v>
      </c>
      <c r="AI957" s="146" t="str">
        <f t="shared" si="69"/>
        <v/>
      </c>
      <c r="AJ957" s="313"/>
      <c r="AK957" s="313"/>
      <c r="AL957" s="313"/>
      <c r="AM957" s="313"/>
      <c r="AN957" s="313"/>
      <c r="AO957" s="313"/>
      <c r="AP957" s="313"/>
      <c r="AQ957" s="313"/>
      <c r="AR957" s="313"/>
      <c r="AS957" s="176">
        <v>2.5110390611</v>
      </c>
      <c r="AT957" s="169"/>
      <c r="AU957" s="310"/>
      <c r="AV957" s="322"/>
      <c r="AW957" s="276"/>
      <c r="AX957" s="276"/>
      <c r="AY957" s="276"/>
      <c r="AZ957" s="276"/>
      <c r="BA957" s="276"/>
      <c r="BB957" s="276"/>
      <c r="BC957" s="276"/>
      <c r="BD957" s="276"/>
      <c r="BE957" s="276"/>
      <c r="BF957" s="401">
        <v>0.24044423000000001</v>
      </c>
      <c r="BG957" s="389"/>
    </row>
    <row r="958" spans="1:61" ht="15.75" customHeight="1" thickBot="1" x14ac:dyDescent="0.25">
      <c r="A958" s="156">
        <v>959</v>
      </c>
      <c r="B958" s="155">
        <v>2</v>
      </c>
      <c r="C958" s="148" t="s">
        <v>162</v>
      </c>
      <c r="D958" s="148" t="s">
        <v>2447</v>
      </c>
      <c r="E958" s="148"/>
      <c r="F958" s="148"/>
      <c r="G958" s="148"/>
      <c r="H958" s="148" t="s">
        <v>2870</v>
      </c>
      <c r="I958" s="161"/>
      <c r="J958" s="165" t="s">
        <v>2980</v>
      </c>
      <c r="K958" s="161"/>
      <c r="L958" s="161"/>
      <c r="M958" s="453" t="s">
        <v>4281</v>
      </c>
      <c r="N958" s="186"/>
      <c r="O958" s="186"/>
      <c r="P958" s="186"/>
      <c r="Q958" s="186"/>
      <c r="R958" s="186"/>
      <c r="S958" s="186"/>
      <c r="T958" s="186"/>
      <c r="U958" s="186"/>
      <c r="V958" s="186"/>
      <c r="W958" s="186"/>
      <c r="X958" s="186"/>
      <c r="Y958" s="186"/>
      <c r="Z958" s="186"/>
      <c r="AA958" s="186"/>
      <c r="AB958" s="186"/>
      <c r="AC958" s="186"/>
      <c r="AD958" s="268"/>
      <c r="AE958" s="268"/>
      <c r="AF958" s="144">
        <f t="shared" si="71"/>
        <v>3.4170270486000001</v>
      </c>
      <c r="AG958" s="144" t="str">
        <f t="shared" si="70"/>
        <v/>
      </c>
      <c r="AH958" s="146">
        <f t="shared" si="68"/>
        <v>0.32761311999999998</v>
      </c>
      <c r="AI958" s="146" t="str">
        <f t="shared" si="69"/>
        <v/>
      </c>
      <c r="AJ958" s="313"/>
      <c r="AK958" s="313"/>
      <c r="AL958" s="313"/>
      <c r="AM958" s="313"/>
      <c r="AN958" s="313"/>
      <c r="AO958" s="313"/>
      <c r="AP958" s="313"/>
      <c r="AQ958" s="313"/>
      <c r="AR958" s="313"/>
      <c r="AS958" s="176">
        <v>3.4170270486000001</v>
      </c>
      <c r="AT958" s="169"/>
      <c r="AU958" s="310"/>
      <c r="AV958" s="322"/>
      <c r="AW958" s="276"/>
      <c r="AX958" s="276"/>
      <c r="AY958" s="276"/>
      <c r="AZ958" s="276"/>
      <c r="BA958" s="276"/>
      <c r="BB958" s="276"/>
      <c r="BC958" s="276"/>
      <c r="BD958" s="276"/>
      <c r="BE958" s="276"/>
      <c r="BF958" s="401">
        <v>0.32761311999999998</v>
      </c>
      <c r="BG958" s="389"/>
    </row>
    <row r="959" spans="1:61" ht="15.75" customHeight="1" thickBot="1" x14ac:dyDescent="0.25">
      <c r="A959" s="156">
        <v>960</v>
      </c>
      <c r="B959" s="155">
        <v>2</v>
      </c>
      <c r="C959" s="148" t="s">
        <v>587</v>
      </c>
      <c r="D959" s="148" t="s">
        <v>2955</v>
      </c>
      <c r="E959" s="148"/>
      <c r="F959" s="148"/>
      <c r="G959" s="148"/>
      <c r="H959" s="148" t="s">
        <v>2901</v>
      </c>
      <c r="I959" s="161"/>
      <c r="J959" s="165" t="s">
        <v>2982</v>
      </c>
      <c r="K959" s="161"/>
      <c r="L959" s="161"/>
      <c r="M959" s="453" t="s">
        <v>4282</v>
      </c>
      <c r="N959" s="186"/>
      <c r="O959" s="186"/>
      <c r="P959" s="186"/>
      <c r="Q959" s="186"/>
      <c r="R959" s="186"/>
      <c r="S959" s="186"/>
      <c r="T959" s="186"/>
      <c r="U959" s="186"/>
      <c r="V959" s="186"/>
      <c r="W959" s="186"/>
      <c r="X959" s="186"/>
      <c r="Y959" s="186"/>
      <c r="Z959" s="186"/>
      <c r="AA959" s="186"/>
      <c r="AB959" s="186"/>
      <c r="AC959" s="186"/>
      <c r="AD959" s="268"/>
      <c r="AE959" s="268"/>
      <c r="AF959" s="144" t="str">
        <f t="shared" si="71"/>
        <v/>
      </c>
      <c r="AG959" s="144">
        <f t="shared" si="70"/>
        <v>3.7005972000000003</v>
      </c>
      <c r="AH959" s="146" t="str">
        <f t="shared" si="68"/>
        <v/>
      </c>
      <c r="AI959" s="146">
        <f t="shared" si="69"/>
        <v>0.29486158999999995</v>
      </c>
      <c r="AJ959" s="313"/>
      <c r="AK959" s="313"/>
      <c r="AL959" s="314">
        <f>3700.5972/1000</f>
        <v>3.7005972000000003</v>
      </c>
      <c r="AM959" s="313"/>
      <c r="AN959" s="313"/>
      <c r="AO959" s="313"/>
      <c r="AP959" s="313"/>
      <c r="AQ959" s="313"/>
      <c r="AR959" s="313"/>
      <c r="AS959" s="176"/>
      <c r="AT959" s="175">
        <f t="shared" ref="AT959:AT966" si="72">SUM(AJ959:AR959)</f>
        <v>3.7005972000000003</v>
      </c>
      <c r="AU959" s="310"/>
      <c r="AV959" s="337"/>
      <c r="AW959" s="276"/>
      <c r="AX959" s="276"/>
      <c r="AY959" s="279">
        <f>294.86159/1000</f>
        <v>0.29486158999999995</v>
      </c>
      <c r="AZ959" s="276"/>
      <c r="BA959" s="276"/>
      <c r="BB959" s="276"/>
      <c r="BC959" s="276"/>
      <c r="BD959" s="276"/>
      <c r="BE959" s="276"/>
      <c r="BF959" s="400"/>
      <c r="BG959" s="389">
        <f t="shared" ref="BG959:BG966" si="73">SUM(AW959:BE959)</f>
        <v>0.29486158999999995</v>
      </c>
      <c r="BH959" s="278"/>
      <c r="BI959" s="365"/>
    </row>
    <row r="960" spans="1:61" ht="15.75" customHeight="1" thickBot="1" x14ac:dyDescent="0.25">
      <c r="A960" s="156">
        <v>961</v>
      </c>
      <c r="B960" s="155">
        <v>2</v>
      </c>
      <c r="C960" s="148" t="s">
        <v>587</v>
      </c>
      <c r="D960" s="148" t="s">
        <v>2955</v>
      </c>
      <c r="E960" s="148"/>
      <c r="F960" s="148"/>
      <c r="G960" s="148"/>
      <c r="H960" s="148" t="s">
        <v>2999</v>
      </c>
      <c r="I960" s="161"/>
      <c r="J960" s="165" t="s">
        <v>2983</v>
      </c>
      <c r="K960" s="161"/>
      <c r="L960" s="161"/>
      <c r="M960" s="453" t="s">
        <v>4282</v>
      </c>
      <c r="N960" s="186"/>
      <c r="O960" s="186"/>
      <c r="P960" s="186"/>
      <c r="Q960" s="186"/>
      <c r="R960" s="186"/>
      <c r="S960" s="186"/>
      <c r="T960" s="186"/>
      <c r="U960" s="186"/>
      <c r="V960" s="186"/>
      <c r="W960" s="186"/>
      <c r="X960" s="186"/>
      <c r="Y960" s="186"/>
      <c r="Z960" s="186"/>
      <c r="AA960" s="186"/>
      <c r="AB960" s="186"/>
      <c r="AC960" s="186"/>
      <c r="AD960" s="268"/>
      <c r="AE960" s="268"/>
      <c r="AF960" s="144" t="str">
        <f t="shared" si="71"/>
        <v/>
      </c>
      <c r="AG960" s="144">
        <f t="shared" si="70"/>
        <v>5.132009</v>
      </c>
      <c r="AH960" s="146" t="str">
        <f t="shared" si="68"/>
        <v/>
      </c>
      <c r="AI960" s="146">
        <f t="shared" si="69"/>
        <v>0.47034267000000002</v>
      </c>
      <c r="AJ960" s="313"/>
      <c r="AK960" s="313"/>
      <c r="AL960" s="314">
        <v>5.132009</v>
      </c>
      <c r="AM960" s="313"/>
      <c r="AN960" s="313"/>
      <c r="AO960" s="313"/>
      <c r="AP960" s="313"/>
      <c r="AQ960" s="313"/>
      <c r="AR960" s="313"/>
      <c r="AS960" s="176"/>
      <c r="AT960" s="175">
        <f t="shared" si="72"/>
        <v>5.132009</v>
      </c>
      <c r="AU960" s="310"/>
      <c r="AV960" s="337"/>
      <c r="AW960" s="276"/>
      <c r="AX960" s="276"/>
      <c r="AY960" s="279">
        <v>0.47034267000000002</v>
      </c>
      <c r="AZ960" s="276"/>
      <c r="BA960" s="276"/>
      <c r="BB960" s="276"/>
      <c r="BC960" s="276"/>
      <c r="BD960" s="276"/>
      <c r="BE960" s="276"/>
      <c r="BF960" s="400"/>
      <c r="BG960" s="389">
        <f t="shared" si="73"/>
        <v>0.47034267000000002</v>
      </c>
      <c r="BH960" s="278"/>
      <c r="BI960" s="365"/>
    </row>
    <row r="961" spans="1:61" ht="15.75" customHeight="1" thickBot="1" x14ac:dyDescent="0.25">
      <c r="A961" s="156">
        <v>962</v>
      </c>
      <c r="B961" s="155">
        <v>2</v>
      </c>
      <c r="C961" s="148" t="s">
        <v>587</v>
      </c>
      <c r="D961" s="148" t="s">
        <v>2955</v>
      </c>
      <c r="E961" s="148"/>
      <c r="F961" s="148"/>
      <c r="G961" s="148"/>
      <c r="H961" s="148" t="s">
        <v>2878</v>
      </c>
      <c r="I961" s="161"/>
      <c r="J961" s="165" t="s">
        <v>2984</v>
      </c>
      <c r="K961" s="161"/>
      <c r="L961" s="161"/>
      <c r="M961" s="453" t="s">
        <v>4282</v>
      </c>
      <c r="N961" s="186"/>
      <c r="O961" s="186"/>
      <c r="P961" s="186"/>
      <c r="Q961" s="186"/>
      <c r="R961" s="186"/>
      <c r="S961" s="186"/>
      <c r="T961" s="186"/>
      <c r="U961" s="186"/>
      <c r="V961" s="186"/>
      <c r="W961" s="186"/>
      <c r="X961" s="186"/>
      <c r="Y961" s="186"/>
      <c r="Z961" s="186"/>
      <c r="AA961" s="186"/>
      <c r="AB961" s="186"/>
      <c r="AC961" s="186"/>
      <c r="AD961" s="268"/>
      <c r="AE961" s="268"/>
      <c r="AF961" s="144" t="str">
        <f t="shared" si="71"/>
        <v/>
      </c>
      <c r="AG961" s="144">
        <f t="shared" si="70"/>
        <v>4.5169813999999997</v>
      </c>
      <c r="AH961" s="146" t="str">
        <f t="shared" si="68"/>
        <v/>
      </c>
      <c r="AI961" s="146">
        <f t="shared" si="69"/>
        <v>0.36901864000000001</v>
      </c>
      <c r="AJ961" s="313"/>
      <c r="AK961" s="313"/>
      <c r="AL961" s="314">
        <v>4.5169813999999997</v>
      </c>
      <c r="AM961" s="313"/>
      <c r="AN961" s="313"/>
      <c r="AO961" s="313"/>
      <c r="AP961" s="313"/>
      <c r="AQ961" s="313"/>
      <c r="AR961" s="313"/>
      <c r="AS961" s="176"/>
      <c r="AT961" s="175">
        <f t="shared" si="72"/>
        <v>4.5169813999999997</v>
      </c>
      <c r="AU961" s="310"/>
      <c r="AV961" s="337"/>
      <c r="AW961" s="276"/>
      <c r="AX961" s="276"/>
      <c r="AY961" s="279">
        <v>0.36901864000000001</v>
      </c>
      <c r="AZ961" s="276"/>
      <c r="BA961" s="276"/>
      <c r="BB961" s="276"/>
      <c r="BC961" s="276"/>
      <c r="BD961" s="276"/>
      <c r="BE961" s="276"/>
      <c r="BF961" s="400"/>
      <c r="BG961" s="389">
        <f t="shared" si="73"/>
        <v>0.36901864000000001</v>
      </c>
      <c r="BH961" s="278"/>
      <c r="BI961" s="365"/>
    </row>
    <row r="962" spans="1:61" ht="15.75" customHeight="1" thickBot="1" x14ac:dyDescent="0.25">
      <c r="A962" s="156">
        <v>963</v>
      </c>
      <c r="B962" s="155">
        <v>2</v>
      </c>
      <c r="C962" s="148" t="s">
        <v>587</v>
      </c>
      <c r="D962" s="148" t="s">
        <v>2955</v>
      </c>
      <c r="E962" s="148"/>
      <c r="F962" s="148"/>
      <c r="G962" s="148"/>
      <c r="H962" s="148" t="s">
        <v>2876</v>
      </c>
      <c r="I962" s="161"/>
      <c r="J962" s="165" t="s">
        <v>2985</v>
      </c>
      <c r="K962" s="161"/>
      <c r="L962" s="161"/>
      <c r="M962" s="453" t="s">
        <v>4282</v>
      </c>
      <c r="N962" s="186"/>
      <c r="O962" s="186"/>
      <c r="P962" s="186"/>
      <c r="Q962" s="186"/>
      <c r="R962" s="186"/>
      <c r="S962" s="186"/>
      <c r="T962" s="186"/>
      <c r="U962" s="186"/>
      <c r="V962" s="186"/>
      <c r="W962" s="186"/>
      <c r="X962" s="186"/>
      <c r="Y962" s="186"/>
      <c r="Z962" s="186"/>
      <c r="AA962" s="186"/>
      <c r="AB962" s="186"/>
      <c r="AC962" s="186"/>
      <c r="AD962" s="268"/>
      <c r="AE962" s="268"/>
      <c r="AF962" s="144" t="str">
        <f t="shared" si="71"/>
        <v/>
      </c>
      <c r="AG962" s="144">
        <f t="shared" si="70"/>
        <v>4.9473551999999996</v>
      </c>
      <c r="AH962" s="146" t="str">
        <f t="shared" ref="AH962:AH1025" si="74">IF(BF962&lt;&gt;0,BF962,"")</f>
        <v/>
      </c>
      <c r="AI962" s="146">
        <f t="shared" ref="AI962:AI1025" si="75">IF(AND(SUM(AW962:AY962)&lt;&gt;0,SUM(AW962:AY962)&lt;&gt;AW962),SUM(AW962:AY962),"")</f>
        <v>0.42890933999999997</v>
      </c>
      <c r="AJ962" s="313"/>
      <c r="AK962" s="313"/>
      <c r="AL962" s="314">
        <v>4.9473551999999996</v>
      </c>
      <c r="AM962" s="313"/>
      <c r="AN962" s="313"/>
      <c r="AO962" s="313"/>
      <c r="AP962" s="313"/>
      <c r="AQ962" s="313"/>
      <c r="AR962" s="313"/>
      <c r="AS962" s="176"/>
      <c r="AT962" s="175">
        <f t="shared" si="72"/>
        <v>4.9473551999999996</v>
      </c>
      <c r="AU962" s="310"/>
      <c r="AV962" s="337"/>
      <c r="AW962" s="276"/>
      <c r="AX962" s="276"/>
      <c r="AY962" s="279">
        <v>0.42890933999999997</v>
      </c>
      <c r="AZ962" s="276"/>
      <c r="BA962" s="276"/>
      <c r="BB962" s="276"/>
      <c r="BC962" s="276"/>
      <c r="BD962" s="276"/>
      <c r="BE962" s="276"/>
      <c r="BF962" s="400"/>
      <c r="BG962" s="389">
        <f t="shared" si="73"/>
        <v>0.42890933999999997</v>
      </c>
      <c r="BH962" s="278"/>
      <c r="BI962" s="365"/>
    </row>
    <row r="963" spans="1:61" ht="15.75" customHeight="1" thickBot="1" x14ac:dyDescent="0.25">
      <c r="A963" s="156">
        <v>964</v>
      </c>
      <c r="B963" s="155">
        <v>2</v>
      </c>
      <c r="C963" s="148" t="s">
        <v>587</v>
      </c>
      <c r="D963" s="148" t="s">
        <v>2981</v>
      </c>
      <c r="E963" s="148"/>
      <c r="F963" s="148"/>
      <c r="G963" s="148"/>
      <c r="H963" s="148" t="s">
        <v>2901</v>
      </c>
      <c r="I963" s="161"/>
      <c r="J963" s="165" t="s">
        <v>2986</v>
      </c>
      <c r="K963" s="161"/>
      <c r="L963" s="161"/>
      <c r="M963" s="453" t="s">
        <v>4282</v>
      </c>
      <c r="N963" s="186"/>
      <c r="O963" s="186"/>
      <c r="P963" s="186"/>
      <c r="Q963" s="186"/>
      <c r="R963" s="186"/>
      <c r="S963" s="186"/>
      <c r="T963" s="186"/>
      <c r="U963" s="186"/>
      <c r="V963" s="186"/>
      <c r="W963" s="186"/>
      <c r="X963" s="186"/>
      <c r="Y963" s="186"/>
      <c r="Z963" s="186"/>
      <c r="AA963" s="186"/>
      <c r="AB963" s="186"/>
      <c r="AC963" s="186"/>
      <c r="AD963" s="268"/>
      <c r="AE963" s="268"/>
      <c r="AF963" s="144" t="str">
        <f t="shared" si="71"/>
        <v/>
      </c>
      <c r="AG963" s="144">
        <f t="shared" si="70"/>
        <v>2.9346000000000001</v>
      </c>
      <c r="AH963" s="146" t="str">
        <f t="shared" si="74"/>
        <v/>
      </c>
      <c r="AI963" s="146">
        <f t="shared" si="75"/>
        <v>0.23335</v>
      </c>
      <c r="AJ963" s="313"/>
      <c r="AK963" s="313"/>
      <c r="AL963" s="314">
        <v>2.9346000000000001</v>
      </c>
      <c r="AM963" s="313"/>
      <c r="AN963" s="313"/>
      <c r="AO963" s="313"/>
      <c r="AP963" s="313"/>
      <c r="AQ963" s="313"/>
      <c r="AR963" s="313"/>
      <c r="AS963" s="176"/>
      <c r="AT963" s="175">
        <f t="shared" si="72"/>
        <v>2.9346000000000001</v>
      </c>
      <c r="AU963" s="310"/>
      <c r="AV963" s="337"/>
      <c r="AW963" s="276"/>
      <c r="AX963" s="276"/>
      <c r="AY963" s="279">
        <v>0.23335</v>
      </c>
      <c r="AZ963" s="276"/>
      <c r="BA963" s="276"/>
      <c r="BB963" s="276"/>
      <c r="BC963" s="276"/>
      <c r="BD963" s="276"/>
      <c r="BE963" s="276"/>
      <c r="BF963" s="400"/>
      <c r="BG963" s="389">
        <f t="shared" si="73"/>
        <v>0.23335</v>
      </c>
      <c r="BH963" s="278"/>
      <c r="BI963" s="365"/>
    </row>
    <row r="964" spans="1:61" ht="15.75" customHeight="1" thickBot="1" x14ac:dyDescent="0.25">
      <c r="A964" s="156">
        <v>965</v>
      </c>
      <c r="B964" s="155">
        <v>2</v>
      </c>
      <c r="C964" s="148" t="s">
        <v>587</v>
      </c>
      <c r="D964" s="148" t="s">
        <v>2981</v>
      </c>
      <c r="E964" s="148"/>
      <c r="F964" s="148"/>
      <c r="G964" s="148"/>
      <c r="H964" s="148" t="s">
        <v>2999</v>
      </c>
      <c r="I964" s="161"/>
      <c r="J964" s="165" t="s">
        <v>2987</v>
      </c>
      <c r="K964" s="161"/>
      <c r="L964" s="161"/>
      <c r="M964" s="453" t="s">
        <v>4282</v>
      </c>
      <c r="N964" s="186"/>
      <c r="O964" s="186"/>
      <c r="P964" s="186"/>
      <c r="Q964" s="186"/>
      <c r="R964" s="186"/>
      <c r="S964" s="186"/>
      <c r="T964" s="186"/>
      <c r="U964" s="186"/>
      <c r="V964" s="186"/>
      <c r="W964" s="186"/>
      <c r="X964" s="186"/>
      <c r="Y964" s="186"/>
      <c r="Z964" s="186"/>
      <c r="AA964" s="186"/>
      <c r="AB964" s="186"/>
      <c r="AC964" s="186"/>
      <c r="AD964" s="268"/>
      <c r="AE964" s="268"/>
      <c r="AF964" s="144" t="str">
        <f t="shared" si="71"/>
        <v/>
      </c>
      <c r="AG964" s="144">
        <f t="shared" si="70"/>
        <v>3.7627999999999999</v>
      </c>
      <c r="AH964" s="146" t="str">
        <f t="shared" si="74"/>
        <v/>
      </c>
      <c r="AI964" s="146">
        <f t="shared" si="75"/>
        <v>0.34007999999999999</v>
      </c>
      <c r="AJ964" s="313"/>
      <c r="AK964" s="313"/>
      <c r="AL964" s="314">
        <v>3.7627999999999999</v>
      </c>
      <c r="AM964" s="313"/>
      <c r="AN964" s="313"/>
      <c r="AO964" s="313"/>
      <c r="AP964" s="313"/>
      <c r="AQ964" s="313"/>
      <c r="AR964" s="313"/>
      <c r="AS964" s="176"/>
      <c r="AT964" s="173">
        <f t="shared" si="72"/>
        <v>3.7627999999999999</v>
      </c>
      <c r="AU964" s="310"/>
      <c r="AV964" s="337"/>
      <c r="AW964" s="276"/>
      <c r="AX964" s="276"/>
      <c r="AY964" s="279">
        <v>0.34007999999999999</v>
      </c>
      <c r="AZ964" s="276"/>
      <c r="BA964" s="276"/>
      <c r="BB964" s="276"/>
      <c r="BC964" s="276"/>
      <c r="BD964" s="276"/>
      <c r="BE964" s="276"/>
      <c r="BF964" s="400"/>
      <c r="BG964" s="394">
        <f t="shared" si="73"/>
        <v>0.34007999999999999</v>
      </c>
      <c r="BH964" s="278"/>
      <c r="BI964" s="365"/>
    </row>
    <row r="965" spans="1:61" ht="15.75" customHeight="1" thickBot="1" x14ac:dyDescent="0.25">
      <c r="A965" s="156">
        <v>966</v>
      </c>
      <c r="B965" s="155">
        <v>2</v>
      </c>
      <c r="C965" s="148" t="s">
        <v>587</v>
      </c>
      <c r="D965" s="148" t="s">
        <v>2981</v>
      </c>
      <c r="E965" s="148"/>
      <c r="F965" s="148"/>
      <c r="G965" s="148"/>
      <c r="H965" s="148" t="s">
        <v>2878</v>
      </c>
      <c r="I965" s="161"/>
      <c r="J965" s="165" t="s">
        <v>2988</v>
      </c>
      <c r="K965" s="161"/>
      <c r="L965" s="161"/>
      <c r="M965" s="453" t="s">
        <v>4282</v>
      </c>
      <c r="N965" s="186"/>
      <c r="O965" s="186"/>
      <c r="P965" s="186"/>
      <c r="Q965" s="186"/>
      <c r="R965" s="186"/>
      <c r="S965" s="186"/>
      <c r="T965" s="186"/>
      <c r="U965" s="186"/>
      <c r="V965" s="186"/>
      <c r="W965" s="186"/>
      <c r="X965" s="186"/>
      <c r="Y965" s="186"/>
      <c r="Z965" s="186"/>
      <c r="AA965" s="186"/>
      <c r="AB965" s="186"/>
      <c r="AC965" s="186"/>
      <c r="AD965" s="268"/>
      <c r="AE965" s="268"/>
      <c r="AF965" s="144" t="str">
        <f t="shared" si="71"/>
        <v/>
      </c>
      <c r="AG965" s="144">
        <f t="shared" si="70"/>
        <v>3.5030000000000001</v>
      </c>
      <c r="AH965" s="146" t="str">
        <f t="shared" si="74"/>
        <v/>
      </c>
      <c r="AI965" s="146">
        <f t="shared" si="75"/>
        <v>0.26682</v>
      </c>
      <c r="AJ965" s="313"/>
      <c r="AK965" s="313"/>
      <c r="AL965" s="314">
        <v>3.5030000000000001</v>
      </c>
      <c r="AM965" s="313"/>
      <c r="AN965" s="313"/>
      <c r="AO965" s="313"/>
      <c r="AP965" s="313"/>
      <c r="AQ965" s="313"/>
      <c r="AR965" s="313"/>
      <c r="AS965" s="176"/>
      <c r="AT965" s="173">
        <f t="shared" si="72"/>
        <v>3.5030000000000001</v>
      </c>
      <c r="AU965" s="310"/>
      <c r="AV965" s="337"/>
      <c r="AW965" s="276"/>
      <c r="AX965" s="276"/>
      <c r="AY965" s="279">
        <v>0.26682</v>
      </c>
      <c r="AZ965" s="276"/>
      <c r="BA965" s="276"/>
      <c r="BB965" s="276"/>
      <c r="BC965" s="276"/>
      <c r="BD965" s="276"/>
      <c r="BE965" s="276"/>
      <c r="BF965" s="400"/>
      <c r="BG965" s="394">
        <f t="shared" si="73"/>
        <v>0.26682</v>
      </c>
      <c r="BH965" s="278"/>
      <c r="BI965" s="365"/>
    </row>
    <row r="966" spans="1:61" ht="15.75" customHeight="1" thickBot="1" x14ac:dyDescent="0.25">
      <c r="A966" s="156">
        <v>967</v>
      </c>
      <c r="B966" s="155">
        <v>2</v>
      </c>
      <c r="C966" s="148" t="s">
        <v>587</v>
      </c>
      <c r="D966" s="148" t="s">
        <v>2981</v>
      </c>
      <c r="E966" s="148"/>
      <c r="F966" s="148"/>
      <c r="G966" s="148"/>
      <c r="H966" s="148" t="s">
        <v>2876</v>
      </c>
      <c r="I966" s="161"/>
      <c r="J966" s="165" t="s">
        <v>2989</v>
      </c>
      <c r="K966" s="161"/>
      <c r="L966" s="161"/>
      <c r="M966" s="453" t="s">
        <v>4282</v>
      </c>
      <c r="N966" s="186"/>
      <c r="O966" s="186"/>
      <c r="P966" s="186"/>
      <c r="Q966" s="186"/>
      <c r="R966" s="186"/>
      <c r="S966" s="186"/>
      <c r="T966" s="186"/>
      <c r="U966" s="186"/>
      <c r="V966" s="186"/>
      <c r="W966" s="186"/>
      <c r="X966" s="186"/>
      <c r="Y966" s="186"/>
      <c r="Z966" s="186"/>
      <c r="AA966" s="186"/>
      <c r="AB966" s="186"/>
      <c r="AC966" s="186"/>
      <c r="AD966" s="268"/>
      <c r="AE966" s="268"/>
      <c r="AF966" s="144" t="str">
        <f t="shared" si="71"/>
        <v/>
      </c>
      <c r="AG966" s="144">
        <f t="shared" si="70"/>
        <v>3.7029999999999998</v>
      </c>
      <c r="AH966" s="146" t="str">
        <f t="shared" si="74"/>
        <v/>
      </c>
      <c r="AI966" s="146">
        <f t="shared" si="75"/>
        <v>0.31012000000000001</v>
      </c>
      <c r="AJ966" s="313"/>
      <c r="AK966" s="313"/>
      <c r="AL966" s="314">
        <v>3.7029999999999998</v>
      </c>
      <c r="AM966" s="313"/>
      <c r="AN966" s="313"/>
      <c r="AO966" s="313"/>
      <c r="AP966" s="313"/>
      <c r="AQ966" s="313"/>
      <c r="AR966" s="313"/>
      <c r="AS966" s="176"/>
      <c r="AT966" s="175">
        <f t="shared" si="72"/>
        <v>3.7029999999999998</v>
      </c>
      <c r="AU966" s="310"/>
      <c r="AV966" s="337"/>
      <c r="AW966" s="276"/>
      <c r="AX966" s="276"/>
      <c r="AY966" s="279">
        <v>0.31012000000000001</v>
      </c>
      <c r="AZ966" s="276"/>
      <c r="BA966" s="276"/>
      <c r="BB966" s="276"/>
      <c r="BC966" s="276"/>
      <c r="BD966" s="276"/>
      <c r="BE966" s="276"/>
      <c r="BF966" s="400"/>
      <c r="BG966" s="394">
        <f t="shared" si="73"/>
        <v>0.31012000000000001</v>
      </c>
      <c r="BH966" s="278"/>
      <c r="BI966" s="365"/>
    </row>
    <row r="967" spans="1:61" ht="15.75" customHeight="1" thickBot="1" x14ac:dyDescent="0.25">
      <c r="A967" s="156">
        <v>968</v>
      </c>
      <c r="B967" s="155">
        <v>2</v>
      </c>
      <c r="C967" s="148" t="s">
        <v>162</v>
      </c>
      <c r="D967" s="148" t="s">
        <v>1868</v>
      </c>
      <c r="E967" s="148"/>
      <c r="F967" s="148"/>
      <c r="G967" s="148"/>
      <c r="H967" s="148" t="s">
        <v>2892</v>
      </c>
      <c r="I967" s="161"/>
      <c r="J967" s="161" t="s">
        <v>2990</v>
      </c>
      <c r="K967" s="161"/>
      <c r="L967" s="161"/>
      <c r="M967" s="453" t="s">
        <v>4282</v>
      </c>
      <c r="N967" s="186"/>
      <c r="O967" s="186"/>
      <c r="P967" s="186"/>
      <c r="Q967" s="186"/>
      <c r="R967" s="186"/>
      <c r="S967" s="186"/>
      <c r="T967" s="186"/>
      <c r="U967" s="186"/>
      <c r="V967" s="186"/>
      <c r="W967" s="186"/>
      <c r="X967" s="186"/>
      <c r="Y967" s="186"/>
      <c r="Z967" s="186"/>
      <c r="AA967" s="186"/>
      <c r="AB967" s="186"/>
      <c r="AC967" s="186"/>
      <c r="AD967" s="268"/>
      <c r="AE967" s="268"/>
      <c r="AF967" s="144">
        <f t="shared" si="71"/>
        <v>0.625</v>
      </c>
      <c r="AG967" s="144" t="str">
        <f t="shared" si="70"/>
        <v/>
      </c>
      <c r="AH967" s="146">
        <f t="shared" si="74"/>
        <v>7.8799999999999995E-2</v>
      </c>
      <c r="AI967" s="146" t="str">
        <f t="shared" si="75"/>
        <v/>
      </c>
      <c r="AJ967" s="313"/>
      <c r="AK967" s="313"/>
      <c r="AL967" s="313"/>
      <c r="AM967" s="313"/>
      <c r="AN967" s="313"/>
      <c r="AO967" s="313"/>
      <c r="AP967" s="313"/>
      <c r="AQ967" s="313"/>
      <c r="AR967" s="313"/>
      <c r="AS967" s="288">
        <v>0.625</v>
      </c>
      <c r="AT967" s="177"/>
      <c r="AU967" s="310"/>
      <c r="AV967" s="322"/>
      <c r="AW967" s="276"/>
      <c r="AX967" s="276"/>
      <c r="AY967" s="276"/>
      <c r="AZ967" s="276"/>
      <c r="BA967" s="276"/>
      <c r="BB967" s="276"/>
      <c r="BC967" s="276"/>
      <c r="BD967" s="276"/>
      <c r="BE967" s="276"/>
      <c r="BF967" s="402">
        <v>7.8799999999999995E-2</v>
      </c>
      <c r="BG967" s="403"/>
      <c r="BH967" s="278"/>
      <c r="BI967" s="365"/>
    </row>
    <row r="968" spans="1:61" ht="15.75" customHeight="1" thickBot="1" x14ac:dyDescent="0.25">
      <c r="A968" s="156">
        <v>969</v>
      </c>
      <c r="B968" s="155">
        <v>2</v>
      </c>
      <c r="C968" s="148" t="s">
        <v>162</v>
      </c>
      <c r="D968" s="148" t="s">
        <v>2991</v>
      </c>
      <c r="E968" s="148"/>
      <c r="F968" s="148"/>
      <c r="G968" s="148"/>
      <c r="H968" s="148" t="s">
        <v>2900</v>
      </c>
      <c r="I968" s="161"/>
      <c r="J968" s="165" t="s">
        <v>2992</v>
      </c>
      <c r="K968" s="161"/>
      <c r="L968" s="161"/>
      <c r="M968" s="453" t="s">
        <v>4282</v>
      </c>
      <c r="N968" s="186"/>
      <c r="O968" s="186"/>
      <c r="P968" s="186"/>
      <c r="Q968" s="186"/>
      <c r="R968" s="186"/>
      <c r="S968" s="186"/>
      <c r="T968" s="186"/>
      <c r="U968" s="186"/>
      <c r="V968" s="186"/>
      <c r="W968" s="186"/>
      <c r="X968" s="186"/>
      <c r="Y968" s="186"/>
      <c r="Z968" s="186"/>
      <c r="AA968" s="186"/>
      <c r="AB968" s="186"/>
      <c r="AC968" s="186"/>
      <c r="AD968" s="268"/>
      <c r="AE968" s="268"/>
      <c r="AF968" s="144">
        <f t="shared" si="71"/>
        <v>0.14480000000000001</v>
      </c>
      <c r="AG968" s="144" t="str">
        <f t="shared" si="70"/>
        <v/>
      </c>
      <c r="AH968" s="146">
        <f t="shared" si="74"/>
        <v>4.4065E-2</v>
      </c>
      <c r="AI968" s="146" t="str">
        <f t="shared" si="75"/>
        <v/>
      </c>
      <c r="AJ968" s="313"/>
      <c r="AK968" s="313"/>
      <c r="AL968" s="313"/>
      <c r="AM968" s="313"/>
      <c r="AN968" s="313"/>
      <c r="AO968" s="313"/>
      <c r="AP968" s="313"/>
      <c r="AQ968" s="313"/>
      <c r="AR968" s="313"/>
      <c r="AS968" s="288">
        <v>0.14480000000000001</v>
      </c>
      <c r="AT968" s="177"/>
      <c r="AU968" s="310"/>
      <c r="AV968" s="322"/>
      <c r="AW968" s="276"/>
      <c r="AX968" s="276"/>
      <c r="AY968" s="276"/>
      <c r="AZ968" s="276"/>
      <c r="BA968" s="276"/>
      <c r="BB968" s="276"/>
      <c r="BC968" s="276"/>
      <c r="BD968" s="276"/>
      <c r="BE968" s="276"/>
      <c r="BF968" s="402">
        <v>4.4065E-2</v>
      </c>
      <c r="BG968" s="403"/>
      <c r="BH968" s="278"/>
      <c r="BI968" s="365"/>
    </row>
    <row r="969" spans="1:61" ht="15.75" customHeight="1" thickBot="1" x14ac:dyDescent="0.25">
      <c r="A969" s="156">
        <v>970</v>
      </c>
      <c r="B969" s="155">
        <v>2</v>
      </c>
      <c r="C969" s="148" t="s">
        <v>162</v>
      </c>
      <c r="D969" s="148" t="s">
        <v>2991</v>
      </c>
      <c r="E969" s="148"/>
      <c r="F969" s="148"/>
      <c r="G969" s="148"/>
      <c r="H969" s="148" t="s">
        <v>2901</v>
      </c>
      <c r="I969" s="161"/>
      <c r="J969" s="165" t="s">
        <v>2993</v>
      </c>
      <c r="K969" s="161"/>
      <c r="L969" s="161"/>
      <c r="M969" s="453" t="s">
        <v>4282</v>
      </c>
      <c r="N969" s="186"/>
      <c r="O969" s="186"/>
      <c r="P969" s="186"/>
      <c r="Q969" s="186"/>
      <c r="R969" s="186"/>
      <c r="S969" s="186"/>
      <c r="T969" s="186"/>
      <c r="U969" s="186"/>
      <c r="V969" s="186"/>
      <c r="W969" s="186"/>
      <c r="X969" s="186"/>
      <c r="Y969" s="186"/>
      <c r="Z969" s="186"/>
      <c r="AA969" s="186"/>
      <c r="AB969" s="186"/>
      <c r="AC969" s="186"/>
      <c r="AD969" s="268"/>
      <c r="AE969" s="268"/>
      <c r="AF969" s="144">
        <f t="shared" si="71"/>
        <v>0.16400000000000001</v>
      </c>
      <c r="AG969" s="144" t="str">
        <f t="shared" si="70"/>
        <v/>
      </c>
      <c r="AH969" s="146">
        <f t="shared" si="74"/>
        <v>5.6827000000000003E-2</v>
      </c>
      <c r="AI969" s="146" t="str">
        <f t="shared" si="75"/>
        <v/>
      </c>
      <c r="AJ969" s="313"/>
      <c r="AK969" s="313"/>
      <c r="AL969" s="313"/>
      <c r="AM969" s="313"/>
      <c r="AN969" s="313"/>
      <c r="AO969" s="313"/>
      <c r="AP969" s="313"/>
      <c r="AQ969" s="313"/>
      <c r="AR969" s="313"/>
      <c r="AS969" s="288">
        <v>0.16400000000000001</v>
      </c>
      <c r="AT969" s="177"/>
      <c r="AU969" s="310"/>
      <c r="AV969" s="322"/>
      <c r="AW969" s="276"/>
      <c r="AX969" s="276"/>
      <c r="AY969" s="276"/>
      <c r="AZ969" s="276"/>
      <c r="BA969" s="276"/>
      <c r="BB969" s="276"/>
      <c r="BC969" s="276"/>
      <c r="BD969" s="276"/>
      <c r="BE969" s="276"/>
      <c r="BF969" s="402">
        <v>5.6827000000000003E-2</v>
      </c>
      <c r="BG969" s="403"/>
      <c r="BH969" s="278"/>
      <c r="BI969" s="365"/>
    </row>
    <row r="970" spans="1:61" ht="15.75" customHeight="1" thickBot="1" x14ac:dyDescent="0.25">
      <c r="A970" s="156">
        <v>971</v>
      </c>
      <c r="B970" s="155">
        <v>2</v>
      </c>
      <c r="C970" s="148" t="s">
        <v>542</v>
      </c>
      <c r="D970" s="141" t="s">
        <v>1925</v>
      </c>
      <c r="E970" s="148"/>
      <c r="F970" s="148"/>
      <c r="G970" s="148"/>
      <c r="H970" s="148" t="s">
        <v>2890</v>
      </c>
      <c r="I970" s="161"/>
      <c r="J970" s="165" t="s">
        <v>2994</v>
      </c>
      <c r="K970" s="161"/>
      <c r="L970" s="161"/>
      <c r="M970" s="453" t="s">
        <v>4282</v>
      </c>
      <c r="N970" s="186"/>
      <c r="O970" s="186"/>
      <c r="P970" s="186"/>
      <c r="Q970" s="186"/>
      <c r="R970" s="186"/>
      <c r="S970" s="186"/>
      <c r="T970" s="186"/>
      <c r="U970" s="186"/>
      <c r="V970" s="186"/>
      <c r="W970" s="186"/>
      <c r="X970" s="186"/>
      <c r="Y970" s="186"/>
      <c r="Z970" s="186"/>
      <c r="AA970" s="186"/>
      <c r="AB970" s="186"/>
      <c r="AC970" s="186"/>
      <c r="AD970" s="268"/>
      <c r="AE970" s="268"/>
      <c r="AF970" s="144" t="str">
        <f t="shared" si="71"/>
        <v/>
      </c>
      <c r="AG970" s="144">
        <f t="shared" si="70"/>
        <v>10.811221</v>
      </c>
      <c r="AH970" s="146" t="str">
        <f t="shared" si="74"/>
        <v/>
      </c>
      <c r="AI970" s="146">
        <f t="shared" si="75"/>
        <v>3.8596341000000001</v>
      </c>
      <c r="AJ970" s="313"/>
      <c r="AK970" s="313"/>
      <c r="AL970" s="314">
        <v>10.811221</v>
      </c>
      <c r="AM970" s="313"/>
      <c r="AN970" s="313"/>
      <c r="AO970" s="313"/>
      <c r="AP970" s="313"/>
      <c r="AQ970" s="313"/>
      <c r="AR970" s="313"/>
      <c r="AS970" s="176"/>
      <c r="AT970" s="173">
        <f t="shared" ref="AT970:AT977" si="76">SUM(AJ970:AR970)</f>
        <v>10.811221</v>
      </c>
      <c r="AU970" s="310"/>
      <c r="AV970" s="337"/>
      <c r="AW970" s="276"/>
      <c r="AX970" s="276"/>
      <c r="AY970" s="279">
        <v>3.8596341000000001</v>
      </c>
      <c r="AZ970" s="276"/>
      <c r="BA970" s="276"/>
      <c r="BB970" s="276"/>
      <c r="BC970" s="276"/>
      <c r="BD970" s="276"/>
      <c r="BE970" s="276"/>
      <c r="BF970" s="400"/>
      <c r="BG970" s="394">
        <f t="shared" ref="BG970:BG977" si="77">SUM(AW970:BE970)</f>
        <v>3.8596341000000001</v>
      </c>
      <c r="BH970" s="278"/>
      <c r="BI970" s="365"/>
    </row>
    <row r="971" spans="1:61" ht="15.75" customHeight="1" thickBot="1" x14ac:dyDescent="0.25">
      <c r="A971" s="156">
        <v>972</v>
      </c>
      <c r="B971" s="155">
        <v>2</v>
      </c>
      <c r="C971" s="148" t="s">
        <v>542</v>
      </c>
      <c r="D971" s="141" t="s">
        <v>1925</v>
      </c>
      <c r="E971" s="148"/>
      <c r="F971" s="148"/>
      <c r="G971" s="148"/>
      <c r="H971" s="148" t="s">
        <v>2943</v>
      </c>
      <c r="I971" s="161"/>
      <c r="J971" s="165" t="s">
        <v>2995</v>
      </c>
      <c r="K971" s="161"/>
      <c r="L971" s="161"/>
      <c r="M971" s="453" t="s">
        <v>4282</v>
      </c>
      <c r="N971" s="186"/>
      <c r="O971" s="186"/>
      <c r="P971" s="186"/>
      <c r="Q971" s="186"/>
      <c r="R971" s="186"/>
      <c r="S971" s="186"/>
      <c r="T971" s="186"/>
      <c r="U971" s="186"/>
      <c r="V971" s="186"/>
      <c r="W971" s="186"/>
      <c r="X971" s="186"/>
      <c r="Y971" s="186"/>
      <c r="Z971" s="186"/>
      <c r="AA971" s="186"/>
      <c r="AB971" s="186"/>
      <c r="AC971" s="186"/>
      <c r="AD971" s="268"/>
      <c r="AE971" s="268"/>
      <c r="AF971" s="144" t="str">
        <f t="shared" si="71"/>
        <v/>
      </c>
      <c r="AG971" s="144">
        <f t="shared" si="70"/>
        <v>12.123262</v>
      </c>
      <c r="AH971" s="146" t="str">
        <f t="shared" si="74"/>
        <v/>
      </c>
      <c r="AI971" s="146">
        <f t="shared" si="75"/>
        <v>2.0942848999999999</v>
      </c>
      <c r="AJ971" s="313"/>
      <c r="AK971" s="313"/>
      <c r="AL971" s="314">
        <v>12.123262</v>
      </c>
      <c r="AM971" s="313"/>
      <c r="AN971" s="313"/>
      <c r="AO971" s="313"/>
      <c r="AP971" s="313"/>
      <c r="AQ971" s="313"/>
      <c r="AR971" s="313"/>
      <c r="AS971" s="176"/>
      <c r="AT971" s="175">
        <f t="shared" si="76"/>
        <v>12.123262</v>
      </c>
      <c r="AU971" s="310"/>
      <c r="AV971" s="337"/>
      <c r="AW971" s="276"/>
      <c r="AX971" s="276"/>
      <c r="AY971" s="279">
        <v>2.0942848999999999</v>
      </c>
      <c r="AZ971" s="276"/>
      <c r="BA971" s="276"/>
      <c r="BB971" s="276"/>
      <c r="BC971" s="276"/>
      <c r="BD971" s="276"/>
      <c r="BE971" s="276"/>
      <c r="BF971" s="400"/>
      <c r="BG971" s="389">
        <f t="shared" si="77"/>
        <v>2.0942848999999999</v>
      </c>
      <c r="BH971" s="278"/>
      <c r="BI971" s="365"/>
    </row>
    <row r="972" spans="1:61" ht="15.75" customHeight="1" thickBot="1" x14ac:dyDescent="0.25">
      <c r="A972" s="156">
        <v>973</v>
      </c>
      <c r="B972" s="155">
        <v>2</v>
      </c>
      <c r="C972" s="148" t="s">
        <v>542</v>
      </c>
      <c r="D972" s="141" t="s">
        <v>1925</v>
      </c>
      <c r="E972" s="148"/>
      <c r="F972" s="148"/>
      <c r="G972" s="148"/>
      <c r="H972" s="148" t="s">
        <v>2891</v>
      </c>
      <c r="I972" s="161"/>
      <c r="J972" s="165" t="s">
        <v>2996</v>
      </c>
      <c r="K972" s="161"/>
      <c r="L972" s="161"/>
      <c r="M972" s="453" t="s">
        <v>4282</v>
      </c>
      <c r="N972" s="186"/>
      <c r="O972" s="186"/>
      <c r="P972" s="186"/>
      <c r="Q972" s="186"/>
      <c r="R972" s="186"/>
      <c r="S972" s="186"/>
      <c r="T972" s="186"/>
      <c r="U972" s="186"/>
      <c r="V972" s="186"/>
      <c r="W972" s="186"/>
      <c r="X972" s="186"/>
      <c r="Y972" s="186"/>
      <c r="Z972" s="186"/>
      <c r="AA972" s="186"/>
      <c r="AB972" s="186"/>
      <c r="AC972" s="186"/>
      <c r="AD972" s="268"/>
      <c r="AE972" s="268"/>
      <c r="AF972" s="144" t="str">
        <f t="shared" si="71"/>
        <v/>
      </c>
      <c r="AG972" s="144">
        <f t="shared" si="70"/>
        <v>12.765396000000001</v>
      </c>
      <c r="AH972" s="146" t="str">
        <f t="shared" si="74"/>
        <v/>
      </c>
      <c r="AI972" s="146">
        <f t="shared" si="75"/>
        <v>2.2343989</v>
      </c>
      <c r="AJ972" s="313"/>
      <c r="AK972" s="313"/>
      <c r="AL972" s="314">
        <v>12.765396000000001</v>
      </c>
      <c r="AM972" s="313"/>
      <c r="AN972" s="313"/>
      <c r="AO972" s="313"/>
      <c r="AP972" s="313"/>
      <c r="AQ972" s="313"/>
      <c r="AR972" s="313"/>
      <c r="AS972" s="176"/>
      <c r="AT972" s="175">
        <f t="shared" si="76"/>
        <v>12.765396000000001</v>
      </c>
      <c r="AU972" s="310"/>
      <c r="AV972" s="337"/>
      <c r="AW972" s="276"/>
      <c r="AX972" s="276"/>
      <c r="AY972" s="279">
        <v>2.2343989</v>
      </c>
      <c r="AZ972" s="276"/>
      <c r="BA972" s="276"/>
      <c r="BB972" s="276"/>
      <c r="BC972" s="276"/>
      <c r="BD972" s="276"/>
      <c r="BE972" s="276"/>
      <c r="BF972" s="400"/>
      <c r="BG972" s="389">
        <f t="shared" si="77"/>
        <v>2.2343989</v>
      </c>
      <c r="BH972" s="278"/>
      <c r="BI972" s="365"/>
    </row>
    <row r="973" spans="1:61" ht="15.75" customHeight="1" thickBot="1" x14ac:dyDescent="0.25">
      <c r="A973" s="156">
        <v>974</v>
      </c>
      <c r="B973" s="155">
        <v>2</v>
      </c>
      <c r="C973" s="148" t="s">
        <v>542</v>
      </c>
      <c r="D973" s="141" t="s">
        <v>1939</v>
      </c>
      <c r="E973" s="148"/>
      <c r="F973" s="148"/>
      <c r="G973" s="148"/>
      <c r="H973" s="148" t="s">
        <v>351</v>
      </c>
      <c r="I973" s="161"/>
      <c r="J973" s="165" t="s">
        <v>3000</v>
      </c>
      <c r="K973" s="161"/>
      <c r="L973" s="161"/>
      <c r="M973" s="453" t="s">
        <v>4282</v>
      </c>
      <c r="N973" s="186"/>
      <c r="O973" s="186"/>
      <c r="P973" s="186"/>
      <c r="Q973" s="186"/>
      <c r="R973" s="186"/>
      <c r="S973" s="186"/>
      <c r="T973" s="186"/>
      <c r="U973" s="186"/>
      <c r="V973" s="186"/>
      <c r="W973" s="186"/>
      <c r="X973" s="186"/>
      <c r="Y973" s="186"/>
      <c r="Z973" s="186"/>
      <c r="AA973" s="186"/>
      <c r="AB973" s="186"/>
      <c r="AC973" s="186"/>
      <c r="AD973" s="268"/>
      <c r="AE973" s="268"/>
      <c r="AF973" s="144" t="str">
        <f t="shared" si="71"/>
        <v/>
      </c>
      <c r="AG973" s="144">
        <f t="shared" si="70"/>
        <v>14.681468000000001</v>
      </c>
      <c r="AH973" s="146" t="str">
        <f t="shared" si="74"/>
        <v/>
      </c>
      <c r="AI973" s="146">
        <f t="shared" si="75"/>
        <v>1.1531735000000001</v>
      </c>
      <c r="AJ973" s="313"/>
      <c r="AK973" s="313"/>
      <c r="AL973" s="316">
        <v>14.681468000000001</v>
      </c>
      <c r="AM973" s="313"/>
      <c r="AN973" s="313"/>
      <c r="AO973" s="313"/>
      <c r="AP973" s="313"/>
      <c r="AQ973" s="313"/>
      <c r="AR973" s="313"/>
      <c r="AS973" s="176"/>
      <c r="AT973" s="175">
        <f t="shared" si="76"/>
        <v>14.681468000000001</v>
      </c>
      <c r="AU973" s="310"/>
      <c r="AV973" s="339"/>
      <c r="AW973" s="276"/>
      <c r="AX973" s="276"/>
      <c r="AY973" s="279">
        <v>1.1531735000000001</v>
      </c>
      <c r="AZ973" s="276"/>
      <c r="BA973" s="276"/>
      <c r="BB973" s="276"/>
      <c r="BC973" s="276"/>
      <c r="BD973" s="276"/>
      <c r="BE973" s="276"/>
      <c r="BF973" s="400"/>
      <c r="BG973" s="389">
        <f t="shared" si="77"/>
        <v>1.1531735000000001</v>
      </c>
      <c r="BH973" s="278"/>
      <c r="BI973" s="365"/>
    </row>
    <row r="974" spans="1:61" ht="15.75" customHeight="1" thickBot="1" x14ac:dyDescent="0.25">
      <c r="A974" s="156">
        <v>975</v>
      </c>
      <c r="B974" s="155">
        <v>2</v>
      </c>
      <c r="C974" s="148" t="s">
        <v>542</v>
      </c>
      <c r="D974" s="141" t="s">
        <v>1939</v>
      </c>
      <c r="E974" s="148"/>
      <c r="F974" s="148"/>
      <c r="G974" s="148"/>
      <c r="H974" s="148" t="s">
        <v>351</v>
      </c>
      <c r="I974" s="161"/>
      <c r="J974" s="165" t="s">
        <v>3001</v>
      </c>
      <c r="K974" s="161"/>
      <c r="L974" s="161"/>
      <c r="M974" s="453" t="s">
        <v>4282</v>
      </c>
      <c r="N974" s="186"/>
      <c r="O974" s="186"/>
      <c r="P974" s="186"/>
      <c r="Q974" s="186"/>
      <c r="R974" s="186"/>
      <c r="S974" s="186"/>
      <c r="T974" s="186"/>
      <c r="U974" s="186"/>
      <c r="V974" s="186"/>
      <c r="W974" s="186"/>
      <c r="X974" s="186"/>
      <c r="Y974" s="186"/>
      <c r="Z974" s="186"/>
      <c r="AA974" s="186"/>
      <c r="AB974" s="186"/>
      <c r="AC974" s="186"/>
      <c r="AD974" s="268"/>
      <c r="AE974" s="268"/>
      <c r="AF974" s="144" t="str">
        <f t="shared" si="71"/>
        <v/>
      </c>
      <c r="AG974" s="144">
        <f t="shared" si="70"/>
        <v>15.649869000000001</v>
      </c>
      <c r="AH974" s="146" t="str">
        <f t="shared" si="74"/>
        <v/>
      </c>
      <c r="AI974" s="146">
        <f t="shared" si="75"/>
        <v>1.2454783</v>
      </c>
      <c r="AJ974" s="313"/>
      <c r="AK974" s="313"/>
      <c r="AL974" s="316">
        <v>15.649869000000001</v>
      </c>
      <c r="AM974" s="313"/>
      <c r="AN974" s="313"/>
      <c r="AO974" s="313"/>
      <c r="AP974" s="313"/>
      <c r="AQ974" s="313"/>
      <c r="AR974" s="313"/>
      <c r="AS974" s="176"/>
      <c r="AT974" s="175">
        <f t="shared" si="76"/>
        <v>15.649869000000001</v>
      </c>
      <c r="AU974" s="310"/>
      <c r="AV974" s="339"/>
      <c r="AW974" s="276"/>
      <c r="AX974" s="276"/>
      <c r="AY974" s="279">
        <v>1.2454783</v>
      </c>
      <c r="AZ974" s="276"/>
      <c r="BA974" s="276"/>
      <c r="BB974" s="276"/>
      <c r="BC974" s="276"/>
      <c r="BD974" s="276"/>
      <c r="BE974" s="276"/>
      <c r="BF974" s="400"/>
      <c r="BG974" s="389">
        <f t="shared" si="77"/>
        <v>1.2454783</v>
      </c>
      <c r="BH974" s="278"/>
      <c r="BI974" s="365"/>
    </row>
    <row r="975" spans="1:61" ht="15.75" customHeight="1" thickBot="1" x14ac:dyDescent="0.25">
      <c r="A975" s="156">
        <v>976</v>
      </c>
      <c r="B975" s="155">
        <v>2</v>
      </c>
      <c r="C975" s="148" t="s">
        <v>542</v>
      </c>
      <c r="D975" s="141" t="s">
        <v>2114</v>
      </c>
      <c r="E975" s="148"/>
      <c r="F975" s="148"/>
      <c r="G975" s="148"/>
      <c r="H975" s="148" t="s">
        <v>2890</v>
      </c>
      <c r="I975" s="161"/>
      <c r="J975" s="165" t="s">
        <v>3002</v>
      </c>
      <c r="K975" s="161"/>
      <c r="L975" s="161"/>
      <c r="M975" s="453" t="s">
        <v>4282</v>
      </c>
      <c r="N975" s="186"/>
      <c r="O975" s="186"/>
      <c r="P975" s="186"/>
      <c r="Q975" s="186"/>
      <c r="R975" s="186"/>
      <c r="S975" s="186"/>
      <c r="T975" s="186"/>
      <c r="U975" s="186"/>
      <c r="V975" s="186"/>
      <c r="W975" s="186"/>
      <c r="X975" s="186"/>
      <c r="Y975" s="186"/>
      <c r="Z975" s="186"/>
      <c r="AA975" s="186"/>
      <c r="AB975" s="186"/>
      <c r="AC975" s="186"/>
      <c r="AD975" s="268"/>
      <c r="AE975" s="268"/>
      <c r="AF975" s="144" t="str">
        <f t="shared" si="71"/>
        <v/>
      </c>
      <c r="AG975" s="144">
        <f t="shared" si="70"/>
        <v>9.5381681</v>
      </c>
      <c r="AH975" s="146" t="str">
        <f t="shared" si="74"/>
        <v/>
      </c>
      <c r="AI975" s="146">
        <f t="shared" si="75"/>
        <v>11.189705</v>
      </c>
      <c r="AJ975" s="313"/>
      <c r="AK975" s="313"/>
      <c r="AL975" s="314">
        <v>9.5381681</v>
      </c>
      <c r="AM975" s="313"/>
      <c r="AN975" s="313"/>
      <c r="AO975" s="313"/>
      <c r="AP975" s="313"/>
      <c r="AQ975" s="313"/>
      <c r="AR975" s="313"/>
      <c r="AS975" s="176"/>
      <c r="AT975" s="175">
        <f t="shared" si="76"/>
        <v>9.5381681</v>
      </c>
      <c r="AU975" s="310"/>
      <c r="AV975" s="337"/>
      <c r="AW975" s="276"/>
      <c r="AX975" s="276"/>
      <c r="AY975" s="279">
        <v>11.189705</v>
      </c>
      <c r="AZ975" s="276"/>
      <c r="BA975" s="276"/>
      <c r="BB975" s="276"/>
      <c r="BC975" s="276"/>
      <c r="BD975" s="276"/>
      <c r="BE975" s="276"/>
      <c r="BF975" s="400"/>
      <c r="BG975" s="389">
        <f t="shared" si="77"/>
        <v>11.189705</v>
      </c>
      <c r="BH975" s="278"/>
      <c r="BI975" s="365"/>
    </row>
    <row r="976" spans="1:61" ht="15.75" customHeight="1" thickBot="1" x14ac:dyDescent="0.25">
      <c r="A976" s="156">
        <v>977</v>
      </c>
      <c r="B976" s="155">
        <v>2</v>
      </c>
      <c r="C976" s="148" t="s">
        <v>542</v>
      </c>
      <c r="D976" s="141" t="s">
        <v>2114</v>
      </c>
      <c r="E976" s="148"/>
      <c r="F976" s="148"/>
      <c r="G976" s="148"/>
      <c r="H976" s="148" t="s">
        <v>3033</v>
      </c>
      <c r="I976" s="161"/>
      <c r="J976" s="165" t="s">
        <v>3003</v>
      </c>
      <c r="K976" s="161"/>
      <c r="L976" s="161"/>
      <c r="M976" s="453" t="s">
        <v>4282</v>
      </c>
      <c r="N976" s="186"/>
      <c r="O976" s="186"/>
      <c r="P976" s="186"/>
      <c r="Q976" s="186"/>
      <c r="R976" s="186"/>
      <c r="S976" s="186"/>
      <c r="T976" s="186"/>
      <c r="U976" s="186"/>
      <c r="V976" s="186"/>
      <c r="W976" s="186"/>
      <c r="X976" s="186"/>
      <c r="Y976" s="186"/>
      <c r="Z976" s="186"/>
      <c r="AA976" s="186"/>
      <c r="AB976" s="186"/>
      <c r="AC976" s="186"/>
      <c r="AD976" s="268"/>
      <c r="AE976" s="268"/>
      <c r="AF976" s="144" t="str">
        <f t="shared" si="71"/>
        <v/>
      </c>
      <c r="AG976" s="144">
        <f t="shared" si="70"/>
        <v>9.6309094999999996</v>
      </c>
      <c r="AH976" s="146" t="str">
        <f t="shared" si="74"/>
        <v/>
      </c>
      <c r="AI976" s="146">
        <f t="shared" si="75"/>
        <v>5.4762399999999998</v>
      </c>
      <c r="AJ976" s="313"/>
      <c r="AK976" s="313"/>
      <c r="AL976" s="314">
        <v>9.6309094999999996</v>
      </c>
      <c r="AM976" s="313"/>
      <c r="AN976" s="313"/>
      <c r="AO976" s="313"/>
      <c r="AP976" s="313"/>
      <c r="AQ976" s="313"/>
      <c r="AR976" s="313"/>
      <c r="AS976" s="176"/>
      <c r="AT976" s="173">
        <f t="shared" si="76"/>
        <v>9.6309094999999996</v>
      </c>
      <c r="AU976" s="310"/>
      <c r="AV976" s="337"/>
      <c r="AW976" s="276"/>
      <c r="AX976" s="276"/>
      <c r="AY976" s="279">
        <v>5.4762399999999998</v>
      </c>
      <c r="AZ976" s="276"/>
      <c r="BA976" s="276"/>
      <c r="BB976" s="276"/>
      <c r="BC976" s="276"/>
      <c r="BD976" s="276"/>
      <c r="BE976" s="276"/>
      <c r="BF976" s="400"/>
      <c r="BG976" s="394">
        <f t="shared" si="77"/>
        <v>5.4762399999999998</v>
      </c>
      <c r="BH976" s="278"/>
      <c r="BI976" s="365"/>
    </row>
    <row r="977" spans="1:61" ht="15.75" customHeight="1" thickBot="1" x14ac:dyDescent="0.25">
      <c r="A977" s="156">
        <v>978</v>
      </c>
      <c r="B977" s="155">
        <v>2</v>
      </c>
      <c r="C977" s="148" t="s">
        <v>542</v>
      </c>
      <c r="D977" s="141" t="s">
        <v>2114</v>
      </c>
      <c r="E977" s="148"/>
      <c r="F977" s="148"/>
      <c r="G977" s="148"/>
      <c r="H977" s="148" t="s">
        <v>2901</v>
      </c>
      <c r="I977" s="161"/>
      <c r="J977" s="165" t="s">
        <v>3004</v>
      </c>
      <c r="K977" s="161"/>
      <c r="L977" s="161"/>
      <c r="M977" s="453" t="s">
        <v>4282</v>
      </c>
      <c r="N977" s="186"/>
      <c r="O977" s="186"/>
      <c r="P977" s="186"/>
      <c r="Q977" s="186"/>
      <c r="R977" s="186"/>
      <c r="S977" s="186"/>
      <c r="T977" s="186"/>
      <c r="U977" s="186"/>
      <c r="V977" s="186"/>
      <c r="W977" s="186"/>
      <c r="X977" s="186"/>
      <c r="Y977" s="186"/>
      <c r="Z977" s="186"/>
      <c r="AA977" s="186"/>
      <c r="AB977" s="186"/>
      <c r="AC977" s="186"/>
      <c r="AD977" s="268"/>
      <c r="AE977" s="268"/>
      <c r="AF977" s="144" t="str">
        <f t="shared" si="71"/>
        <v/>
      </c>
      <c r="AG977" s="144">
        <f t="shared" si="70"/>
        <v>11.043447</v>
      </c>
      <c r="AH977" s="146" t="str">
        <f t="shared" si="74"/>
        <v/>
      </c>
      <c r="AI977" s="146">
        <f t="shared" si="75"/>
        <v>7.9745176999999998</v>
      </c>
      <c r="AJ977" s="313"/>
      <c r="AK977" s="313"/>
      <c r="AL977" s="314">
        <v>11.043447</v>
      </c>
      <c r="AM977" s="313"/>
      <c r="AN977" s="313"/>
      <c r="AO977" s="313"/>
      <c r="AP977" s="313"/>
      <c r="AQ977" s="313"/>
      <c r="AR977" s="313"/>
      <c r="AS977" s="176"/>
      <c r="AT977" s="173">
        <f t="shared" si="76"/>
        <v>11.043447</v>
      </c>
      <c r="AU977" s="310"/>
      <c r="AV977" s="337"/>
      <c r="AW977" s="276"/>
      <c r="AX977" s="276"/>
      <c r="AY977" s="279">
        <v>7.9745176999999998</v>
      </c>
      <c r="AZ977" s="276"/>
      <c r="BA977" s="276"/>
      <c r="BB977" s="276"/>
      <c r="BC977" s="276"/>
      <c r="BD977" s="276"/>
      <c r="BE977" s="276"/>
      <c r="BF977" s="400"/>
      <c r="BG977" s="394">
        <f t="shared" si="77"/>
        <v>7.9745176999999998</v>
      </c>
      <c r="BH977" s="278"/>
      <c r="BI977" s="365"/>
    </row>
    <row r="978" spans="1:61" ht="15.75" customHeight="1" thickBot="1" x14ac:dyDescent="0.25">
      <c r="A978" s="156">
        <v>979</v>
      </c>
      <c r="B978" s="155">
        <v>2</v>
      </c>
      <c r="C978" s="148" t="s">
        <v>760</v>
      </c>
      <c r="D978" s="141" t="s">
        <v>2130</v>
      </c>
      <c r="E978" s="148"/>
      <c r="F978" s="148"/>
      <c r="G978" s="148"/>
      <c r="H978" s="148" t="s">
        <v>2943</v>
      </c>
      <c r="I978" s="161"/>
      <c r="J978" s="165" t="s">
        <v>3005</v>
      </c>
      <c r="K978" s="161"/>
      <c r="L978" s="161"/>
      <c r="M978" s="453" t="s">
        <v>4282</v>
      </c>
      <c r="N978" s="186"/>
      <c r="O978" s="186"/>
      <c r="P978" s="186"/>
      <c r="Q978" s="186"/>
      <c r="R978" s="186"/>
      <c r="S978" s="186"/>
      <c r="T978" s="186"/>
      <c r="U978" s="186"/>
      <c r="V978" s="186"/>
      <c r="W978" s="186"/>
      <c r="X978" s="186"/>
      <c r="Y978" s="186"/>
      <c r="Z978" s="186"/>
      <c r="AA978" s="186"/>
      <c r="AB978" s="186"/>
      <c r="AC978" s="186"/>
      <c r="AD978" s="268"/>
      <c r="AE978" s="268"/>
      <c r="AF978" s="144">
        <f t="shared" si="71"/>
        <v>3.2267999999999999</v>
      </c>
      <c r="AG978" s="144" t="str">
        <f t="shared" si="70"/>
        <v/>
      </c>
      <c r="AH978" s="146">
        <f t="shared" si="74"/>
        <v>1.0539000000000001</v>
      </c>
      <c r="AI978" s="146" t="str">
        <f t="shared" si="75"/>
        <v/>
      </c>
      <c r="AJ978" s="313"/>
      <c r="AK978" s="313"/>
      <c r="AL978" s="313"/>
      <c r="AM978" s="313"/>
      <c r="AN978" s="313"/>
      <c r="AO978" s="313"/>
      <c r="AP978" s="313"/>
      <c r="AQ978" s="313"/>
      <c r="AR978" s="313"/>
      <c r="AS978" s="287">
        <v>3.2267999999999999</v>
      </c>
      <c r="AT978" s="177"/>
      <c r="AU978" s="310"/>
      <c r="AV978" s="322"/>
      <c r="AW978" s="276"/>
      <c r="AX978" s="276"/>
      <c r="AY978" s="276"/>
      <c r="AZ978" s="276"/>
      <c r="BA978" s="276"/>
      <c r="BB978" s="276"/>
      <c r="BC978" s="276"/>
      <c r="BD978" s="276"/>
      <c r="BE978" s="276"/>
      <c r="BF978" s="401">
        <v>1.0539000000000001</v>
      </c>
      <c r="BG978" s="403"/>
      <c r="BH978" s="278"/>
      <c r="BI978" s="365"/>
    </row>
    <row r="979" spans="1:61" ht="15.75" customHeight="1" thickBot="1" x14ac:dyDescent="0.25">
      <c r="A979" s="156">
        <v>980</v>
      </c>
      <c r="B979" s="155">
        <v>2</v>
      </c>
      <c r="C979" s="148" t="s">
        <v>259</v>
      </c>
      <c r="D979" s="141" t="s">
        <v>2235</v>
      </c>
      <c r="E979" s="148"/>
      <c r="F979" s="148"/>
      <c r="G979" s="148"/>
      <c r="H979" s="148" t="s">
        <v>2884</v>
      </c>
      <c r="I979" s="161"/>
      <c r="J979" s="165" t="s">
        <v>3006</v>
      </c>
      <c r="K979" s="161"/>
      <c r="L979" s="161"/>
      <c r="M979" s="453" t="s">
        <v>4282</v>
      </c>
      <c r="N979" s="186"/>
      <c r="O979" s="186"/>
      <c r="P979" s="186"/>
      <c r="Q979" s="186"/>
      <c r="R979" s="186"/>
      <c r="S979" s="186"/>
      <c r="T979" s="186"/>
      <c r="U979" s="186"/>
      <c r="V979" s="186"/>
      <c r="W979" s="186"/>
      <c r="X979" s="186"/>
      <c r="Y979" s="186"/>
      <c r="Z979" s="186"/>
      <c r="AA979" s="186"/>
      <c r="AB979" s="186"/>
      <c r="AC979" s="186"/>
      <c r="AD979" s="268"/>
      <c r="AE979" s="268"/>
      <c r="AF979" s="144" t="str">
        <f t="shared" si="71"/>
        <v/>
      </c>
      <c r="AG979" s="144">
        <f t="shared" ref="AG979:AG1042" si="78">IF(AND(SUM(AJ979:AL979)&lt;&gt;0,SUM(AJ979:AL979)&lt;&gt;AJ979),SUM(AJ979:AL979),"")</f>
        <v>5.3975</v>
      </c>
      <c r="AH979" s="146" t="str">
        <f t="shared" si="74"/>
        <v/>
      </c>
      <c r="AI979" s="146">
        <f t="shared" si="75"/>
        <v>1.3567</v>
      </c>
      <c r="AJ979" s="313"/>
      <c r="AK979" s="313"/>
      <c r="AL979" s="313">
        <v>5.3975</v>
      </c>
      <c r="AM979" s="313"/>
      <c r="AN979" s="313"/>
      <c r="AO979" s="313"/>
      <c r="AP979" s="313"/>
      <c r="AQ979" s="313"/>
      <c r="AR979" s="313"/>
      <c r="AS979" s="176"/>
      <c r="AT979" s="173">
        <f>SUM(AJ979:AR979)</f>
        <v>5.3975</v>
      </c>
      <c r="AU979" s="310"/>
      <c r="AV979" s="322"/>
      <c r="AW979" s="276"/>
      <c r="AX979" s="276"/>
      <c r="AY979" s="276">
        <v>1.3567</v>
      </c>
      <c r="AZ979" s="276"/>
      <c r="BA979" s="276"/>
      <c r="BB979" s="276"/>
      <c r="BC979" s="276"/>
      <c r="BD979" s="276"/>
      <c r="BE979" s="276"/>
      <c r="BF979" s="400"/>
      <c r="BG979" s="394">
        <f>SUM(AW979:BE979)</f>
        <v>1.3567</v>
      </c>
      <c r="BH979" s="278"/>
      <c r="BI979" s="365"/>
    </row>
    <row r="980" spans="1:61" ht="15.75" customHeight="1" thickBot="1" x14ac:dyDescent="0.25">
      <c r="A980" s="156">
        <v>981</v>
      </c>
      <c r="B980" s="155">
        <v>2</v>
      </c>
      <c r="C980" s="148" t="s">
        <v>259</v>
      </c>
      <c r="D980" s="141" t="s">
        <v>2242</v>
      </c>
      <c r="H980" s="148" t="s">
        <v>2900</v>
      </c>
      <c r="J980" s="165" t="s">
        <v>3007</v>
      </c>
      <c r="M980" s="453" t="s">
        <v>4282</v>
      </c>
      <c r="AF980" s="144" t="str">
        <f t="shared" si="71"/>
        <v/>
      </c>
      <c r="AG980" s="144">
        <f t="shared" si="78"/>
        <v>4.3230949000000001</v>
      </c>
      <c r="AH980" s="146" t="str">
        <f t="shared" si="74"/>
        <v/>
      </c>
      <c r="AI980" s="146">
        <f t="shared" si="75"/>
        <v>0.42067012999999998</v>
      </c>
      <c r="AJ980" s="313"/>
      <c r="AK980" s="313"/>
      <c r="AL980" s="313">
        <v>4.3230949000000001</v>
      </c>
      <c r="AM980" s="313"/>
      <c r="AN980" s="313"/>
      <c r="AO980" s="313"/>
      <c r="AP980" s="313"/>
      <c r="AQ980" s="313"/>
      <c r="AR980" s="313"/>
      <c r="AS980" s="287"/>
      <c r="AT980" s="175">
        <f>SUM(AJ980:AR980)</f>
        <v>4.3230949000000001</v>
      </c>
      <c r="AV980" s="322"/>
      <c r="AW980" s="276"/>
      <c r="AX980" s="276"/>
      <c r="AY980" s="276">
        <v>0.42067012999999998</v>
      </c>
      <c r="AZ980" s="276"/>
      <c r="BA980" s="276"/>
      <c r="BB980" s="276"/>
      <c r="BC980" s="276"/>
      <c r="BD980" s="276"/>
      <c r="BE980" s="276"/>
      <c r="BF980" s="401"/>
      <c r="BG980" s="389">
        <f>SUM(AW980:BE980)</f>
        <v>0.42067012999999998</v>
      </c>
    </row>
    <row r="981" spans="1:61" ht="15.75" customHeight="1" thickBot="1" x14ac:dyDescent="0.25">
      <c r="A981" s="156">
        <v>982</v>
      </c>
      <c r="B981" s="155">
        <v>2</v>
      </c>
      <c r="C981" s="148" t="s">
        <v>259</v>
      </c>
      <c r="D981" s="141" t="s">
        <v>2242</v>
      </c>
      <c r="H981" s="148" t="s">
        <v>2876</v>
      </c>
      <c r="J981" s="165" t="s">
        <v>3008</v>
      </c>
      <c r="M981" s="453" t="s">
        <v>4282</v>
      </c>
      <c r="AF981" s="144" t="str">
        <f t="shared" si="71"/>
        <v/>
      </c>
      <c r="AG981" s="144">
        <f t="shared" si="78"/>
        <v>3.5523142999999999</v>
      </c>
      <c r="AH981" s="146" t="str">
        <f t="shared" si="74"/>
        <v/>
      </c>
      <c r="AI981" s="146">
        <f t="shared" si="75"/>
        <v>0.39468321000000001</v>
      </c>
      <c r="AJ981" s="313"/>
      <c r="AK981" s="313"/>
      <c r="AL981" s="313">
        <v>3.5523142999999999</v>
      </c>
      <c r="AM981" s="313"/>
      <c r="AN981" s="313"/>
      <c r="AO981" s="313"/>
      <c r="AP981" s="313"/>
      <c r="AQ981" s="313"/>
      <c r="AR981" s="313"/>
      <c r="AS981" s="287"/>
      <c r="AT981" s="175">
        <f>SUM(AJ981:AR981)</f>
        <v>3.5523142999999999</v>
      </c>
      <c r="AV981" s="322"/>
      <c r="AW981" s="276"/>
      <c r="AX981" s="276"/>
      <c r="AY981" s="276">
        <v>0.39468321000000001</v>
      </c>
      <c r="AZ981" s="276"/>
      <c r="BA981" s="276"/>
      <c r="BB981" s="276"/>
      <c r="BC981" s="276"/>
      <c r="BD981" s="276"/>
      <c r="BE981" s="276"/>
      <c r="BF981" s="401"/>
      <c r="BG981" s="389">
        <f>SUM(AW981:BE981)</f>
        <v>0.39468321000000001</v>
      </c>
    </row>
    <row r="982" spans="1:61" ht="15" customHeight="1" thickBot="1" x14ac:dyDescent="0.25">
      <c r="A982" s="156">
        <v>983</v>
      </c>
      <c r="B982" s="155">
        <v>2</v>
      </c>
      <c r="C982" s="148" t="s">
        <v>259</v>
      </c>
      <c r="D982" s="141" t="s">
        <v>2242</v>
      </c>
      <c r="H982" s="148" t="s">
        <v>2901</v>
      </c>
      <c r="J982" s="165" t="s">
        <v>3009</v>
      </c>
      <c r="M982" s="453" t="s">
        <v>4282</v>
      </c>
      <c r="AF982" s="144" t="str">
        <f t="shared" si="71"/>
        <v/>
      </c>
      <c r="AG982" s="144">
        <f t="shared" si="78"/>
        <v>3.9704747999999999</v>
      </c>
      <c r="AH982" s="146" t="str">
        <f t="shared" si="74"/>
        <v/>
      </c>
      <c r="AI982" s="146">
        <f t="shared" si="75"/>
        <v>0.43798810999999999</v>
      </c>
      <c r="AJ982" s="313"/>
      <c r="AK982" s="313"/>
      <c r="AL982" s="313">
        <v>3.9704747999999999</v>
      </c>
      <c r="AM982" s="313"/>
      <c r="AN982" s="313"/>
      <c r="AO982" s="313"/>
      <c r="AP982" s="313"/>
      <c r="AQ982" s="313"/>
      <c r="AR982" s="313"/>
      <c r="AS982" s="287"/>
      <c r="AT982" s="175">
        <f>SUM(AJ982:AR982)</f>
        <v>3.9704747999999999</v>
      </c>
      <c r="AV982" s="322"/>
      <c r="AW982" s="276"/>
      <c r="AX982" s="276"/>
      <c r="AY982" s="276">
        <v>0.43798810999999999</v>
      </c>
      <c r="AZ982" s="276"/>
      <c r="BA982" s="276"/>
      <c r="BB982" s="276"/>
      <c r="BC982" s="276"/>
      <c r="BD982" s="276"/>
      <c r="BE982" s="276"/>
      <c r="BF982" s="401"/>
      <c r="BG982" s="389">
        <f>SUM(AW982:BE982)</f>
        <v>0.43798810999999999</v>
      </c>
    </row>
    <row r="983" spans="1:61" ht="15" customHeight="1" thickBot="1" x14ac:dyDescent="0.25">
      <c r="A983" s="156">
        <v>984</v>
      </c>
      <c r="B983" s="155">
        <v>2</v>
      </c>
      <c r="C983" s="148" t="s">
        <v>259</v>
      </c>
      <c r="D983" s="141" t="s">
        <v>2243</v>
      </c>
      <c r="H983" s="148" t="s">
        <v>3034</v>
      </c>
      <c r="J983" s="165" t="s">
        <v>3010</v>
      </c>
      <c r="M983" s="453" t="s">
        <v>4282</v>
      </c>
      <c r="AF983" s="144">
        <f t="shared" si="71"/>
        <v>1.7805606</v>
      </c>
      <c r="AG983" s="144" t="str">
        <f t="shared" si="78"/>
        <v/>
      </c>
      <c r="AH983" s="146">
        <f t="shared" si="74"/>
        <v>0.27597774000000003</v>
      </c>
      <c r="AI983" s="146" t="str">
        <f t="shared" si="75"/>
        <v/>
      </c>
      <c r="AJ983" s="313"/>
      <c r="AK983" s="313"/>
      <c r="AL983" s="313"/>
      <c r="AM983" s="313"/>
      <c r="AN983" s="313"/>
      <c r="AO983" s="313"/>
      <c r="AP983" s="313"/>
      <c r="AQ983" s="313"/>
      <c r="AR983" s="313"/>
      <c r="AS983" s="287">
        <v>1.7805606</v>
      </c>
      <c r="AT983" s="175"/>
      <c r="AV983" s="322"/>
      <c r="AW983" s="276"/>
      <c r="AX983" s="276"/>
      <c r="AY983" s="276"/>
      <c r="AZ983" s="276"/>
      <c r="BA983" s="276"/>
      <c r="BB983" s="276"/>
      <c r="BC983" s="276"/>
      <c r="BD983" s="276"/>
      <c r="BE983" s="276"/>
      <c r="BF983" s="401">
        <v>0.27597774000000003</v>
      </c>
      <c r="BG983" s="389"/>
    </row>
    <row r="984" spans="1:61" ht="15" customHeight="1" thickBot="1" x14ac:dyDescent="0.25">
      <c r="A984" s="156">
        <v>985</v>
      </c>
      <c r="B984" s="155">
        <v>2</v>
      </c>
      <c r="C984" s="148" t="s">
        <v>259</v>
      </c>
      <c r="D984" s="141" t="s">
        <v>2243</v>
      </c>
      <c r="H984" s="148" t="s">
        <v>2900</v>
      </c>
      <c r="J984" s="165" t="s">
        <v>3011</v>
      </c>
      <c r="M984" s="453" t="s">
        <v>4282</v>
      </c>
      <c r="AF984" s="144">
        <f t="shared" si="71"/>
        <v>1.850662</v>
      </c>
      <c r="AG984" s="144" t="str">
        <f t="shared" si="78"/>
        <v/>
      </c>
      <c r="AH984" s="146">
        <f t="shared" si="74"/>
        <v>0.33297652999999999</v>
      </c>
      <c r="AI984" s="146" t="str">
        <f t="shared" si="75"/>
        <v/>
      </c>
      <c r="AJ984" s="313"/>
      <c r="AK984" s="313"/>
      <c r="AL984" s="313"/>
      <c r="AM984" s="313"/>
      <c r="AN984" s="313"/>
      <c r="AO984" s="313"/>
      <c r="AP984" s="313"/>
      <c r="AQ984" s="313"/>
      <c r="AR984" s="313"/>
      <c r="AS984" s="287">
        <v>1.850662</v>
      </c>
      <c r="AT984" s="175"/>
      <c r="AV984" s="322"/>
      <c r="AW984" s="276"/>
      <c r="AX984" s="276"/>
      <c r="AY984" s="276"/>
      <c r="AZ984" s="276"/>
      <c r="BA984" s="276"/>
      <c r="BB984" s="276"/>
      <c r="BC984" s="276"/>
      <c r="BD984" s="276"/>
      <c r="BE984" s="276"/>
      <c r="BF984" s="401">
        <v>0.33297652999999999</v>
      </c>
      <c r="BG984" s="389"/>
    </row>
    <row r="985" spans="1:61" ht="15" customHeight="1" thickBot="1" x14ac:dyDescent="0.25">
      <c r="A985" s="156">
        <v>986</v>
      </c>
      <c r="B985" s="155">
        <v>2</v>
      </c>
      <c r="C985" s="148" t="s">
        <v>259</v>
      </c>
      <c r="D985" s="141" t="s">
        <v>2243</v>
      </c>
      <c r="H985" s="148" t="s">
        <v>2883</v>
      </c>
      <c r="J985" s="165" t="s">
        <v>3012</v>
      </c>
      <c r="M985" s="453" t="s">
        <v>4282</v>
      </c>
      <c r="AF985" s="144">
        <f t="shared" si="71"/>
        <v>2.9174134</v>
      </c>
      <c r="AG985" s="144" t="str">
        <f t="shared" si="78"/>
        <v/>
      </c>
      <c r="AH985" s="146">
        <f t="shared" si="74"/>
        <v>0.36690483000000002</v>
      </c>
      <c r="AI985" s="146" t="str">
        <f t="shared" si="75"/>
        <v/>
      </c>
      <c r="AJ985" s="313"/>
      <c r="AK985" s="313"/>
      <c r="AL985" s="313"/>
      <c r="AM985" s="313"/>
      <c r="AN985" s="313"/>
      <c r="AO985" s="313"/>
      <c r="AP985" s="313"/>
      <c r="AQ985" s="313"/>
      <c r="AR985" s="313"/>
      <c r="AS985" s="287">
        <v>2.9174134</v>
      </c>
      <c r="AT985" s="175"/>
      <c r="AV985" s="322"/>
      <c r="AW985" s="276"/>
      <c r="AX985" s="276"/>
      <c r="AY985" s="276"/>
      <c r="AZ985" s="276"/>
      <c r="BA985" s="276"/>
      <c r="BB985" s="276"/>
      <c r="BC985" s="276"/>
      <c r="BD985" s="276"/>
      <c r="BE985" s="276"/>
      <c r="BF985" s="401">
        <v>0.36690483000000002</v>
      </c>
      <c r="BG985" s="389"/>
    </row>
    <row r="986" spans="1:61" ht="15" customHeight="1" thickBot="1" x14ac:dyDescent="0.25">
      <c r="A986" s="156">
        <v>987</v>
      </c>
      <c r="B986" s="155">
        <v>2</v>
      </c>
      <c r="C986" s="148" t="s">
        <v>259</v>
      </c>
      <c r="D986" s="141" t="s">
        <v>2243</v>
      </c>
      <c r="H986" s="148" t="s">
        <v>2875</v>
      </c>
      <c r="J986" s="165" t="s">
        <v>3013</v>
      </c>
      <c r="M986" s="453" t="s">
        <v>4282</v>
      </c>
      <c r="AF986" s="144">
        <f t="shared" si="71"/>
        <v>1.9777943</v>
      </c>
      <c r="AG986" s="144" t="str">
        <f t="shared" si="78"/>
        <v/>
      </c>
      <c r="AH986" s="146">
        <f t="shared" si="74"/>
        <v>0.28285407000000001</v>
      </c>
      <c r="AI986" s="146" t="str">
        <f t="shared" si="75"/>
        <v/>
      </c>
      <c r="AJ986" s="313"/>
      <c r="AK986" s="313"/>
      <c r="AL986" s="313"/>
      <c r="AM986" s="313"/>
      <c r="AN986" s="313"/>
      <c r="AO986" s="313"/>
      <c r="AP986" s="313"/>
      <c r="AQ986" s="313"/>
      <c r="AR986" s="313"/>
      <c r="AS986" s="287">
        <v>1.9777943</v>
      </c>
      <c r="AT986" s="175"/>
      <c r="AV986" s="322"/>
      <c r="AW986" s="276"/>
      <c r="AX986" s="276"/>
      <c r="AY986" s="276"/>
      <c r="AZ986" s="276"/>
      <c r="BA986" s="276"/>
      <c r="BB986" s="276"/>
      <c r="BC986" s="276"/>
      <c r="BD986" s="276"/>
      <c r="BE986" s="276"/>
      <c r="BF986" s="401">
        <v>0.28285407000000001</v>
      </c>
      <c r="BG986" s="389"/>
    </row>
    <row r="987" spans="1:61" ht="15" customHeight="1" thickBot="1" x14ac:dyDescent="0.25">
      <c r="A987" s="156">
        <v>988</v>
      </c>
      <c r="B987" s="155">
        <v>2</v>
      </c>
      <c r="C987" s="148" t="s">
        <v>259</v>
      </c>
      <c r="D987" s="141" t="s">
        <v>2243</v>
      </c>
      <c r="H987" s="148" t="s">
        <v>2876</v>
      </c>
      <c r="J987" s="165" t="s">
        <v>3014</v>
      </c>
      <c r="M987" s="453" t="s">
        <v>4282</v>
      </c>
      <c r="AF987" s="144">
        <f t="shared" si="71"/>
        <v>2.0300755000000001</v>
      </c>
      <c r="AG987" s="144" t="str">
        <f t="shared" si="78"/>
        <v/>
      </c>
      <c r="AH987" s="146">
        <f t="shared" si="74"/>
        <v>0.29365765999999999</v>
      </c>
      <c r="AI987" s="146" t="str">
        <f t="shared" si="75"/>
        <v/>
      </c>
      <c r="AJ987" s="313"/>
      <c r="AK987" s="313"/>
      <c r="AL987" s="313"/>
      <c r="AM987" s="313"/>
      <c r="AN987" s="313"/>
      <c r="AO987" s="313"/>
      <c r="AP987" s="313"/>
      <c r="AQ987" s="313"/>
      <c r="AR987" s="313"/>
      <c r="AS987" s="287">
        <v>2.0300755000000001</v>
      </c>
      <c r="AT987" s="175"/>
      <c r="AV987" s="322"/>
      <c r="AW987" s="276"/>
      <c r="AX987" s="276"/>
      <c r="AY987" s="276"/>
      <c r="AZ987" s="276"/>
      <c r="BA987" s="276"/>
      <c r="BB987" s="276"/>
      <c r="BC987" s="276"/>
      <c r="BD987" s="276"/>
      <c r="BE987" s="276"/>
      <c r="BF987" s="401">
        <v>0.29365765999999999</v>
      </c>
      <c r="BG987" s="389"/>
    </row>
    <row r="988" spans="1:61" ht="15" customHeight="1" thickBot="1" x14ac:dyDescent="0.25">
      <c r="A988" s="156">
        <v>989</v>
      </c>
      <c r="B988" s="155">
        <v>2</v>
      </c>
      <c r="C988" s="148" t="s">
        <v>259</v>
      </c>
      <c r="D988" s="141" t="s">
        <v>2243</v>
      </c>
      <c r="H988" s="148" t="s">
        <v>2906</v>
      </c>
      <c r="J988" s="165" t="s">
        <v>3015</v>
      </c>
      <c r="M988" s="453" t="s">
        <v>4282</v>
      </c>
      <c r="AF988" s="144">
        <f t="shared" si="71"/>
        <v>1.3678718000000001</v>
      </c>
      <c r="AG988" s="144" t="str">
        <f t="shared" si="78"/>
        <v/>
      </c>
      <c r="AH988" s="146">
        <f t="shared" si="74"/>
        <v>0.2390169</v>
      </c>
      <c r="AI988" s="146" t="str">
        <f t="shared" si="75"/>
        <v/>
      </c>
      <c r="AJ988" s="313"/>
      <c r="AK988" s="313"/>
      <c r="AL988" s="313"/>
      <c r="AM988" s="313"/>
      <c r="AN988" s="313"/>
      <c r="AO988" s="313"/>
      <c r="AP988" s="313"/>
      <c r="AQ988" s="313"/>
      <c r="AR988" s="313"/>
      <c r="AS988" s="287">
        <v>1.3678718000000001</v>
      </c>
      <c r="AT988" s="175"/>
      <c r="AV988" s="322"/>
      <c r="AW988" s="276"/>
      <c r="AX988" s="276"/>
      <c r="AY988" s="276"/>
      <c r="AZ988" s="276"/>
      <c r="BA988" s="276"/>
      <c r="BB988" s="276"/>
      <c r="BC988" s="276"/>
      <c r="BD988" s="276"/>
      <c r="BE988" s="276"/>
      <c r="BF988" s="401">
        <v>0.2390169</v>
      </c>
      <c r="BG988" s="389"/>
    </row>
    <row r="989" spans="1:61" ht="15" customHeight="1" thickBot="1" x14ac:dyDescent="0.25">
      <c r="A989" s="156">
        <v>990</v>
      </c>
      <c r="B989" s="155">
        <v>2</v>
      </c>
      <c r="C989" s="148" t="s">
        <v>259</v>
      </c>
      <c r="D989" s="141" t="s">
        <v>2243</v>
      </c>
      <c r="H989" s="148" t="s">
        <v>3035</v>
      </c>
      <c r="J989" s="165" t="s">
        <v>3016</v>
      </c>
      <c r="M989" s="453" t="s">
        <v>4282</v>
      </c>
      <c r="AF989" s="144">
        <f t="shared" si="71"/>
        <v>2.8377842000000002</v>
      </c>
      <c r="AG989" s="144" t="str">
        <f t="shared" si="78"/>
        <v/>
      </c>
      <c r="AH989" s="146">
        <f t="shared" si="74"/>
        <v>0.37842503</v>
      </c>
      <c r="AI989" s="146" t="str">
        <f t="shared" si="75"/>
        <v/>
      </c>
      <c r="AJ989" s="313"/>
      <c r="AK989" s="313"/>
      <c r="AL989" s="313"/>
      <c r="AM989" s="313"/>
      <c r="AN989" s="313"/>
      <c r="AO989" s="313"/>
      <c r="AP989" s="313"/>
      <c r="AQ989" s="313"/>
      <c r="AR989" s="313"/>
      <c r="AS989" s="287">
        <v>2.8377842000000002</v>
      </c>
      <c r="AT989" s="175"/>
      <c r="AV989" s="322"/>
      <c r="AW989" s="276"/>
      <c r="AX989" s="276"/>
      <c r="AY989" s="276"/>
      <c r="AZ989" s="276"/>
      <c r="BA989" s="276"/>
      <c r="BB989" s="276"/>
      <c r="BC989" s="276"/>
      <c r="BD989" s="276"/>
      <c r="BE989" s="276"/>
      <c r="BF989" s="401">
        <v>0.37842503</v>
      </c>
      <c r="BG989" s="389"/>
    </row>
    <row r="990" spans="1:61" ht="15" customHeight="1" thickBot="1" x14ac:dyDescent="0.25">
      <c r="A990" s="156">
        <v>991</v>
      </c>
      <c r="B990" s="155">
        <v>2</v>
      </c>
      <c r="C990" s="148" t="s">
        <v>259</v>
      </c>
      <c r="D990" s="141" t="s">
        <v>2243</v>
      </c>
      <c r="H990" s="148" t="s">
        <v>2877</v>
      </c>
      <c r="J990" s="165" t="s">
        <v>3017</v>
      </c>
      <c r="M990" s="453" t="s">
        <v>4282</v>
      </c>
      <c r="AF990" s="144">
        <f t="shared" si="71"/>
        <v>3.7718463</v>
      </c>
      <c r="AG990" s="144" t="str">
        <f t="shared" si="78"/>
        <v/>
      </c>
      <c r="AH990" s="146">
        <f t="shared" si="74"/>
        <v>0.49762219000000002</v>
      </c>
      <c r="AI990" s="146" t="str">
        <f t="shared" si="75"/>
        <v/>
      </c>
      <c r="AJ990" s="313"/>
      <c r="AK990" s="313"/>
      <c r="AL990" s="313"/>
      <c r="AM990" s="313"/>
      <c r="AN990" s="313"/>
      <c r="AO990" s="313"/>
      <c r="AP990" s="313"/>
      <c r="AQ990" s="313"/>
      <c r="AR990" s="313"/>
      <c r="AS990" s="287">
        <v>3.7718463</v>
      </c>
      <c r="AT990" s="175"/>
      <c r="AV990" s="322"/>
      <c r="AW990" s="276"/>
      <c r="AX990" s="276"/>
      <c r="AY990" s="276"/>
      <c r="AZ990" s="276"/>
      <c r="BA990" s="276"/>
      <c r="BB990" s="276"/>
      <c r="BC990" s="276"/>
      <c r="BD990" s="276"/>
      <c r="BE990" s="276"/>
      <c r="BF990" s="401">
        <v>0.49762219000000002</v>
      </c>
      <c r="BG990" s="389"/>
    </row>
    <row r="991" spans="1:61" ht="15" customHeight="1" thickBot="1" x14ac:dyDescent="0.25">
      <c r="A991" s="156">
        <v>992</v>
      </c>
      <c r="B991" s="155">
        <v>2</v>
      </c>
      <c r="C991" s="148" t="s">
        <v>259</v>
      </c>
      <c r="D991" s="141" t="s">
        <v>2243</v>
      </c>
      <c r="H991" s="148" t="s">
        <v>3036</v>
      </c>
      <c r="J991" s="165" t="s">
        <v>3018</v>
      </c>
      <c r="M991" s="453" t="s">
        <v>4282</v>
      </c>
      <c r="AF991" s="144">
        <f t="shared" si="71"/>
        <v>2.7070300999999999</v>
      </c>
      <c r="AG991" s="144" t="str">
        <f t="shared" si="78"/>
        <v/>
      </c>
      <c r="AH991" s="146">
        <f t="shared" si="74"/>
        <v>0.3903586</v>
      </c>
      <c r="AI991" s="146" t="str">
        <f t="shared" si="75"/>
        <v/>
      </c>
      <c r="AJ991" s="313"/>
      <c r="AK991" s="313"/>
      <c r="AL991" s="313"/>
      <c r="AM991" s="313"/>
      <c r="AN991" s="313"/>
      <c r="AO991" s="313"/>
      <c r="AP991" s="313"/>
      <c r="AQ991" s="313"/>
      <c r="AR991" s="313"/>
      <c r="AS991" s="287">
        <v>2.7070300999999999</v>
      </c>
      <c r="AT991" s="175"/>
      <c r="AV991" s="322"/>
      <c r="AW991" s="276"/>
      <c r="AX991" s="276"/>
      <c r="AY991" s="276"/>
      <c r="AZ991" s="276"/>
      <c r="BA991" s="276"/>
      <c r="BB991" s="276"/>
      <c r="BC991" s="276"/>
      <c r="BD991" s="276"/>
      <c r="BE991" s="276"/>
      <c r="BF991" s="401">
        <v>0.3903586</v>
      </c>
      <c r="BG991" s="389"/>
    </row>
    <row r="992" spans="1:61" ht="15" customHeight="1" thickBot="1" x14ac:dyDescent="0.25">
      <c r="A992" s="156">
        <v>993</v>
      </c>
      <c r="B992" s="155">
        <v>2</v>
      </c>
      <c r="C992" s="148" t="s">
        <v>259</v>
      </c>
      <c r="D992" s="141" t="s">
        <v>2243</v>
      </c>
      <c r="H992" s="148" t="s">
        <v>2878</v>
      </c>
      <c r="J992" s="165" t="s">
        <v>3019</v>
      </c>
      <c r="M992" s="453" t="s">
        <v>4282</v>
      </c>
      <c r="AF992" s="144">
        <f t="shared" si="71"/>
        <v>1.7102907000000001</v>
      </c>
      <c r="AG992" s="144" t="str">
        <f t="shared" si="78"/>
        <v/>
      </c>
      <c r="AH992" s="146">
        <f t="shared" si="74"/>
        <v>0.24326358000000001</v>
      </c>
      <c r="AI992" s="146" t="str">
        <f t="shared" si="75"/>
        <v/>
      </c>
      <c r="AJ992" s="313"/>
      <c r="AK992" s="313"/>
      <c r="AL992" s="313"/>
      <c r="AM992" s="313"/>
      <c r="AN992" s="313"/>
      <c r="AO992" s="313"/>
      <c r="AP992" s="313"/>
      <c r="AQ992" s="313"/>
      <c r="AR992" s="313"/>
      <c r="AS992" s="287">
        <v>1.7102907000000001</v>
      </c>
      <c r="AT992" s="175"/>
      <c r="AV992" s="322"/>
      <c r="AW992" s="276"/>
      <c r="AX992" s="276"/>
      <c r="AY992" s="276"/>
      <c r="AZ992" s="276"/>
      <c r="BA992" s="276"/>
      <c r="BB992" s="276"/>
      <c r="BC992" s="276"/>
      <c r="BD992" s="276"/>
      <c r="BE992" s="276"/>
      <c r="BF992" s="401">
        <v>0.24326358000000001</v>
      </c>
      <c r="BG992" s="389"/>
    </row>
    <row r="993" spans="1:59" ht="15" customHeight="1" thickBot="1" x14ac:dyDescent="0.25">
      <c r="A993" s="156">
        <v>994</v>
      </c>
      <c r="B993" s="155">
        <v>2</v>
      </c>
      <c r="C993" s="148" t="s">
        <v>259</v>
      </c>
      <c r="D993" s="141" t="s">
        <v>2243</v>
      </c>
      <c r="H993" s="148" t="s">
        <v>2885</v>
      </c>
      <c r="J993" s="165" t="s">
        <v>3020</v>
      </c>
      <c r="M993" s="453" t="s">
        <v>4282</v>
      </c>
      <c r="AF993" s="144">
        <f t="shared" si="71"/>
        <v>3.2257494000000002</v>
      </c>
      <c r="AG993" s="144" t="str">
        <f t="shared" si="78"/>
        <v/>
      </c>
      <c r="AH993" s="146">
        <f t="shared" si="74"/>
        <v>0.46447648000000002</v>
      </c>
      <c r="AI993" s="146" t="str">
        <f t="shared" si="75"/>
        <v/>
      </c>
      <c r="AJ993" s="313"/>
      <c r="AK993" s="313"/>
      <c r="AL993" s="313"/>
      <c r="AM993" s="313"/>
      <c r="AN993" s="313"/>
      <c r="AO993" s="313"/>
      <c r="AP993" s="313"/>
      <c r="AQ993" s="313"/>
      <c r="AR993" s="313"/>
      <c r="AS993" s="287">
        <v>3.2257494000000002</v>
      </c>
      <c r="AT993" s="175"/>
      <c r="AV993" s="322"/>
      <c r="AW993" s="276"/>
      <c r="AX993" s="276"/>
      <c r="AY993" s="276"/>
      <c r="AZ993" s="276"/>
      <c r="BA993" s="276"/>
      <c r="BB993" s="276"/>
      <c r="BC993" s="276"/>
      <c r="BD993" s="276"/>
      <c r="BE993" s="276"/>
      <c r="BF993" s="401">
        <v>0.46447648000000002</v>
      </c>
      <c r="BG993" s="389"/>
    </row>
    <row r="994" spans="1:59" ht="15" customHeight="1" thickBot="1" x14ac:dyDescent="0.25">
      <c r="A994" s="156">
        <v>995</v>
      </c>
      <c r="B994" s="155">
        <v>2</v>
      </c>
      <c r="C994" s="148" t="s">
        <v>259</v>
      </c>
      <c r="D994" s="141" t="s">
        <v>2243</v>
      </c>
      <c r="H994" s="148" t="s">
        <v>2886</v>
      </c>
      <c r="J994" s="165" t="s">
        <v>3021</v>
      </c>
      <c r="M994" s="453" t="s">
        <v>4282</v>
      </c>
      <c r="AF994" s="144">
        <f t="shared" si="71"/>
        <v>2.7191961999999998</v>
      </c>
      <c r="AG994" s="144" t="str">
        <f t="shared" si="78"/>
        <v/>
      </c>
      <c r="AH994" s="146">
        <f t="shared" si="74"/>
        <v>0.35876218999999998</v>
      </c>
      <c r="AI994" s="146" t="str">
        <f t="shared" si="75"/>
        <v/>
      </c>
      <c r="AJ994" s="313"/>
      <c r="AK994" s="313"/>
      <c r="AL994" s="313"/>
      <c r="AM994" s="313"/>
      <c r="AN994" s="313"/>
      <c r="AO994" s="313"/>
      <c r="AP994" s="313"/>
      <c r="AQ994" s="313"/>
      <c r="AR994" s="313"/>
      <c r="AS994" s="287">
        <v>2.7191961999999998</v>
      </c>
      <c r="AT994" s="175"/>
      <c r="AV994" s="322"/>
      <c r="AW994" s="276"/>
      <c r="AX994" s="276"/>
      <c r="AY994" s="276"/>
      <c r="AZ994" s="276"/>
      <c r="BA994" s="276"/>
      <c r="BB994" s="276"/>
      <c r="BC994" s="276"/>
      <c r="BD994" s="276"/>
      <c r="BE994" s="276"/>
      <c r="BF994" s="401">
        <v>0.35876218999999998</v>
      </c>
      <c r="BG994" s="389"/>
    </row>
    <row r="995" spans="1:59" ht="15" customHeight="1" thickBot="1" x14ac:dyDescent="0.25">
      <c r="A995" s="156">
        <v>996</v>
      </c>
      <c r="B995" s="155">
        <v>2</v>
      </c>
      <c r="C995" s="148" t="s">
        <v>259</v>
      </c>
      <c r="D995" s="141" t="s">
        <v>2243</v>
      </c>
      <c r="H995" s="148" t="s">
        <v>2879</v>
      </c>
      <c r="J995" s="165" t="s">
        <v>3022</v>
      </c>
      <c r="M995" s="453" t="s">
        <v>4282</v>
      </c>
      <c r="AF995" s="144">
        <f t="shared" si="71"/>
        <v>3.1086014</v>
      </c>
      <c r="AG995" s="144" t="str">
        <f t="shared" si="78"/>
        <v/>
      </c>
      <c r="AH995" s="146">
        <f t="shared" si="74"/>
        <v>0.44209584000000002</v>
      </c>
      <c r="AI995" s="146" t="str">
        <f t="shared" si="75"/>
        <v/>
      </c>
      <c r="AJ995" s="313"/>
      <c r="AK995" s="313"/>
      <c r="AL995" s="313"/>
      <c r="AM995" s="313"/>
      <c r="AN995" s="313"/>
      <c r="AO995" s="313"/>
      <c r="AP995" s="313"/>
      <c r="AQ995" s="313"/>
      <c r="AR995" s="313"/>
      <c r="AS995" s="287">
        <v>3.1086014</v>
      </c>
      <c r="AT995" s="175"/>
      <c r="AV995" s="322"/>
      <c r="AW995" s="276"/>
      <c r="AX995" s="276"/>
      <c r="AY995" s="276"/>
      <c r="AZ995" s="276"/>
      <c r="BA995" s="276"/>
      <c r="BB995" s="276"/>
      <c r="BC995" s="276"/>
      <c r="BD995" s="276"/>
      <c r="BE995" s="276"/>
      <c r="BF995" s="401">
        <v>0.44209584000000002</v>
      </c>
      <c r="BG995" s="389"/>
    </row>
    <row r="996" spans="1:59" ht="15" customHeight="1" thickBot="1" x14ac:dyDescent="0.25">
      <c r="A996" s="156">
        <v>997</v>
      </c>
      <c r="B996" s="155">
        <v>2</v>
      </c>
      <c r="C996" s="148" t="s">
        <v>259</v>
      </c>
      <c r="D996" s="141" t="s">
        <v>2243</v>
      </c>
      <c r="H996" s="148" t="s">
        <v>3037</v>
      </c>
      <c r="J996" s="165" t="s">
        <v>3023</v>
      </c>
      <c r="M996" s="453" t="s">
        <v>4282</v>
      </c>
      <c r="AF996" s="144">
        <f t="shared" si="71"/>
        <v>3.1931208</v>
      </c>
      <c r="AG996" s="144" t="str">
        <f t="shared" si="78"/>
        <v/>
      </c>
      <c r="AH996" s="146">
        <f t="shared" si="74"/>
        <v>0.40830355000000002</v>
      </c>
      <c r="AI996" s="146" t="str">
        <f t="shared" si="75"/>
        <v/>
      </c>
      <c r="AJ996" s="313"/>
      <c r="AK996" s="313"/>
      <c r="AL996" s="313"/>
      <c r="AM996" s="313"/>
      <c r="AN996" s="313"/>
      <c r="AO996" s="313"/>
      <c r="AP996" s="313"/>
      <c r="AQ996" s="313"/>
      <c r="AR996" s="313"/>
      <c r="AS996" s="287">
        <v>3.1931208</v>
      </c>
      <c r="AT996" s="175"/>
      <c r="AV996" s="322"/>
      <c r="AW996" s="276"/>
      <c r="AX996" s="276"/>
      <c r="AY996" s="276"/>
      <c r="AZ996" s="276"/>
      <c r="BA996" s="276"/>
      <c r="BB996" s="276"/>
      <c r="BC996" s="276"/>
      <c r="BD996" s="276"/>
      <c r="BE996" s="276"/>
      <c r="BF996" s="401">
        <v>0.40830355000000002</v>
      </c>
      <c r="BG996" s="389"/>
    </row>
    <row r="997" spans="1:59" ht="15" customHeight="1" thickBot="1" x14ac:dyDescent="0.25">
      <c r="A997" s="156">
        <v>998</v>
      </c>
      <c r="B997" s="155">
        <v>2</v>
      </c>
      <c r="C997" s="148" t="s">
        <v>259</v>
      </c>
      <c r="D997" s="141" t="s">
        <v>2243</v>
      </c>
      <c r="H997" s="148" t="s">
        <v>3038</v>
      </c>
      <c r="J997" s="165" t="s">
        <v>3024</v>
      </c>
      <c r="M997" s="453" t="s">
        <v>4282</v>
      </c>
      <c r="AF997" s="144">
        <f t="shared" si="71"/>
        <v>2.3240387</v>
      </c>
      <c r="AG997" s="144" t="str">
        <f t="shared" si="78"/>
        <v/>
      </c>
      <c r="AH997" s="146">
        <f t="shared" si="74"/>
        <v>0.31438938</v>
      </c>
      <c r="AI997" s="146" t="str">
        <f t="shared" si="75"/>
        <v/>
      </c>
      <c r="AJ997" s="313"/>
      <c r="AK997" s="313"/>
      <c r="AL997" s="313"/>
      <c r="AM997" s="313"/>
      <c r="AN997" s="313"/>
      <c r="AO997" s="313"/>
      <c r="AP997" s="313"/>
      <c r="AQ997" s="313"/>
      <c r="AR997" s="313"/>
      <c r="AS997" s="287">
        <v>2.3240387</v>
      </c>
      <c r="AT997" s="175"/>
      <c r="AV997" s="322"/>
      <c r="AW997" s="276"/>
      <c r="AX997" s="276"/>
      <c r="AY997" s="276"/>
      <c r="AZ997" s="276"/>
      <c r="BA997" s="276"/>
      <c r="BB997" s="276"/>
      <c r="BC997" s="276"/>
      <c r="BD997" s="276"/>
      <c r="BE997" s="276"/>
      <c r="BF997" s="401">
        <v>0.31438938</v>
      </c>
      <c r="BG997" s="389"/>
    </row>
    <row r="998" spans="1:59" ht="15" customHeight="1" thickBot="1" x14ac:dyDescent="0.25">
      <c r="A998" s="156">
        <v>999</v>
      </c>
      <c r="B998" s="155">
        <v>2</v>
      </c>
      <c r="C998" s="148" t="s">
        <v>259</v>
      </c>
      <c r="D998" s="141" t="s">
        <v>2243</v>
      </c>
      <c r="H998" s="148" t="s">
        <v>3039</v>
      </c>
      <c r="J998" s="165" t="s">
        <v>3025</v>
      </c>
      <c r="M998" s="453" t="s">
        <v>4282</v>
      </c>
      <c r="AF998" s="144">
        <f t="shared" si="71"/>
        <v>2.1946276</v>
      </c>
      <c r="AG998" s="144" t="str">
        <f t="shared" si="78"/>
        <v/>
      </c>
      <c r="AH998" s="146">
        <f t="shared" si="74"/>
        <v>0.42598944999999999</v>
      </c>
      <c r="AI998" s="146" t="str">
        <f t="shared" si="75"/>
        <v/>
      </c>
      <c r="AJ998" s="313"/>
      <c r="AK998" s="313"/>
      <c r="AL998" s="313"/>
      <c r="AM998" s="313"/>
      <c r="AN998" s="313"/>
      <c r="AO998" s="313"/>
      <c r="AP998" s="313"/>
      <c r="AQ998" s="313"/>
      <c r="AR998" s="313"/>
      <c r="AS998" s="287">
        <v>2.1946276</v>
      </c>
      <c r="AT998" s="175"/>
      <c r="AV998" s="322"/>
      <c r="AW998" s="276"/>
      <c r="AX998" s="276"/>
      <c r="AY998" s="276"/>
      <c r="AZ998" s="276"/>
      <c r="BA998" s="276"/>
      <c r="BB998" s="276"/>
      <c r="BC998" s="276"/>
      <c r="BD998" s="276"/>
      <c r="BE998" s="276"/>
      <c r="BF998" s="401">
        <v>0.42598944999999999</v>
      </c>
      <c r="BG998" s="389"/>
    </row>
    <row r="999" spans="1:59" ht="15" customHeight="1" thickBot="1" x14ac:dyDescent="0.25">
      <c r="A999" s="156">
        <v>1000</v>
      </c>
      <c r="B999" s="155">
        <v>2</v>
      </c>
      <c r="C999" s="148" t="s">
        <v>259</v>
      </c>
      <c r="D999" s="141" t="s">
        <v>2243</v>
      </c>
      <c r="H999" s="148" t="s">
        <v>2999</v>
      </c>
      <c r="J999" s="165" t="s">
        <v>3026</v>
      </c>
      <c r="M999" s="453" t="s">
        <v>4282</v>
      </c>
      <c r="AF999" s="144">
        <f t="shared" si="71"/>
        <v>2.7572553000000002</v>
      </c>
      <c r="AG999" s="144" t="str">
        <f t="shared" si="78"/>
        <v/>
      </c>
      <c r="AH999" s="146">
        <f t="shared" si="74"/>
        <v>0.36951792</v>
      </c>
      <c r="AI999" s="146" t="str">
        <f t="shared" si="75"/>
        <v/>
      </c>
      <c r="AJ999" s="313"/>
      <c r="AK999" s="313"/>
      <c r="AL999" s="313"/>
      <c r="AM999" s="313"/>
      <c r="AN999" s="313"/>
      <c r="AO999" s="313"/>
      <c r="AP999" s="313"/>
      <c r="AQ999" s="313"/>
      <c r="AR999" s="313"/>
      <c r="AS999" s="287">
        <v>2.7572553000000002</v>
      </c>
      <c r="AT999" s="175"/>
      <c r="AV999" s="322"/>
      <c r="AW999" s="276"/>
      <c r="AX999" s="276"/>
      <c r="AY999" s="276"/>
      <c r="AZ999" s="276"/>
      <c r="BA999" s="276"/>
      <c r="BB999" s="276"/>
      <c r="BC999" s="276"/>
      <c r="BD999" s="276"/>
      <c r="BE999" s="276"/>
      <c r="BF999" s="401">
        <v>0.36951792</v>
      </c>
      <c r="BG999" s="389"/>
    </row>
    <row r="1000" spans="1:59" ht="15" customHeight="1" thickBot="1" x14ac:dyDescent="0.25">
      <c r="A1000" s="156">
        <v>1001</v>
      </c>
      <c r="B1000" s="155">
        <v>2</v>
      </c>
      <c r="C1000" s="148" t="s">
        <v>259</v>
      </c>
      <c r="D1000" s="141" t="s">
        <v>2243</v>
      </c>
      <c r="H1000" s="148" t="s">
        <v>3040</v>
      </c>
      <c r="J1000" s="165" t="s">
        <v>3027</v>
      </c>
      <c r="M1000" s="453" t="s">
        <v>4282</v>
      </c>
      <c r="AF1000" s="144">
        <f t="shared" si="71"/>
        <v>7.5897613000000002</v>
      </c>
      <c r="AG1000" s="144" t="str">
        <f t="shared" si="78"/>
        <v/>
      </c>
      <c r="AH1000" s="146">
        <f t="shared" si="74"/>
        <v>1.0864594999999999</v>
      </c>
      <c r="AI1000" s="146" t="str">
        <f t="shared" si="75"/>
        <v/>
      </c>
      <c r="AJ1000" s="313"/>
      <c r="AK1000" s="313"/>
      <c r="AL1000" s="313"/>
      <c r="AM1000" s="313"/>
      <c r="AN1000" s="313"/>
      <c r="AO1000" s="313"/>
      <c r="AP1000" s="313"/>
      <c r="AQ1000" s="313"/>
      <c r="AR1000" s="313"/>
      <c r="AS1000" s="287">
        <v>7.5897613000000002</v>
      </c>
      <c r="AV1000" s="322"/>
      <c r="AW1000" s="276"/>
      <c r="AX1000" s="276"/>
      <c r="AY1000" s="276"/>
      <c r="AZ1000" s="276"/>
      <c r="BA1000" s="276"/>
      <c r="BB1000" s="276"/>
      <c r="BC1000" s="276"/>
      <c r="BD1000" s="276"/>
      <c r="BE1000" s="276"/>
      <c r="BF1000" s="401">
        <v>1.0864594999999999</v>
      </c>
    </row>
    <row r="1001" spans="1:59" ht="15" customHeight="1" thickBot="1" x14ac:dyDescent="0.25">
      <c r="A1001" s="156">
        <v>1002</v>
      </c>
      <c r="B1001" s="155">
        <v>2</v>
      </c>
      <c r="C1001" s="148" t="s">
        <v>259</v>
      </c>
      <c r="D1001" s="141" t="s">
        <v>2243</v>
      </c>
      <c r="H1001" s="148" t="s">
        <v>2881</v>
      </c>
      <c r="J1001" s="165" t="s">
        <v>3028</v>
      </c>
      <c r="M1001" s="453" t="s">
        <v>4282</v>
      </c>
      <c r="AF1001" s="144">
        <f t="shared" si="71"/>
        <v>1.3583780000000001</v>
      </c>
      <c r="AG1001" s="144" t="str">
        <f t="shared" si="78"/>
        <v/>
      </c>
      <c r="AH1001" s="146">
        <f t="shared" si="74"/>
        <v>0.20081935000000001</v>
      </c>
      <c r="AI1001" s="146" t="str">
        <f t="shared" si="75"/>
        <v/>
      </c>
      <c r="AJ1001" s="313"/>
      <c r="AK1001" s="313"/>
      <c r="AL1001" s="313"/>
      <c r="AM1001" s="313"/>
      <c r="AN1001" s="313"/>
      <c r="AO1001" s="313"/>
      <c r="AP1001" s="313"/>
      <c r="AQ1001" s="313"/>
      <c r="AR1001" s="313"/>
      <c r="AS1001" s="287">
        <v>1.3583780000000001</v>
      </c>
      <c r="AV1001" s="322"/>
      <c r="AW1001" s="276"/>
      <c r="AX1001" s="276"/>
      <c r="AY1001" s="276"/>
      <c r="AZ1001" s="276"/>
      <c r="BA1001" s="276"/>
      <c r="BB1001" s="276"/>
      <c r="BC1001" s="276"/>
      <c r="BD1001" s="276"/>
      <c r="BE1001" s="276"/>
      <c r="BF1001" s="401">
        <v>0.20081935000000001</v>
      </c>
    </row>
    <row r="1002" spans="1:59" ht="15" customHeight="1" thickBot="1" x14ac:dyDescent="0.25">
      <c r="A1002" s="156">
        <v>1003</v>
      </c>
      <c r="B1002" s="155">
        <v>2</v>
      </c>
      <c r="C1002" s="148" t="s">
        <v>259</v>
      </c>
      <c r="D1002" s="141" t="s">
        <v>2243</v>
      </c>
      <c r="H1002" s="148" t="s">
        <v>3041</v>
      </c>
      <c r="J1002" s="165" t="s">
        <v>3029</v>
      </c>
      <c r="M1002" s="453" t="s">
        <v>4282</v>
      </c>
      <c r="AF1002" s="144">
        <f t="shared" si="71"/>
        <v>2.4911029999999998</v>
      </c>
      <c r="AG1002" s="144" t="str">
        <f t="shared" si="78"/>
        <v/>
      </c>
      <c r="AH1002" s="146">
        <f t="shared" si="74"/>
        <v>0.33164479000000002</v>
      </c>
      <c r="AI1002" s="146" t="str">
        <f t="shared" si="75"/>
        <v/>
      </c>
      <c r="AJ1002" s="313"/>
      <c r="AK1002" s="313"/>
      <c r="AL1002" s="313"/>
      <c r="AM1002" s="313"/>
      <c r="AN1002" s="313"/>
      <c r="AO1002" s="313"/>
      <c r="AP1002" s="313"/>
      <c r="AQ1002" s="313"/>
      <c r="AR1002" s="313"/>
      <c r="AS1002" s="287">
        <v>2.4911029999999998</v>
      </c>
      <c r="AV1002" s="322"/>
      <c r="AW1002" s="276"/>
      <c r="AX1002" s="276"/>
      <c r="AY1002" s="276"/>
      <c r="AZ1002" s="276"/>
      <c r="BA1002" s="276"/>
      <c r="BB1002" s="276"/>
      <c r="BC1002" s="276"/>
      <c r="BD1002" s="276"/>
      <c r="BE1002" s="276"/>
      <c r="BF1002" s="401">
        <v>0.33164479000000002</v>
      </c>
    </row>
    <row r="1003" spans="1:59" ht="15" customHeight="1" thickBot="1" x14ac:dyDescent="0.25">
      <c r="A1003" s="156">
        <v>1004</v>
      </c>
      <c r="B1003" s="155">
        <v>2</v>
      </c>
      <c r="C1003" s="148" t="s">
        <v>259</v>
      </c>
      <c r="D1003" s="141" t="s">
        <v>2348</v>
      </c>
      <c r="H1003" s="148" t="s">
        <v>2900</v>
      </c>
      <c r="J1003" s="165" t="s">
        <v>3030</v>
      </c>
      <c r="M1003" s="453" t="s">
        <v>4282</v>
      </c>
      <c r="AF1003" s="144" t="str">
        <f t="shared" si="71"/>
        <v/>
      </c>
      <c r="AG1003" s="144">
        <f t="shared" si="78"/>
        <v>2.3104819999999999</v>
      </c>
      <c r="AH1003" s="146" t="str">
        <f t="shared" si="74"/>
        <v/>
      </c>
      <c r="AI1003" s="146">
        <f t="shared" si="75"/>
        <v>0.35133746999999999</v>
      </c>
      <c r="AJ1003" s="313"/>
      <c r="AK1003" s="313"/>
      <c r="AL1003" s="314">
        <v>2.3104819999999999</v>
      </c>
      <c r="AM1003" s="313"/>
      <c r="AN1003" s="313"/>
      <c r="AO1003" s="313"/>
      <c r="AP1003" s="313"/>
      <c r="AQ1003" s="313"/>
      <c r="AR1003" s="313"/>
      <c r="AS1003" s="287"/>
      <c r="AT1003" s="173">
        <f>SUM(AJ1003:AR1003)</f>
        <v>2.3104819999999999</v>
      </c>
      <c r="AV1003" s="337"/>
      <c r="AW1003" s="276"/>
      <c r="AX1003" s="276"/>
      <c r="AY1003" s="279">
        <v>0.35133746999999999</v>
      </c>
      <c r="AZ1003" s="276"/>
      <c r="BA1003" s="276"/>
      <c r="BB1003" s="276"/>
      <c r="BC1003" s="276"/>
      <c r="BD1003" s="276"/>
      <c r="BE1003" s="276"/>
      <c r="BF1003" s="401"/>
      <c r="BG1003" s="394">
        <f>SUM(AW1003:BE1003)</f>
        <v>0.35133746999999999</v>
      </c>
    </row>
    <row r="1004" spans="1:59" ht="15" customHeight="1" thickBot="1" x14ac:dyDescent="0.25">
      <c r="A1004" s="156">
        <v>1005</v>
      </c>
      <c r="B1004" s="155">
        <v>2</v>
      </c>
      <c r="C1004" s="148" t="s">
        <v>259</v>
      </c>
      <c r="D1004" s="141" t="s">
        <v>2348</v>
      </c>
      <c r="H1004" s="148" t="s">
        <v>2876</v>
      </c>
      <c r="J1004" s="165" t="s">
        <v>3031</v>
      </c>
      <c r="M1004" s="453" t="s">
        <v>4282</v>
      </c>
      <c r="AF1004" s="144" t="str">
        <f t="shared" si="71"/>
        <v/>
      </c>
      <c r="AG1004" s="144">
        <f t="shared" si="78"/>
        <v>2.2685884999999999</v>
      </c>
      <c r="AH1004" s="146" t="str">
        <f t="shared" si="74"/>
        <v/>
      </c>
      <c r="AI1004" s="146">
        <f t="shared" si="75"/>
        <v>0.35211460999999999</v>
      </c>
      <c r="AJ1004" s="313"/>
      <c r="AK1004" s="313"/>
      <c r="AL1004" s="314">
        <v>2.2685884999999999</v>
      </c>
      <c r="AM1004" s="313"/>
      <c r="AN1004" s="313"/>
      <c r="AO1004" s="313"/>
      <c r="AP1004" s="313"/>
      <c r="AQ1004" s="313"/>
      <c r="AR1004" s="313"/>
      <c r="AS1004" s="287"/>
      <c r="AT1004" s="175">
        <f>SUM(AJ1004:AR1004)</f>
        <v>2.2685884999999999</v>
      </c>
      <c r="AV1004" s="337"/>
      <c r="AW1004" s="276"/>
      <c r="AX1004" s="276"/>
      <c r="AY1004" s="279">
        <v>0.35211460999999999</v>
      </c>
      <c r="AZ1004" s="276"/>
      <c r="BA1004" s="276"/>
      <c r="BB1004" s="276"/>
      <c r="BC1004" s="276"/>
      <c r="BD1004" s="276"/>
      <c r="BE1004" s="276"/>
      <c r="BF1004" s="401"/>
      <c r="BG1004" s="389">
        <f>SUM(AW1004:BE1004)</f>
        <v>0.35211460999999999</v>
      </c>
    </row>
    <row r="1005" spans="1:59" ht="15" customHeight="1" thickBot="1" x14ac:dyDescent="0.25">
      <c r="A1005" s="156">
        <v>1006</v>
      </c>
      <c r="B1005" s="155">
        <v>2</v>
      </c>
      <c r="C1005" s="148" t="s">
        <v>259</v>
      </c>
      <c r="D1005" s="141" t="s">
        <v>2348</v>
      </c>
      <c r="H1005" s="148" t="s">
        <v>2901</v>
      </c>
      <c r="J1005" s="165" t="s">
        <v>3032</v>
      </c>
      <c r="M1005" s="453" t="s">
        <v>4282</v>
      </c>
      <c r="AF1005" s="144" t="str">
        <f t="shared" ref="AF1005:AF1068" si="79">IF(AS1005&lt;&gt;0,AS1005,"")</f>
        <v/>
      </c>
      <c r="AG1005" s="144">
        <f t="shared" si="78"/>
        <v>2.5439123000000001</v>
      </c>
      <c r="AH1005" s="146" t="str">
        <f t="shared" si="74"/>
        <v/>
      </c>
      <c r="AI1005" s="146">
        <f t="shared" si="75"/>
        <v>0.37024625999999999</v>
      </c>
      <c r="AJ1005" s="313"/>
      <c r="AK1005" s="313"/>
      <c r="AL1005" s="314">
        <v>2.5439123000000001</v>
      </c>
      <c r="AM1005" s="313"/>
      <c r="AN1005" s="313"/>
      <c r="AO1005" s="313"/>
      <c r="AP1005" s="313"/>
      <c r="AQ1005" s="313"/>
      <c r="AR1005" s="313"/>
      <c r="AS1005" s="287"/>
      <c r="AT1005" s="175">
        <f>SUM(AJ1005:AR1005)</f>
        <v>2.5439123000000001</v>
      </c>
      <c r="AV1005" s="337"/>
      <c r="AW1005" s="276"/>
      <c r="AX1005" s="276"/>
      <c r="AY1005" s="279">
        <v>0.37024625999999999</v>
      </c>
      <c r="AZ1005" s="276"/>
      <c r="BA1005" s="276"/>
      <c r="BB1005" s="276"/>
      <c r="BC1005" s="276"/>
      <c r="BD1005" s="276"/>
      <c r="BE1005" s="276"/>
      <c r="BF1005" s="401"/>
      <c r="BG1005" s="389">
        <f>SUM(AW1005:BE1005)</f>
        <v>0.37024625999999999</v>
      </c>
    </row>
    <row r="1006" spans="1:59" ht="15" customHeight="1" thickBot="1" x14ac:dyDescent="0.25">
      <c r="A1006" s="156">
        <v>1007</v>
      </c>
      <c r="B1006" s="155">
        <v>2</v>
      </c>
      <c r="C1006" s="148" t="s">
        <v>1110</v>
      </c>
      <c r="D1006" s="141" t="s">
        <v>2157</v>
      </c>
      <c r="H1006" s="151" t="s">
        <v>2870</v>
      </c>
      <c r="I1006" s="164" t="s">
        <v>2868</v>
      </c>
      <c r="J1006" s="161" t="s">
        <v>2866</v>
      </c>
      <c r="K1006" s="161" t="s">
        <v>2867</v>
      </c>
      <c r="L1006" s="161" t="s">
        <v>83</v>
      </c>
      <c r="M1006" s="453" t="s">
        <v>4280</v>
      </c>
      <c r="AF1006" s="144" t="str">
        <f t="shared" si="79"/>
        <v/>
      </c>
      <c r="AG1006" s="144" t="str">
        <f t="shared" si="78"/>
        <v/>
      </c>
      <c r="AH1006" s="146">
        <f t="shared" si="74"/>
        <v>0.87</v>
      </c>
      <c r="AI1006" s="146" t="str">
        <f t="shared" si="75"/>
        <v/>
      </c>
      <c r="AJ1006" s="313"/>
      <c r="AK1006" s="313"/>
      <c r="AL1006" s="313"/>
      <c r="AM1006" s="313"/>
      <c r="AN1006" s="313"/>
      <c r="AO1006" s="313"/>
      <c r="AP1006" s="313"/>
      <c r="AQ1006" s="313"/>
      <c r="AR1006" s="313"/>
      <c r="AS1006" s="287"/>
      <c r="AT1006" s="175"/>
      <c r="AV1006" s="322"/>
      <c r="AW1006" s="276"/>
      <c r="AX1006" s="276"/>
      <c r="AY1006" s="276"/>
      <c r="AZ1006" s="276"/>
      <c r="BA1006" s="276"/>
      <c r="BB1006" s="276"/>
      <c r="BC1006" s="276"/>
      <c r="BD1006" s="276"/>
      <c r="BE1006" s="276"/>
      <c r="BF1006" s="401">
        <v>0.87</v>
      </c>
      <c r="BG1006" s="389"/>
    </row>
    <row r="1007" spans="1:59" ht="15" customHeight="1" thickBot="1" x14ac:dyDescent="0.25">
      <c r="A1007" s="156">
        <v>1008</v>
      </c>
      <c r="B1007" s="155">
        <v>2</v>
      </c>
      <c r="C1007" s="148" t="s">
        <v>236</v>
      </c>
      <c r="D1007" s="141" t="s">
        <v>1747</v>
      </c>
      <c r="H1007" s="151" t="s">
        <v>2869</v>
      </c>
      <c r="I1007" s="164" t="s">
        <v>2868</v>
      </c>
      <c r="J1007" s="161" t="s">
        <v>2866</v>
      </c>
      <c r="K1007" s="161" t="s">
        <v>2867</v>
      </c>
      <c r="L1007" s="161" t="s">
        <v>83</v>
      </c>
      <c r="M1007" s="453" t="s">
        <v>4280</v>
      </c>
      <c r="AF1007" s="144" t="str">
        <f t="shared" si="79"/>
        <v/>
      </c>
      <c r="AG1007" s="144" t="str">
        <f t="shared" si="78"/>
        <v/>
      </c>
      <c r="AH1007" s="146">
        <f t="shared" si="74"/>
        <v>0.43</v>
      </c>
      <c r="AI1007" s="146" t="str">
        <f t="shared" si="75"/>
        <v/>
      </c>
      <c r="AJ1007" s="313"/>
      <c r="AK1007" s="313"/>
      <c r="AL1007" s="313"/>
      <c r="AM1007" s="313"/>
      <c r="AN1007" s="313"/>
      <c r="AO1007" s="313"/>
      <c r="AP1007" s="313"/>
      <c r="AQ1007" s="313"/>
      <c r="AR1007" s="313"/>
      <c r="AS1007" s="287"/>
      <c r="AT1007" s="175"/>
      <c r="AV1007" s="322"/>
      <c r="AW1007" s="276"/>
      <c r="AX1007" s="276"/>
      <c r="AY1007" s="276"/>
      <c r="AZ1007" s="276"/>
      <c r="BA1007" s="276"/>
      <c r="BB1007" s="276"/>
      <c r="BC1007" s="276"/>
      <c r="BD1007" s="276"/>
      <c r="BE1007" s="276"/>
      <c r="BF1007" s="401">
        <v>0.43</v>
      </c>
      <c r="BG1007" s="389"/>
    </row>
    <row r="1008" spans="1:59" ht="15" customHeight="1" thickBot="1" x14ac:dyDescent="0.25">
      <c r="A1008" s="156">
        <v>1009</v>
      </c>
      <c r="B1008" s="155">
        <v>2</v>
      </c>
      <c r="C1008" s="148" t="s">
        <v>236</v>
      </c>
      <c r="D1008" s="151" t="s">
        <v>2115</v>
      </c>
      <c r="H1008" s="151" t="s">
        <v>248</v>
      </c>
      <c r="J1008" s="165" t="s">
        <v>3042</v>
      </c>
      <c r="M1008" s="453" t="s">
        <v>4281</v>
      </c>
      <c r="AF1008" s="144">
        <f t="shared" si="79"/>
        <v>1.3288105999999997</v>
      </c>
      <c r="AG1008" s="144" t="str">
        <f t="shared" si="78"/>
        <v/>
      </c>
      <c r="AH1008" s="146">
        <f t="shared" si="74"/>
        <v>0.14498</v>
      </c>
      <c r="AI1008" s="146" t="str">
        <f t="shared" si="75"/>
        <v/>
      </c>
      <c r="AJ1008" s="313"/>
      <c r="AK1008" s="313"/>
      <c r="AL1008" s="313"/>
      <c r="AM1008" s="313"/>
      <c r="AN1008" s="313"/>
      <c r="AO1008" s="313"/>
      <c r="AP1008" s="313"/>
      <c r="AQ1008" s="313"/>
      <c r="AR1008" s="313"/>
      <c r="AS1008" s="287">
        <f>1.2183+0.10997+0.0005406</f>
        <v>1.3288105999999997</v>
      </c>
      <c r="AT1008" s="175"/>
      <c r="AV1008" s="322"/>
      <c r="AW1008" s="276"/>
      <c r="AX1008" s="276"/>
      <c r="AY1008" s="276"/>
      <c r="AZ1008" s="276"/>
      <c r="BA1008" s="276"/>
      <c r="BB1008" s="276"/>
      <c r="BC1008" s="276"/>
      <c r="BD1008" s="276"/>
      <c r="BE1008" s="276"/>
      <c r="BF1008" s="401">
        <v>0.14498</v>
      </c>
      <c r="BG1008" s="389"/>
    </row>
    <row r="1009" spans="1:61" ht="15" customHeight="1" thickBot="1" x14ac:dyDescent="0.25">
      <c r="A1009" s="156">
        <v>1010</v>
      </c>
      <c r="B1009" s="155">
        <v>2</v>
      </c>
      <c r="C1009" s="148" t="s">
        <v>1110</v>
      </c>
      <c r="D1009" s="148" t="s">
        <v>3051</v>
      </c>
      <c r="H1009" s="151" t="s">
        <v>3075</v>
      </c>
      <c r="J1009" s="165" t="s">
        <v>3043</v>
      </c>
      <c r="M1009" s="453" t="s">
        <v>4281</v>
      </c>
      <c r="AF1009" s="144">
        <f t="shared" si="79"/>
        <v>27.198861299999997</v>
      </c>
      <c r="AG1009" s="144" t="str">
        <f t="shared" si="78"/>
        <v/>
      </c>
      <c r="AH1009" s="146">
        <f t="shared" si="74"/>
        <v>11.272119</v>
      </c>
      <c r="AI1009" s="146" t="str">
        <f t="shared" si="75"/>
        <v/>
      </c>
      <c r="AJ1009" s="313"/>
      <c r="AK1009" s="313"/>
      <c r="AL1009" s="313"/>
      <c r="AM1009" s="313"/>
      <c r="AN1009" s="313"/>
      <c r="AO1009" s="313"/>
      <c r="AP1009" s="313"/>
      <c r="AQ1009" s="313"/>
      <c r="AR1009" s="313"/>
      <c r="AS1009" s="287">
        <v>27.198861299999997</v>
      </c>
      <c r="AT1009" s="175"/>
      <c r="AV1009" s="322"/>
      <c r="AW1009" s="276"/>
      <c r="AX1009" s="276"/>
      <c r="AY1009" s="276"/>
      <c r="AZ1009" s="276"/>
      <c r="BA1009" s="276"/>
      <c r="BB1009" s="276"/>
      <c r="BC1009" s="276"/>
      <c r="BD1009" s="276"/>
      <c r="BE1009" s="276"/>
      <c r="BF1009" s="401">
        <v>11.272119</v>
      </c>
      <c r="BG1009" s="389"/>
    </row>
    <row r="1010" spans="1:61" ht="15" customHeight="1" thickBot="1" x14ac:dyDescent="0.25">
      <c r="A1010" s="156">
        <v>1011</v>
      </c>
      <c r="B1010" s="155">
        <v>2</v>
      </c>
      <c r="C1010" s="148" t="s">
        <v>1110</v>
      </c>
      <c r="D1010" s="148" t="s">
        <v>3051</v>
      </c>
      <c r="H1010" s="151" t="s">
        <v>3076</v>
      </c>
      <c r="J1010" s="165" t="s">
        <v>3044</v>
      </c>
      <c r="M1010" s="453" t="s">
        <v>4281</v>
      </c>
      <c r="AF1010" s="144">
        <f t="shared" si="79"/>
        <v>47.445412300000001</v>
      </c>
      <c r="AG1010" s="144" t="str">
        <f t="shared" si="78"/>
        <v/>
      </c>
      <c r="AH1010" s="146">
        <f t="shared" si="74"/>
        <v>16.469787</v>
      </c>
      <c r="AI1010" s="146" t="str">
        <f t="shared" si="75"/>
        <v/>
      </c>
      <c r="AJ1010" s="313"/>
      <c r="AK1010" s="313"/>
      <c r="AL1010" s="313"/>
      <c r="AM1010" s="313"/>
      <c r="AN1010" s="313"/>
      <c r="AO1010" s="313"/>
      <c r="AP1010" s="313"/>
      <c r="AQ1010" s="313"/>
      <c r="AR1010" s="313"/>
      <c r="AS1010" s="287">
        <v>47.445412300000001</v>
      </c>
      <c r="AT1010" s="175"/>
      <c r="AV1010" s="322"/>
      <c r="AW1010" s="276"/>
      <c r="AX1010" s="276"/>
      <c r="AY1010" s="276"/>
      <c r="AZ1010" s="276"/>
      <c r="BA1010" s="276"/>
      <c r="BB1010" s="276"/>
      <c r="BC1010" s="276"/>
      <c r="BD1010" s="276"/>
      <c r="BE1010" s="276"/>
      <c r="BF1010" s="401">
        <v>16.469787</v>
      </c>
      <c r="BG1010" s="389"/>
    </row>
    <row r="1011" spans="1:61" ht="15" customHeight="1" thickBot="1" x14ac:dyDescent="0.25">
      <c r="A1011" s="156">
        <v>1012</v>
      </c>
      <c r="B1011" s="155">
        <v>2</v>
      </c>
      <c r="C1011" s="148" t="s">
        <v>1110</v>
      </c>
      <c r="D1011" s="148" t="s">
        <v>3051</v>
      </c>
      <c r="H1011" s="151" t="s">
        <v>2890</v>
      </c>
      <c r="J1011" s="165" t="s">
        <v>3045</v>
      </c>
      <c r="M1011" s="453" t="s">
        <v>4281</v>
      </c>
      <c r="AF1011" s="144">
        <f t="shared" si="79"/>
        <v>246.3932897</v>
      </c>
      <c r="AG1011" s="144" t="str">
        <f t="shared" si="78"/>
        <v/>
      </c>
      <c r="AH1011" s="146">
        <f t="shared" si="74"/>
        <v>39.491154999999999</v>
      </c>
      <c r="AI1011" s="146" t="str">
        <f t="shared" si="75"/>
        <v/>
      </c>
      <c r="AJ1011" s="313"/>
      <c r="AK1011" s="313"/>
      <c r="AL1011" s="313"/>
      <c r="AM1011" s="313"/>
      <c r="AN1011" s="313"/>
      <c r="AO1011" s="313"/>
      <c r="AP1011" s="313"/>
      <c r="AQ1011" s="313"/>
      <c r="AR1011" s="313"/>
      <c r="AS1011" s="287">
        <v>246.3932897</v>
      </c>
      <c r="AT1011" s="175"/>
      <c r="AV1011" s="322"/>
      <c r="AW1011" s="276"/>
      <c r="AX1011" s="276"/>
      <c r="AY1011" s="276"/>
      <c r="AZ1011" s="276"/>
      <c r="BA1011" s="276"/>
      <c r="BB1011" s="276"/>
      <c r="BC1011" s="276"/>
      <c r="BD1011" s="276"/>
      <c r="BE1011" s="276"/>
      <c r="BF1011" s="401">
        <v>39.491154999999999</v>
      </c>
      <c r="BG1011" s="389"/>
    </row>
    <row r="1012" spans="1:61" ht="15" customHeight="1" thickBot="1" x14ac:dyDescent="0.25">
      <c r="A1012" s="156">
        <v>1013</v>
      </c>
      <c r="B1012" s="155">
        <v>2</v>
      </c>
      <c r="C1012" s="148" t="s">
        <v>1110</v>
      </c>
      <c r="D1012" s="148" t="s">
        <v>3051</v>
      </c>
      <c r="H1012" s="151" t="s">
        <v>2870</v>
      </c>
      <c r="J1012" s="165" t="s">
        <v>3046</v>
      </c>
      <c r="M1012" s="453" t="s">
        <v>4281</v>
      </c>
      <c r="AF1012" s="144">
        <f t="shared" si="79"/>
        <v>23.449981136000002</v>
      </c>
      <c r="AG1012" s="144" t="str">
        <f t="shared" si="78"/>
        <v/>
      </c>
      <c r="AH1012" s="146">
        <f t="shared" si="74"/>
        <v>11.33441</v>
      </c>
      <c r="AI1012" s="146" t="str">
        <f t="shared" si="75"/>
        <v/>
      </c>
      <c r="AJ1012" s="313"/>
      <c r="AK1012" s="313"/>
      <c r="AL1012" s="313"/>
      <c r="AM1012" s="313"/>
      <c r="AN1012" s="313"/>
      <c r="AO1012" s="313"/>
      <c r="AP1012" s="313"/>
      <c r="AQ1012" s="313"/>
      <c r="AR1012" s="313"/>
      <c r="AS1012" s="287">
        <v>23.449981136000002</v>
      </c>
      <c r="AT1012" s="175"/>
      <c r="AV1012" s="322"/>
      <c r="AW1012" s="276"/>
      <c r="AX1012" s="276"/>
      <c r="AY1012" s="276"/>
      <c r="AZ1012" s="276"/>
      <c r="BA1012" s="276"/>
      <c r="BB1012" s="276"/>
      <c r="BC1012" s="276"/>
      <c r="BD1012" s="276"/>
      <c r="BE1012" s="276"/>
      <c r="BF1012" s="401">
        <v>11.33441</v>
      </c>
      <c r="BG1012" s="389"/>
    </row>
    <row r="1013" spans="1:61" ht="15" customHeight="1" thickBot="1" x14ac:dyDescent="0.25">
      <c r="A1013" s="156">
        <v>1014</v>
      </c>
      <c r="B1013" s="155">
        <v>2</v>
      </c>
      <c r="C1013" s="148" t="s">
        <v>1110</v>
      </c>
      <c r="D1013" s="141" t="s">
        <v>1916</v>
      </c>
      <c r="H1013" s="151" t="s">
        <v>3077</v>
      </c>
      <c r="J1013" s="256" t="s">
        <v>3047</v>
      </c>
      <c r="M1013" s="453" t="s">
        <v>4287</v>
      </c>
      <c r="AF1013" s="144" t="str">
        <f t="shared" si="79"/>
        <v/>
      </c>
      <c r="AG1013" s="144">
        <f t="shared" si="78"/>
        <v>3.9887606999999998</v>
      </c>
      <c r="AH1013" s="146" t="str">
        <f t="shared" si="74"/>
        <v/>
      </c>
      <c r="AI1013" s="146">
        <f t="shared" si="75"/>
        <v>50.440724000000003</v>
      </c>
      <c r="AJ1013" s="313"/>
      <c r="AK1013" s="313"/>
      <c r="AL1013" s="315">
        <v>3.9887606999999998</v>
      </c>
      <c r="AM1013" s="313"/>
      <c r="AN1013" s="313"/>
      <c r="AO1013" s="313"/>
      <c r="AP1013" s="313"/>
      <c r="AQ1013" s="313"/>
      <c r="AR1013" s="313"/>
      <c r="AS1013" s="287"/>
      <c r="AT1013" s="175">
        <f>SUM(AJ1013:AR1013)</f>
        <v>3.9887606999999998</v>
      </c>
      <c r="AV1013" s="338"/>
      <c r="AW1013" s="276"/>
      <c r="AX1013" s="276"/>
      <c r="AY1013" s="283">
        <v>50.440724000000003</v>
      </c>
      <c r="AZ1013" s="276"/>
      <c r="BA1013" s="276"/>
      <c r="BB1013" s="276"/>
      <c r="BC1013" s="276"/>
      <c r="BD1013" s="276"/>
      <c r="BE1013" s="276"/>
      <c r="BF1013" s="401"/>
      <c r="BG1013" s="389">
        <f>SUM(AW1013:BE1013)</f>
        <v>50.440724000000003</v>
      </c>
    </row>
    <row r="1014" spans="1:61" ht="15" customHeight="1" thickBot="1" x14ac:dyDescent="0.25">
      <c r="A1014" s="156">
        <v>1015</v>
      </c>
      <c r="B1014" s="155">
        <v>2</v>
      </c>
      <c r="C1014" s="148" t="s">
        <v>1110</v>
      </c>
      <c r="D1014" s="141" t="s">
        <v>1916</v>
      </c>
      <c r="H1014" s="151" t="s">
        <v>3078</v>
      </c>
      <c r="J1014" s="256" t="s">
        <v>3048</v>
      </c>
      <c r="M1014" s="453" t="s">
        <v>4287</v>
      </c>
      <c r="AF1014" s="144" t="str">
        <f t="shared" si="79"/>
        <v/>
      </c>
      <c r="AG1014" s="144">
        <f t="shared" si="78"/>
        <v>3.6062574000000001</v>
      </c>
      <c r="AH1014" s="146" t="str">
        <f t="shared" si="74"/>
        <v/>
      </c>
      <c r="AI1014" s="146">
        <f t="shared" si="75"/>
        <v>25.23237</v>
      </c>
      <c r="AJ1014" s="313"/>
      <c r="AK1014" s="313"/>
      <c r="AL1014" s="315">
        <v>3.6062574000000001</v>
      </c>
      <c r="AM1014" s="313"/>
      <c r="AN1014" s="313"/>
      <c r="AO1014" s="313"/>
      <c r="AP1014" s="313"/>
      <c r="AQ1014" s="313"/>
      <c r="AR1014" s="313"/>
      <c r="AS1014" s="287"/>
      <c r="AT1014" s="175">
        <f>SUM(AJ1014:AR1014)</f>
        <v>3.6062574000000001</v>
      </c>
      <c r="AV1014" s="340"/>
      <c r="AW1014" s="276"/>
      <c r="AX1014" s="276"/>
      <c r="AY1014" s="283">
        <v>25.23237</v>
      </c>
      <c r="AZ1014" s="276"/>
      <c r="BA1014" s="276"/>
      <c r="BB1014" s="276"/>
      <c r="BC1014" s="276"/>
      <c r="BD1014" s="276"/>
      <c r="BE1014" s="276"/>
      <c r="BF1014" s="401"/>
      <c r="BG1014" s="389">
        <f>SUM(AW1014:BE1014)</f>
        <v>25.23237</v>
      </c>
    </row>
    <row r="1015" spans="1:61" ht="15" customHeight="1" thickBot="1" x14ac:dyDescent="0.25">
      <c r="A1015" s="156">
        <v>1016</v>
      </c>
      <c r="B1015" s="155">
        <v>2</v>
      </c>
      <c r="C1015" s="148" t="s">
        <v>1110</v>
      </c>
      <c r="D1015" s="141" t="s">
        <v>1916</v>
      </c>
      <c r="H1015" s="151" t="s">
        <v>3079</v>
      </c>
      <c r="J1015" s="256" t="s">
        <v>3049</v>
      </c>
      <c r="M1015" s="453" t="s">
        <v>4287</v>
      </c>
      <c r="AF1015" s="144" t="str">
        <f t="shared" si="79"/>
        <v/>
      </c>
      <c r="AG1015" s="144">
        <f t="shared" si="78"/>
        <v>3.6410518000000001</v>
      </c>
      <c r="AH1015" s="146" t="str">
        <f t="shared" si="74"/>
        <v/>
      </c>
      <c r="AI1015" s="146">
        <f t="shared" si="75"/>
        <v>25.268179</v>
      </c>
      <c r="AJ1015" s="313"/>
      <c r="AK1015" s="313"/>
      <c r="AL1015" s="315">
        <v>3.6410518000000001</v>
      </c>
      <c r="AM1015" s="313"/>
      <c r="AN1015" s="313"/>
      <c r="AO1015" s="313"/>
      <c r="AP1015" s="313"/>
      <c r="AQ1015" s="313"/>
      <c r="AR1015" s="313"/>
      <c r="AS1015" s="287"/>
      <c r="AT1015" s="173">
        <f>SUM(AJ1015:AR1015)</f>
        <v>3.6410518000000001</v>
      </c>
      <c r="AV1015" s="340"/>
      <c r="AW1015" s="276"/>
      <c r="AX1015" s="276"/>
      <c r="AY1015" s="283">
        <v>25.268179</v>
      </c>
      <c r="AZ1015" s="276"/>
      <c r="BA1015" s="276"/>
      <c r="BB1015" s="276"/>
      <c r="BC1015" s="276"/>
      <c r="BD1015" s="276"/>
      <c r="BE1015" s="276"/>
      <c r="BF1015" s="401"/>
      <c r="BG1015" s="394">
        <f>SUM(AW1015:BE1015)</f>
        <v>25.268179</v>
      </c>
    </row>
    <row r="1016" spans="1:61" ht="15" customHeight="1" thickBot="1" x14ac:dyDescent="0.25">
      <c r="A1016" s="156">
        <v>1017</v>
      </c>
      <c r="B1016" s="155">
        <v>2</v>
      </c>
      <c r="C1016" s="148" t="s">
        <v>259</v>
      </c>
      <c r="D1016" s="151" t="s">
        <v>3053</v>
      </c>
      <c r="H1016" s="151" t="s">
        <v>351</v>
      </c>
      <c r="J1016" s="165" t="s">
        <v>3054</v>
      </c>
      <c r="M1016" s="453" t="s">
        <v>4282</v>
      </c>
      <c r="AF1016" s="144" t="str">
        <f t="shared" si="79"/>
        <v/>
      </c>
      <c r="AG1016" s="144">
        <f t="shared" si="78"/>
        <v>8.8000000000000007</v>
      </c>
      <c r="AH1016" s="146" t="str">
        <f t="shared" si="74"/>
        <v/>
      </c>
      <c r="AI1016" s="146">
        <f t="shared" si="75"/>
        <v>0.76</v>
      </c>
      <c r="AJ1016" s="313"/>
      <c r="AK1016" s="313"/>
      <c r="AL1016" s="313">
        <v>8.8000000000000007</v>
      </c>
      <c r="AM1016" s="313"/>
      <c r="AN1016" s="313"/>
      <c r="AO1016" s="313"/>
      <c r="AP1016" s="313"/>
      <c r="AQ1016" s="313"/>
      <c r="AR1016" s="313"/>
      <c r="AS1016" s="287"/>
      <c r="AT1016" s="173">
        <f>SUM(AJ1016:AR1016)</f>
        <v>8.8000000000000007</v>
      </c>
      <c r="AV1016" s="308"/>
      <c r="AW1016" s="276"/>
      <c r="AX1016" s="276"/>
      <c r="AY1016" s="276">
        <v>0.76</v>
      </c>
      <c r="AZ1016" s="276"/>
      <c r="BA1016" s="276"/>
      <c r="BB1016" s="276"/>
      <c r="BC1016" s="276"/>
      <c r="BD1016" s="276"/>
      <c r="BE1016" s="276"/>
      <c r="BF1016" s="401"/>
      <c r="BG1016" s="394">
        <f>SUM(AW1016:BE1016)</f>
        <v>0.76</v>
      </c>
    </row>
    <row r="1017" spans="1:61" ht="15" customHeight="1" thickBot="1" x14ac:dyDescent="0.25">
      <c r="A1017" s="156">
        <v>1018</v>
      </c>
      <c r="B1017" s="155">
        <v>1</v>
      </c>
      <c r="C1017" s="148" t="s">
        <v>596</v>
      </c>
      <c r="D1017" s="148" t="s">
        <v>2760</v>
      </c>
      <c r="E1017" s="148" t="s">
        <v>13</v>
      </c>
      <c r="F1017" s="148" t="s">
        <v>1017</v>
      </c>
      <c r="G1017" s="148" t="s">
        <v>292</v>
      </c>
      <c r="H1017" s="148" t="s">
        <v>708</v>
      </c>
      <c r="I1017" s="161">
        <v>2009</v>
      </c>
      <c r="J1017" s="161" t="s">
        <v>1013</v>
      </c>
      <c r="K1017" s="161"/>
      <c r="L1017" s="161" t="s">
        <v>19</v>
      </c>
      <c r="M1017" s="453" t="s">
        <v>4184</v>
      </c>
      <c r="N1017" s="186" t="s">
        <v>20</v>
      </c>
      <c r="O1017" s="186" t="s">
        <v>15</v>
      </c>
      <c r="P1017" s="186" t="s">
        <v>20</v>
      </c>
      <c r="Q1017" s="186" t="s">
        <v>20</v>
      </c>
      <c r="R1017" s="186" t="s">
        <v>20</v>
      </c>
      <c r="S1017" s="186" t="s">
        <v>20</v>
      </c>
      <c r="T1017" s="186" t="s">
        <v>15</v>
      </c>
      <c r="U1017" s="186" t="s">
        <v>15</v>
      </c>
      <c r="V1017" s="186" t="s">
        <v>15</v>
      </c>
      <c r="W1017" s="186" t="s">
        <v>20</v>
      </c>
      <c r="X1017" s="186" t="s">
        <v>15</v>
      </c>
      <c r="Y1017" s="186" t="s">
        <v>15</v>
      </c>
      <c r="Z1017" s="186"/>
      <c r="AA1017" s="186" t="s">
        <v>1014</v>
      </c>
      <c r="AB1017" s="186" t="s">
        <v>15</v>
      </c>
      <c r="AC1017" s="186" t="s">
        <v>15</v>
      </c>
      <c r="AD1017" s="268" t="s">
        <v>1015</v>
      </c>
      <c r="AE1017" s="268" t="s">
        <v>1016</v>
      </c>
      <c r="AF1017" s="144" t="str">
        <f t="shared" si="79"/>
        <v/>
      </c>
      <c r="AG1017" s="144" t="str">
        <f t="shared" si="78"/>
        <v/>
      </c>
      <c r="AH1017" s="146" t="str">
        <f t="shared" si="74"/>
        <v/>
      </c>
      <c r="AI1017" s="146" t="str">
        <f t="shared" si="75"/>
        <v/>
      </c>
      <c r="AJ1017" s="313"/>
      <c r="AK1017" s="313"/>
      <c r="AL1017" s="313"/>
      <c r="AM1017" s="313"/>
      <c r="AN1017" s="313"/>
      <c r="AO1017" s="313"/>
      <c r="AP1017" s="313"/>
      <c r="AQ1017" s="313"/>
      <c r="AR1017" s="313"/>
      <c r="AS1017" s="176"/>
      <c r="AT1017" s="177">
        <f>2.14*10</f>
        <v>21.400000000000002</v>
      </c>
      <c r="AU1017" s="310"/>
      <c r="AV1017" s="322"/>
      <c r="AW1017" s="276"/>
      <c r="AX1017" s="276"/>
      <c r="AY1017" s="276"/>
      <c r="AZ1017" s="276"/>
      <c r="BA1017" s="276"/>
      <c r="BB1017" s="276"/>
      <c r="BC1017" s="276"/>
      <c r="BD1017" s="276"/>
      <c r="BE1017" s="276"/>
      <c r="BF1017" s="400"/>
      <c r="BG1017" s="403">
        <f>121*10/1000</f>
        <v>1.21</v>
      </c>
      <c r="BH1017" s="278"/>
      <c r="BI1017" s="365" t="s">
        <v>47</v>
      </c>
    </row>
    <row r="1018" spans="1:61" ht="15" customHeight="1" thickBot="1" x14ac:dyDescent="0.25">
      <c r="A1018" s="156">
        <v>1019</v>
      </c>
      <c r="B1018" s="155">
        <v>1</v>
      </c>
      <c r="C1018" s="148" t="s">
        <v>596</v>
      </c>
      <c r="D1018" s="148" t="s">
        <v>2760</v>
      </c>
      <c r="E1018" s="148" t="s">
        <v>13</v>
      </c>
      <c r="F1018" s="148" t="s">
        <v>1018</v>
      </c>
      <c r="G1018" s="148" t="s">
        <v>292</v>
      </c>
      <c r="H1018" s="148" t="s">
        <v>708</v>
      </c>
      <c r="I1018" s="161">
        <v>2009</v>
      </c>
      <c r="J1018" s="161" t="s">
        <v>1013</v>
      </c>
      <c r="K1018" s="161"/>
      <c r="L1018" s="161" t="s">
        <v>19</v>
      </c>
      <c r="M1018" s="453" t="s">
        <v>4184</v>
      </c>
      <c r="N1018" s="186" t="s">
        <v>20</v>
      </c>
      <c r="O1018" s="186" t="s">
        <v>15</v>
      </c>
      <c r="P1018" s="186" t="s">
        <v>20</v>
      </c>
      <c r="Q1018" s="186" t="s">
        <v>20</v>
      </c>
      <c r="R1018" s="186" t="s">
        <v>20</v>
      </c>
      <c r="S1018" s="186" t="s">
        <v>20</v>
      </c>
      <c r="T1018" s="186" t="s">
        <v>15</v>
      </c>
      <c r="U1018" s="186" t="s">
        <v>15</v>
      </c>
      <c r="V1018" s="186" t="s">
        <v>15</v>
      </c>
      <c r="W1018" s="186" t="s">
        <v>20</v>
      </c>
      <c r="X1018" s="186" t="s">
        <v>15</v>
      </c>
      <c r="Y1018" s="186" t="s">
        <v>15</v>
      </c>
      <c r="Z1018" s="186"/>
      <c r="AA1018" s="186" t="s">
        <v>1014</v>
      </c>
      <c r="AB1018" s="186" t="s">
        <v>15</v>
      </c>
      <c r="AC1018" s="186" t="s">
        <v>15</v>
      </c>
      <c r="AD1018" s="268" t="s">
        <v>1015</v>
      </c>
      <c r="AE1018" s="268" t="s">
        <v>1016</v>
      </c>
      <c r="AF1018" s="144" t="str">
        <f t="shared" si="79"/>
        <v/>
      </c>
      <c r="AG1018" s="144" t="str">
        <f t="shared" si="78"/>
        <v/>
      </c>
      <c r="AH1018" s="146" t="str">
        <f t="shared" si="74"/>
        <v/>
      </c>
      <c r="AI1018" s="146" t="str">
        <f t="shared" si="75"/>
        <v/>
      </c>
      <c r="AJ1018" s="313"/>
      <c r="AK1018" s="313"/>
      <c r="AL1018" s="313"/>
      <c r="AM1018" s="313"/>
      <c r="AN1018" s="313"/>
      <c r="AO1018" s="313"/>
      <c r="AP1018" s="313"/>
      <c r="AQ1018" s="313"/>
      <c r="AR1018" s="313"/>
      <c r="AS1018" s="176"/>
      <c r="AT1018" s="169">
        <f>1.91*10</f>
        <v>19.099999999999998</v>
      </c>
      <c r="AU1018" s="310"/>
      <c r="AV1018" s="322"/>
      <c r="AW1018" s="276"/>
      <c r="AX1018" s="276"/>
      <c r="AY1018" s="276"/>
      <c r="AZ1018" s="276"/>
      <c r="BA1018" s="276"/>
      <c r="BB1018" s="276"/>
      <c r="BC1018" s="276"/>
      <c r="BD1018" s="276"/>
      <c r="BE1018" s="276"/>
      <c r="BF1018" s="400"/>
      <c r="BG1018" s="382">
        <f>110*10/1000</f>
        <v>1.1000000000000001</v>
      </c>
      <c r="BH1018" s="278"/>
      <c r="BI1018" s="365" t="s">
        <v>47</v>
      </c>
    </row>
    <row r="1019" spans="1:61" ht="15.75" customHeight="1" thickBot="1" x14ac:dyDescent="0.25">
      <c r="A1019" s="156">
        <v>1020</v>
      </c>
      <c r="B1019" s="155">
        <v>1</v>
      </c>
      <c r="C1019" s="148" t="s">
        <v>596</v>
      </c>
      <c r="D1019" s="148" t="s">
        <v>2760</v>
      </c>
      <c r="E1019" s="148" t="s">
        <v>13</v>
      </c>
      <c r="F1019" s="148" t="s">
        <v>1019</v>
      </c>
      <c r="G1019" s="148" t="s">
        <v>292</v>
      </c>
      <c r="H1019" s="148" t="s">
        <v>708</v>
      </c>
      <c r="I1019" s="161">
        <v>2009</v>
      </c>
      <c r="J1019" s="161" t="s">
        <v>1020</v>
      </c>
      <c r="K1019" s="161" t="s">
        <v>1021</v>
      </c>
      <c r="L1019" s="161" t="s">
        <v>1022</v>
      </c>
      <c r="M1019" s="453" t="s">
        <v>4185</v>
      </c>
      <c r="N1019" s="186" t="s">
        <v>20</v>
      </c>
      <c r="O1019" s="186" t="s">
        <v>15</v>
      </c>
      <c r="P1019" s="186" t="s">
        <v>20</v>
      </c>
      <c r="Q1019" s="186" t="s">
        <v>20</v>
      </c>
      <c r="R1019" s="186" t="s">
        <v>20</v>
      </c>
      <c r="S1019" s="186" t="s">
        <v>20</v>
      </c>
      <c r="T1019" s="186" t="s">
        <v>15</v>
      </c>
      <c r="U1019" s="186" t="s">
        <v>20</v>
      </c>
      <c r="V1019" s="186" t="s">
        <v>15</v>
      </c>
      <c r="W1019" s="186" t="s">
        <v>20</v>
      </c>
      <c r="X1019" s="186" t="s">
        <v>15</v>
      </c>
      <c r="Y1019" s="186" t="s">
        <v>15</v>
      </c>
      <c r="Z1019" s="186"/>
      <c r="AA1019" s="186" t="s">
        <v>1023</v>
      </c>
      <c r="AB1019" s="186" t="s">
        <v>292</v>
      </c>
      <c r="AC1019" s="186" t="s">
        <v>15</v>
      </c>
      <c r="AD1019" s="268" t="s">
        <v>1024</v>
      </c>
      <c r="AE1019" s="268" t="s">
        <v>1025</v>
      </c>
      <c r="AF1019" s="144" t="str">
        <f t="shared" si="79"/>
        <v/>
      </c>
      <c r="AG1019" s="144" t="str">
        <f t="shared" si="78"/>
        <v/>
      </c>
      <c r="AH1019" s="146" t="str">
        <f t="shared" si="74"/>
        <v/>
      </c>
      <c r="AI1019" s="146" t="str">
        <f t="shared" si="75"/>
        <v/>
      </c>
      <c r="AJ1019" s="313"/>
      <c r="AK1019" s="313"/>
      <c r="AL1019" s="313"/>
      <c r="AM1019" s="313"/>
      <c r="AN1019" s="313"/>
      <c r="AO1019" s="313"/>
      <c r="AP1019" s="313"/>
      <c r="AQ1019" s="313"/>
      <c r="AR1019" s="313"/>
      <c r="AS1019" s="176"/>
      <c r="AT1019" s="225">
        <f>0.67*1000/236.588</f>
        <v>2.831927232150405</v>
      </c>
      <c r="AU1019" s="310"/>
      <c r="AV1019" s="341"/>
      <c r="AW1019" s="276"/>
      <c r="AX1019" s="276"/>
      <c r="AY1019" s="276"/>
      <c r="AZ1019" s="276"/>
      <c r="BA1019" s="276"/>
      <c r="BB1019" s="276"/>
      <c r="BC1019" s="276"/>
      <c r="BD1019" s="276"/>
      <c r="BE1019" s="276"/>
      <c r="BF1019" s="400"/>
      <c r="BG1019" s="390">
        <f>0.09*1000/236.588</f>
        <v>0.38040813566199472</v>
      </c>
      <c r="BH1019" s="278"/>
      <c r="BI1019" s="365"/>
    </row>
    <row r="1020" spans="1:61" ht="15.75" customHeight="1" thickBot="1" x14ac:dyDescent="0.25">
      <c r="A1020" s="156">
        <v>1021</v>
      </c>
      <c r="B1020" s="155">
        <v>1</v>
      </c>
      <c r="C1020" s="148" t="s">
        <v>596</v>
      </c>
      <c r="D1020" s="148" t="s">
        <v>2760</v>
      </c>
      <c r="E1020" s="148" t="s">
        <v>13</v>
      </c>
      <c r="F1020" s="148" t="s">
        <v>1019</v>
      </c>
      <c r="G1020" s="148" t="s">
        <v>292</v>
      </c>
      <c r="H1020" s="148" t="s">
        <v>708</v>
      </c>
      <c r="I1020" s="161">
        <v>2009</v>
      </c>
      <c r="J1020" s="161" t="s">
        <v>1020</v>
      </c>
      <c r="K1020" s="161" t="s">
        <v>1021</v>
      </c>
      <c r="L1020" s="161" t="s">
        <v>1022</v>
      </c>
      <c r="M1020" s="453" t="s">
        <v>4185</v>
      </c>
      <c r="N1020" s="186" t="s">
        <v>15</v>
      </c>
      <c r="O1020" s="186" t="s">
        <v>20</v>
      </c>
      <c r="P1020" s="186" t="s">
        <v>20</v>
      </c>
      <c r="Q1020" s="186" t="s">
        <v>20</v>
      </c>
      <c r="R1020" s="186" t="s">
        <v>20</v>
      </c>
      <c r="S1020" s="186" t="s">
        <v>15</v>
      </c>
      <c r="T1020" s="186" t="s">
        <v>20</v>
      </c>
      <c r="U1020" s="186" t="s">
        <v>15</v>
      </c>
      <c r="V1020" s="186" t="s">
        <v>20</v>
      </c>
      <c r="W1020" s="186" t="s">
        <v>15</v>
      </c>
      <c r="X1020" s="186" t="s">
        <v>15</v>
      </c>
      <c r="Y1020" s="186"/>
      <c r="Z1020" s="186" t="s">
        <v>1023</v>
      </c>
      <c r="AA1020" s="186" t="s">
        <v>292</v>
      </c>
      <c r="AB1020" s="186" t="s">
        <v>15</v>
      </c>
      <c r="AC1020" s="266" t="s">
        <v>1024</v>
      </c>
      <c r="AD1020" s="268" t="s">
        <v>1025</v>
      </c>
      <c r="AE1020" s="273"/>
      <c r="AF1020" s="144">
        <f t="shared" si="79"/>
        <v>2.8319000000000001</v>
      </c>
      <c r="AG1020" s="144" t="str">
        <f t="shared" si="78"/>
        <v/>
      </c>
      <c r="AH1020" s="146">
        <f t="shared" si="74"/>
        <v>0.38</v>
      </c>
      <c r="AI1020" s="146" t="str">
        <f t="shared" si="75"/>
        <v/>
      </c>
      <c r="AJ1020" s="313"/>
      <c r="AK1020" s="313"/>
      <c r="AL1020" s="313"/>
      <c r="AM1020" s="313"/>
      <c r="AN1020" s="313"/>
      <c r="AO1020" s="313"/>
      <c r="AP1020" s="313"/>
      <c r="AQ1020" s="313"/>
      <c r="AR1020" s="313"/>
      <c r="AS1020" s="235">
        <v>2.8319000000000001</v>
      </c>
      <c r="AT1020" s="169"/>
      <c r="AU1020" s="342"/>
      <c r="AV1020" s="322"/>
      <c r="AW1020" s="276"/>
      <c r="AX1020" s="276"/>
      <c r="AY1020" s="276"/>
      <c r="AZ1020" s="276"/>
      <c r="BA1020" s="276"/>
      <c r="BB1020" s="276"/>
      <c r="BC1020" s="276"/>
      <c r="BD1020" s="276"/>
      <c r="BE1020" s="276"/>
      <c r="BF1020" s="404">
        <v>0.38</v>
      </c>
      <c r="BG1020" s="382"/>
      <c r="BH1020" s="278"/>
    </row>
    <row r="1021" spans="1:61" ht="15.75" customHeight="1" thickBot="1" x14ac:dyDescent="0.25">
      <c r="A1021" s="156">
        <v>1022</v>
      </c>
      <c r="B1021" s="155">
        <v>1</v>
      </c>
      <c r="C1021" s="148" t="s">
        <v>596</v>
      </c>
      <c r="D1021" s="148" t="s">
        <v>1028</v>
      </c>
      <c r="E1021" s="148" t="s">
        <v>13</v>
      </c>
      <c r="F1021" s="148" t="s">
        <v>1040</v>
      </c>
      <c r="G1021" s="148" t="s">
        <v>122</v>
      </c>
      <c r="H1021" s="148" t="s">
        <v>1034</v>
      </c>
      <c r="I1021" s="161">
        <v>2010</v>
      </c>
      <c r="J1021" s="161" t="s">
        <v>1035</v>
      </c>
      <c r="K1021" s="161" t="s">
        <v>1036</v>
      </c>
      <c r="L1021" s="161" t="s">
        <v>1022</v>
      </c>
      <c r="M1021" s="453" t="s">
        <v>4288</v>
      </c>
      <c r="N1021" s="186" t="s">
        <v>20</v>
      </c>
      <c r="O1021" s="186" t="s">
        <v>15</v>
      </c>
      <c r="P1021" s="186" t="s">
        <v>20</v>
      </c>
      <c r="Q1021" s="186" t="s">
        <v>20</v>
      </c>
      <c r="R1021" s="186" t="s">
        <v>20</v>
      </c>
      <c r="S1021" s="186" t="s">
        <v>20</v>
      </c>
      <c r="T1021" s="186" t="s">
        <v>20</v>
      </c>
      <c r="U1021" s="186" t="s">
        <v>20</v>
      </c>
      <c r="V1021" s="186" t="s">
        <v>15</v>
      </c>
      <c r="W1021" s="186" t="s">
        <v>20</v>
      </c>
      <c r="X1021" s="186" t="s">
        <v>15</v>
      </c>
      <c r="Y1021" s="186" t="s">
        <v>15</v>
      </c>
      <c r="Z1021" s="186"/>
      <c r="AA1021" s="186" t="s">
        <v>243</v>
      </c>
      <c r="AB1021" s="186" t="s">
        <v>15</v>
      </c>
      <c r="AC1021" s="186" t="s">
        <v>15</v>
      </c>
      <c r="AD1021" s="268" t="s">
        <v>1037</v>
      </c>
      <c r="AE1021" s="268" t="s">
        <v>1038</v>
      </c>
      <c r="AF1021" s="144" t="str">
        <f t="shared" si="79"/>
        <v/>
      </c>
      <c r="AG1021" s="144" t="str">
        <f t="shared" si="78"/>
        <v/>
      </c>
      <c r="AH1021" s="146" t="str">
        <f t="shared" si="74"/>
        <v/>
      </c>
      <c r="AI1021" s="146" t="str">
        <f t="shared" si="75"/>
        <v/>
      </c>
      <c r="AJ1021" s="313"/>
      <c r="AK1021" s="313"/>
      <c r="AL1021" s="313"/>
      <c r="AM1021" s="313"/>
      <c r="AN1021" s="313"/>
      <c r="AO1021" s="313"/>
      <c r="AP1021" s="313"/>
      <c r="AQ1021" s="313"/>
      <c r="AR1021" s="313"/>
      <c r="AS1021" s="176"/>
      <c r="AT1021" s="225">
        <f>0.79*1000/250.44</f>
        <v>3.1544481712186552</v>
      </c>
      <c r="AU1021" s="307"/>
      <c r="AV1021" s="436"/>
      <c r="AW1021" s="276"/>
      <c r="AX1021" s="276"/>
      <c r="AY1021" s="276"/>
      <c r="AZ1021" s="276"/>
      <c r="BA1021" s="276"/>
      <c r="BB1021" s="276"/>
      <c r="BC1021" s="276"/>
      <c r="BD1021" s="276"/>
      <c r="BE1021" s="276"/>
      <c r="BF1021" s="405"/>
      <c r="BG1021" s="392">
        <f>0.0448*1000/250.44</f>
        <v>0.17888516211467817</v>
      </c>
      <c r="BH1021" s="278"/>
      <c r="BI1021" s="365"/>
    </row>
    <row r="1022" spans="1:61" ht="15" customHeight="1" thickBot="1" x14ac:dyDescent="0.25">
      <c r="A1022" s="156">
        <v>1023</v>
      </c>
      <c r="B1022" s="155">
        <v>1</v>
      </c>
      <c r="C1022" s="148" t="s">
        <v>975</v>
      </c>
      <c r="D1022" s="149" t="s">
        <v>3056</v>
      </c>
      <c r="E1022" s="148" t="s">
        <v>13</v>
      </c>
      <c r="F1022" s="148" t="s">
        <v>3102</v>
      </c>
      <c r="G1022" s="148" t="s">
        <v>122</v>
      </c>
      <c r="H1022" s="148" t="s">
        <v>165</v>
      </c>
      <c r="I1022" s="161">
        <v>2011</v>
      </c>
      <c r="J1022" s="161" t="s">
        <v>3101</v>
      </c>
      <c r="K1022" s="161" t="s">
        <v>3103</v>
      </c>
      <c r="L1022" s="161" t="s">
        <v>19</v>
      </c>
      <c r="M1022" s="453" t="s">
        <v>4289</v>
      </c>
      <c r="N1022" s="186" t="s">
        <v>20</v>
      </c>
      <c r="O1022" s="186" t="s">
        <v>292</v>
      </c>
      <c r="P1022" s="186" t="s">
        <v>292</v>
      </c>
      <c r="Q1022" s="186" t="s">
        <v>292</v>
      </c>
      <c r="R1022" s="186" t="s">
        <v>292</v>
      </c>
      <c r="S1022" s="186" t="s">
        <v>292</v>
      </c>
      <c r="T1022" s="186" t="s">
        <v>292</v>
      </c>
      <c r="U1022" s="186" t="s">
        <v>292</v>
      </c>
      <c r="V1022" s="186" t="s">
        <v>292</v>
      </c>
      <c r="W1022" s="186" t="s">
        <v>292</v>
      </c>
      <c r="X1022" s="186" t="s">
        <v>292</v>
      </c>
      <c r="Y1022" s="186" t="s">
        <v>292</v>
      </c>
      <c r="Z1022" s="186"/>
      <c r="AA1022" s="186" t="s">
        <v>3106</v>
      </c>
      <c r="AB1022" s="186" t="s">
        <v>292</v>
      </c>
      <c r="AC1022" s="186" t="s">
        <v>292</v>
      </c>
      <c r="AD1022" s="268" t="s">
        <v>944</v>
      </c>
      <c r="AE1022" s="268" t="s">
        <v>3105</v>
      </c>
      <c r="AF1022" s="144">
        <f t="shared" si="79"/>
        <v>85.738461538461536</v>
      </c>
      <c r="AG1022" s="144" t="str">
        <f t="shared" si="78"/>
        <v/>
      </c>
      <c r="AH1022" s="146">
        <f t="shared" si="74"/>
        <v>3.4153846153846157</v>
      </c>
      <c r="AI1022" s="146" t="str">
        <f t="shared" si="75"/>
        <v/>
      </c>
      <c r="AJ1022" s="313"/>
      <c r="AK1022" s="313"/>
      <c r="AL1022" s="313"/>
      <c r="AM1022" s="313"/>
      <c r="AN1022" s="313"/>
      <c r="AO1022" s="313"/>
      <c r="AP1022" s="313"/>
      <c r="AQ1022" s="313"/>
      <c r="AR1022" s="313"/>
      <c r="AS1022" s="287">
        <f>55.73/0.65</f>
        <v>85.738461538461536</v>
      </c>
      <c r="AT1022" s="176"/>
      <c r="AU1022" s="431"/>
      <c r="AV1022" s="322"/>
      <c r="AW1022" s="276"/>
      <c r="AX1022" s="276"/>
      <c r="AY1022" s="276"/>
      <c r="AZ1022" s="276"/>
      <c r="BA1022" s="276"/>
      <c r="BB1022" s="276"/>
      <c r="BC1022" s="276"/>
      <c r="BD1022" s="276"/>
      <c r="BE1022" s="276"/>
      <c r="BF1022" s="401">
        <f>2.22/0.65</f>
        <v>3.4153846153846157</v>
      </c>
      <c r="BG1022" s="400"/>
      <c r="BH1022" s="357"/>
      <c r="BI1022" s="374"/>
    </row>
    <row r="1023" spans="1:61" ht="15.75" customHeight="1" thickBot="1" x14ac:dyDescent="0.25">
      <c r="A1023" s="156">
        <v>1024</v>
      </c>
      <c r="B1023" s="155">
        <v>1</v>
      </c>
      <c r="C1023" s="148" t="s">
        <v>975</v>
      </c>
      <c r="D1023" s="149" t="s">
        <v>3056</v>
      </c>
      <c r="E1023" s="148" t="s">
        <v>13</v>
      </c>
      <c r="F1023" s="151" t="s">
        <v>3104</v>
      </c>
      <c r="G1023" s="148" t="s">
        <v>122</v>
      </c>
      <c r="H1023" s="148" t="s">
        <v>165</v>
      </c>
      <c r="I1023" s="161">
        <v>2011</v>
      </c>
      <c r="J1023" s="161" t="s">
        <v>3101</v>
      </c>
      <c r="K1023" s="161" t="s">
        <v>3103</v>
      </c>
      <c r="L1023" s="161" t="s">
        <v>19</v>
      </c>
      <c r="M1023" s="453" t="s">
        <v>4289</v>
      </c>
      <c r="N1023" s="186" t="s">
        <v>20</v>
      </c>
      <c r="O1023" s="186" t="s">
        <v>292</v>
      </c>
      <c r="P1023" s="186" t="s">
        <v>292</v>
      </c>
      <c r="Q1023" s="186" t="s">
        <v>292</v>
      </c>
      <c r="R1023" s="186" t="s">
        <v>292</v>
      </c>
      <c r="S1023" s="186" t="s">
        <v>292</v>
      </c>
      <c r="T1023" s="186" t="s">
        <v>292</v>
      </c>
      <c r="U1023" s="186" t="s">
        <v>292</v>
      </c>
      <c r="V1023" s="186" t="s">
        <v>292</v>
      </c>
      <c r="W1023" s="186" t="s">
        <v>292</v>
      </c>
      <c r="X1023" s="186" t="s">
        <v>292</v>
      </c>
      <c r="Y1023" s="186" t="s">
        <v>292</v>
      </c>
      <c r="Z1023" s="186"/>
      <c r="AA1023" s="186" t="s">
        <v>3106</v>
      </c>
      <c r="AB1023" s="186" t="s">
        <v>292</v>
      </c>
      <c r="AC1023" s="186" t="s">
        <v>292</v>
      </c>
      <c r="AD1023" s="268" t="s">
        <v>944</v>
      </c>
      <c r="AE1023" s="268" t="s">
        <v>3105</v>
      </c>
      <c r="AF1023" s="144">
        <f t="shared" si="79"/>
        <v>84.703076923076921</v>
      </c>
      <c r="AG1023" s="144" t="str">
        <f t="shared" si="78"/>
        <v/>
      </c>
      <c r="AH1023" s="146">
        <f t="shared" si="74"/>
        <v>3.4153846153846157</v>
      </c>
      <c r="AI1023" s="146" t="str">
        <f t="shared" si="75"/>
        <v/>
      </c>
      <c r="AJ1023" s="313"/>
      <c r="AK1023" s="313"/>
      <c r="AL1023" s="313"/>
      <c r="AM1023" s="313"/>
      <c r="AN1023" s="313"/>
      <c r="AO1023" s="313"/>
      <c r="AP1023" s="313"/>
      <c r="AQ1023" s="313"/>
      <c r="AR1023" s="313"/>
      <c r="AS1023" s="173">
        <f>55.057/0.65</f>
        <v>84.703076923076921</v>
      </c>
      <c r="AT1023" s="175"/>
      <c r="AV1023" s="322"/>
      <c r="AW1023" s="276"/>
      <c r="AX1023" s="276"/>
      <c r="AY1023" s="276"/>
      <c r="AZ1023" s="276"/>
      <c r="BA1023" s="276"/>
      <c r="BB1023" s="276"/>
      <c r="BC1023" s="276"/>
      <c r="BD1023" s="276"/>
      <c r="BE1023" s="276"/>
      <c r="BF1023" s="394">
        <f>2.22/0.65</f>
        <v>3.4153846153846157</v>
      </c>
      <c r="BG1023" s="389"/>
    </row>
    <row r="1024" spans="1:61" ht="15" customHeight="1" thickBot="1" x14ac:dyDescent="0.25">
      <c r="A1024" s="156">
        <v>1025</v>
      </c>
      <c r="B1024" s="155">
        <v>1</v>
      </c>
      <c r="C1024" s="148" t="s">
        <v>975</v>
      </c>
      <c r="D1024" s="149" t="s">
        <v>3056</v>
      </c>
      <c r="E1024" s="148" t="s">
        <v>13</v>
      </c>
      <c r="F1024" s="151" t="s">
        <v>3109</v>
      </c>
      <c r="G1024" s="151" t="s">
        <v>122</v>
      </c>
      <c r="H1024" s="151" t="s">
        <v>258</v>
      </c>
      <c r="I1024" s="165">
        <v>2013</v>
      </c>
      <c r="J1024" s="165" t="s">
        <v>3107</v>
      </c>
      <c r="K1024" s="165" t="s">
        <v>3108</v>
      </c>
      <c r="L1024" s="165" t="s">
        <v>19</v>
      </c>
      <c r="M1024" s="453" t="s">
        <v>4290</v>
      </c>
      <c r="N1024" s="186" t="s">
        <v>20</v>
      </c>
      <c r="O1024" s="186" t="s">
        <v>292</v>
      </c>
      <c r="P1024" s="186" t="s">
        <v>292</v>
      </c>
      <c r="Q1024" s="186" t="s">
        <v>292</v>
      </c>
      <c r="R1024" s="186" t="s">
        <v>292</v>
      </c>
      <c r="S1024" s="186" t="s">
        <v>292</v>
      </c>
      <c r="T1024" s="186" t="s">
        <v>292</v>
      </c>
      <c r="U1024" s="186" t="s">
        <v>292</v>
      </c>
      <c r="V1024" s="186" t="s">
        <v>292</v>
      </c>
      <c r="W1024" s="186" t="s">
        <v>292</v>
      </c>
      <c r="X1024" s="186" t="s">
        <v>292</v>
      </c>
      <c r="Y1024" s="186" t="s">
        <v>292</v>
      </c>
      <c r="Z1024" s="186"/>
      <c r="AA1024" s="186" t="s">
        <v>3106</v>
      </c>
      <c r="AB1024" s="186" t="s">
        <v>292</v>
      </c>
      <c r="AC1024" s="186" t="s">
        <v>292</v>
      </c>
      <c r="AD1024" s="268" t="s">
        <v>944</v>
      </c>
      <c r="AE1024" s="268" t="s">
        <v>3105</v>
      </c>
      <c r="AF1024" s="144" t="str">
        <f t="shared" si="79"/>
        <v/>
      </c>
      <c r="AG1024" s="144" t="str">
        <f t="shared" si="78"/>
        <v/>
      </c>
      <c r="AH1024" s="146">
        <f t="shared" si="74"/>
        <v>3.4452923076923079</v>
      </c>
      <c r="AI1024" s="146" t="str">
        <f t="shared" si="75"/>
        <v/>
      </c>
      <c r="AJ1024" s="313"/>
      <c r="AK1024" s="313"/>
      <c r="AL1024" s="313"/>
      <c r="AM1024" s="313"/>
      <c r="AN1024" s="313"/>
      <c r="AO1024" s="313"/>
      <c r="AP1024" s="313"/>
      <c r="AQ1024" s="313"/>
      <c r="AR1024" s="313"/>
      <c r="AT1024" s="175"/>
      <c r="AV1024" s="322"/>
      <c r="AW1024" s="276"/>
      <c r="AX1024" s="276"/>
      <c r="AY1024" s="276"/>
      <c r="AZ1024" s="276"/>
      <c r="BA1024" s="276"/>
      <c r="BB1024" s="276"/>
      <c r="BC1024" s="276"/>
      <c r="BD1024" s="276"/>
      <c r="BE1024" s="276"/>
      <c r="BF1024" s="394">
        <f>2.23944/0.65</f>
        <v>3.4452923076923079</v>
      </c>
      <c r="BG1024" s="389"/>
    </row>
    <row r="1025" spans="1:59" ht="15" customHeight="1" thickBot="1" x14ac:dyDescent="0.25">
      <c r="A1025" s="156">
        <v>1026</v>
      </c>
      <c r="B1025" s="155">
        <v>1</v>
      </c>
      <c r="C1025" s="148" t="s">
        <v>975</v>
      </c>
      <c r="D1025" s="149" t="s">
        <v>3056</v>
      </c>
      <c r="E1025" s="148" t="s">
        <v>13</v>
      </c>
      <c r="F1025" s="151" t="s">
        <v>3110</v>
      </c>
      <c r="G1025" s="151" t="s">
        <v>122</v>
      </c>
      <c r="H1025" s="151" t="s">
        <v>258</v>
      </c>
      <c r="I1025" s="165">
        <v>2013</v>
      </c>
      <c r="J1025" s="165" t="s">
        <v>3107</v>
      </c>
      <c r="K1025" s="165" t="s">
        <v>3108</v>
      </c>
      <c r="L1025" s="165" t="s">
        <v>19</v>
      </c>
      <c r="M1025" s="453" t="s">
        <v>4290</v>
      </c>
      <c r="N1025" s="186" t="s">
        <v>20</v>
      </c>
      <c r="O1025" s="186" t="s">
        <v>292</v>
      </c>
      <c r="P1025" s="186" t="s">
        <v>292</v>
      </c>
      <c r="Q1025" s="186" t="s">
        <v>292</v>
      </c>
      <c r="R1025" s="186" t="s">
        <v>292</v>
      </c>
      <c r="S1025" s="186" t="s">
        <v>292</v>
      </c>
      <c r="T1025" s="186" t="s">
        <v>292</v>
      </c>
      <c r="U1025" s="186" t="s">
        <v>292</v>
      </c>
      <c r="V1025" s="186" t="s">
        <v>292</v>
      </c>
      <c r="W1025" s="186" t="s">
        <v>292</v>
      </c>
      <c r="X1025" s="186" t="s">
        <v>292</v>
      </c>
      <c r="Y1025" s="186" t="s">
        <v>292</v>
      </c>
      <c r="Z1025" s="186"/>
      <c r="AA1025" s="186" t="s">
        <v>3106</v>
      </c>
      <c r="AB1025" s="186" t="s">
        <v>292</v>
      </c>
      <c r="AC1025" s="186" t="s">
        <v>292</v>
      </c>
      <c r="AD1025" s="268" t="s">
        <v>944</v>
      </c>
      <c r="AE1025" s="268" t="s">
        <v>3105</v>
      </c>
      <c r="AF1025" s="144" t="str">
        <f t="shared" si="79"/>
        <v/>
      </c>
      <c r="AG1025" s="144" t="str">
        <f t="shared" si="78"/>
        <v/>
      </c>
      <c r="AH1025" s="146">
        <f t="shared" si="74"/>
        <v>5.4798615384615381</v>
      </c>
      <c r="AI1025" s="146" t="str">
        <f t="shared" si="75"/>
        <v/>
      </c>
      <c r="AJ1025" s="313"/>
      <c r="AK1025" s="313"/>
      <c r="AL1025" s="313"/>
      <c r="AM1025" s="313"/>
      <c r="AN1025" s="313"/>
      <c r="AO1025" s="313"/>
      <c r="AP1025" s="313"/>
      <c r="AQ1025" s="313"/>
      <c r="AR1025" s="313"/>
      <c r="AS1025" s="287"/>
      <c r="AT1025" s="175"/>
      <c r="AV1025" s="322"/>
      <c r="AW1025" s="276"/>
      <c r="AX1025" s="276"/>
      <c r="AY1025" s="276"/>
      <c r="AZ1025" s="276"/>
      <c r="BA1025" s="276"/>
      <c r="BB1025" s="276"/>
      <c r="BC1025" s="276"/>
      <c r="BD1025" s="276"/>
      <c r="BE1025" s="276"/>
      <c r="BF1025" s="394">
        <f>3.56191/0.65</f>
        <v>5.4798615384615381</v>
      </c>
      <c r="BG1025" s="389"/>
    </row>
    <row r="1026" spans="1:59" ht="15" customHeight="1" thickBot="1" x14ac:dyDescent="0.25">
      <c r="A1026" s="156">
        <v>1027</v>
      </c>
      <c r="B1026" s="155">
        <v>1</v>
      </c>
      <c r="C1026" s="148" t="s">
        <v>975</v>
      </c>
      <c r="D1026" s="149" t="s">
        <v>3056</v>
      </c>
      <c r="E1026" s="148" t="s">
        <v>13</v>
      </c>
      <c r="F1026" s="151" t="s">
        <v>3128</v>
      </c>
      <c r="G1026" s="151" t="s">
        <v>122</v>
      </c>
      <c r="H1026" s="151" t="s">
        <v>258</v>
      </c>
      <c r="I1026" s="165">
        <v>2013</v>
      </c>
      <c r="J1026" s="165" t="s">
        <v>3107</v>
      </c>
      <c r="K1026" s="165" t="s">
        <v>3108</v>
      </c>
      <c r="L1026" s="165" t="s">
        <v>19</v>
      </c>
      <c r="M1026" s="453" t="s">
        <v>4290</v>
      </c>
      <c r="N1026" s="186" t="s">
        <v>20</v>
      </c>
      <c r="O1026" s="186" t="s">
        <v>292</v>
      </c>
      <c r="P1026" s="186" t="s">
        <v>292</v>
      </c>
      <c r="Q1026" s="186" t="s">
        <v>292</v>
      </c>
      <c r="R1026" s="186" t="s">
        <v>292</v>
      </c>
      <c r="S1026" s="186" t="s">
        <v>292</v>
      </c>
      <c r="T1026" s="186" t="s">
        <v>292</v>
      </c>
      <c r="U1026" s="186" t="s">
        <v>292</v>
      </c>
      <c r="V1026" s="186" t="s">
        <v>292</v>
      </c>
      <c r="W1026" s="186" t="s">
        <v>292</v>
      </c>
      <c r="X1026" s="186" t="s">
        <v>292</v>
      </c>
      <c r="Y1026" s="186" t="s">
        <v>292</v>
      </c>
      <c r="Z1026" s="186"/>
      <c r="AA1026" s="186" t="s">
        <v>3106</v>
      </c>
      <c r="AB1026" s="186" t="s">
        <v>292</v>
      </c>
      <c r="AC1026" s="186" t="s">
        <v>292</v>
      </c>
      <c r="AD1026" s="268" t="s">
        <v>944</v>
      </c>
      <c r="AE1026" s="268" t="s">
        <v>3105</v>
      </c>
      <c r="AF1026" s="144" t="str">
        <f t="shared" si="79"/>
        <v/>
      </c>
      <c r="AG1026" s="144" t="str">
        <f t="shared" si="78"/>
        <v/>
      </c>
      <c r="AH1026" s="146">
        <f t="shared" ref="AH1026:AH1089" si="80">IF(BF1026&lt;&gt;0,BF1026,"")</f>
        <v>20.95750769230769</v>
      </c>
      <c r="AI1026" s="146" t="str">
        <f t="shared" ref="AI1026:AI1089" si="81">IF(AND(SUM(AW1026:AY1026)&lt;&gt;0,SUM(AW1026:AY1026)&lt;&gt;AW1026),SUM(AW1026:AY1026),"")</f>
        <v/>
      </c>
      <c r="AJ1026" s="313"/>
      <c r="AK1026" s="313"/>
      <c r="AL1026" s="313"/>
      <c r="AM1026" s="313"/>
      <c r="AN1026" s="313"/>
      <c r="AO1026" s="313"/>
      <c r="AP1026" s="313"/>
      <c r="AQ1026" s="313"/>
      <c r="AR1026" s="313"/>
      <c r="AS1026" s="287"/>
      <c r="AT1026" s="175"/>
      <c r="AV1026" s="322"/>
      <c r="AW1026" s="276"/>
      <c r="AX1026" s="276"/>
      <c r="AY1026" s="276"/>
      <c r="AZ1026" s="276"/>
      <c r="BA1026" s="276"/>
      <c r="BB1026" s="276"/>
      <c r="BC1026" s="276"/>
      <c r="BD1026" s="276"/>
      <c r="BE1026" s="276"/>
      <c r="BF1026" s="394">
        <f>13.62238/0.65</f>
        <v>20.95750769230769</v>
      </c>
      <c r="BG1026" s="389"/>
    </row>
    <row r="1027" spans="1:59" ht="15" customHeight="1" thickBot="1" x14ac:dyDescent="0.25">
      <c r="A1027" s="156">
        <v>1028</v>
      </c>
      <c r="B1027" s="155">
        <v>1</v>
      </c>
      <c r="C1027" s="148" t="s">
        <v>975</v>
      </c>
      <c r="D1027" s="149" t="s">
        <v>3056</v>
      </c>
      <c r="E1027" s="148" t="s">
        <v>13</v>
      </c>
      <c r="F1027" s="151" t="s">
        <v>3112</v>
      </c>
      <c r="G1027" s="151" t="s">
        <v>122</v>
      </c>
      <c r="H1027" s="151" t="s">
        <v>165</v>
      </c>
      <c r="I1027" s="165">
        <v>2013</v>
      </c>
      <c r="J1027" s="165" t="s">
        <v>3114</v>
      </c>
      <c r="K1027" s="165" t="s">
        <v>3115</v>
      </c>
      <c r="L1027" s="165" t="s">
        <v>19</v>
      </c>
      <c r="M1027" s="453" t="s">
        <v>4291</v>
      </c>
      <c r="N1027" s="186" t="s">
        <v>20</v>
      </c>
      <c r="O1027" s="186" t="s">
        <v>292</v>
      </c>
      <c r="P1027" s="186" t="s">
        <v>292</v>
      </c>
      <c r="Q1027" s="186" t="s">
        <v>292</v>
      </c>
      <c r="R1027" s="186" t="s">
        <v>292</v>
      </c>
      <c r="S1027" s="186" t="s">
        <v>292</v>
      </c>
      <c r="T1027" s="186" t="s">
        <v>292</v>
      </c>
      <c r="U1027" s="186" t="s">
        <v>292</v>
      </c>
      <c r="V1027" s="186" t="s">
        <v>292</v>
      </c>
      <c r="W1027" s="186" t="s">
        <v>292</v>
      </c>
      <c r="X1027" s="186" t="s">
        <v>292</v>
      </c>
      <c r="Y1027" s="186" t="s">
        <v>292</v>
      </c>
      <c r="Z1027" s="186"/>
      <c r="AA1027" s="186" t="s">
        <v>3106</v>
      </c>
      <c r="AB1027" s="186" t="s">
        <v>292</v>
      </c>
      <c r="AC1027" s="186" t="s">
        <v>292</v>
      </c>
      <c r="AD1027" s="268" t="s">
        <v>944</v>
      </c>
      <c r="AE1027" s="268" t="s">
        <v>3117</v>
      </c>
      <c r="AF1027" s="144">
        <f t="shared" si="79"/>
        <v>218.5185185185185</v>
      </c>
      <c r="AG1027" s="144" t="str">
        <f t="shared" si="78"/>
        <v/>
      </c>
      <c r="AH1027" s="146">
        <f t="shared" si="80"/>
        <v>2.6425925925925924</v>
      </c>
      <c r="AI1027" s="146" t="str">
        <f t="shared" si="81"/>
        <v/>
      </c>
      <c r="AJ1027" s="313"/>
      <c r="AK1027" s="313"/>
      <c r="AL1027" s="313"/>
      <c r="AM1027" s="313"/>
      <c r="AN1027" s="313"/>
      <c r="AO1027" s="313"/>
      <c r="AP1027" s="313"/>
      <c r="AQ1027" s="313"/>
      <c r="AR1027" s="313"/>
      <c r="AS1027" s="173">
        <f>118/0.54</f>
        <v>218.5185185185185</v>
      </c>
      <c r="AT1027" s="175"/>
      <c r="AV1027" s="322"/>
      <c r="AW1027" s="276"/>
      <c r="AX1027" s="276"/>
      <c r="AY1027" s="276"/>
      <c r="AZ1027" s="276"/>
      <c r="BA1027" s="276"/>
      <c r="BB1027" s="276"/>
      <c r="BC1027" s="276"/>
      <c r="BD1027" s="276"/>
      <c r="BE1027" s="276"/>
      <c r="BF1027" s="394">
        <f>1.427/0.54</f>
        <v>2.6425925925925924</v>
      </c>
      <c r="BG1027" s="389"/>
    </row>
    <row r="1028" spans="1:59" ht="15" customHeight="1" thickBot="1" x14ac:dyDescent="0.25">
      <c r="A1028" s="156">
        <v>1029</v>
      </c>
      <c r="B1028" s="155">
        <v>1</v>
      </c>
      <c r="C1028" s="148" t="s">
        <v>975</v>
      </c>
      <c r="D1028" s="149" t="s">
        <v>3056</v>
      </c>
      <c r="E1028" s="148" t="s">
        <v>13</v>
      </c>
      <c r="F1028" s="151" t="s">
        <v>3111</v>
      </c>
      <c r="G1028" s="151" t="s">
        <v>122</v>
      </c>
      <c r="H1028" s="151" t="s">
        <v>165</v>
      </c>
      <c r="I1028" s="165">
        <v>2013</v>
      </c>
      <c r="J1028" s="165" t="s">
        <v>3114</v>
      </c>
      <c r="K1028" s="165" t="s">
        <v>3115</v>
      </c>
      <c r="L1028" s="165" t="s">
        <v>19</v>
      </c>
      <c r="M1028" s="453" t="s">
        <v>4291</v>
      </c>
      <c r="N1028" s="186" t="s">
        <v>20</v>
      </c>
      <c r="O1028" s="186" t="s">
        <v>292</v>
      </c>
      <c r="P1028" s="186" t="s">
        <v>292</v>
      </c>
      <c r="Q1028" s="186" t="s">
        <v>292</v>
      </c>
      <c r="R1028" s="186" t="s">
        <v>292</v>
      </c>
      <c r="S1028" s="186" t="s">
        <v>292</v>
      </c>
      <c r="T1028" s="186" t="s">
        <v>292</v>
      </c>
      <c r="U1028" s="186" t="s">
        <v>292</v>
      </c>
      <c r="V1028" s="186" t="s">
        <v>292</v>
      </c>
      <c r="W1028" s="186" t="s">
        <v>292</v>
      </c>
      <c r="X1028" s="186" t="s">
        <v>292</v>
      </c>
      <c r="Y1028" s="186" t="s">
        <v>292</v>
      </c>
      <c r="Z1028" s="186"/>
      <c r="AA1028" s="186" t="s">
        <v>3106</v>
      </c>
      <c r="AB1028" s="186" t="s">
        <v>292</v>
      </c>
      <c r="AC1028" s="186" t="s">
        <v>292</v>
      </c>
      <c r="AD1028" s="268" t="s">
        <v>944</v>
      </c>
      <c r="AE1028" s="268" t="s">
        <v>3117</v>
      </c>
      <c r="AF1028" s="144">
        <f t="shared" si="79"/>
        <v>320.37037037037032</v>
      </c>
      <c r="AG1028" s="144" t="str">
        <f t="shared" si="78"/>
        <v/>
      </c>
      <c r="AH1028" s="146">
        <f t="shared" si="80"/>
        <v>15.898148148148149</v>
      </c>
      <c r="AI1028" s="146" t="str">
        <f t="shared" si="81"/>
        <v/>
      </c>
      <c r="AJ1028" s="313"/>
      <c r="AK1028" s="313"/>
      <c r="AL1028" s="313"/>
      <c r="AM1028" s="313"/>
      <c r="AN1028" s="313"/>
      <c r="AO1028" s="313"/>
      <c r="AP1028" s="313"/>
      <c r="AQ1028" s="313"/>
      <c r="AR1028" s="313"/>
      <c r="AS1028" s="173">
        <f>173/0.54</f>
        <v>320.37037037037032</v>
      </c>
      <c r="AT1028" s="175"/>
      <c r="AV1028" s="322"/>
      <c r="AW1028" s="276"/>
      <c r="AX1028" s="276"/>
      <c r="AY1028" s="276"/>
      <c r="AZ1028" s="276"/>
      <c r="BA1028" s="276"/>
      <c r="BB1028" s="276"/>
      <c r="BC1028" s="276"/>
      <c r="BD1028" s="276"/>
      <c r="BE1028" s="276"/>
      <c r="BF1028" s="394">
        <f>8.585/0.54</f>
        <v>15.898148148148149</v>
      </c>
      <c r="BG1028" s="389"/>
    </row>
    <row r="1029" spans="1:59" ht="15" customHeight="1" thickBot="1" x14ac:dyDescent="0.25">
      <c r="A1029" s="156">
        <v>1030</v>
      </c>
      <c r="B1029" s="155">
        <v>1</v>
      </c>
      <c r="C1029" s="148" t="s">
        <v>975</v>
      </c>
      <c r="D1029" s="149" t="s">
        <v>3056</v>
      </c>
      <c r="E1029" s="148" t="s">
        <v>13</v>
      </c>
      <c r="F1029" s="151" t="s">
        <v>3113</v>
      </c>
      <c r="G1029" s="151" t="s">
        <v>122</v>
      </c>
      <c r="H1029" s="151" t="s">
        <v>165</v>
      </c>
      <c r="I1029" s="165">
        <v>2013</v>
      </c>
      <c r="J1029" s="165" t="s">
        <v>3114</v>
      </c>
      <c r="K1029" s="165" t="s">
        <v>3115</v>
      </c>
      <c r="L1029" s="165" t="s">
        <v>19</v>
      </c>
      <c r="M1029" s="453" t="s">
        <v>4291</v>
      </c>
      <c r="N1029" s="186" t="s">
        <v>20</v>
      </c>
      <c r="O1029" s="186" t="s">
        <v>292</v>
      </c>
      <c r="P1029" s="186" t="s">
        <v>292</v>
      </c>
      <c r="Q1029" s="186" t="s">
        <v>292</v>
      </c>
      <c r="R1029" s="186" t="s">
        <v>292</v>
      </c>
      <c r="S1029" s="186" t="s">
        <v>292</v>
      </c>
      <c r="T1029" s="186" t="s">
        <v>292</v>
      </c>
      <c r="U1029" s="186" t="s">
        <v>292</v>
      </c>
      <c r="V1029" s="186" t="s">
        <v>292</v>
      </c>
      <c r="W1029" s="186" t="s">
        <v>292</v>
      </c>
      <c r="X1029" s="186" t="s">
        <v>292</v>
      </c>
      <c r="Y1029" s="186" t="s">
        <v>292</v>
      </c>
      <c r="Z1029" s="186"/>
      <c r="AA1029" s="186" t="s">
        <v>3106</v>
      </c>
      <c r="AB1029" s="186" t="s">
        <v>292</v>
      </c>
      <c r="AC1029" s="186" t="s">
        <v>292</v>
      </c>
      <c r="AD1029" s="268" t="s">
        <v>944</v>
      </c>
      <c r="AE1029" s="268" t="s">
        <v>3116</v>
      </c>
      <c r="AF1029" s="144">
        <f t="shared" si="79"/>
        <v>152.77777777777777</v>
      </c>
      <c r="AG1029" s="144" t="str">
        <f t="shared" si="78"/>
        <v/>
      </c>
      <c r="AH1029" s="146">
        <f t="shared" si="80"/>
        <v>4.3583333333333334</v>
      </c>
      <c r="AI1029" s="146" t="str">
        <f t="shared" si="81"/>
        <v/>
      </c>
      <c r="AJ1029" s="313"/>
      <c r="AK1029" s="313"/>
      <c r="AL1029" s="313"/>
      <c r="AM1029" s="313"/>
      <c r="AN1029" s="313"/>
      <c r="AO1029" s="313"/>
      <c r="AP1029" s="313"/>
      <c r="AQ1029" s="313"/>
      <c r="AR1029" s="313"/>
      <c r="AS1029" s="173">
        <f>110/0.72</f>
        <v>152.77777777777777</v>
      </c>
      <c r="AT1029" s="175"/>
      <c r="AV1029" s="322"/>
      <c r="AW1029" s="276"/>
      <c r="AX1029" s="276"/>
      <c r="AY1029" s="276"/>
      <c r="AZ1029" s="276"/>
      <c r="BA1029" s="276"/>
      <c r="BB1029" s="276"/>
      <c r="BC1029" s="276"/>
      <c r="BD1029" s="276"/>
      <c r="BE1029" s="276"/>
      <c r="BF1029" s="394">
        <f>3.138/0.72</f>
        <v>4.3583333333333334</v>
      </c>
      <c r="BG1029" s="389"/>
    </row>
    <row r="1030" spans="1:59" ht="15" customHeight="1" thickBot="1" x14ac:dyDescent="0.25">
      <c r="A1030" s="156">
        <v>1031</v>
      </c>
      <c r="B1030" s="155">
        <v>1</v>
      </c>
      <c r="C1030" s="148" t="s">
        <v>975</v>
      </c>
      <c r="D1030" s="149" t="s">
        <v>3056</v>
      </c>
      <c r="E1030" s="148" t="s">
        <v>13</v>
      </c>
      <c r="F1030" s="151" t="s">
        <v>3119</v>
      </c>
      <c r="G1030" s="151" t="s">
        <v>122</v>
      </c>
      <c r="H1030" s="151" t="s">
        <v>3120</v>
      </c>
      <c r="I1030" s="165">
        <v>2016</v>
      </c>
      <c r="J1030" s="165" t="s">
        <v>3121</v>
      </c>
      <c r="K1030" s="165" t="s">
        <v>3122</v>
      </c>
      <c r="L1030" s="165" t="s">
        <v>19</v>
      </c>
      <c r="M1030" s="453" t="s">
        <v>4292</v>
      </c>
      <c r="N1030" s="186" t="s">
        <v>20</v>
      </c>
      <c r="O1030" s="186" t="s">
        <v>292</v>
      </c>
      <c r="P1030" s="186" t="s">
        <v>292</v>
      </c>
      <c r="Q1030" s="186" t="s">
        <v>292</v>
      </c>
      <c r="R1030" s="186" t="s">
        <v>292</v>
      </c>
      <c r="S1030" s="186" t="s">
        <v>292</v>
      </c>
      <c r="T1030" s="186" t="s">
        <v>292</v>
      </c>
      <c r="U1030" s="186" t="s">
        <v>292</v>
      </c>
      <c r="V1030" s="186" t="s">
        <v>292</v>
      </c>
      <c r="W1030" s="186" t="s">
        <v>292</v>
      </c>
      <c r="X1030" s="186" t="s">
        <v>292</v>
      </c>
      <c r="Y1030" s="186" t="s">
        <v>292</v>
      </c>
      <c r="Z1030" s="186"/>
      <c r="AA1030" s="186" t="s">
        <v>3106</v>
      </c>
      <c r="AB1030" s="186" t="s">
        <v>292</v>
      </c>
      <c r="AC1030" s="186" t="s">
        <v>292</v>
      </c>
      <c r="AD1030" s="268" t="s">
        <v>944</v>
      </c>
      <c r="AE1030" s="268" t="s">
        <v>3123</v>
      </c>
      <c r="AF1030" s="144">
        <f t="shared" si="79"/>
        <v>142.70270270270271</v>
      </c>
      <c r="AG1030" s="144" t="str">
        <f t="shared" si="78"/>
        <v/>
      </c>
      <c r="AH1030" s="146">
        <f t="shared" si="80"/>
        <v>2.5964864864864867</v>
      </c>
      <c r="AI1030" s="146" t="str">
        <f t="shared" si="81"/>
        <v/>
      </c>
      <c r="AJ1030" s="313"/>
      <c r="AK1030" s="313"/>
      <c r="AL1030" s="313"/>
      <c r="AM1030" s="313"/>
      <c r="AN1030" s="313"/>
      <c r="AO1030" s="313"/>
      <c r="AP1030" s="313"/>
      <c r="AQ1030" s="313"/>
      <c r="AR1030" s="313"/>
      <c r="AS1030" s="289">
        <f>52.8/0.37</f>
        <v>142.70270270270271</v>
      </c>
      <c r="AT1030" s="175"/>
      <c r="AV1030" s="322"/>
      <c r="AW1030" s="276"/>
      <c r="AX1030" s="276"/>
      <c r="AY1030" s="276"/>
      <c r="AZ1030" s="276"/>
      <c r="BA1030" s="276"/>
      <c r="BB1030" s="276"/>
      <c r="BC1030" s="276"/>
      <c r="BD1030" s="276"/>
      <c r="BE1030" s="276"/>
      <c r="BF1030" s="394">
        <f>0.9607/0.37</f>
        <v>2.5964864864864867</v>
      </c>
      <c r="BG1030" s="389"/>
    </row>
    <row r="1031" spans="1:59" ht="15" customHeight="1" thickBot="1" x14ac:dyDescent="0.25">
      <c r="A1031" s="156">
        <v>1032</v>
      </c>
      <c r="B1031" s="155">
        <v>1</v>
      </c>
      <c r="C1031" s="148" t="s">
        <v>975</v>
      </c>
      <c r="D1031" s="149" t="s">
        <v>3056</v>
      </c>
      <c r="E1031" s="148" t="s">
        <v>13</v>
      </c>
      <c r="F1031" s="151" t="s">
        <v>3118</v>
      </c>
      <c r="G1031" s="151" t="s">
        <v>122</v>
      </c>
      <c r="H1031" s="151" t="s">
        <v>3120</v>
      </c>
      <c r="I1031" s="165">
        <v>2016</v>
      </c>
      <c r="J1031" s="165" t="s">
        <v>3121</v>
      </c>
      <c r="K1031" s="165" t="s">
        <v>3122</v>
      </c>
      <c r="L1031" s="165" t="s">
        <v>19</v>
      </c>
      <c r="M1031" s="453" t="s">
        <v>4292</v>
      </c>
      <c r="N1031" s="186" t="s">
        <v>20</v>
      </c>
      <c r="O1031" s="186" t="s">
        <v>292</v>
      </c>
      <c r="P1031" s="186" t="s">
        <v>292</v>
      </c>
      <c r="Q1031" s="186" t="s">
        <v>292</v>
      </c>
      <c r="R1031" s="186" t="s">
        <v>292</v>
      </c>
      <c r="S1031" s="186" t="s">
        <v>292</v>
      </c>
      <c r="T1031" s="186" t="s">
        <v>292</v>
      </c>
      <c r="U1031" s="186" t="s">
        <v>292</v>
      </c>
      <c r="V1031" s="186" t="s">
        <v>292</v>
      </c>
      <c r="W1031" s="186" t="s">
        <v>292</v>
      </c>
      <c r="X1031" s="186" t="s">
        <v>292</v>
      </c>
      <c r="Y1031" s="186" t="s">
        <v>292</v>
      </c>
      <c r="Z1031" s="186"/>
      <c r="AA1031" s="186" t="s">
        <v>3106</v>
      </c>
      <c r="AB1031" s="186" t="s">
        <v>292</v>
      </c>
      <c r="AC1031" s="186" t="s">
        <v>292</v>
      </c>
      <c r="AD1031" s="268" t="s">
        <v>944</v>
      </c>
      <c r="AE1031" s="268" t="s">
        <v>3123</v>
      </c>
      <c r="AF1031" s="144">
        <f t="shared" si="79"/>
        <v>644.05405405405406</v>
      </c>
      <c r="AG1031" s="144" t="str">
        <f t="shared" si="78"/>
        <v/>
      </c>
      <c r="AH1031" s="146">
        <f t="shared" si="80"/>
        <v>16.557027027027029</v>
      </c>
      <c r="AI1031" s="146" t="str">
        <f t="shared" si="81"/>
        <v/>
      </c>
      <c r="AJ1031" s="313"/>
      <c r="AK1031" s="313"/>
      <c r="AL1031" s="313"/>
      <c r="AM1031" s="313"/>
      <c r="AN1031" s="313"/>
      <c r="AO1031" s="313"/>
      <c r="AP1031" s="313"/>
      <c r="AQ1031" s="313"/>
      <c r="AR1031" s="313"/>
      <c r="AS1031" s="289">
        <f>238.3/0.37</f>
        <v>644.05405405405406</v>
      </c>
      <c r="AT1031" s="175"/>
      <c r="AV1031" s="322"/>
      <c r="AW1031" s="276"/>
      <c r="AX1031" s="276"/>
      <c r="AY1031" s="276"/>
      <c r="AZ1031" s="276"/>
      <c r="BA1031" s="276"/>
      <c r="BB1031" s="276"/>
      <c r="BC1031" s="276"/>
      <c r="BD1031" s="276"/>
      <c r="BE1031" s="276"/>
      <c r="BF1031" s="394">
        <f>6.1261/0.37</f>
        <v>16.557027027027029</v>
      </c>
      <c r="BG1031" s="389"/>
    </row>
    <row r="1032" spans="1:59" ht="15" customHeight="1" thickBot="1" x14ac:dyDescent="0.25">
      <c r="A1032" s="156">
        <v>1033</v>
      </c>
      <c r="B1032" s="155">
        <v>1</v>
      </c>
      <c r="C1032" s="148" t="s">
        <v>975</v>
      </c>
      <c r="D1032" s="149" t="s">
        <v>3056</v>
      </c>
      <c r="E1032" s="148" t="s">
        <v>13</v>
      </c>
      <c r="F1032" s="151" t="s">
        <v>3124</v>
      </c>
      <c r="G1032" s="151" t="s">
        <v>122</v>
      </c>
      <c r="H1032" s="151" t="s">
        <v>165</v>
      </c>
      <c r="I1032" s="165">
        <v>2006</v>
      </c>
      <c r="J1032" s="165" t="s">
        <v>3125</v>
      </c>
      <c r="K1032" s="165" t="s">
        <v>3126</v>
      </c>
      <c r="L1032" s="165" t="s">
        <v>19</v>
      </c>
      <c r="M1032" s="453" t="s">
        <v>4293</v>
      </c>
      <c r="N1032" s="186" t="s">
        <v>20</v>
      </c>
      <c r="O1032" s="186" t="s">
        <v>292</v>
      </c>
      <c r="P1032" s="186" t="s">
        <v>292</v>
      </c>
      <c r="Q1032" s="186" t="s">
        <v>292</v>
      </c>
      <c r="R1032" s="186" t="s">
        <v>292</v>
      </c>
      <c r="S1032" s="186" t="s">
        <v>292</v>
      </c>
      <c r="T1032" s="186" t="s">
        <v>292</v>
      </c>
      <c r="U1032" s="186" t="s">
        <v>292</v>
      </c>
      <c r="V1032" s="186" t="s">
        <v>292</v>
      </c>
      <c r="W1032" s="186" t="s">
        <v>292</v>
      </c>
      <c r="X1032" s="186" t="s">
        <v>292</v>
      </c>
      <c r="Y1032" s="186" t="s">
        <v>292</v>
      </c>
      <c r="Z1032" s="186"/>
      <c r="AA1032" s="186" t="s">
        <v>3106</v>
      </c>
      <c r="AB1032" s="186" t="s">
        <v>292</v>
      </c>
      <c r="AC1032" s="186" t="s">
        <v>292</v>
      </c>
      <c r="AD1032" s="268" t="s">
        <v>944</v>
      </c>
      <c r="AE1032" s="268" t="s">
        <v>3127</v>
      </c>
      <c r="AF1032" s="144">
        <f t="shared" si="79"/>
        <v>606.2208333333333</v>
      </c>
      <c r="AG1032" s="144" t="str">
        <f t="shared" si="78"/>
        <v/>
      </c>
      <c r="AH1032" s="146">
        <f t="shared" si="80"/>
        <v>12.536250000000001</v>
      </c>
      <c r="AI1032" s="146" t="str">
        <f t="shared" si="81"/>
        <v/>
      </c>
      <c r="AJ1032" s="313"/>
      <c r="AK1032" s="313"/>
      <c r="AL1032" s="313"/>
      <c r="AM1032" s="313"/>
      <c r="AN1032" s="313"/>
      <c r="AO1032" s="313"/>
      <c r="AP1032" s="313"/>
      <c r="AQ1032" s="313"/>
      <c r="AR1032" s="313"/>
      <c r="AS1032" s="289">
        <f>290.986/0.48</f>
        <v>606.2208333333333</v>
      </c>
      <c r="AT1032" s="175"/>
      <c r="AV1032" s="322"/>
      <c r="AW1032" s="276"/>
      <c r="AX1032" s="276"/>
      <c r="AY1032" s="276"/>
      <c r="AZ1032" s="276"/>
      <c r="BA1032" s="276"/>
      <c r="BB1032" s="276"/>
      <c r="BC1032" s="276"/>
      <c r="BD1032" s="276"/>
      <c r="BE1032" s="276"/>
      <c r="BF1032" s="394">
        <f>6.0174/0.48</f>
        <v>12.536250000000001</v>
      </c>
      <c r="BG1032" s="389"/>
    </row>
    <row r="1033" spans="1:59" ht="15" customHeight="1" thickBot="1" x14ac:dyDescent="0.25">
      <c r="A1033" s="156">
        <v>1034</v>
      </c>
      <c r="B1033" s="155">
        <v>1</v>
      </c>
      <c r="C1033" s="148" t="s">
        <v>975</v>
      </c>
      <c r="D1033" s="149" t="s">
        <v>3056</v>
      </c>
      <c r="E1033" s="148" t="s">
        <v>13</v>
      </c>
      <c r="F1033" s="151" t="s">
        <v>3124</v>
      </c>
      <c r="G1033" s="151" t="s">
        <v>122</v>
      </c>
      <c r="H1033" s="151" t="s">
        <v>165</v>
      </c>
      <c r="I1033" s="165">
        <v>2006</v>
      </c>
      <c r="J1033" s="165" t="s">
        <v>3125</v>
      </c>
      <c r="K1033" s="165" t="s">
        <v>3126</v>
      </c>
      <c r="L1033" s="165" t="s">
        <v>19</v>
      </c>
      <c r="M1033" s="453" t="s">
        <v>4293</v>
      </c>
      <c r="N1033" s="186" t="s">
        <v>20</v>
      </c>
      <c r="O1033" s="186" t="s">
        <v>292</v>
      </c>
      <c r="P1033" s="186" t="s">
        <v>292</v>
      </c>
      <c r="Q1033" s="186" t="s">
        <v>292</v>
      </c>
      <c r="R1033" s="186" t="s">
        <v>292</v>
      </c>
      <c r="S1033" s="186" t="s">
        <v>292</v>
      </c>
      <c r="T1033" s="186" t="s">
        <v>292</v>
      </c>
      <c r="U1033" s="186" t="s">
        <v>292</v>
      </c>
      <c r="V1033" s="186" t="s">
        <v>292</v>
      </c>
      <c r="W1033" s="186" t="s">
        <v>292</v>
      </c>
      <c r="X1033" s="186" t="s">
        <v>292</v>
      </c>
      <c r="Y1033" s="186" t="s">
        <v>292</v>
      </c>
      <c r="Z1033" s="186"/>
      <c r="AA1033" s="186" t="s">
        <v>3106</v>
      </c>
      <c r="AB1033" s="186" t="s">
        <v>292</v>
      </c>
      <c r="AC1033" s="186" t="s">
        <v>292</v>
      </c>
      <c r="AD1033" s="268" t="s">
        <v>944</v>
      </c>
      <c r="AE1033" s="268" t="s">
        <v>3127</v>
      </c>
      <c r="AF1033" s="144">
        <f t="shared" si="79"/>
        <v>606.2208333333333</v>
      </c>
      <c r="AG1033" s="144" t="str">
        <f t="shared" si="78"/>
        <v/>
      </c>
      <c r="AH1033" s="146">
        <f t="shared" si="80"/>
        <v>22.182083333333331</v>
      </c>
      <c r="AI1033" s="146" t="str">
        <f t="shared" si="81"/>
        <v/>
      </c>
      <c r="AJ1033" s="313"/>
      <c r="AK1033" s="313"/>
      <c r="AL1033" s="313"/>
      <c r="AM1033" s="313"/>
      <c r="AN1033" s="313"/>
      <c r="AO1033" s="313"/>
      <c r="AP1033" s="313"/>
      <c r="AQ1033" s="313"/>
      <c r="AR1033" s="313"/>
      <c r="AS1033" s="289">
        <f>290.986/0.48</f>
        <v>606.2208333333333</v>
      </c>
      <c r="AT1033" s="175"/>
      <c r="AV1033" s="322"/>
      <c r="AW1033" s="276"/>
      <c r="AX1033" s="276"/>
      <c r="AY1033" s="276"/>
      <c r="AZ1033" s="276"/>
      <c r="BA1033" s="276"/>
      <c r="BB1033" s="276"/>
      <c r="BC1033" s="276"/>
      <c r="BD1033" s="276"/>
      <c r="BE1033" s="276"/>
      <c r="BF1033" s="394">
        <f>10.6474/0.48</f>
        <v>22.182083333333331</v>
      </c>
      <c r="BG1033" s="389"/>
    </row>
    <row r="1034" spans="1:59" ht="15" customHeight="1" thickBot="1" x14ac:dyDescent="0.25">
      <c r="A1034" s="156">
        <v>1035</v>
      </c>
      <c r="B1034" s="155">
        <v>1</v>
      </c>
      <c r="C1034" s="148" t="s">
        <v>975</v>
      </c>
      <c r="D1034" s="149" t="s">
        <v>3056</v>
      </c>
      <c r="E1034" s="148" t="s">
        <v>13</v>
      </c>
      <c r="F1034" s="151" t="s">
        <v>3129</v>
      </c>
      <c r="G1034" s="151" t="s">
        <v>122</v>
      </c>
      <c r="H1034" s="151" t="s">
        <v>42</v>
      </c>
      <c r="I1034" s="165">
        <v>2016</v>
      </c>
      <c r="J1034" s="165" t="s">
        <v>3131</v>
      </c>
      <c r="K1034" s="165" t="s">
        <v>3130</v>
      </c>
      <c r="L1034" s="165" t="s">
        <v>19</v>
      </c>
      <c r="M1034" s="453" t="s">
        <v>4294</v>
      </c>
      <c r="N1034" s="186" t="s">
        <v>20</v>
      </c>
      <c r="O1034" s="186" t="s">
        <v>292</v>
      </c>
      <c r="P1034" s="186" t="s">
        <v>292</v>
      </c>
      <c r="Q1034" s="186" t="s">
        <v>292</v>
      </c>
      <c r="R1034" s="186" t="s">
        <v>292</v>
      </c>
      <c r="S1034" s="186" t="s">
        <v>292</v>
      </c>
      <c r="T1034" s="186" t="s">
        <v>292</v>
      </c>
      <c r="U1034" s="186" t="s">
        <v>292</v>
      </c>
      <c r="V1034" s="186" t="s">
        <v>292</v>
      </c>
      <c r="W1034" s="186" t="s">
        <v>292</v>
      </c>
      <c r="X1034" s="186" t="s">
        <v>292</v>
      </c>
      <c r="Y1034" s="186" t="s">
        <v>292</v>
      </c>
      <c r="Z1034" s="186"/>
      <c r="AA1034" s="186" t="s">
        <v>3106</v>
      </c>
      <c r="AB1034" s="186" t="s">
        <v>292</v>
      </c>
      <c r="AC1034" s="186" t="s">
        <v>292</v>
      </c>
      <c r="AD1034" s="268" t="s">
        <v>944</v>
      </c>
      <c r="AE1034" s="268" t="s">
        <v>3132</v>
      </c>
      <c r="AF1034" s="144">
        <f t="shared" si="79"/>
        <v>32.484923076923081</v>
      </c>
      <c r="AG1034" s="144" t="str">
        <f t="shared" si="78"/>
        <v/>
      </c>
      <c r="AH1034" s="146">
        <f t="shared" si="80"/>
        <v>2.247846153846154</v>
      </c>
      <c r="AI1034" s="146" t="str">
        <f t="shared" si="81"/>
        <v/>
      </c>
      <c r="AJ1034" s="313"/>
      <c r="AK1034" s="313"/>
      <c r="AL1034" s="313"/>
      <c r="AM1034" s="313"/>
      <c r="AN1034" s="313"/>
      <c r="AO1034" s="313"/>
      <c r="AP1034" s="313"/>
      <c r="AQ1034" s="313"/>
      <c r="AR1034" s="313"/>
      <c r="AS1034" s="173">
        <f>21.1152/0.65</f>
        <v>32.484923076923081</v>
      </c>
      <c r="AT1034" s="175"/>
      <c r="AV1034" s="322"/>
      <c r="AW1034" s="276"/>
      <c r="AX1034" s="276"/>
      <c r="AY1034" s="276"/>
      <c r="AZ1034" s="276"/>
      <c r="BA1034" s="276"/>
      <c r="BB1034" s="276"/>
      <c r="BC1034" s="276"/>
      <c r="BD1034" s="276"/>
      <c r="BE1034" s="276"/>
      <c r="BF1034" s="394">
        <f>1.4611/0.65</f>
        <v>2.247846153846154</v>
      </c>
      <c r="BG1034" s="389"/>
    </row>
    <row r="1035" spans="1:59" ht="15" customHeight="1" thickBot="1" x14ac:dyDescent="0.25">
      <c r="A1035" s="156">
        <v>1036</v>
      </c>
      <c r="B1035" s="155">
        <v>1</v>
      </c>
      <c r="C1035" s="148" t="s">
        <v>596</v>
      </c>
      <c r="D1035" s="151" t="s">
        <v>2785</v>
      </c>
      <c r="F1035" s="151" t="s">
        <v>3133</v>
      </c>
      <c r="H1035" s="151" t="s">
        <v>633</v>
      </c>
      <c r="I1035" s="165">
        <v>2005</v>
      </c>
      <c r="J1035" s="165" t="s">
        <v>3144</v>
      </c>
      <c r="K1035" s="165" t="s">
        <v>3145</v>
      </c>
      <c r="L1035" s="165" t="s">
        <v>19</v>
      </c>
      <c r="M1035" s="453" t="s">
        <v>4295</v>
      </c>
      <c r="N1035" s="186" t="s">
        <v>20</v>
      </c>
      <c r="Q1035" s="186" t="s">
        <v>20</v>
      </c>
      <c r="R1035" s="186" t="s">
        <v>20</v>
      </c>
      <c r="AC1035" s="186" t="s">
        <v>122</v>
      </c>
      <c r="AE1035" s="268" t="s">
        <v>3143</v>
      </c>
      <c r="AF1035" s="144" t="str">
        <f t="shared" si="79"/>
        <v/>
      </c>
      <c r="AG1035" s="144" t="str">
        <f t="shared" si="78"/>
        <v/>
      </c>
      <c r="AH1035" s="146">
        <f t="shared" si="80"/>
        <v>4.4835491241431782E-2</v>
      </c>
      <c r="AI1035" s="146">
        <f t="shared" si="81"/>
        <v>0.14945163747143969</v>
      </c>
      <c r="AJ1035" s="313"/>
      <c r="AK1035" s="313"/>
      <c r="AL1035" s="313"/>
      <c r="AM1035" s="313"/>
      <c r="AN1035" s="313"/>
      <c r="AO1035" s="313"/>
      <c r="AP1035" s="313"/>
      <c r="AQ1035" s="313"/>
      <c r="AR1035" s="313"/>
      <c r="AS1035" s="287"/>
      <c r="AT1035" s="175"/>
      <c r="AV1035" s="322"/>
      <c r="AW1035" s="281">
        <f>0.0452838461538461/1.01</f>
        <v>4.4835491241431782E-2</v>
      </c>
      <c r="AX1035" s="281"/>
      <c r="AY1035" s="281">
        <f>0.105662307692308/1.01</f>
        <v>0.10461614623000792</v>
      </c>
      <c r="AZ1035" s="281">
        <f>0.603784615384615/1.01</f>
        <v>0.59780654988575743</v>
      </c>
      <c r="BA1035" s="281">
        <v>0</v>
      </c>
      <c r="BB1035" s="276"/>
      <c r="BC1035" s="276"/>
      <c r="BD1035" s="276"/>
      <c r="BE1035" s="276"/>
      <c r="BF1035" s="444">
        <f t="shared" ref="BF1035:BF1066" si="82">AW1035</f>
        <v>4.4835491241431782E-2</v>
      </c>
      <c r="BG1035" s="387">
        <f t="shared" ref="BG1035:BG1059" si="83">SUM(AW1035:BE1035)</f>
        <v>0.74725818735719707</v>
      </c>
    </row>
    <row r="1036" spans="1:59" ht="15" customHeight="1" thickBot="1" x14ac:dyDescent="0.25">
      <c r="A1036" s="156">
        <v>1037</v>
      </c>
      <c r="B1036" s="155">
        <v>1</v>
      </c>
      <c r="C1036" s="148" t="s">
        <v>596</v>
      </c>
      <c r="D1036" s="151" t="s">
        <v>2785</v>
      </c>
      <c r="H1036" s="151" t="s">
        <v>108</v>
      </c>
      <c r="I1036" s="165">
        <v>2014</v>
      </c>
      <c r="J1036" s="165" t="s">
        <v>3146</v>
      </c>
      <c r="K1036" s="165" t="s">
        <v>3147</v>
      </c>
      <c r="L1036" s="165" t="s">
        <v>168</v>
      </c>
      <c r="M1036" s="453" t="s">
        <v>4296</v>
      </c>
      <c r="N1036" s="186" t="s">
        <v>122</v>
      </c>
      <c r="Q1036" s="186" t="s">
        <v>122</v>
      </c>
      <c r="R1036" s="186" t="s">
        <v>122</v>
      </c>
      <c r="S1036" s="186" t="s">
        <v>122</v>
      </c>
      <c r="AC1036" s="186" t="s">
        <v>122</v>
      </c>
      <c r="AE1036" s="268" t="s">
        <v>3143</v>
      </c>
      <c r="AF1036" s="144" t="str">
        <f t="shared" si="79"/>
        <v/>
      </c>
      <c r="AG1036" s="144" t="str">
        <f t="shared" si="78"/>
        <v/>
      </c>
      <c r="AH1036" s="146">
        <f t="shared" si="80"/>
        <v>0.11287128712871287</v>
      </c>
      <c r="AI1036" s="146">
        <f t="shared" si="81"/>
        <v>0.21927128712871288</v>
      </c>
      <c r="AJ1036" s="313"/>
      <c r="AK1036" s="313"/>
      <c r="AL1036" s="313"/>
      <c r="AM1036" s="313"/>
      <c r="AN1036" s="313"/>
      <c r="AO1036" s="313"/>
      <c r="AP1036" s="313"/>
      <c r="AQ1036" s="313"/>
      <c r="AR1036" s="313"/>
      <c r="AS1036" s="287"/>
      <c r="AT1036" s="175"/>
      <c r="AV1036" s="322"/>
      <c r="AW1036" s="281">
        <f>0.114/1.01</f>
        <v>0.11287128712871287</v>
      </c>
      <c r="AX1036" s="281"/>
      <c r="AY1036" s="281">
        <v>0.10640000000000001</v>
      </c>
      <c r="AZ1036" s="281">
        <f>0.0076/1.01</f>
        <v>7.5247524752475245E-3</v>
      </c>
      <c r="BA1036" s="282">
        <f>0.076/1.01</f>
        <v>7.5247524752475245E-2</v>
      </c>
      <c r="BB1036" s="282"/>
      <c r="BC1036" s="282"/>
      <c r="BD1036" s="282">
        <f>0.076/1.01</f>
        <v>7.5247524752475245E-2</v>
      </c>
      <c r="BE1036" s="276"/>
      <c r="BF1036" s="406">
        <f t="shared" si="82"/>
        <v>0.11287128712871287</v>
      </c>
      <c r="BG1036" s="406">
        <f t="shared" si="83"/>
        <v>0.3772910891089109</v>
      </c>
    </row>
    <row r="1037" spans="1:59" ht="15" customHeight="1" thickBot="1" x14ac:dyDescent="0.25">
      <c r="A1037" s="156">
        <v>1038</v>
      </c>
      <c r="B1037" s="155">
        <v>1</v>
      </c>
      <c r="C1037" s="148" t="s">
        <v>596</v>
      </c>
      <c r="D1037" s="151" t="s">
        <v>2785</v>
      </c>
      <c r="F1037" s="248" t="s">
        <v>3134</v>
      </c>
      <c r="H1037" s="151" t="s">
        <v>87</v>
      </c>
      <c r="I1037" s="165">
        <v>2016</v>
      </c>
      <c r="J1037" s="165" t="s">
        <v>3148</v>
      </c>
      <c r="K1037" s="165" t="s">
        <v>3149</v>
      </c>
      <c r="L1037" s="165" t="s">
        <v>19</v>
      </c>
      <c r="M1037" s="453" t="s">
        <v>4297</v>
      </c>
      <c r="N1037" s="186" t="s">
        <v>122</v>
      </c>
      <c r="Q1037" s="186" t="s">
        <v>122</v>
      </c>
      <c r="R1037" s="186" t="s">
        <v>122</v>
      </c>
      <c r="S1037" s="186" t="s">
        <v>122</v>
      </c>
      <c r="AC1037" s="186" t="s">
        <v>122</v>
      </c>
      <c r="AE1037" s="268" t="s">
        <v>3143</v>
      </c>
      <c r="AF1037" s="144" t="str">
        <f t="shared" si="79"/>
        <v/>
      </c>
      <c r="AG1037" s="144" t="str">
        <f t="shared" si="78"/>
        <v/>
      </c>
      <c r="AH1037" s="146">
        <f t="shared" si="80"/>
        <v>0.16712871287128714</v>
      </c>
      <c r="AI1037" s="146">
        <f t="shared" si="81"/>
        <v>0.22910891089108912</v>
      </c>
      <c r="AJ1037" s="313"/>
      <c r="AK1037" s="313"/>
      <c r="AL1037" s="313"/>
      <c r="AM1037" s="313"/>
      <c r="AN1037" s="313"/>
      <c r="AO1037" s="313"/>
      <c r="AP1037" s="313"/>
      <c r="AQ1037" s="313"/>
      <c r="AR1037" s="313"/>
      <c r="AS1037" s="287"/>
      <c r="AT1037" s="175"/>
      <c r="AV1037" s="322"/>
      <c r="AW1037" s="281">
        <f>0.1688/1.01</f>
        <v>0.16712871287128714</v>
      </c>
      <c r="AX1037" s="281"/>
      <c r="AY1037" s="281">
        <f>0.0626/1.01</f>
        <v>6.198019801980198E-2</v>
      </c>
      <c r="AZ1037" s="281">
        <f>0.4962/1.01</f>
        <v>0.49128712871287128</v>
      </c>
      <c r="BA1037" s="281">
        <f>0.0809/1.01</f>
        <v>8.0099009900990101E-2</v>
      </c>
      <c r="BB1037" s="281"/>
      <c r="BC1037" s="281"/>
      <c r="BD1037" s="282">
        <f>0.0057/1.01</f>
        <v>5.6435643564356434E-3</v>
      </c>
      <c r="BE1037" s="281">
        <f>-0.1216/1.01</f>
        <v>-0.12039603960396039</v>
      </c>
      <c r="BF1037" s="406">
        <f t="shared" si="82"/>
        <v>0.16712871287128714</v>
      </c>
      <c r="BG1037" s="406">
        <f t="shared" si="83"/>
        <v>0.68574257425742569</v>
      </c>
    </row>
    <row r="1038" spans="1:59" ht="15" customHeight="1" thickBot="1" x14ac:dyDescent="0.25">
      <c r="A1038" s="156">
        <v>1039</v>
      </c>
      <c r="B1038" s="155">
        <v>1</v>
      </c>
      <c r="C1038" s="148" t="s">
        <v>596</v>
      </c>
      <c r="D1038" s="151" t="s">
        <v>2785</v>
      </c>
      <c r="F1038" s="248" t="s">
        <v>3135</v>
      </c>
      <c r="H1038" s="151" t="s">
        <v>87</v>
      </c>
      <c r="I1038" s="165">
        <v>2016</v>
      </c>
      <c r="J1038" s="165" t="s">
        <v>3148</v>
      </c>
      <c r="K1038" s="165" t="s">
        <v>3149</v>
      </c>
      <c r="L1038" s="165" t="s">
        <v>19</v>
      </c>
      <c r="M1038" s="453" t="s">
        <v>4297</v>
      </c>
      <c r="N1038" s="186" t="s">
        <v>122</v>
      </c>
      <c r="Q1038" s="186" t="s">
        <v>122</v>
      </c>
      <c r="R1038" s="186" t="s">
        <v>122</v>
      </c>
      <c r="S1038" s="186" t="s">
        <v>122</v>
      </c>
      <c r="AC1038" s="186" t="s">
        <v>122</v>
      </c>
      <c r="AE1038" s="268" t="s">
        <v>3143</v>
      </c>
      <c r="AF1038" s="144" t="str">
        <f t="shared" si="79"/>
        <v/>
      </c>
      <c r="AG1038" s="144" t="str">
        <f t="shared" si="78"/>
        <v/>
      </c>
      <c r="AH1038" s="146">
        <f t="shared" si="80"/>
        <v>0.16712871287128714</v>
      </c>
      <c r="AI1038" s="146">
        <f t="shared" si="81"/>
        <v>0.22910891089108912</v>
      </c>
      <c r="AJ1038" s="313"/>
      <c r="AK1038" s="313"/>
      <c r="AL1038" s="313"/>
      <c r="AM1038" s="313"/>
      <c r="AN1038" s="313"/>
      <c r="AO1038" s="313"/>
      <c r="AP1038" s="313"/>
      <c r="AQ1038" s="313"/>
      <c r="AR1038" s="313"/>
      <c r="AS1038" s="287"/>
      <c r="AT1038" s="175"/>
      <c r="AV1038" s="322"/>
      <c r="AW1038" s="281">
        <f>0.1688/1.01</f>
        <v>0.16712871287128714</v>
      </c>
      <c r="AX1038" s="281"/>
      <c r="AY1038" s="281">
        <f>0.0626/1.01</f>
        <v>6.198019801980198E-2</v>
      </c>
      <c r="AZ1038" s="281">
        <f>0.0401/1.01</f>
        <v>3.9702970297029697E-2</v>
      </c>
      <c r="BA1038" s="282">
        <f>0.0926/1.01</f>
        <v>9.1683168316831681E-2</v>
      </c>
      <c r="BB1038" s="282"/>
      <c r="BC1038" s="282"/>
      <c r="BD1038" s="282">
        <f>0.0061/1.01</f>
        <v>6.0396039603960398E-3</v>
      </c>
      <c r="BE1038" s="281">
        <f>-0.1216/1.01</f>
        <v>-0.12039603960396039</v>
      </c>
      <c r="BF1038" s="406">
        <f t="shared" si="82"/>
        <v>0.16712871287128714</v>
      </c>
      <c r="BG1038" s="406">
        <f t="shared" si="83"/>
        <v>0.24613861386138614</v>
      </c>
    </row>
    <row r="1039" spans="1:59" ht="15" customHeight="1" thickBot="1" x14ac:dyDescent="0.25">
      <c r="A1039" s="156">
        <v>1040</v>
      </c>
      <c r="B1039" s="155">
        <v>1</v>
      </c>
      <c r="C1039" s="148" t="s">
        <v>596</v>
      </c>
      <c r="D1039" s="151" t="s">
        <v>2785</v>
      </c>
      <c r="F1039" s="248" t="s">
        <v>3136</v>
      </c>
      <c r="H1039" s="151" t="s">
        <v>87</v>
      </c>
      <c r="I1039" s="165">
        <v>2016</v>
      </c>
      <c r="J1039" s="165" t="s">
        <v>3148</v>
      </c>
      <c r="K1039" s="165" t="s">
        <v>3149</v>
      </c>
      <c r="L1039" s="165" t="s">
        <v>19</v>
      </c>
      <c r="M1039" s="453" t="s">
        <v>4297</v>
      </c>
      <c r="N1039" s="186" t="s">
        <v>122</v>
      </c>
      <c r="Q1039" s="186" t="s">
        <v>122</v>
      </c>
      <c r="R1039" s="186" t="s">
        <v>122</v>
      </c>
      <c r="S1039" s="186" t="s">
        <v>122</v>
      </c>
      <c r="AC1039" s="186" t="s">
        <v>122</v>
      </c>
      <c r="AE1039" s="268" t="s">
        <v>3143</v>
      </c>
      <c r="AF1039" s="144" t="str">
        <f t="shared" si="79"/>
        <v/>
      </c>
      <c r="AG1039" s="144" t="str">
        <f t="shared" si="78"/>
        <v/>
      </c>
      <c r="AH1039" s="146">
        <f t="shared" si="80"/>
        <v>0.16712871287128714</v>
      </c>
      <c r="AI1039" s="146">
        <f t="shared" si="81"/>
        <v>0.22910891089108912</v>
      </c>
      <c r="AJ1039" s="313"/>
      <c r="AK1039" s="313"/>
      <c r="AL1039" s="313"/>
      <c r="AM1039" s="313"/>
      <c r="AN1039" s="313"/>
      <c r="AO1039" s="313"/>
      <c r="AP1039" s="313"/>
      <c r="AQ1039" s="313"/>
      <c r="AR1039" s="313"/>
      <c r="AS1039" s="287"/>
      <c r="AT1039" s="175"/>
      <c r="AV1039" s="322"/>
      <c r="AW1039" s="281">
        <f>0.1688/1.01</f>
        <v>0.16712871287128714</v>
      </c>
      <c r="AX1039" s="281"/>
      <c r="AY1039" s="281">
        <f>0.0626/1.01</f>
        <v>6.198019801980198E-2</v>
      </c>
      <c r="AZ1039" s="281">
        <f>0.3548/1.01</f>
        <v>0.35128712871287127</v>
      </c>
      <c r="BA1039" s="281">
        <f>0.0971/1.01</f>
        <v>9.6138613861386141E-2</v>
      </c>
      <c r="BB1039" s="281"/>
      <c r="BC1039" s="281"/>
      <c r="BD1039" s="282">
        <f>0.0058/1.01</f>
        <v>5.7425742574257425E-3</v>
      </c>
      <c r="BE1039" s="281">
        <f>-0.1216/1.01</f>
        <v>-0.12039603960396039</v>
      </c>
      <c r="BF1039" s="406">
        <f t="shared" si="82"/>
        <v>0.16712871287128714</v>
      </c>
      <c r="BG1039" s="406">
        <f t="shared" si="83"/>
        <v>0.56188118811881183</v>
      </c>
    </row>
    <row r="1040" spans="1:59" ht="15" customHeight="1" thickBot="1" x14ac:dyDescent="0.25">
      <c r="A1040" s="156">
        <v>1041</v>
      </c>
      <c r="B1040" s="155">
        <v>1</v>
      </c>
      <c r="C1040" s="148" t="s">
        <v>596</v>
      </c>
      <c r="D1040" s="151" t="s">
        <v>2785</v>
      </c>
      <c r="F1040" s="248" t="s">
        <v>3136</v>
      </c>
      <c r="H1040" s="151" t="s">
        <v>87</v>
      </c>
      <c r="I1040" s="165">
        <v>2016</v>
      </c>
      <c r="J1040" s="165" t="s">
        <v>3148</v>
      </c>
      <c r="K1040" s="165" t="s">
        <v>3149</v>
      </c>
      <c r="L1040" s="165" t="s">
        <v>19</v>
      </c>
      <c r="M1040" s="453" t="s">
        <v>4297</v>
      </c>
      <c r="N1040" s="186" t="s">
        <v>122</v>
      </c>
      <c r="Q1040" s="186" t="s">
        <v>122</v>
      </c>
      <c r="R1040" s="186" t="s">
        <v>122</v>
      </c>
      <c r="S1040" s="186" t="s">
        <v>122</v>
      </c>
      <c r="AC1040" s="186" t="s">
        <v>122</v>
      </c>
      <c r="AE1040" s="268" t="s">
        <v>3143</v>
      </c>
      <c r="AF1040" s="144" t="str">
        <f t="shared" si="79"/>
        <v/>
      </c>
      <c r="AG1040" s="144" t="str">
        <f t="shared" si="78"/>
        <v/>
      </c>
      <c r="AH1040" s="146">
        <f t="shared" si="80"/>
        <v>0.16712871287128714</v>
      </c>
      <c r="AI1040" s="146">
        <f t="shared" si="81"/>
        <v>0.22910891089108912</v>
      </c>
      <c r="AJ1040" s="313"/>
      <c r="AK1040" s="313"/>
      <c r="AL1040" s="313"/>
      <c r="AM1040" s="313"/>
      <c r="AN1040" s="313"/>
      <c r="AO1040" s="313"/>
      <c r="AP1040" s="313"/>
      <c r="AQ1040" s="313"/>
      <c r="AR1040" s="313"/>
      <c r="AS1040" s="287"/>
      <c r="AT1040" s="175"/>
      <c r="AV1040" s="322"/>
      <c r="AW1040" s="281">
        <f>0.1688/1.01</f>
        <v>0.16712871287128714</v>
      </c>
      <c r="AX1040" s="281"/>
      <c r="AY1040" s="281">
        <f>0.0626/1.01</f>
        <v>6.198019801980198E-2</v>
      </c>
      <c r="AZ1040" s="281">
        <f>0.4433/1.01</f>
        <v>0.43891089108910891</v>
      </c>
      <c r="BA1040" s="281">
        <f>0.1067/1.01</f>
        <v>0.10564356435643564</v>
      </c>
      <c r="BB1040" s="281"/>
      <c r="BC1040" s="281"/>
      <c r="BD1040" s="282">
        <f>0.0058/1.01</f>
        <v>5.7425742574257425E-3</v>
      </c>
      <c r="BE1040" s="281">
        <f>-0.1216/1.01</f>
        <v>-0.12039603960396039</v>
      </c>
      <c r="BF1040" s="406">
        <f t="shared" si="82"/>
        <v>0.16712871287128714</v>
      </c>
      <c r="BG1040" s="406">
        <f t="shared" si="83"/>
        <v>0.65900990099009904</v>
      </c>
    </row>
    <row r="1041" spans="1:59" ht="15" customHeight="1" thickBot="1" x14ac:dyDescent="0.25">
      <c r="A1041" s="156">
        <v>1042</v>
      </c>
      <c r="B1041" s="155">
        <v>1</v>
      </c>
      <c r="C1041" s="148" t="s">
        <v>596</v>
      </c>
      <c r="D1041" s="151" t="s">
        <v>2785</v>
      </c>
      <c r="F1041" s="248" t="s">
        <v>3136</v>
      </c>
      <c r="H1041" s="151" t="s">
        <v>87</v>
      </c>
      <c r="I1041" s="165">
        <v>2016</v>
      </c>
      <c r="J1041" s="165" t="s">
        <v>3148</v>
      </c>
      <c r="K1041" s="165" t="s">
        <v>3149</v>
      </c>
      <c r="L1041" s="165" t="s">
        <v>19</v>
      </c>
      <c r="M1041" s="453" t="s">
        <v>4297</v>
      </c>
      <c r="N1041" s="186" t="s">
        <v>122</v>
      </c>
      <c r="Q1041" s="186" t="s">
        <v>122</v>
      </c>
      <c r="R1041" s="186" t="s">
        <v>122</v>
      </c>
      <c r="S1041" s="186" t="s">
        <v>122</v>
      </c>
      <c r="AC1041" s="186" t="s">
        <v>122</v>
      </c>
      <c r="AE1041" s="268" t="s">
        <v>3143</v>
      </c>
      <c r="AF1041" s="144" t="str">
        <f t="shared" si="79"/>
        <v/>
      </c>
      <c r="AG1041" s="144" t="str">
        <f t="shared" si="78"/>
        <v/>
      </c>
      <c r="AH1041" s="146">
        <f t="shared" si="80"/>
        <v>0.16712871287128714</v>
      </c>
      <c r="AI1041" s="146">
        <f t="shared" si="81"/>
        <v>0.22910891089108912</v>
      </c>
      <c r="AJ1041" s="313"/>
      <c r="AK1041" s="313"/>
      <c r="AL1041" s="313"/>
      <c r="AM1041" s="313"/>
      <c r="AN1041" s="313"/>
      <c r="AO1041" s="313"/>
      <c r="AP1041" s="313"/>
      <c r="AQ1041" s="313"/>
      <c r="AR1041" s="313"/>
      <c r="AS1041" s="287"/>
      <c r="AT1041" s="175"/>
      <c r="AV1041" s="322"/>
      <c r="AW1041" s="281">
        <f>0.1688/1.01</f>
        <v>0.16712871287128714</v>
      </c>
      <c r="AX1041" s="281"/>
      <c r="AY1041" s="281">
        <f>0.0626/1.01</f>
        <v>6.198019801980198E-2</v>
      </c>
      <c r="AZ1041" s="281">
        <f>0.5048/1.01</f>
        <v>0.4998019801980198</v>
      </c>
      <c r="BA1041" s="281">
        <f>0.1237/1.01</f>
        <v>0.12247524752475247</v>
      </c>
      <c r="BB1041" s="281"/>
      <c r="BC1041" s="281"/>
      <c r="BD1041" s="282">
        <f>0.0058/1.01</f>
        <v>5.7425742574257425E-3</v>
      </c>
      <c r="BE1041" s="281">
        <f>-0.1216/1.01</f>
        <v>-0.12039603960396039</v>
      </c>
      <c r="BF1041" s="406">
        <f t="shared" si="82"/>
        <v>0.16712871287128714</v>
      </c>
      <c r="BG1041" s="406">
        <f t="shared" si="83"/>
        <v>0.73673267326732672</v>
      </c>
    </row>
    <row r="1042" spans="1:59" ht="15" customHeight="1" thickBot="1" x14ac:dyDescent="0.25">
      <c r="A1042" s="156">
        <v>1043</v>
      </c>
      <c r="B1042" s="155">
        <v>1</v>
      </c>
      <c r="C1042" s="148" t="s">
        <v>596</v>
      </c>
      <c r="D1042" s="151" t="s">
        <v>2785</v>
      </c>
      <c r="F1042" s="151" t="s">
        <v>3137</v>
      </c>
      <c r="H1042" s="151" t="s">
        <v>1436</v>
      </c>
      <c r="I1042" s="165">
        <v>2014</v>
      </c>
      <c r="J1042" s="165" t="s">
        <v>3150</v>
      </c>
      <c r="K1042" s="165" t="s">
        <v>3151</v>
      </c>
      <c r="L1042" s="258" t="s">
        <v>83</v>
      </c>
      <c r="M1042" s="453" t="s">
        <v>4298</v>
      </c>
      <c r="N1042" s="186" t="s">
        <v>122</v>
      </c>
      <c r="Q1042" s="186" t="s">
        <v>122</v>
      </c>
      <c r="R1042" s="186" t="s">
        <v>122</v>
      </c>
      <c r="S1042" s="186" t="s">
        <v>122</v>
      </c>
      <c r="AC1042" s="186" t="s">
        <v>292</v>
      </c>
      <c r="AE1042" s="268" t="s">
        <v>3143</v>
      </c>
      <c r="AF1042" s="144" t="str">
        <f t="shared" si="79"/>
        <v/>
      </c>
      <c r="AG1042" s="144" t="str">
        <f t="shared" si="78"/>
        <v/>
      </c>
      <c r="AH1042" s="146">
        <f t="shared" si="80"/>
        <v>5.6336633663366338E-2</v>
      </c>
      <c r="AI1042" s="146">
        <f t="shared" si="81"/>
        <v>6.5386138613861389E-2</v>
      </c>
      <c r="AJ1042" s="313"/>
      <c r="AK1042" s="313"/>
      <c r="AL1042" s="313"/>
      <c r="AM1042" s="313"/>
      <c r="AN1042" s="313"/>
      <c r="AO1042" s="313"/>
      <c r="AP1042" s="313"/>
      <c r="AQ1042" s="313"/>
      <c r="AR1042" s="313"/>
      <c r="AS1042" s="287"/>
      <c r="AT1042" s="175"/>
      <c r="AV1042" s="322"/>
      <c r="AW1042" s="281">
        <f>0.0569/1.01</f>
        <v>5.6336633663366338E-2</v>
      </c>
      <c r="AX1042" s="276"/>
      <c r="AY1042" s="281">
        <f t="shared" ref="AY1042:AY1047" si="84">0.00914/1.01</f>
        <v>9.0495049504950506E-3</v>
      </c>
      <c r="AZ1042" s="281">
        <f>0.3704/1.01</f>
        <v>0.36673267326732673</v>
      </c>
      <c r="BA1042" s="282">
        <f t="shared" ref="BA1042:BA1047" si="85">0.0051/1.01</f>
        <v>5.0495049504950497E-3</v>
      </c>
      <c r="BB1042" s="276"/>
      <c r="BC1042" s="276"/>
      <c r="BD1042" s="276"/>
      <c r="BE1042" s="276"/>
      <c r="BF1042" s="406">
        <f t="shared" si="82"/>
        <v>5.6336633663366338E-2</v>
      </c>
      <c r="BG1042" s="406">
        <f t="shared" si="83"/>
        <v>0.43716831683168317</v>
      </c>
    </row>
    <row r="1043" spans="1:59" ht="15" customHeight="1" thickBot="1" x14ac:dyDescent="0.25">
      <c r="A1043" s="156">
        <v>1044</v>
      </c>
      <c r="B1043" s="155">
        <v>1</v>
      </c>
      <c r="C1043" s="148" t="s">
        <v>596</v>
      </c>
      <c r="D1043" s="151" t="s">
        <v>2785</v>
      </c>
      <c r="F1043" s="151" t="s">
        <v>3138</v>
      </c>
      <c r="H1043" s="151" t="s">
        <v>1436</v>
      </c>
      <c r="I1043" s="165">
        <v>2014</v>
      </c>
      <c r="J1043" s="165" t="s">
        <v>3150</v>
      </c>
      <c r="K1043" s="165" t="s">
        <v>3151</v>
      </c>
      <c r="L1043" s="258" t="s">
        <v>83</v>
      </c>
      <c r="M1043" s="453" t="s">
        <v>4298</v>
      </c>
      <c r="N1043" s="186" t="s">
        <v>122</v>
      </c>
      <c r="Q1043" s="186" t="s">
        <v>122</v>
      </c>
      <c r="R1043" s="186" t="s">
        <v>122</v>
      </c>
      <c r="S1043" s="186" t="s">
        <v>122</v>
      </c>
      <c r="AC1043" s="186" t="s">
        <v>292</v>
      </c>
      <c r="AE1043" s="268" t="s">
        <v>3143</v>
      </c>
      <c r="AF1043" s="144" t="str">
        <f t="shared" si="79"/>
        <v/>
      </c>
      <c r="AG1043" s="144" t="str">
        <f t="shared" ref="AG1043:AG1106" si="86">IF(AND(SUM(AJ1043:AL1043)&lt;&gt;0,SUM(AJ1043:AL1043)&lt;&gt;AJ1043),SUM(AJ1043:AL1043),"")</f>
        <v/>
      </c>
      <c r="AH1043" s="146">
        <f t="shared" si="80"/>
        <v>5.6336633663366338E-2</v>
      </c>
      <c r="AI1043" s="146">
        <f t="shared" si="81"/>
        <v>6.5386138613861389E-2</v>
      </c>
      <c r="AJ1043" s="313"/>
      <c r="AK1043" s="313"/>
      <c r="AL1043" s="313"/>
      <c r="AM1043" s="313"/>
      <c r="AN1043" s="313"/>
      <c r="AO1043" s="313"/>
      <c r="AP1043" s="313"/>
      <c r="AQ1043" s="313"/>
      <c r="AR1043" s="313"/>
      <c r="AS1043" s="287"/>
      <c r="AT1043" s="175"/>
      <c r="AV1043" s="322"/>
      <c r="AW1043" s="281">
        <f>0.0569/1.01</f>
        <v>5.6336633663366338E-2</v>
      </c>
      <c r="AX1043" s="276"/>
      <c r="AY1043" s="281">
        <f t="shared" si="84"/>
        <v>9.0495049504950506E-3</v>
      </c>
      <c r="AZ1043" s="281">
        <f>0.021/1.01</f>
        <v>2.0792079207920793E-2</v>
      </c>
      <c r="BA1043" s="282">
        <f t="shared" si="85"/>
        <v>5.0495049504950497E-3</v>
      </c>
      <c r="BB1043" s="276"/>
      <c r="BC1043" s="276"/>
      <c r="BD1043" s="276"/>
      <c r="BE1043" s="276"/>
      <c r="BF1043" s="406">
        <f t="shared" si="82"/>
        <v>5.6336633663366338E-2</v>
      </c>
      <c r="BG1043" s="406">
        <f t="shared" si="83"/>
        <v>9.1227722772277239E-2</v>
      </c>
    </row>
    <row r="1044" spans="1:59" ht="15" customHeight="1" thickBot="1" x14ac:dyDescent="0.25">
      <c r="A1044" s="156">
        <v>1045</v>
      </c>
      <c r="B1044" s="155">
        <v>1</v>
      </c>
      <c r="C1044" s="148" t="s">
        <v>596</v>
      </c>
      <c r="D1044" s="151" t="s">
        <v>2785</v>
      </c>
      <c r="F1044" s="151" t="s">
        <v>3139</v>
      </c>
      <c r="H1044" s="151" t="s">
        <v>1436</v>
      </c>
      <c r="I1044" s="165">
        <v>2014</v>
      </c>
      <c r="J1044" s="165" t="s">
        <v>3150</v>
      </c>
      <c r="K1044" s="165" t="s">
        <v>3151</v>
      </c>
      <c r="L1044" s="258" t="s">
        <v>83</v>
      </c>
      <c r="M1044" s="453" t="s">
        <v>4298</v>
      </c>
      <c r="N1044" s="186" t="s">
        <v>122</v>
      </c>
      <c r="Q1044" s="186" t="s">
        <v>122</v>
      </c>
      <c r="R1044" s="186" t="s">
        <v>122</v>
      </c>
      <c r="S1044" s="186" t="s">
        <v>122</v>
      </c>
      <c r="AC1044" s="186" t="s">
        <v>292</v>
      </c>
      <c r="AE1044" s="268" t="s">
        <v>3143</v>
      </c>
      <c r="AF1044" s="144" t="str">
        <f t="shared" si="79"/>
        <v/>
      </c>
      <c r="AG1044" s="144" t="str">
        <f t="shared" si="86"/>
        <v/>
      </c>
      <c r="AH1044" s="146">
        <f t="shared" si="80"/>
        <v>5.6336633663366338E-2</v>
      </c>
      <c r="AI1044" s="146">
        <f t="shared" si="81"/>
        <v>6.5386138613861389E-2</v>
      </c>
      <c r="AJ1044" s="313"/>
      <c r="AK1044" s="313"/>
      <c r="AL1044" s="313"/>
      <c r="AM1044" s="313"/>
      <c r="AN1044" s="313"/>
      <c r="AO1044" s="313"/>
      <c r="AP1044" s="313"/>
      <c r="AQ1044" s="313"/>
      <c r="AR1044" s="313"/>
      <c r="AS1044" s="287"/>
      <c r="AT1044" s="175"/>
      <c r="AV1044" s="322"/>
      <c r="AW1044" s="281">
        <f>0.0569/1.01</f>
        <v>5.6336633663366338E-2</v>
      </c>
      <c r="AX1044" s="276"/>
      <c r="AY1044" s="281">
        <f t="shared" si="84"/>
        <v>9.0495049504950506E-3</v>
      </c>
      <c r="AZ1044" s="281">
        <f>0.0808/1.01</f>
        <v>0.08</v>
      </c>
      <c r="BA1044" s="282">
        <f t="shared" si="85"/>
        <v>5.0495049504950497E-3</v>
      </c>
      <c r="BB1044" s="276"/>
      <c r="BC1044" s="276"/>
      <c r="BD1044" s="276"/>
      <c r="BE1044" s="276"/>
      <c r="BF1044" s="406">
        <f t="shared" si="82"/>
        <v>5.6336633663366338E-2</v>
      </c>
      <c r="BG1044" s="406">
        <f t="shared" si="83"/>
        <v>0.15043564356435646</v>
      </c>
    </row>
    <row r="1045" spans="1:59" ht="15" customHeight="1" thickBot="1" x14ac:dyDescent="0.25">
      <c r="A1045" s="156">
        <v>1046</v>
      </c>
      <c r="B1045" s="155">
        <v>1</v>
      </c>
      <c r="C1045" s="148" t="s">
        <v>596</v>
      </c>
      <c r="D1045" s="151" t="s">
        <v>2785</v>
      </c>
      <c r="F1045" s="151" t="s">
        <v>3140</v>
      </c>
      <c r="H1045" s="151" t="s">
        <v>1436</v>
      </c>
      <c r="I1045" s="165">
        <v>2014</v>
      </c>
      <c r="J1045" s="165" t="s">
        <v>3150</v>
      </c>
      <c r="K1045" s="165" t="s">
        <v>3151</v>
      </c>
      <c r="L1045" s="258" t="s">
        <v>83</v>
      </c>
      <c r="M1045" s="453" t="s">
        <v>4298</v>
      </c>
      <c r="N1045" s="186" t="s">
        <v>122</v>
      </c>
      <c r="Q1045" s="186" t="s">
        <v>122</v>
      </c>
      <c r="R1045" s="186" t="s">
        <v>122</v>
      </c>
      <c r="S1045" s="186" t="s">
        <v>122</v>
      </c>
      <c r="AC1045" s="186" t="s">
        <v>292</v>
      </c>
      <c r="AE1045" s="268" t="s">
        <v>3143</v>
      </c>
      <c r="AF1045" s="144" t="str">
        <f t="shared" si="79"/>
        <v/>
      </c>
      <c r="AG1045" s="144" t="str">
        <f t="shared" si="86"/>
        <v/>
      </c>
      <c r="AH1045" s="146">
        <f t="shared" si="80"/>
        <v>7.0594059405940601E-2</v>
      </c>
      <c r="AI1045" s="146">
        <f t="shared" si="81"/>
        <v>7.9643564356435659E-2</v>
      </c>
      <c r="AJ1045" s="313"/>
      <c r="AK1045" s="313"/>
      <c r="AL1045" s="313"/>
      <c r="AM1045" s="313"/>
      <c r="AN1045" s="313"/>
      <c r="AO1045" s="313"/>
      <c r="AP1045" s="313"/>
      <c r="AQ1045" s="313"/>
      <c r="AR1045" s="313"/>
      <c r="AS1045" s="287"/>
      <c r="AT1045" s="175"/>
      <c r="AV1045" s="322"/>
      <c r="AW1045" s="276">
        <f>0.0713/1.01</f>
        <v>7.0594059405940601E-2</v>
      </c>
      <c r="AX1045" s="276"/>
      <c r="AY1045" s="281">
        <f t="shared" si="84"/>
        <v>9.0495049504950506E-3</v>
      </c>
      <c r="AZ1045" s="276">
        <f>0.3704/1.01</f>
        <v>0.36673267326732673</v>
      </c>
      <c r="BA1045" s="282">
        <f t="shared" si="85"/>
        <v>5.0495049504950497E-3</v>
      </c>
      <c r="BB1045" s="276"/>
      <c r="BC1045" s="276"/>
      <c r="BD1045" s="276"/>
      <c r="BE1045" s="276"/>
      <c r="BF1045" s="406">
        <f t="shared" si="82"/>
        <v>7.0594059405940601E-2</v>
      </c>
      <c r="BG1045" s="406">
        <f t="shared" si="83"/>
        <v>0.45142574257425744</v>
      </c>
    </row>
    <row r="1046" spans="1:59" ht="15" customHeight="1" thickBot="1" x14ac:dyDescent="0.25">
      <c r="A1046" s="156">
        <v>1047</v>
      </c>
      <c r="B1046" s="155">
        <v>1</v>
      </c>
      <c r="C1046" s="148" t="s">
        <v>596</v>
      </c>
      <c r="D1046" s="151" t="s">
        <v>2785</v>
      </c>
      <c r="F1046" s="151" t="s">
        <v>3141</v>
      </c>
      <c r="H1046" s="151" t="s">
        <v>1436</v>
      </c>
      <c r="I1046" s="165">
        <v>2014</v>
      </c>
      <c r="J1046" s="165" t="s">
        <v>3150</v>
      </c>
      <c r="K1046" s="165" t="s">
        <v>3151</v>
      </c>
      <c r="L1046" s="258" t="s">
        <v>83</v>
      </c>
      <c r="M1046" s="453" t="s">
        <v>4298</v>
      </c>
      <c r="N1046" s="186" t="s">
        <v>122</v>
      </c>
      <c r="Q1046" s="186" t="s">
        <v>122</v>
      </c>
      <c r="R1046" s="186" t="s">
        <v>122</v>
      </c>
      <c r="S1046" s="186" t="s">
        <v>122</v>
      </c>
      <c r="AC1046" s="186" t="s">
        <v>292</v>
      </c>
      <c r="AE1046" s="268" t="s">
        <v>3143</v>
      </c>
      <c r="AF1046" s="144" t="str">
        <f t="shared" si="79"/>
        <v/>
      </c>
      <c r="AG1046" s="144" t="str">
        <f t="shared" si="86"/>
        <v/>
      </c>
      <c r="AH1046" s="146">
        <f t="shared" si="80"/>
        <v>7.0594059405940601E-2</v>
      </c>
      <c r="AI1046" s="146">
        <f t="shared" si="81"/>
        <v>7.9643564356435659E-2</v>
      </c>
      <c r="AJ1046" s="313"/>
      <c r="AK1046" s="313"/>
      <c r="AL1046" s="313"/>
      <c r="AM1046" s="313"/>
      <c r="AN1046" s="313"/>
      <c r="AO1046" s="313"/>
      <c r="AP1046" s="313"/>
      <c r="AQ1046" s="313"/>
      <c r="AR1046" s="313"/>
      <c r="AS1046" s="287"/>
      <c r="AT1046" s="175"/>
      <c r="AV1046" s="322"/>
      <c r="AW1046" s="276">
        <f>0.0713/1.01</f>
        <v>7.0594059405940601E-2</v>
      </c>
      <c r="AX1046" s="276"/>
      <c r="AY1046" s="281">
        <f t="shared" si="84"/>
        <v>9.0495049504950506E-3</v>
      </c>
      <c r="AZ1046" s="276">
        <f>0.021/1.01</f>
        <v>2.0792079207920793E-2</v>
      </c>
      <c r="BA1046" s="282">
        <f t="shared" si="85"/>
        <v>5.0495049504950497E-3</v>
      </c>
      <c r="BB1046" s="276"/>
      <c r="BC1046" s="276"/>
      <c r="BD1046" s="276"/>
      <c r="BE1046" s="276"/>
      <c r="BF1046" s="406">
        <f t="shared" si="82"/>
        <v>7.0594059405940601E-2</v>
      </c>
      <c r="BG1046" s="406">
        <f t="shared" si="83"/>
        <v>0.10548514851485151</v>
      </c>
    </row>
    <row r="1047" spans="1:59" ht="15" customHeight="1" thickBot="1" x14ac:dyDescent="0.25">
      <c r="A1047" s="156">
        <v>1048</v>
      </c>
      <c r="B1047" s="155">
        <v>1</v>
      </c>
      <c r="C1047" s="148" t="s">
        <v>596</v>
      </c>
      <c r="D1047" s="151" t="s">
        <v>2785</v>
      </c>
      <c r="F1047" s="151" t="s">
        <v>3142</v>
      </c>
      <c r="H1047" s="151" t="s">
        <v>1436</v>
      </c>
      <c r="I1047" s="165">
        <v>2014</v>
      </c>
      <c r="J1047" s="165" t="s">
        <v>3150</v>
      </c>
      <c r="K1047" s="165" t="s">
        <v>3151</v>
      </c>
      <c r="L1047" s="258" t="s">
        <v>83</v>
      </c>
      <c r="M1047" s="453" t="s">
        <v>4298</v>
      </c>
      <c r="N1047" s="186" t="s">
        <v>122</v>
      </c>
      <c r="Q1047" s="186" t="s">
        <v>122</v>
      </c>
      <c r="R1047" s="186" t="s">
        <v>122</v>
      </c>
      <c r="S1047" s="186" t="s">
        <v>122</v>
      </c>
      <c r="AC1047" s="186" t="s">
        <v>292</v>
      </c>
      <c r="AE1047" s="268" t="s">
        <v>3143</v>
      </c>
      <c r="AF1047" s="144" t="str">
        <f t="shared" si="79"/>
        <v/>
      </c>
      <c r="AG1047" s="144" t="str">
        <f t="shared" si="86"/>
        <v/>
      </c>
      <c r="AH1047" s="146">
        <f t="shared" si="80"/>
        <v>7.0594059405940601E-2</v>
      </c>
      <c r="AI1047" s="146">
        <f t="shared" si="81"/>
        <v>7.9643564356435659E-2</v>
      </c>
      <c r="AJ1047" s="313"/>
      <c r="AK1047" s="313"/>
      <c r="AL1047" s="313"/>
      <c r="AM1047" s="313"/>
      <c r="AN1047" s="313"/>
      <c r="AO1047" s="313"/>
      <c r="AP1047" s="313"/>
      <c r="AQ1047" s="313"/>
      <c r="AR1047" s="313"/>
      <c r="AS1047" s="287"/>
      <c r="AT1047" s="175"/>
      <c r="AV1047" s="322"/>
      <c r="AW1047" s="276">
        <f>0.0713/1.01</f>
        <v>7.0594059405940601E-2</v>
      </c>
      <c r="AX1047" s="276"/>
      <c r="AY1047" s="281">
        <f t="shared" si="84"/>
        <v>9.0495049504950506E-3</v>
      </c>
      <c r="AZ1047" s="281">
        <f>0.0808/1.01</f>
        <v>0.08</v>
      </c>
      <c r="BA1047" s="282">
        <f t="shared" si="85"/>
        <v>5.0495049504950497E-3</v>
      </c>
      <c r="BB1047" s="276"/>
      <c r="BC1047" s="276"/>
      <c r="BD1047" s="276"/>
      <c r="BE1047" s="276"/>
      <c r="BF1047" s="406">
        <f t="shared" si="82"/>
        <v>7.0594059405940601E-2</v>
      </c>
      <c r="BG1047" s="406">
        <f t="shared" si="83"/>
        <v>0.16469306930693073</v>
      </c>
    </row>
    <row r="1048" spans="1:59" ht="15" customHeight="1" thickBot="1" x14ac:dyDescent="0.25">
      <c r="A1048" s="156">
        <v>1049</v>
      </c>
      <c r="B1048" s="155">
        <v>1</v>
      </c>
      <c r="C1048" s="148" t="s">
        <v>24</v>
      </c>
      <c r="D1048" s="151" t="s">
        <v>2931</v>
      </c>
      <c r="H1048" s="151" t="s">
        <v>108</v>
      </c>
      <c r="I1048" s="165">
        <v>2009</v>
      </c>
      <c r="J1048" s="165" t="s">
        <v>3152</v>
      </c>
      <c r="K1048" s="165" t="s">
        <v>3153</v>
      </c>
      <c r="L1048" s="258" t="s">
        <v>83</v>
      </c>
      <c r="M1048" s="453" t="s">
        <v>4299</v>
      </c>
      <c r="N1048" s="186" t="s">
        <v>122</v>
      </c>
      <c r="O1048" s="241" t="s">
        <v>292</v>
      </c>
      <c r="P1048" s="241" t="s">
        <v>292</v>
      </c>
      <c r="Q1048" s="186" t="s">
        <v>122</v>
      </c>
      <c r="R1048" s="186" t="s">
        <v>122</v>
      </c>
      <c r="S1048" s="186" t="s">
        <v>122</v>
      </c>
      <c r="T1048" s="186" t="s">
        <v>122</v>
      </c>
      <c r="U1048" s="186" t="s">
        <v>292</v>
      </c>
      <c r="V1048" s="186" t="s">
        <v>122</v>
      </c>
      <c r="W1048" s="186" t="s">
        <v>292</v>
      </c>
      <c r="X1048" s="186" t="s">
        <v>292</v>
      </c>
      <c r="Y1048" s="186" t="s">
        <v>292</v>
      </c>
      <c r="AA1048" s="186" t="s">
        <v>3154</v>
      </c>
      <c r="AD1048" s="245" t="s">
        <v>275</v>
      </c>
      <c r="AE1048" s="268" t="s">
        <v>3155</v>
      </c>
      <c r="AF1048" s="144" t="str">
        <f t="shared" si="79"/>
        <v/>
      </c>
      <c r="AG1048" s="144" t="str">
        <f t="shared" si="86"/>
        <v/>
      </c>
      <c r="AH1048" s="146">
        <f t="shared" si="80"/>
        <v>6.22</v>
      </c>
      <c r="AI1048" s="146">
        <f t="shared" si="81"/>
        <v>6.5811999999999999</v>
      </c>
      <c r="AJ1048" s="313"/>
      <c r="AK1048" s="313"/>
      <c r="AL1048" s="313"/>
      <c r="AM1048" s="313"/>
      <c r="AN1048" s="313"/>
      <c r="AO1048" s="313"/>
      <c r="AP1048" s="313"/>
      <c r="AQ1048" s="313"/>
      <c r="AR1048" s="313"/>
      <c r="AS1048" s="287"/>
      <c r="AT1048" s="175"/>
      <c r="AV1048" s="322"/>
      <c r="AW1048" s="276">
        <v>6.22</v>
      </c>
      <c r="AX1048" s="276"/>
      <c r="AY1048" s="276">
        <v>0.36120000000000002</v>
      </c>
      <c r="AZ1048" s="276">
        <v>0.17199999999999999</v>
      </c>
      <c r="BA1048" s="276">
        <v>8.5999999999999993E-2</v>
      </c>
      <c r="BB1048" s="276">
        <v>1.72E-2</v>
      </c>
      <c r="BC1048" s="276">
        <v>1.8059999999999998</v>
      </c>
      <c r="BD1048" s="276">
        <v>2.58E-2</v>
      </c>
      <c r="BE1048" s="276"/>
      <c r="BF1048" s="394">
        <f t="shared" si="82"/>
        <v>6.22</v>
      </c>
      <c r="BG1048" s="406">
        <f t="shared" si="83"/>
        <v>8.6882000000000001</v>
      </c>
    </row>
    <row r="1049" spans="1:59" ht="15" customHeight="1" thickBot="1" x14ac:dyDescent="0.25">
      <c r="A1049" s="156">
        <v>1050</v>
      </c>
      <c r="B1049" s="155">
        <v>1</v>
      </c>
      <c r="C1049" s="148" t="s">
        <v>24</v>
      </c>
      <c r="D1049" s="151" t="s">
        <v>2931</v>
      </c>
      <c r="H1049" s="151" t="s">
        <v>3165</v>
      </c>
      <c r="I1049" s="165">
        <v>2012</v>
      </c>
      <c r="J1049" s="165" t="s">
        <v>3167</v>
      </c>
      <c r="K1049" s="165" t="s">
        <v>3168</v>
      </c>
      <c r="L1049" s="165" t="s">
        <v>19</v>
      </c>
      <c r="M1049" s="453" t="s">
        <v>4300</v>
      </c>
      <c r="N1049" s="186" t="s">
        <v>122</v>
      </c>
      <c r="P1049" s="241" t="s">
        <v>292</v>
      </c>
      <c r="Q1049" s="186" t="s">
        <v>122</v>
      </c>
      <c r="AF1049" s="144" t="str">
        <f t="shared" si="79"/>
        <v/>
      </c>
      <c r="AG1049" s="144" t="str">
        <f t="shared" si="86"/>
        <v/>
      </c>
      <c r="AH1049" s="146">
        <f t="shared" si="80"/>
        <v>3.3489333333333331</v>
      </c>
      <c r="AI1049" s="146">
        <f t="shared" si="81"/>
        <v>3.3956</v>
      </c>
      <c r="AJ1049" s="313"/>
      <c r="AK1049" s="313"/>
      <c r="AL1049" s="313"/>
      <c r="AM1049" s="313"/>
      <c r="AN1049" s="313"/>
      <c r="AO1049" s="313"/>
      <c r="AP1049" s="313"/>
      <c r="AQ1049" s="313"/>
      <c r="AR1049" s="313"/>
      <c r="AS1049" s="287"/>
      <c r="AT1049" s="175"/>
      <c r="AV1049" s="322"/>
      <c r="AW1049" s="284">
        <v>3.3489333333333331</v>
      </c>
      <c r="AX1049" s="284"/>
      <c r="AY1049" s="276">
        <v>4.6666666666666669E-2</v>
      </c>
      <c r="AZ1049" s="276"/>
      <c r="BA1049" s="276"/>
      <c r="BB1049" s="276"/>
      <c r="BC1049" s="276"/>
      <c r="BD1049" s="276"/>
      <c r="BE1049" s="276"/>
      <c r="BF1049" s="394">
        <f t="shared" si="82"/>
        <v>3.3489333333333331</v>
      </c>
      <c r="BG1049" s="406">
        <f t="shared" si="83"/>
        <v>3.3956</v>
      </c>
    </row>
    <row r="1050" spans="1:59" ht="15" customHeight="1" thickBot="1" x14ac:dyDescent="0.25">
      <c r="A1050" s="156">
        <v>1051</v>
      </c>
      <c r="B1050" s="155">
        <v>1</v>
      </c>
      <c r="C1050" s="148" t="s">
        <v>24</v>
      </c>
      <c r="D1050" s="151" t="s">
        <v>2931</v>
      </c>
      <c r="H1050" s="151" t="s">
        <v>3166</v>
      </c>
      <c r="I1050" s="165">
        <v>2012</v>
      </c>
      <c r="J1050" s="165" t="s">
        <v>3167</v>
      </c>
      <c r="K1050" s="165" t="s">
        <v>3168</v>
      </c>
      <c r="L1050" s="165" t="s">
        <v>19</v>
      </c>
      <c r="M1050" s="453" t="s">
        <v>4300</v>
      </c>
      <c r="N1050" s="186" t="s">
        <v>122</v>
      </c>
      <c r="P1050" s="241" t="s">
        <v>292</v>
      </c>
      <c r="Q1050" s="186" t="s">
        <v>122</v>
      </c>
      <c r="S1050" s="186" t="s">
        <v>122</v>
      </c>
      <c r="AF1050" s="144" t="str">
        <f t="shared" si="79"/>
        <v/>
      </c>
      <c r="AG1050" s="144" t="str">
        <f t="shared" si="86"/>
        <v/>
      </c>
      <c r="AH1050" s="146">
        <f t="shared" si="80"/>
        <v>5.0305333333333335</v>
      </c>
      <c r="AI1050" s="146">
        <f t="shared" si="81"/>
        <v>5.7812000000000001</v>
      </c>
      <c r="AJ1050" s="313"/>
      <c r="AK1050" s="313"/>
      <c r="AL1050" s="313"/>
      <c r="AM1050" s="313"/>
      <c r="AN1050" s="313"/>
      <c r="AO1050" s="313"/>
      <c r="AP1050" s="313"/>
      <c r="AQ1050" s="313"/>
      <c r="AR1050" s="313"/>
      <c r="AS1050" s="287"/>
      <c r="AT1050" s="175"/>
      <c r="AV1050" s="322"/>
      <c r="AW1050" s="284">
        <v>5.0305333333333335</v>
      </c>
      <c r="AX1050" s="284"/>
      <c r="AY1050" s="276">
        <v>0.75066666666666659</v>
      </c>
      <c r="AZ1050" s="276"/>
      <c r="BA1050" s="276">
        <v>0.22439999999999999</v>
      </c>
      <c r="BB1050" s="276"/>
      <c r="BC1050" s="276"/>
      <c r="BD1050" s="276"/>
      <c r="BE1050" s="276"/>
      <c r="BF1050" s="394">
        <f t="shared" si="82"/>
        <v>5.0305333333333335</v>
      </c>
      <c r="BG1050" s="406">
        <f t="shared" si="83"/>
        <v>6.0056000000000003</v>
      </c>
    </row>
    <row r="1051" spans="1:59" ht="15" customHeight="1" thickBot="1" x14ac:dyDescent="0.25">
      <c r="A1051" s="156">
        <v>1052</v>
      </c>
      <c r="B1051" s="155">
        <v>1</v>
      </c>
      <c r="C1051" s="148" t="s">
        <v>24</v>
      </c>
      <c r="D1051" s="151" t="s">
        <v>2931</v>
      </c>
      <c r="H1051" s="151" t="s">
        <v>225</v>
      </c>
      <c r="I1051" s="165">
        <v>2016</v>
      </c>
      <c r="J1051" s="165" t="s">
        <v>3169</v>
      </c>
      <c r="K1051" s="165" t="s">
        <v>3170</v>
      </c>
      <c r="L1051" s="165" t="s">
        <v>19</v>
      </c>
      <c r="M1051" s="453" t="s">
        <v>4301</v>
      </c>
      <c r="N1051" s="186" t="s">
        <v>122</v>
      </c>
      <c r="Q1051" s="186" t="s">
        <v>122</v>
      </c>
      <c r="S1051" s="186" t="s">
        <v>122</v>
      </c>
      <c r="T1051" s="241" t="s">
        <v>122</v>
      </c>
      <c r="V1051" s="241" t="s">
        <v>122</v>
      </c>
      <c r="AF1051" s="144" t="str">
        <f t="shared" si="79"/>
        <v/>
      </c>
      <c r="AG1051" s="144" t="str">
        <f t="shared" si="86"/>
        <v/>
      </c>
      <c r="AH1051" s="146">
        <f t="shared" si="80"/>
        <v>5.8533333333333335</v>
      </c>
      <c r="AI1051" s="146">
        <f t="shared" si="81"/>
        <v>6.0426666666666664</v>
      </c>
      <c r="AJ1051" s="313"/>
      <c r="AK1051" s="313"/>
      <c r="AL1051" s="313"/>
      <c r="AM1051" s="313"/>
      <c r="AN1051" s="313"/>
      <c r="AO1051" s="313"/>
      <c r="AP1051" s="313"/>
      <c r="AQ1051" s="313"/>
      <c r="AR1051" s="313"/>
      <c r="AS1051" s="287"/>
      <c r="AT1051" s="175"/>
      <c r="AV1051" s="322"/>
      <c r="AW1051" s="284">
        <v>5.8533333333333335</v>
      </c>
      <c r="AX1051" s="284"/>
      <c r="AY1051" s="276">
        <v>0.1893333333333333</v>
      </c>
      <c r="AZ1051" s="276"/>
      <c r="BA1051" s="276">
        <v>0.224</v>
      </c>
      <c r="BB1051" s="276">
        <v>1.0666666666666666E-2</v>
      </c>
      <c r="BC1051" s="276">
        <v>6.6666666666666666E-2</v>
      </c>
      <c r="BD1051" s="276"/>
      <c r="BE1051" s="276"/>
      <c r="BF1051" s="394">
        <f t="shared" si="82"/>
        <v>5.8533333333333335</v>
      </c>
      <c r="BG1051" s="406">
        <f t="shared" si="83"/>
        <v>6.3439999999999994</v>
      </c>
    </row>
    <row r="1052" spans="1:59" ht="15" customHeight="1" thickBot="1" x14ac:dyDescent="0.25">
      <c r="A1052" s="156">
        <v>1053</v>
      </c>
      <c r="B1052" s="155">
        <v>1</v>
      </c>
      <c r="C1052" s="148" t="s">
        <v>24</v>
      </c>
      <c r="D1052" s="151" t="s">
        <v>2931</v>
      </c>
      <c r="F1052" s="151" t="s">
        <v>3157</v>
      </c>
      <c r="H1052" s="151" t="s">
        <v>2901</v>
      </c>
      <c r="I1052" s="165">
        <v>2010</v>
      </c>
      <c r="J1052" s="165" t="s">
        <v>3171</v>
      </c>
      <c r="K1052" s="165" t="s">
        <v>3172</v>
      </c>
      <c r="L1052" s="258" t="s">
        <v>104</v>
      </c>
      <c r="M1052" s="453" t="s">
        <v>4302</v>
      </c>
      <c r="N1052" s="186" t="s">
        <v>122</v>
      </c>
      <c r="Q1052" s="186" t="s">
        <v>122</v>
      </c>
      <c r="AF1052" s="144" t="str">
        <f t="shared" si="79"/>
        <v/>
      </c>
      <c r="AG1052" s="144" t="str">
        <f t="shared" si="86"/>
        <v/>
      </c>
      <c r="AH1052" s="146">
        <f t="shared" si="80"/>
        <v>3.4978318104382846</v>
      </c>
      <c r="AI1052" s="146">
        <f t="shared" si="81"/>
        <v>3.5322131020597807</v>
      </c>
      <c r="AJ1052" s="313"/>
      <c r="AK1052" s="313"/>
      <c r="AL1052" s="313"/>
      <c r="AM1052" s="313"/>
      <c r="AN1052" s="313"/>
      <c r="AO1052" s="313"/>
      <c r="AP1052" s="313"/>
      <c r="AQ1052" s="313"/>
      <c r="AR1052" s="313"/>
      <c r="AS1052" s="287"/>
      <c r="AT1052" s="175"/>
      <c r="AV1052" s="322"/>
      <c r="AW1052" s="284">
        <v>3.4978318104382846</v>
      </c>
      <c r="AX1052" s="284"/>
      <c r="AY1052" s="276">
        <v>3.4381291621496057E-2</v>
      </c>
      <c r="AZ1052" s="276"/>
      <c r="BA1052" s="276"/>
      <c r="BB1052" s="276"/>
      <c r="BC1052" s="276"/>
      <c r="BD1052" s="276"/>
      <c r="BE1052" s="276"/>
      <c r="BF1052" s="394">
        <f t="shared" si="82"/>
        <v>3.4978318104382846</v>
      </c>
      <c r="BG1052" s="406">
        <f t="shared" si="83"/>
        <v>3.5322131020597807</v>
      </c>
    </row>
    <row r="1053" spans="1:59" ht="15" customHeight="1" thickBot="1" x14ac:dyDescent="0.25">
      <c r="A1053" s="156">
        <v>1054</v>
      </c>
      <c r="B1053" s="155">
        <v>1</v>
      </c>
      <c r="C1053" s="148" t="s">
        <v>24</v>
      </c>
      <c r="D1053" s="151" t="s">
        <v>2931</v>
      </c>
      <c r="F1053" s="151" t="s">
        <v>3158</v>
      </c>
      <c r="H1053" s="151" t="s">
        <v>2901</v>
      </c>
      <c r="I1053" s="165">
        <v>2011</v>
      </c>
      <c r="J1053" s="165" t="s">
        <v>3171</v>
      </c>
      <c r="K1053" s="165" t="s">
        <v>3172</v>
      </c>
      <c r="L1053" s="258" t="s">
        <v>104</v>
      </c>
      <c r="M1053" s="453" t="s">
        <v>4302</v>
      </c>
      <c r="N1053" s="186" t="s">
        <v>122</v>
      </c>
      <c r="Q1053" s="186" t="s">
        <v>122</v>
      </c>
      <c r="AF1053" s="144" t="str">
        <f t="shared" si="79"/>
        <v/>
      </c>
      <c r="AG1053" s="144" t="str">
        <f t="shared" si="86"/>
        <v/>
      </c>
      <c r="AH1053" s="146">
        <f t="shared" si="80"/>
        <v>4.2667647514325546</v>
      </c>
      <c r="AI1053" s="146">
        <f t="shared" si="81"/>
        <v>4.3011460430540502</v>
      </c>
      <c r="AJ1053" s="313"/>
      <c r="AK1053" s="313"/>
      <c r="AL1053" s="313"/>
      <c r="AM1053" s="313"/>
      <c r="AN1053" s="313"/>
      <c r="AO1053" s="313"/>
      <c r="AP1053" s="313"/>
      <c r="AQ1053" s="313"/>
      <c r="AR1053" s="313"/>
      <c r="AS1053" s="287"/>
      <c r="AT1053" s="175"/>
      <c r="AV1053" s="322"/>
      <c r="AW1053" s="284">
        <v>4.2667647514325546</v>
      </c>
      <c r="AX1053" s="284"/>
      <c r="AY1053" s="276">
        <v>3.4381291621496057E-2</v>
      </c>
      <c r="AZ1053" s="276"/>
      <c r="BA1053" s="276"/>
      <c r="BB1053" s="276"/>
      <c r="BC1053" s="276"/>
      <c r="BD1053" s="276"/>
      <c r="BE1053" s="276"/>
      <c r="BF1053" s="394">
        <f t="shared" si="82"/>
        <v>4.2667647514325546</v>
      </c>
      <c r="BG1053" s="406">
        <f t="shared" si="83"/>
        <v>4.3011460430540502</v>
      </c>
    </row>
    <row r="1054" spans="1:59" ht="15" customHeight="1" thickBot="1" x14ac:dyDescent="0.25">
      <c r="A1054" s="156">
        <v>1055</v>
      </c>
      <c r="B1054" s="155">
        <v>1</v>
      </c>
      <c r="C1054" s="148" t="s">
        <v>24</v>
      </c>
      <c r="D1054" s="151" t="s">
        <v>2931</v>
      </c>
      <c r="F1054" s="151" t="s">
        <v>3159</v>
      </c>
      <c r="H1054" s="151" t="s">
        <v>108</v>
      </c>
      <c r="I1054" s="165">
        <v>2012</v>
      </c>
      <c r="J1054" s="165" t="s">
        <v>3171</v>
      </c>
      <c r="K1054" s="165" t="s">
        <v>3172</v>
      </c>
      <c r="L1054" s="258" t="s">
        <v>104</v>
      </c>
      <c r="M1054" s="453" t="s">
        <v>4302</v>
      </c>
      <c r="N1054" s="186" t="s">
        <v>122</v>
      </c>
      <c r="Q1054" s="186" t="s">
        <v>122</v>
      </c>
      <c r="AF1054" s="144" t="str">
        <f t="shared" si="79"/>
        <v/>
      </c>
      <c r="AG1054" s="144" t="str">
        <f t="shared" si="86"/>
        <v/>
      </c>
      <c r="AH1054" s="146">
        <f t="shared" si="80"/>
        <v>3.4708843115998147</v>
      </c>
      <c r="AI1054" s="146">
        <f t="shared" si="81"/>
        <v>3.5052656032213108</v>
      </c>
      <c r="AJ1054" s="313"/>
      <c r="AK1054" s="313"/>
      <c r="AL1054" s="313"/>
      <c r="AM1054" s="313"/>
      <c r="AN1054" s="313"/>
      <c r="AO1054" s="313"/>
      <c r="AP1054" s="313"/>
      <c r="AQ1054" s="313"/>
      <c r="AR1054" s="313"/>
      <c r="AS1054" s="287"/>
      <c r="AT1054" s="175"/>
      <c r="AV1054" s="322"/>
      <c r="AW1054" s="284">
        <v>3.4708843115998147</v>
      </c>
      <c r="AX1054" s="284"/>
      <c r="AY1054" s="276">
        <v>3.4381291621496057E-2</v>
      </c>
      <c r="AZ1054" s="276"/>
      <c r="BA1054" s="276"/>
      <c r="BB1054" s="276"/>
      <c r="BC1054" s="276"/>
      <c r="BD1054" s="276"/>
      <c r="BE1054" s="276"/>
      <c r="BF1054" s="394">
        <f t="shared" si="82"/>
        <v>3.4708843115998147</v>
      </c>
      <c r="BG1054" s="406">
        <f t="shared" si="83"/>
        <v>3.5052656032213108</v>
      </c>
    </row>
    <row r="1055" spans="1:59" ht="15" customHeight="1" thickBot="1" x14ac:dyDescent="0.25">
      <c r="A1055" s="156">
        <v>1056</v>
      </c>
      <c r="B1055" s="155">
        <v>1</v>
      </c>
      <c r="C1055" s="148" t="s">
        <v>24</v>
      </c>
      <c r="D1055" s="151" t="s">
        <v>2931</v>
      </c>
      <c r="F1055" s="151" t="s">
        <v>3160</v>
      </c>
      <c r="H1055" s="151" t="s">
        <v>108</v>
      </c>
      <c r="I1055" s="165">
        <v>2013</v>
      </c>
      <c r="J1055" s="165" t="s">
        <v>3171</v>
      </c>
      <c r="K1055" s="165" t="s">
        <v>3172</v>
      </c>
      <c r="L1055" s="258" t="s">
        <v>104</v>
      </c>
      <c r="M1055" s="453" t="s">
        <v>4302</v>
      </c>
      <c r="N1055" s="186" t="s">
        <v>122</v>
      </c>
      <c r="Q1055" s="186" t="s">
        <v>122</v>
      </c>
      <c r="AF1055" s="144" t="str">
        <f t="shared" si="79"/>
        <v/>
      </c>
      <c r="AG1055" s="144" t="str">
        <f t="shared" si="86"/>
        <v/>
      </c>
      <c r="AH1055" s="146">
        <f t="shared" si="80"/>
        <v>4.3380827009447112</v>
      </c>
      <c r="AI1055" s="146">
        <f t="shared" si="81"/>
        <v>4.3724639925662068</v>
      </c>
      <c r="AJ1055" s="313"/>
      <c r="AK1055" s="313"/>
      <c r="AL1055" s="313"/>
      <c r="AM1055" s="313"/>
      <c r="AN1055" s="313"/>
      <c r="AO1055" s="313"/>
      <c r="AP1055" s="313"/>
      <c r="AQ1055" s="313"/>
      <c r="AR1055" s="313"/>
      <c r="AS1055" s="287"/>
      <c r="AT1055" s="175"/>
      <c r="AV1055" s="322"/>
      <c r="AW1055" s="284">
        <v>4.3380827009447112</v>
      </c>
      <c r="AX1055" s="284"/>
      <c r="AY1055" s="276">
        <v>3.4381291621496057E-2</v>
      </c>
      <c r="AZ1055" s="276"/>
      <c r="BA1055" s="276"/>
      <c r="BB1055" s="276"/>
      <c r="BC1055" s="276"/>
      <c r="BD1055" s="276"/>
      <c r="BE1055" s="276"/>
      <c r="BF1055" s="394">
        <f t="shared" si="82"/>
        <v>4.3380827009447112</v>
      </c>
      <c r="BG1055" s="406">
        <f t="shared" si="83"/>
        <v>4.3724639925662068</v>
      </c>
    </row>
    <row r="1056" spans="1:59" ht="15" customHeight="1" thickBot="1" x14ac:dyDescent="0.25">
      <c r="A1056" s="156">
        <v>1057</v>
      </c>
      <c r="B1056" s="155">
        <v>1</v>
      </c>
      <c r="C1056" s="148" t="s">
        <v>24</v>
      </c>
      <c r="D1056" s="151" t="s">
        <v>2931</v>
      </c>
      <c r="F1056" s="151" t="s">
        <v>3161</v>
      </c>
      <c r="H1056" s="151" t="s">
        <v>2876</v>
      </c>
      <c r="I1056" s="165">
        <v>2014</v>
      </c>
      <c r="J1056" s="165" t="s">
        <v>3171</v>
      </c>
      <c r="K1056" s="165" t="s">
        <v>3172</v>
      </c>
      <c r="L1056" s="258" t="s">
        <v>104</v>
      </c>
      <c r="M1056" s="453" t="s">
        <v>4302</v>
      </c>
      <c r="N1056" s="186" t="s">
        <v>122</v>
      </c>
      <c r="Q1056" s="186" t="s">
        <v>122</v>
      </c>
      <c r="AF1056" s="144" t="str">
        <f t="shared" si="79"/>
        <v/>
      </c>
      <c r="AG1056" s="144" t="str">
        <f t="shared" si="86"/>
        <v/>
      </c>
      <c r="AH1056" s="146">
        <f t="shared" si="80"/>
        <v>3.6697382685457649</v>
      </c>
      <c r="AI1056" s="146">
        <f t="shared" si="81"/>
        <v>3.704119560167261</v>
      </c>
      <c r="AJ1056" s="313"/>
      <c r="AK1056" s="313"/>
      <c r="AL1056" s="313"/>
      <c r="AM1056" s="313"/>
      <c r="AN1056" s="313"/>
      <c r="AO1056" s="313"/>
      <c r="AP1056" s="313"/>
      <c r="AQ1056" s="313"/>
      <c r="AR1056" s="313"/>
      <c r="AS1056" s="287"/>
      <c r="AT1056" s="175"/>
      <c r="AV1056" s="322"/>
      <c r="AW1056" s="284">
        <v>3.6697382685457649</v>
      </c>
      <c r="AX1056" s="284"/>
      <c r="AY1056" s="276">
        <v>3.4381291621496057E-2</v>
      </c>
      <c r="AZ1056" s="276"/>
      <c r="BA1056" s="276"/>
      <c r="BB1056" s="276"/>
      <c r="BC1056" s="276"/>
      <c r="BD1056" s="276"/>
      <c r="BE1056" s="276"/>
      <c r="BF1056" s="394">
        <f t="shared" si="82"/>
        <v>3.6697382685457649</v>
      </c>
      <c r="BG1056" s="406">
        <f t="shared" si="83"/>
        <v>3.704119560167261</v>
      </c>
    </row>
    <row r="1057" spans="1:59" ht="15" customHeight="1" thickBot="1" x14ac:dyDescent="0.25">
      <c r="A1057" s="156">
        <v>1058</v>
      </c>
      <c r="B1057" s="155">
        <v>1</v>
      </c>
      <c r="C1057" s="148" t="s">
        <v>24</v>
      </c>
      <c r="D1057" s="151" t="s">
        <v>2931</v>
      </c>
      <c r="F1057" s="151" t="s">
        <v>3162</v>
      </c>
      <c r="H1057" s="151" t="s">
        <v>2876</v>
      </c>
      <c r="I1057" s="165">
        <v>2015</v>
      </c>
      <c r="J1057" s="165" t="s">
        <v>3171</v>
      </c>
      <c r="K1057" s="165" t="s">
        <v>3172</v>
      </c>
      <c r="L1057" s="258" t="s">
        <v>104</v>
      </c>
      <c r="M1057" s="453" t="s">
        <v>4302</v>
      </c>
      <c r="N1057" s="186" t="s">
        <v>122</v>
      </c>
      <c r="Q1057" s="186" t="s">
        <v>122</v>
      </c>
      <c r="AF1057" s="144" t="str">
        <f t="shared" si="79"/>
        <v/>
      </c>
      <c r="AG1057" s="144" t="str">
        <f t="shared" si="86"/>
        <v/>
      </c>
      <c r="AH1057" s="146">
        <f t="shared" si="80"/>
        <v>5.019436270713955</v>
      </c>
      <c r="AI1057" s="146">
        <f t="shared" si="81"/>
        <v>5.0538175623354515</v>
      </c>
      <c r="AJ1057" s="313"/>
      <c r="AK1057" s="313"/>
      <c r="AL1057" s="313"/>
      <c r="AM1057" s="313"/>
      <c r="AN1057" s="313"/>
      <c r="AO1057" s="313"/>
      <c r="AP1057" s="313"/>
      <c r="AQ1057" s="313"/>
      <c r="AR1057" s="313"/>
      <c r="AS1057" s="287"/>
      <c r="AT1057" s="175"/>
      <c r="AV1057" s="322"/>
      <c r="AW1057" s="284">
        <v>5.019436270713955</v>
      </c>
      <c r="AX1057" s="284"/>
      <c r="AY1057" s="276">
        <v>3.4381291621496057E-2</v>
      </c>
      <c r="AZ1057" s="276"/>
      <c r="BA1057" s="276"/>
      <c r="BB1057" s="276"/>
      <c r="BC1057" s="276"/>
      <c r="BD1057" s="276"/>
      <c r="BE1057" s="276"/>
      <c r="BF1057" s="394">
        <f t="shared" si="82"/>
        <v>5.019436270713955</v>
      </c>
      <c r="BG1057" s="406">
        <f t="shared" si="83"/>
        <v>5.0538175623354515</v>
      </c>
    </row>
    <row r="1058" spans="1:59" ht="15" customHeight="1" thickBot="1" x14ac:dyDescent="0.25">
      <c r="A1058" s="156">
        <v>1059</v>
      </c>
      <c r="B1058" s="155">
        <v>1</v>
      </c>
      <c r="C1058" s="148" t="s">
        <v>24</v>
      </c>
      <c r="D1058" s="151" t="s">
        <v>2931</v>
      </c>
      <c r="F1058" s="151" t="s">
        <v>3163</v>
      </c>
      <c r="H1058" s="151" t="s">
        <v>2906</v>
      </c>
      <c r="I1058" s="165">
        <v>2016</v>
      </c>
      <c r="J1058" s="165" t="s">
        <v>3171</v>
      </c>
      <c r="K1058" s="165" t="s">
        <v>3172</v>
      </c>
      <c r="L1058" s="258" t="s">
        <v>104</v>
      </c>
      <c r="M1058" s="453" t="s">
        <v>4302</v>
      </c>
      <c r="N1058" s="186" t="s">
        <v>122</v>
      </c>
      <c r="Q1058" s="186" t="s">
        <v>122</v>
      </c>
      <c r="AF1058" s="144" t="str">
        <f t="shared" si="79"/>
        <v/>
      </c>
      <c r="AG1058" s="144" t="str">
        <f t="shared" si="86"/>
        <v/>
      </c>
      <c r="AH1058" s="146">
        <f t="shared" si="80"/>
        <v>3.4574105621805797</v>
      </c>
      <c r="AI1058" s="146">
        <f t="shared" si="81"/>
        <v>3.4917918538020758</v>
      </c>
      <c r="AJ1058" s="313"/>
      <c r="AK1058" s="313"/>
      <c r="AL1058" s="313"/>
      <c r="AM1058" s="313"/>
      <c r="AN1058" s="313"/>
      <c r="AO1058" s="313"/>
      <c r="AP1058" s="313"/>
      <c r="AQ1058" s="313"/>
      <c r="AR1058" s="313"/>
      <c r="AS1058" s="287"/>
      <c r="AT1058" s="175"/>
      <c r="AV1058" s="322"/>
      <c r="AW1058" s="284">
        <v>3.4574105621805797</v>
      </c>
      <c r="AX1058" s="284"/>
      <c r="AY1058" s="276">
        <v>3.4381291621496057E-2</v>
      </c>
      <c r="AZ1058" s="276"/>
      <c r="BA1058" s="276"/>
      <c r="BB1058" s="276"/>
      <c r="BC1058" s="276"/>
      <c r="BD1058" s="276"/>
      <c r="BE1058" s="276"/>
      <c r="BF1058" s="394">
        <f t="shared" si="82"/>
        <v>3.4574105621805797</v>
      </c>
      <c r="BG1058" s="406">
        <f t="shared" si="83"/>
        <v>3.4917918538020758</v>
      </c>
    </row>
    <row r="1059" spans="1:59" ht="15" customHeight="1" thickBot="1" x14ac:dyDescent="0.25">
      <c r="A1059" s="156">
        <v>1060</v>
      </c>
      <c r="B1059" s="155">
        <v>1</v>
      </c>
      <c r="C1059" s="148" t="s">
        <v>24</v>
      </c>
      <c r="D1059" s="151" t="s">
        <v>2931</v>
      </c>
      <c r="F1059" s="151" t="s">
        <v>3164</v>
      </c>
      <c r="H1059" s="151" t="s">
        <v>2906</v>
      </c>
      <c r="I1059" s="165">
        <v>2017</v>
      </c>
      <c r="J1059" s="165" t="s">
        <v>3171</v>
      </c>
      <c r="K1059" s="165" t="s">
        <v>3172</v>
      </c>
      <c r="L1059" s="258" t="s">
        <v>104</v>
      </c>
      <c r="M1059" s="453" t="s">
        <v>4302</v>
      </c>
      <c r="N1059" s="186" t="s">
        <v>122</v>
      </c>
      <c r="Q1059" s="186" t="s">
        <v>122</v>
      </c>
      <c r="AF1059" s="144" t="str">
        <f t="shared" si="79"/>
        <v/>
      </c>
      <c r="AG1059" s="144" t="str">
        <f t="shared" si="86"/>
        <v/>
      </c>
      <c r="AH1059" s="146">
        <f t="shared" si="80"/>
        <v>4.0116927365649691</v>
      </c>
      <c r="AI1059" s="146">
        <f t="shared" si="81"/>
        <v>4.0460740281864656</v>
      </c>
      <c r="AJ1059" s="313"/>
      <c r="AK1059" s="313"/>
      <c r="AL1059" s="313"/>
      <c r="AM1059" s="313"/>
      <c r="AN1059" s="313"/>
      <c r="AO1059" s="313"/>
      <c r="AP1059" s="313"/>
      <c r="AQ1059" s="313"/>
      <c r="AR1059" s="313"/>
      <c r="AS1059" s="287"/>
      <c r="AT1059" s="175"/>
      <c r="AV1059" s="322"/>
      <c r="AW1059" s="284">
        <v>4.0116927365649691</v>
      </c>
      <c r="AX1059" s="284"/>
      <c r="AY1059" s="276">
        <v>3.4381291621496057E-2</v>
      </c>
      <c r="AZ1059" s="276"/>
      <c r="BA1059" s="276"/>
      <c r="BB1059" s="276"/>
      <c r="BC1059" s="276"/>
      <c r="BD1059" s="276"/>
      <c r="BE1059" s="276"/>
      <c r="BF1059" s="394">
        <f t="shared" si="82"/>
        <v>4.0116927365649691</v>
      </c>
      <c r="BG1059" s="406">
        <f t="shared" si="83"/>
        <v>4.0460740281864656</v>
      </c>
    </row>
    <row r="1060" spans="1:59" ht="15" customHeight="1" thickBot="1" x14ac:dyDescent="0.25">
      <c r="A1060" s="156">
        <v>1061</v>
      </c>
      <c r="B1060" s="155">
        <v>1</v>
      </c>
      <c r="C1060" s="148" t="s">
        <v>24</v>
      </c>
      <c r="D1060" s="151" t="s">
        <v>2931</v>
      </c>
      <c r="H1060" s="151" t="s">
        <v>3156</v>
      </c>
      <c r="I1060" s="165">
        <v>2011</v>
      </c>
      <c r="J1060" s="165" t="s">
        <v>3173</v>
      </c>
      <c r="K1060" s="165" t="s">
        <v>3174</v>
      </c>
      <c r="L1060" s="165" t="s">
        <v>19</v>
      </c>
      <c r="M1060" s="453" t="s">
        <v>4303</v>
      </c>
      <c r="N1060" s="186" t="s">
        <v>122</v>
      </c>
      <c r="AF1060" s="144" t="str">
        <f t="shared" si="79"/>
        <v/>
      </c>
      <c r="AG1060" s="144" t="str">
        <f t="shared" si="86"/>
        <v/>
      </c>
      <c r="AH1060" s="146">
        <f t="shared" si="80"/>
        <v>4.6899999999999995</v>
      </c>
      <c r="AI1060" s="146" t="str">
        <f t="shared" si="81"/>
        <v/>
      </c>
      <c r="AJ1060" s="313"/>
      <c r="AK1060" s="313"/>
      <c r="AL1060" s="313"/>
      <c r="AM1060" s="313"/>
      <c r="AN1060" s="313"/>
      <c r="AO1060" s="313"/>
      <c r="AP1060" s="313"/>
      <c r="AQ1060" s="313"/>
      <c r="AR1060" s="313"/>
      <c r="AS1060" s="287"/>
      <c r="AT1060" s="175"/>
      <c r="AV1060" s="322"/>
      <c r="AW1060" s="276">
        <v>4.6899999999999995</v>
      </c>
      <c r="AX1060" s="276"/>
      <c r="AY1060" s="276"/>
      <c r="AZ1060" s="276"/>
      <c r="BA1060" s="276"/>
      <c r="BB1060" s="276"/>
      <c r="BC1060" s="276"/>
      <c r="BD1060" s="276"/>
      <c r="BE1060" s="276"/>
      <c r="BF1060" s="394">
        <f t="shared" si="82"/>
        <v>4.6899999999999995</v>
      </c>
      <c r="BG1060" s="406"/>
    </row>
    <row r="1061" spans="1:59" ht="15" customHeight="1" thickBot="1" x14ac:dyDescent="0.25">
      <c r="A1061" s="156">
        <v>1062</v>
      </c>
      <c r="B1061" s="155">
        <v>1</v>
      </c>
      <c r="C1061" s="151" t="s">
        <v>162</v>
      </c>
      <c r="D1061" s="151" t="s">
        <v>839</v>
      </c>
      <c r="F1061" s="151" t="s">
        <v>3178</v>
      </c>
      <c r="H1061" s="151" t="s">
        <v>351</v>
      </c>
      <c r="I1061" s="165">
        <v>2012</v>
      </c>
      <c r="J1061" s="165" t="s">
        <v>3180</v>
      </c>
      <c r="K1061" s="165" t="s">
        <v>3181</v>
      </c>
      <c r="L1061" s="165" t="s">
        <v>19</v>
      </c>
      <c r="M1061" s="453" t="s">
        <v>4304</v>
      </c>
      <c r="N1061" s="186" t="s">
        <v>122</v>
      </c>
      <c r="AF1061" s="144" t="str">
        <f t="shared" si="79"/>
        <v/>
      </c>
      <c r="AG1061" s="144" t="str">
        <f t="shared" si="86"/>
        <v/>
      </c>
      <c r="AH1061" s="146">
        <f t="shared" si="80"/>
        <v>0.2076904761904762</v>
      </c>
      <c r="AI1061" s="146" t="str">
        <f t="shared" si="81"/>
        <v/>
      </c>
      <c r="AJ1061" s="313"/>
      <c r="AK1061" s="313"/>
      <c r="AL1061" s="313"/>
      <c r="AM1061" s="313"/>
      <c r="AN1061" s="313"/>
      <c r="AO1061" s="313"/>
      <c r="AP1061" s="313"/>
      <c r="AQ1061" s="313"/>
      <c r="AR1061" s="313"/>
      <c r="AS1061" s="287"/>
      <c r="AT1061" s="175"/>
      <c r="AV1061" s="322"/>
      <c r="AW1061" s="437">
        <v>0.2076904761904762</v>
      </c>
      <c r="AX1061" s="276"/>
      <c r="AY1061" s="276"/>
      <c r="AZ1061" s="276"/>
      <c r="BA1061" s="276"/>
      <c r="BB1061" s="276"/>
      <c r="BC1061" s="276"/>
      <c r="BD1061" s="276"/>
      <c r="BE1061" s="276"/>
      <c r="BF1061" s="406">
        <f t="shared" si="82"/>
        <v>0.2076904761904762</v>
      </c>
      <c r="BG1061" s="406"/>
    </row>
    <row r="1062" spans="1:59" ht="15" customHeight="1" thickBot="1" x14ac:dyDescent="0.25">
      <c r="A1062" s="156">
        <v>1063</v>
      </c>
      <c r="B1062" s="155">
        <v>1</v>
      </c>
      <c r="C1062" s="151" t="s">
        <v>162</v>
      </c>
      <c r="D1062" s="151" t="s">
        <v>839</v>
      </c>
      <c r="F1062" s="151" t="s">
        <v>3178</v>
      </c>
      <c r="H1062" s="151" t="s">
        <v>351</v>
      </c>
      <c r="I1062" s="165">
        <v>2012</v>
      </c>
      <c r="J1062" s="165" t="s">
        <v>3180</v>
      </c>
      <c r="K1062" s="165" t="s">
        <v>3181</v>
      </c>
      <c r="L1062" s="165" t="s">
        <v>19</v>
      </c>
      <c r="M1062" s="453" t="s">
        <v>4304</v>
      </c>
      <c r="N1062" s="186" t="s">
        <v>122</v>
      </c>
      <c r="AF1062" s="144" t="str">
        <f t="shared" si="79"/>
        <v/>
      </c>
      <c r="AG1062" s="144" t="str">
        <f t="shared" si="86"/>
        <v/>
      </c>
      <c r="AH1062" s="146">
        <f t="shared" si="80"/>
        <v>0.26697619047619048</v>
      </c>
      <c r="AI1062" s="146" t="str">
        <f t="shared" si="81"/>
        <v/>
      </c>
      <c r="AJ1062" s="313"/>
      <c r="AK1062" s="313"/>
      <c r="AL1062" s="313"/>
      <c r="AM1062" s="313"/>
      <c r="AN1062" s="313"/>
      <c r="AO1062" s="313"/>
      <c r="AP1062" s="313"/>
      <c r="AQ1062" s="313"/>
      <c r="AR1062" s="313"/>
      <c r="AS1062" s="287"/>
      <c r="AT1062" s="175"/>
      <c r="AV1062" s="322"/>
      <c r="AW1062" s="437">
        <v>0.26697619047619048</v>
      </c>
      <c r="AX1062" s="276"/>
      <c r="AY1062" s="276"/>
      <c r="AZ1062" s="276"/>
      <c r="BA1062" s="276"/>
      <c r="BB1062" s="276"/>
      <c r="BC1062" s="276"/>
      <c r="BD1062" s="276"/>
      <c r="BE1062" s="276"/>
      <c r="BF1062" s="406">
        <f t="shared" si="82"/>
        <v>0.26697619047619048</v>
      </c>
      <c r="BG1062" s="406"/>
    </row>
    <row r="1063" spans="1:59" ht="15" customHeight="1" thickBot="1" x14ac:dyDescent="0.25">
      <c r="A1063" s="156">
        <v>1064</v>
      </c>
      <c r="B1063" s="155">
        <v>1</v>
      </c>
      <c r="C1063" s="151" t="s">
        <v>162</v>
      </c>
      <c r="D1063" s="151" t="s">
        <v>839</v>
      </c>
      <c r="F1063" s="151" t="s">
        <v>3178</v>
      </c>
      <c r="H1063" s="151" t="s">
        <v>351</v>
      </c>
      <c r="I1063" s="165">
        <v>2012</v>
      </c>
      <c r="J1063" s="165" t="s">
        <v>3180</v>
      </c>
      <c r="K1063" s="165" t="s">
        <v>3181</v>
      </c>
      <c r="L1063" s="165" t="s">
        <v>19</v>
      </c>
      <c r="M1063" s="453" t="s">
        <v>4304</v>
      </c>
      <c r="N1063" s="186" t="s">
        <v>122</v>
      </c>
      <c r="AF1063" s="144" t="str">
        <f t="shared" si="79"/>
        <v/>
      </c>
      <c r="AG1063" s="144" t="str">
        <f t="shared" si="86"/>
        <v/>
      </c>
      <c r="AH1063" s="146">
        <f t="shared" si="80"/>
        <v>0.19265476190476191</v>
      </c>
      <c r="AI1063" s="146" t="str">
        <f t="shared" si="81"/>
        <v/>
      </c>
      <c r="AJ1063" s="313"/>
      <c r="AK1063" s="313"/>
      <c r="AL1063" s="313"/>
      <c r="AM1063" s="313"/>
      <c r="AN1063" s="313"/>
      <c r="AO1063" s="313"/>
      <c r="AP1063" s="313"/>
      <c r="AQ1063" s="313"/>
      <c r="AR1063" s="313"/>
      <c r="AS1063" s="287"/>
      <c r="AT1063" s="175"/>
      <c r="AV1063" s="322"/>
      <c r="AW1063" s="437">
        <v>0.19265476190476191</v>
      </c>
      <c r="AX1063" s="276"/>
      <c r="AY1063" s="276"/>
      <c r="AZ1063" s="276"/>
      <c r="BA1063" s="276"/>
      <c r="BB1063" s="276"/>
      <c r="BC1063" s="276"/>
      <c r="BD1063" s="276"/>
      <c r="BE1063" s="276"/>
      <c r="BF1063" s="406">
        <f t="shared" si="82"/>
        <v>0.19265476190476191</v>
      </c>
      <c r="BG1063" s="406"/>
    </row>
    <row r="1064" spans="1:59" ht="15" customHeight="1" thickBot="1" x14ac:dyDescent="0.25">
      <c r="A1064" s="156">
        <v>1065</v>
      </c>
      <c r="B1064" s="155">
        <v>1</v>
      </c>
      <c r="C1064" s="151" t="s">
        <v>162</v>
      </c>
      <c r="D1064" s="151" t="s">
        <v>839</v>
      </c>
      <c r="F1064" s="151" t="s">
        <v>3178</v>
      </c>
      <c r="H1064" s="151" t="s">
        <v>351</v>
      </c>
      <c r="I1064" s="165">
        <v>2012</v>
      </c>
      <c r="J1064" s="165" t="s">
        <v>3180</v>
      </c>
      <c r="K1064" s="165" t="s">
        <v>3181</v>
      </c>
      <c r="L1064" s="165" t="s">
        <v>19</v>
      </c>
      <c r="M1064" s="453" t="s">
        <v>4304</v>
      </c>
      <c r="N1064" s="186" t="s">
        <v>122</v>
      </c>
      <c r="AF1064" s="144" t="str">
        <f t="shared" si="79"/>
        <v/>
      </c>
      <c r="AG1064" s="144" t="str">
        <f t="shared" si="86"/>
        <v/>
      </c>
      <c r="AH1064" s="146">
        <f t="shared" si="80"/>
        <v>0.21939285714285714</v>
      </c>
      <c r="AI1064" s="146" t="str">
        <f t="shared" si="81"/>
        <v/>
      </c>
      <c r="AJ1064" s="313"/>
      <c r="AK1064" s="313"/>
      <c r="AL1064" s="313"/>
      <c r="AM1064" s="313"/>
      <c r="AN1064" s="313"/>
      <c r="AO1064" s="313"/>
      <c r="AP1064" s="313"/>
      <c r="AQ1064" s="313"/>
      <c r="AR1064" s="313"/>
      <c r="AS1064" s="287"/>
      <c r="AT1064" s="175"/>
      <c r="AV1064" s="322"/>
      <c r="AW1064" s="437">
        <v>0.21939285714285714</v>
      </c>
      <c r="AX1064" s="276"/>
      <c r="AY1064" s="276"/>
      <c r="AZ1064" s="276"/>
      <c r="BA1064" s="276"/>
      <c r="BB1064" s="276"/>
      <c r="BC1064" s="276"/>
      <c r="BD1064" s="276"/>
      <c r="BE1064" s="276"/>
      <c r="BF1064" s="406">
        <f t="shared" si="82"/>
        <v>0.21939285714285714</v>
      </c>
      <c r="BG1064" s="406"/>
    </row>
    <row r="1065" spans="1:59" ht="15" customHeight="1" thickBot="1" x14ac:dyDescent="0.25">
      <c r="A1065" s="156">
        <v>1066</v>
      </c>
      <c r="B1065" s="155">
        <v>1</v>
      </c>
      <c r="C1065" s="151" t="s">
        <v>162</v>
      </c>
      <c r="D1065" s="291" t="s">
        <v>4055</v>
      </c>
      <c r="H1065" s="151" t="s">
        <v>55</v>
      </c>
      <c r="I1065" s="165">
        <v>2012</v>
      </c>
      <c r="J1065" s="165" t="s">
        <v>3182</v>
      </c>
      <c r="K1065" s="165" t="s">
        <v>3183</v>
      </c>
      <c r="L1065" s="165" t="s">
        <v>19</v>
      </c>
      <c r="M1065" s="453" t="s">
        <v>4305</v>
      </c>
      <c r="AF1065" s="144" t="str">
        <f t="shared" si="79"/>
        <v/>
      </c>
      <c r="AG1065" s="144" t="str">
        <f t="shared" si="86"/>
        <v/>
      </c>
      <c r="AH1065" s="146">
        <f t="shared" si="80"/>
        <v>0.43</v>
      </c>
      <c r="AI1065" s="146" t="str">
        <f t="shared" si="81"/>
        <v/>
      </c>
      <c r="AJ1065" s="313"/>
      <c r="AK1065" s="313"/>
      <c r="AL1065" s="313"/>
      <c r="AM1065" s="313"/>
      <c r="AN1065" s="313"/>
      <c r="AO1065" s="313"/>
      <c r="AP1065" s="313"/>
      <c r="AQ1065" s="313"/>
      <c r="AR1065" s="313"/>
      <c r="AS1065" s="287"/>
      <c r="AT1065" s="175"/>
      <c r="AV1065" s="322"/>
      <c r="AW1065" s="437">
        <v>0.43</v>
      </c>
      <c r="AX1065" s="276"/>
      <c r="AY1065" s="276"/>
      <c r="AZ1065" s="276"/>
      <c r="BA1065" s="437">
        <f>0.44-AY1065</f>
        <v>0.44</v>
      </c>
      <c r="BB1065" s="276"/>
      <c r="BC1065" s="437">
        <v>0.3</v>
      </c>
      <c r="BD1065" s="276"/>
      <c r="BE1065" s="276"/>
      <c r="BF1065" s="406">
        <f t="shared" si="82"/>
        <v>0.43</v>
      </c>
      <c r="BG1065" s="406">
        <f>SUM(AW1065:BE1065)</f>
        <v>1.17</v>
      </c>
    </row>
    <row r="1066" spans="1:59" ht="15" customHeight="1" thickBot="1" x14ac:dyDescent="0.25">
      <c r="A1066" s="156">
        <v>1067</v>
      </c>
      <c r="B1066" s="155">
        <v>1</v>
      </c>
      <c r="C1066" s="151" t="s">
        <v>162</v>
      </c>
      <c r="D1066" s="291" t="s">
        <v>4055</v>
      </c>
      <c r="H1066" s="151" t="s">
        <v>55</v>
      </c>
      <c r="I1066" s="165">
        <v>2012</v>
      </c>
      <c r="J1066" s="165" t="s">
        <v>3182</v>
      </c>
      <c r="K1066" s="165" t="s">
        <v>3183</v>
      </c>
      <c r="L1066" s="165" t="s">
        <v>19</v>
      </c>
      <c r="M1066" s="453" t="s">
        <v>4305</v>
      </c>
      <c r="AF1066" s="144" t="str">
        <f t="shared" si="79"/>
        <v/>
      </c>
      <c r="AG1066" s="144" t="str">
        <f t="shared" si="86"/>
        <v/>
      </c>
      <c r="AH1066" s="146">
        <f t="shared" si="80"/>
        <v>1.71</v>
      </c>
      <c r="AI1066" s="146" t="str">
        <f t="shared" si="81"/>
        <v/>
      </c>
      <c r="AJ1066" s="313"/>
      <c r="AK1066" s="313"/>
      <c r="AL1066" s="313"/>
      <c r="AM1066" s="313"/>
      <c r="AN1066" s="313"/>
      <c r="AO1066" s="313"/>
      <c r="AP1066" s="313"/>
      <c r="AQ1066" s="313"/>
      <c r="AR1066" s="313"/>
      <c r="AS1066" s="287"/>
      <c r="AT1066" s="175"/>
      <c r="AV1066" s="322"/>
      <c r="AW1066" s="437">
        <v>1.71</v>
      </c>
      <c r="AX1066" s="276"/>
      <c r="AY1066" s="276"/>
      <c r="AZ1066" s="276"/>
      <c r="BA1066" s="437">
        <v>0.01</v>
      </c>
      <c r="BB1066" s="276"/>
      <c r="BC1066" s="437">
        <v>0.30999999999999983</v>
      </c>
      <c r="BD1066" s="276"/>
      <c r="BE1066" s="276"/>
      <c r="BF1066" s="406">
        <f t="shared" si="82"/>
        <v>1.71</v>
      </c>
      <c r="BG1066" s="406">
        <f>SUM(AW1066:BE1066)</f>
        <v>2.0299999999999998</v>
      </c>
    </row>
    <row r="1067" spans="1:59" ht="15" customHeight="1" thickBot="1" x14ac:dyDescent="0.25">
      <c r="A1067" s="156">
        <v>1068</v>
      </c>
      <c r="B1067" s="155">
        <v>1</v>
      </c>
      <c r="C1067" s="151" t="s">
        <v>162</v>
      </c>
      <c r="D1067" s="291" t="s">
        <v>4055</v>
      </c>
      <c r="H1067" s="151" t="s">
        <v>55</v>
      </c>
      <c r="I1067" s="165">
        <v>2012</v>
      </c>
      <c r="J1067" s="165" t="s">
        <v>3182</v>
      </c>
      <c r="K1067" s="165" t="s">
        <v>3183</v>
      </c>
      <c r="L1067" s="165" t="s">
        <v>19</v>
      </c>
      <c r="M1067" s="453" t="s">
        <v>4305</v>
      </c>
      <c r="AF1067" s="144" t="str">
        <f t="shared" si="79"/>
        <v/>
      </c>
      <c r="AG1067" s="144" t="str">
        <f t="shared" si="86"/>
        <v/>
      </c>
      <c r="AH1067" s="146">
        <f t="shared" si="80"/>
        <v>1.86</v>
      </c>
      <c r="AI1067" s="146" t="str">
        <f t="shared" si="81"/>
        <v/>
      </c>
      <c r="AJ1067" s="313"/>
      <c r="AK1067" s="313"/>
      <c r="AL1067" s="313"/>
      <c r="AM1067" s="313"/>
      <c r="AN1067" s="313"/>
      <c r="AO1067" s="313"/>
      <c r="AP1067" s="313"/>
      <c r="AQ1067" s="313"/>
      <c r="AR1067" s="313"/>
      <c r="AS1067" s="287"/>
      <c r="AT1067" s="175"/>
      <c r="AV1067" s="322"/>
      <c r="AW1067" s="437">
        <v>1.86</v>
      </c>
      <c r="AX1067" s="276"/>
      <c r="AY1067" s="276"/>
      <c r="AZ1067" s="276"/>
      <c r="BA1067" s="437">
        <f>1.97-AY1067</f>
        <v>1.97</v>
      </c>
      <c r="BB1067" s="276"/>
      <c r="BC1067" s="437">
        <v>0.30999999999999983</v>
      </c>
      <c r="BD1067" s="276"/>
      <c r="BE1067" s="276"/>
      <c r="BF1067" s="406">
        <f t="shared" ref="BF1067:BF1098" si="87">AW1067</f>
        <v>1.86</v>
      </c>
      <c r="BG1067" s="406">
        <f>SUM(AW1067:BE1067)</f>
        <v>4.1399999999999997</v>
      </c>
    </row>
    <row r="1068" spans="1:59" ht="15" customHeight="1" thickBot="1" x14ac:dyDescent="0.25">
      <c r="A1068" s="156">
        <v>1069</v>
      </c>
      <c r="B1068" s="155">
        <v>1</v>
      </c>
      <c r="C1068" s="151" t="s">
        <v>162</v>
      </c>
      <c r="D1068" s="151" t="s">
        <v>839</v>
      </c>
      <c r="F1068" s="151" t="s">
        <v>3178</v>
      </c>
      <c r="H1068" s="151" t="s">
        <v>55</v>
      </c>
      <c r="I1068" s="165">
        <v>2012</v>
      </c>
      <c r="J1068" s="165" t="s">
        <v>3182</v>
      </c>
      <c r="K1068" s="165" t="s">
        <v>3183</v>
      </c>
      <c r="L1068" s="165" t="s">
        <v>19</v>
      </c>
      <c r="M1068" s="453" t="s">
        <v>4305</v>
      </c>
      <c r="AF1068" s="144" t="str">
        <f t="shared" si="79"/>
        <v/>
      </c>
      <c r="AG1068" s="144" t="str">
        <f t="shared" si="86"/>
        <v/>
      </c>
      <c r="AH1068" s="146">
        <f t="shared" si="80"/>
        <v>0.3</v>
      </c>
      <c r="AI1068" s="146" t="str">
        <f t="shared" si="81"/>
        <v/>
      </c>
      <c r="AJ1068" s="313"/>
      <c r="AK1068" s="313"/>
      <c r="AL1068" s="313"/>
      <c r="AM1068" s="313"/>
      <c r="AN1068" s="313"/>
      <c r="AO1068" s="313"/>
      <c r="AP1068" s="313"/>
      <c r="AQ1068" s="313"/>
      <c r="AR1068" s="313"/>
      <c r="AS1068" s="287"/>
      <c r="AT1068" s="175"/>
      <c r="AV1068" s="322"/>
      <c r="AW1068" s="437">
        <v>0.3</v>
      </c>
      <c r="AX1068" s="276"/>
      <c r="AY1068" s="276"/>
      <c r="AZ1068" s="276"/>
      <c r="BA1068" s="437">
        <v>0.36000000000000004</v>
      </c>
      <c r="BB1068" s="276"/>
      <c r="BC1068" s="437">
        <f>0.97-0.66</f>
        <v>0.30999999999999994</v>
      </c>
      <c r="BD1068" s="276"/>
      <c r="BE1068" s="276"/>
      <c r="BF1068" s="406">
        <f t="shared" si="87"/>
        <v>0.3</v>
      </c>
      <c r="BG1068" s="406">
        <f>SUM(AW1068:BE1068)</f>
        <v>0.97</v>
      </c>
    </row>
    <row r="1069" spans="1:59" ht="15" customHeight="1" thickBot="1" x14ac:dyDescent="0.25">
      <c r="A1069" s="156">
        <v>1070</v>
      </c>
      <c r="B1069" s="155">
        <v>1</v>
      </c>
      <c r="C1069" s="151" t="s">
        <v>162</v>
      </c>
      <c r="D1069" s="291" t="s">
        <v>4055</v>
      </c>
      <c r="H1069" s="151" t="s">
        <v>108</v>
      </c>
      <c r="I1069" s="165">
        <v>2013</v>
      </c>
      <c r="J1069" s="165" t="s">
        <v>3184</v>
      </c>
      <c r="L1069" s="165" t="s">
        <v>19</v>
      </c>
      <c r="M1069" s="453" t="s">
        <v>4306</v>
      </c>
      <c r="AF1069" s="144" t="str">
        <f t="shared" ref="AF1069:AF1132" si="88">IF(AS1069&lt;&gt;0,AS1069,"")</f>
        <v/>
      </c>
      <c r="AG1069" s="144" t="str">
        <f t="shared" si="86"/>
        <v/>
      </c>
      <c r="AH1069" s="146">
        <f t="shared" si="80"/>
        <v>2.1</v>
      </c>
      <c r="AI1069" s="146" t="str">
        <f t="shared" si="81"/>
        <v/>
      </c>
      <c r="AJ1069" s="313"/>
      <c r="AK1069" s="313"/>
      <c r="AL1069" s="313"/>
      <c r="AM1069" s="313"/>
      <c r="AN1069" s="313"/>
      <c r="AO1069" s="313"/>
      <c r="AP1069" s="313"/>
      <c r="AQ1069" s="313"/>
      <c r="AR1069" s="313"/>
      <c r="AS1069" s="287"/>
      <c r="AT1069" s="175"/>
      <c r="AV1069" s="322"/>
      <c r="AW1069" s="437">
        <v>2.1</v>
      </c>
      <c r="AX1069" s="276"/>
      <c r="AY1069" s="276"/>
      <c r="AZ1069" s="276"/>
      <c r="BA1069" s="437">
        <v>0.1</v>
      </c>
      <c r="BB1069" s="276"/>
      <c r="BC1069" s="276"/>
      <c r="BD1069" s="276"/>
      <c r="BE1069" s="276"/>
      <c r="BF1069" s="406">
        <f t="shared" si="87"/>
        <v>2.1</v>
      </c>
      <c r="BG1069" s="406"/>
    </row>
    <row r="1070" spans="1:59" ht="15" customHeight="1" thickBot="1" x14ac:dyDescent="0.25">
      <c r="A1070" s="156">
        <v>1071</v>
      </c>
      <c r="B1070" s="155">
        <v>1</v>
      </c>
      <c r="C1070" s="151" t="s">
        <v>162</v>
      </c>
      <c r="D1070" s="151" t="s">
        <v>839</v>
      </c>
      <c r="F1070" s="151" t="s">
        <v>3179</v>
      </c>
      <c r="H1070" s="151" t="s">
        <v>73</v>
      </c>
      <c r="I1070" s="165">
        <v>2013</v>
      </c>
      <c r="J1070" s="165" t="s">
        <v>3184</v>
      </c>
      <c r="L1070" s="165" t="s">
        <v>19</v>
      </c>
      <c r="M1070" s="453" t="s">
        <v>4306</v>
      </c>
      <c r="AF1070" s="144" t="str">
        <f t="shared" si="88"/>
        <v/>
      </c>
      <c r="AG1070" s="144" t="str">
        <f t="shared" si="86"/>
        <v/>
      </c>
      <c r="AH1070" s="146">
        <f t="shared" si="80"/>
        <v>0.3</v>
      </c>
      <c r="AI1070" s="146" t="str">
        <f t="shared" si="81"/>
        <v/>
      </c>
      <c r="AJ1070" s="313"/>
      <c r="AK1070" s="313"/>
      <c r="AL1070" s="313"/>
      <c r="AM1070" s="313"/>
      <c r="AN1070" s="313"/>
      <c r="AO1070" s="313"/>
      <c r="AP1070" s="313"/>
      <c r="AQ1070" s="313"/>
      <c r="AR1070" s="313"/>
      <c r="AS1070" s="287"/>
      <c r="AT1070" s="175"/>
      <c r="AV1070" s="322"/>
      <c r="AW1070" s="437">
        <v>0.3</v>
      </c>
      <c r="AX1070" s="276"/>
      <c r="AY1070" s="276"/>
      <c r="AZ1070" s="276"/>
      <c r="BA1070" s="437">
        <v>0.3</v>
      </c>
      <c r="BB1070" s="276"/>
      <c r="BC1070" s="276"/>
      <c r="BD1070" s="276"/>
      <c r="BE1070" s="276"/>
      <c r="BF1070" s="406">
        <f t="shared" si="87"/>
        <v>0.3</v>
      </c>
      <c r="BG1070" s="406">
        <f>SUM(AW1070:BE1070)</f>
        <v>0.6</v>
      </c>
    </row>
    <row r="1071" spans="1:59" ht="15" customHeight="1" thickBot="1" x14ac:dyDescent="0.25">
      <c r="A1071" s="156">
        <v>1072</v>
      </c>
      <c r="B1071" s="155">
        <v>1</v>
      </c>
      <c r="C1071" s="151" t="s">
        <v>162</v>
      </c>
      <c r="D1071" s="151" t="s">
        <v>839</v>
      </c>
      <c r="F1071" s="151" t="s">
        <v>3179</v>
      </c>
      <c r="H1071" s="151" t="s">
        <v>73</v>
      </c>
      <c r="I1071" s="165">
        <v>2012</v>
      </c>
      <c r="J1071" s="165" t="s">
        <v>3185</v>
      </c>
      <c r="K1071" s="165" t="s">
        <v>3186</v>
      </c>
      <c r="L1071" s="165" t="s">
        <v>19</v>
      </c>
      <c r="M1071" s="453" t="s">
        <v>4307</v>
      </c>
      <c r="AF1071" s="144" t="str">
        <f t="shared" si="88"/>
        <v/>
      </c>
      <c r="AG1071" s="144" t="str">
        <f t="shared" si="86"/>
        <v/>
      </c>
      <c r="AH1071" s="146">
        <f t="shared" si="80"/>
        <v>0.25</v>
      </c>
      <c r="AI1071" s="146" t="str">
        <f t="shared" si="81"/>
        <v/>
      </c>
      <c r="AJ1071" s="313"/>
      <c r="AK1071" s="313"/>
      <c r="AL1071" s="313"/>
      <c r="AM1071" s="313"/>
      <c r="AN1071" s="313"/>
      <c r="AO1071" s="313"/>
      <c r="AP1071" s="313"/>
      <c r="AQ1071" s="313"/>
      <c r="AR1071" s="313"/>
      <c r="AS1071" s="287"/>
      <c r="AT1071" s="175"/>
      <c r="AV1071" s="322"/>
      <c r="AW1071" s="437">
        <v>0.25</v>
      </c>
      <c r="AX1071" s="276"/>
      <c r="AY1071" s="276"/>
      <c r="AZ1071" s="276"/>
      <c r="BA1071" s="276"/>
      <c r="BB1071" s="276"/>
      <c r="BC1071" s="276"/>
      <c r="BD1071" s="276"/>
      <c r="BE1071" s="276"/>
      <c r="BF1071" s="406">
        <f t="shared" si="87"/>
        <v>0.25</v>
      </c>
      <c r="BG1071" s="406"/>
    </row>
    <row r="1072" spans="1:59" ht="15" customHeight="1" thickBot="1" x14ac:dyDescent="0.25">
      <c r="A1072" s="156">
        <v>1073</v>
      </c>
      <c r="B1072" s="155">
        <v>1</v>
      </c>
      <c r="C1072" s="151" t="s">
        <v>162</v>
      </c>
      <c r="D1072" s="151" t="s">
        <v>839</v>
      </c>
      <c r="F1072" s="151" t="s">
        <v>3179</v>
      </c>
      <c r="H1072" s="151" t="s">
        <v>3189</v>
      </c>
      <c r="I1072" s="165">
        <v>2015</v>
      </c>
      <c r="J1072" s="165" t="s">
        <v>3187</v>
      </c>
      <c r="K1072" s="165" t="s">
        <v>3188</v>
      </c>
      <c r="L1072" s="165" t="s">
        <v>19</v>
      </c>
      <c r="M1072" s="453" t="s">
        <v>4308</v>
      </c>
      <c r="AF1072" s="144" t="str">
        <f t="shared" si="88"/>
        <v/>
      </c>
      <c r="AG1072" s="144" t="str">
        <f t="shared" si="86"/>
        <v/>
      </c>
      <c r="AH1072" s="146">
        <f t="shared" si="80"/>
        <v>0.21500000000000002</v>
      </c>
      <c r="AI1072" s="146" t="str">
        <f t="shared" si="81"/>
        <v/>
      </c>
      <c r="AJ1072" s="313"/>
      <c r="AK1072" s="313"/>
      <c r="AL1072" s="313"/>
      <c r="AM1072" s="313"/>
      <c r="AN1072" s="313"/>
      <c r="AO1072" s="313"/>
      <c r="AP1072" s="313"/>
      <c r="AQ1072" s="313"/>
      <c r="AR1072" s="313"/>
      <c r="AS1072" s="287"/>
      <c r="AT1072" s="175"/>
      <c r="AV1072" s="322"/>
      <c r="AW1072" s="437">
        <f>0.012+0.203</f>
        <v>0.21500000000000002</v>
      </c>
      <c r="AX1072" s="276"/>
      <c r="AY1072" s="276"/>
      <c r="AZ1072" s="437">
        <v>9.0999999999999998E-2</v>
      </c>
      <c r="BA1072" s="437">
        <v>0.24</v>
      </c>
      <c r="BB1072" s="276"/>
      <c r="BC1072" s="276"/>
      <c r="BD1072" s="276"/>
      <c r="BE1072" s="276"/>
      <c r="BF1072" s="406">
        <f t="shared" si="87"/>
        <v>0.21500000000000002</v>
      </c>
      <c r="BG1072" s="406">
        <f>SUM(AW1072:BE1072)</f>
        <v>0.54600000000000004</v>
      </c>
    </row>
    <row r="1073" spans="1:59" ht="15" customHeight="1" thickBot="1" x14ac:dyDescent="0.25">
      <c r="A1073" s="156">
        <v>1074</v>
      </c>
      <c r="B1073" s="155">
        <v>1</v>
      </c>
      <c r="C1073" s="151" t="s">
        <v>162</v>
      </c>
      <c r="D1073" s="291" t="s">
        <v>4055</v>
      </c>
      <c r="F1073" s="151" t="s">
        <v>3175</v>
      </c>
      <c r="H1073" s="151" t="s">
        <v>165</v>
      </c>
      <c r="I1073" s="165">
        <v>2011</v>
      </c>
      <c r="J1073" s="165" t="s">
        <v>3190</v>
      </c>
      <c r="K1073" s="165" t="s">
        <v>3191</v>
      </c>
      <c r="L1073" s="165" t="s">
        <v>19</v>
      </c>
      <c r="M1073" s="453" t="s">
        <v>4309</v>
      </c>
      <c r="AF1073" s="144" t="str">
        <f t="shared" si="88"/>
        <v/>
      </c>
      <c r="AG1073" s="144" t="str">
        <f t="shared" si="86"/>
        <v/>
      </c>
      <c r="AH1073" s="146">
        <f t="shared" si="80"/>
        <v>2.0699999999999998</v>
      </c>
      <c r="AI1073" s="146" t="str">
        <f t="shared" si="81"/>
        <v/>
      </c>
      <c r="AJ1073" s="313"/>
      <c r="AK1073" s="313"/>
      <c r="AL1073" s="313"/>
      <c r="AM1073" s="313"/>
      <c r="AN1073" s="313"/>
      <c r="AO1073" s="313"/>
      <c r="AP1073" s="313"/>
      <c r="AQ1073" s="313"/>
      <c r="AR1073" s="313"/>
      <c r="AS1073" s="287"/>
      <c r="AT1073" s="175"/>
      <c r="AV1073" s="322"/>
      <c r="AW1073" s="437">
        <v>2.0699999999999998</v>
      </c>
      <c r="AX1073" s="276"/>
      <c r="AY1073" s="276"/>
      <c r="AZ1073" s="276"/>
      <c r="BA1073" s="276"/>
      <c r="BB1073" s="276"/>
      <c r="BC1073" s="276"/>
      <c r="BD1073" s="276"/>
      <c r="BE1073" s="276"/>
      <c r="BF1073" s="406">
        <f t="shared" si="87"/>
        <v>2.0699999999999998</v>
      </c>
      <c r="BG1073" s="406"/>
    </row>
    <row r="1074" spans="1:59" ht="15" customHeight="1" thickBot="1" x14ac:dyDescent="0.25">
      <c r="A1074" s="156">
        <v>1075</v>
      </c>
      <c r="B1074" s="155">
        <v>1</v>
      </c>
      <c r="C1074" s="151" t="s">
        <v>162</v>
      </c>
      <c r="D1074" s="291" t="s">
        <v>4055</v>
      </c>
      <c r="F1074" s="151" t="s">
        <v>3176</v>
      </c>
      <c r="H1074" s="151" t="s">
        <v>165</v>
      </c>
      <c r="I1074" s="165">
        <v>2011</v>
      </c>
      <c r="J1074" s="165" t="s">
        <v>3190</v>
      </c>
      <c r="K1074" s="165" t="s">
        <v>3191</v>
      </c>
      <c r="L1074" s="165" t="s">
        <v>19</v>
      </c>
      <c r="M1074" s="453" t="s">
        <v>4309</v>
      </c>
      <c r="AF1074" s="144" t="str">
        <f t="shared" si="88"/>
        <v/>
      </c>
      <c r="AG1074" s="144" t="str">
        <f t="shared" si="86"/>
        <v/>
      </c>
      <c r="AH1074" s="146">
        <f t="shared" si="80"/>
        <v>1.81</v>
      </c>
      <c r="AI1074" s="146" t="str">
        <f t="shared" si="81"/>
        <v/>
      </c>
      <c r="AJ1074" s="313"/>
      <c r="AK1074" s="313"/>
      <c r="AL1074" s="313"/>
      <c r="AM1074" s="313"/>
      <c r="AN1074" s="313"/>
      <c r="AO1074" s="313"/>
      <c r="AP1074" s="313"/>
      <c r="AQ1074" s="313"/>
      <c r="AR1074" s="313"/>
      <c r="AS1074" s="287"/>
      <c r="AT1074" s="175"/>
      <c r="AV1074" s="322"/>
      <c r="AW1074" s="437">
        <v>1.81</v>
      </c>
      <c r="AX1074" s="276"/>
      <c r="AY1074" s="276"/>
      <c r="AZ1074" s="276"/>
      <c r="BA1074" s="276"/>
      <c r="BB1074" s="276"/>
      <c r="BC1074" s="276"/>
      <c r="BD1074" s="276"/>
      <c r="BE1074" s="276"/>
      <c r="BF1074" s="406">
        <f t="shared" si="87"/>
        <v>1.81</v>
      </c>
      <c r="BG1074" s="406"/>
    </row>
    <row r="1075" spans="1:59" ht="15" customHeight="1" thickBot="1" x14ac:dyDescent="0.25">
      <c r="A1075" s="156">
        <v>1076</v>
      </c>
      <c r="B1075" s="155">
        <v>1</v>
      </c>
      <c r="C1075" s="151" t="s">
        <v>162</v>
      </c>
      <c r="D1075" s="291" t="s">
        <v>4055</v>
      </c>
      <c r="F1075" s="151" t="s">
        <v>3175</v>
      </c>
      <c r="H1075" s="151" t="s">
        <v>165</v>
      </c>
      <c r="I1075" s="165">
        <v>2011</v>
      </c>
      <c r="J1075" s="165" t="s">
        <v>3190</v>
      </c>
      <c r="K1075" s="165" t="s">
        <v>3191</v>
      </c>
      <c r="L1075" s="165" t="s">
        <v>19</v>
      </c>
      <c r="M1075" s="453" t="s">
        <v>4309</v>
      </c>
      <c r="AF1075" s="144" t="str">
        <f t="shared" si="88"/>
        <v/>
      </c>
      <c r="AG1075" s="144" t="str">
        <f t="shared" si="86"/>
        <v/>
      </c>
      <c r="AH1075" s="146">
        <f t="shared" si="80"/>
        <v>2.1</v>
      </c>
      <c r="AI1075" s="146" t="str">
        <f t="shared" si="81"/>
        <v/>
      </c>
      <c r="AJ1075" s="313"/>
      <c r="AK1075" s="313"/>
      <c r="AL1075" s="313"/>
      <c r="AM1075" s="313"/>
      <c r="AN1075" s="313"/>
      <c r="AO1075" s="313"/>
      <c r="AP1075" s="313"/>
      <c r="AQ1075" s="313"/>
      <c r="AR1075" s="313"/>
      <c r="AS1075" s="287"/>
      <c r="AT1075" s="175"/>
      <c r="AV1075" s="322"/>
      <c r="AW1075" s="437">
        <v>2.1</v>
      </c>
      <c r="AX1075" s="276"/>
      <c r="AY1075" s="276"/>
      <c r="AZ1075" s="276"/>
      <c r="BA1075" s="276"/>
      <c r="BB1075" s="276"/>
      <c r="BC1075" s="276"/>
      <c r="BD1075" s="276"/>
      <c r="BE1075" s="276"/>
      <c r="BF1075" s="406">
        <f t="shared" si="87"/>
        <v>2.1</v>
      </c>
      <c r="BG1075" s="406"/>
    </row>
    <row r="1076" spans="1:59" ht="15" customHeight="1" thickBot="1" x14ac:dyDescent="0.25">
      <c r="A1076" s="156">
        <v>1077</v>
      </c>
      <c r="B1076" s="155">
        <v>1</v>
      </c>
      <c r="C1076" s="151" t="s">
        <v>162</v>
      </c>
      <c r="D1076" s="291" t="s">
        <v>4055</v>
      </c>
      <c r="F1076" s="151" t="s">
        <v>3176</v>
      </c>
      <c r="H1076" s="151" t="s">
        <v>165</v>
      </c>
      <c r="I1076" s="165">
        <v>2011</v>
      </c>
      <c r="J1076" s="165" t="s">
        <v>3190</v>
      </c>
      <c r="K1076" s="165" t="s">
        <v>3191</v>
      </c>
      <c r="L1076" s="165" t="s">
        <v>19</v>
      </c>
      <c r="M1076" s="453" t="s">
        <v>4309</v>
      </c>
      <c r="AF1076" s="144" t="str">
        <f t="shared" si="88"/>
        <v/>
      </c>
      <c r="AG1076" s="144" t="str">
        <f t="shared" si="86"/>
        <v/>
      </c>
      <c r="AH1076" s="146">
        <f t="shared" si="80"/>
        <v>2.06</v>
      </c>
      <c r="AI1076" s="146" t="str">
        <f t="shared" si="81"/>
        <v/>
      </c>
      <c r="AJ1076" s="313"/>
      <c r="AK1076" s="313"/>
      <c r="AL1076" s="313"/>
      <c r="AM1076" s="313"/>
      <c r="AN1076" s="313"/>
      <c r="AO1076" s="313"/>
      <c r="AP1076" s="313"/>
      <c r="AQ1076" s="313"/>
      <c r="AR1076" s="313"/>
      <c r="AS1076" s="287"/>
      <c r="AT1076" s="175"/>
      <c r="AV1076" s="322"/>
      <c r="AW1076" s="437">
        <v>2.06</v>
      </c>
      <c r="AX1076" s="276"/>
      <c r="AY1076" s="276"/>
      <c r="AZ1076" s="276"/>
      <c r="BA1076" s="276"/>
      <c r="BB1076" s="276"/>
      <c r="BC1076" s="276"/>
      <c r="BD1076" s="276"/>
      <c r="BE1076" s="276"/>
      <c r="BF1076" s="406">
        <f t="shared" si="87"/>
        <v>2.06</v>
      </c>
      <c r="BG1076" s="406"/>
    </row>
    <row r="1077" spans="1:59" ht="15" customHeight="1" thickBot="1" x14ac:dyDescent="0.25">
      <c r="A1077" s="156">
        <v>1078</v>
      </c>
      <c r="B1077" s="155">
        <v>1</v>
      </c>
      <c r="C1077" s="151" t="s">
        <v>162</v>
      </c>
      <c r="D1077" s="291" t="s">
        <v>4055</v>
      </c>
      <c r="F1077" s="151" t="s">
        <v>3175</v>
      </c>
      <c r="H1077" s="151" t="s">
        <v>165</v>
      </c>
      <c r="I1077" s="165">
        <v>2011</v>
      </c>
      <c r="J1077" s="165" t="s">
        <v>3190</v>
      </c>
      <c r="K1077" s="165" t="s">
        <v>3191</v>
      </c>
      <c r="L1077" s="165" t="s">
        <v>19</v>
      </c>
      <c r="M1077" s="453" t="s">
        <v>4309</v>
      </c>
      <c r="AF1077" s="144" t="str">
        <f t="shared" si="88"/>
        <v/>
      </c>
      <c r="AG1077" s="144" t="str">
        <f t="shared" si="86"/>
        <v/>
      </c>
      <c r="AH1077" s="146">
        <f t="shared" si="80"/>
        <v>1.86</v>
      </c>
      <c r="AI1077" s="146" t="str">
        <f t="shared" si="81"/>
        <v/>
      </c>
      <c r="AJ1077" s="313"/>
      <c r="AK1077" s="313"/>
      <c r="AL1077" s="313"/>
      <c r="AM1077" s="313"/>
      <c r="AN1077" s="313"/>
      <c r="AO1077" s="313"/>
      <c r="AP1077" s="313"/>
      <c r="AQ1077" s="313"/>
      <c r="AR1077" s="313"/>
      <c r="AS1077" s="287"/>
      <c r="AT1077" s="175"/>
      <c r="AV1077" s="322"/>
      <c r="AW1077" s="437">
        <v>1.86</v>
      </c>
      <c r="AX1077" s="276"/>
      <c r="AY1077" s="276"/>
      <c r="AZ1077" s="276"/>
      <c r="BA1077" s="276"/>
      <c r="BB1077" s="276"/>
      <c r="BC1077" s="276"/>
      <c r="BD1077" s="276"/>
      <c r="BE1077" s="276"/>
      <c r="BF1077" s="406">
        <f t="shared" si="87"/>
        <v>1.86</v>
      </c>
      <c r="BG1077" s="406"/>
    </row>
    <row r="1078" spans="1:59" ht="15" customHeight="1" thickBot="1" x14ac:dyDescent="0.25">
      <c r="A1078" s="156">
        <v>1079</v>
      </c>
      <c r="B1078" s="155">
        <v>1</v>
      </c>
      <c r="C1078" s="151" t="s">
        <v>162</v>
      </c>
      <c r="D1078" s="291" t="s">
        <v>4055</v>
      </c>
      <c r="F1078" s="151" t="s">
        <v>3176</v>
      </c>
      <c r="H1078" s="151" t="s">
        <v>165</v>
      </c>
      <c r="I1078" s="165">
        <v>2011</v>
      </c>
      <c r="J1078" s="165" t="s">
        <v>3190</v>
      </c>
      <c r="K1078" s="165" t="s">
        <v>3191</v>
      </c>
      <c r="L1078" s="165" t="s">
        <v>19</v>
      </c>
      <c r="M1078" s="453" t="s">
        <v>4309</v>
      </c>
      <c r="AF1078" s="144" t="str">
        <f t="shared" si="88"/>
        <v/>
      </c>
      <c r="AG1078" s="144" t="str">
        <f t="shared" si="86"/>
        <v/>
      </c>
      <c r="AH1078" s="146">
        <f t="shared" si="80"/>
        <v>1.62</v>
      </c>
      <c r="AI1078" s="146" t="str">
        <f t="shared" si="81"/>
        <v/>
      </c>
      <c r="AJ1078" s="313"/>
      <c r="AK1078" s="313"/>
      <c r="AL1078" s="313"/>
      <c r="AM1078" s="313"/>
      <c r="AN1078" s="313"/>
      <c r="AO1078" s="313"/>
      <c r="AP1078" s="313"/>
      <c r="AQ1078" s="313"/>
      <c r="AR1078" s="313"/>
      <c r="AS1078" s="287"/>
      <c r="AT1078" s="175"/>
      <c r="AV1078" s="322"/>
      <c r="AW1078" s="437">
        <v>1.62</v>
      </c>
      <c r="AX1078" s="276"/>
      <c r="AY1078" s="276"/>
      <c r="AZ1078" s="276"/>
      <c r="BA1078" s="276"/>
      <c r="BB1078" s="276"/>
      <c r="BC1078" s="276"/>
      <c r="BD1078" s="276"/>
      <c r="BE1078" s="276"/>
      <c r="BF1078" s="406">
        <f t="shared" si="87"/>
        <v>1.62</v>
      </c>
      <c r="BG1078" s="406"/>
    </row>
    <row r="1079" spans="1:59" ht="15" customHeight="1" thickBot="1" x14ac:dyDescent="0.25">
      <c r="A1079" s="156">
        <v>1080</v>
      </c>
      <c r="B1079" s="155">
        <v>1</v>
      </c>
      <c r="C1079" s="151" t="s">
        <v>162</v>
      </c>
      <c r="D1079" s="291" t="s">
        <v>4055</v>
      </c>
      <c r="F1079" s="151" t="s">
        <v>3175</v>
      </c>
      <c r="H1079" s="151" t="s">
        <v>165</v>
      </c>
      <c r="I1079" s="165">
        <v>2011</v>
      </c>
      <c r="J1079" s="165" t="s">
        <v>3190</v>
      </c>
      <c r="K1079" s="165" t="s">
        <v>3191</v>
      </c>
      <c r="L1079" s="165" t="s">
        <v>19</v>
      </c>
      <c r="M1079" s="453" t="s">
        <v>4309</v>
      </c>
      <c r="AF1079" s="144" t="str">
        <f t="shared" si="88"/>
        <v/>
      </c>
      <c r="AG1079" s="144" t="str">
        <f t="shared" si="86"/>
        <v/>
      </c>
      <c r="AH1079" s="146">
        <f t="shared" si="80"/>
        <v>2.36</v>
      </c>
      <c r="AI1079" s="146" t="str">
        <f t="shared" si="81"/>
        <v/>
      </c>
      <c r="AJ1079" s="313"/>
      <c r="AK1079" s="313"/>
      <c r="AL1079" s="313"/>
      <c r="AM1079" s="313"/>
      <c r="AN1079" s="313"/>
      <c r="AO1079" s="313"/>
      <c r="AP1079" s="313"/>
      <c r="AQ1079" s="313"/>
      <c r="AR1079" s="313"/>
      <c r="AS1079" s="287"/>
      <c r="AT1079" s="175"/>
      <c r="AV1079" s="322"/>
      <c r="AW1079" s="437">
        <v>2.36</v>
      </c>
      <c r="AX1079" s="276"/>
      <c r="AY1079" s="276"/>
      <c r="AZ1079" s="276"/>
      <c r="BA1079" s="276"/>
      <c r="BB1079" s="276"/>
      <c r="BC1079" s="276"/>
      <c r="BD1079" s="276"/>
      <c r="BE1079" s="276"/>
      <c r="BF1079" s="406">
        <f t="shared" si="87"/>
        <v>2.36</v>
      </c>
      <c r="BG1079" s="406"/>
    </row>
    <row r="1080" spans="1:59" ht="15" customHeight="1" thickBot="1" x14ac:dyDescent="0.25">
      <c r="A1080" s="156">
        <v>1081</v>
      </c>
      <c r="B1080" s="155">
        <v>1</v>
      </c>
      <c r="C1080" s="151" t="s">
        <v>162</v>
      </c>
      <c r="D1080" s="291" t="s">
        <v>4055</v>
      </c>
      <c r="F1080" s="151" t="s">
        <v>3176</v>
      </c>
      <c r="H1080" s="151" t="s">
        <v>165</v>
      </c>
      <c r="I1080" s="165">
        <v>2011</v>
      </c>
      <c r="J1080" s="165" t="s">
        <v>3190</v>
      </c>
      <c r="K1080" s="165" t="s">
        <v>3191</v>
      </c>
      <c r="L1080" s="165" t="s">
        <v>19</v>
      </c>
      <c r="M1080" s="453" t="s">
        <v>4309</v>
      </c>
      <c r="AF1080" s="144" t="str">
        <f t="shared" si="88"/>
        <v/>
      </c>
      <c r="AG1080" s="144" t="str">
        <f t="shared" si="86"/>
        <v/>
      </c>
      <c r="AH1080" s="146">
        <f t="shared" si="80"/>
        <v>2.31</v>
      </c>
      <c r="AI1080" s="146" t="str">
        <f t="shared" si="81"/>
        <v/>
      </c>
      <c r="AJ1080" s="313"/>
      <c r="AK1080" s="313"/>
      <c r="AL1080" s="313"/>
      <c r="AM1080" s="313"/>
      <c r="AN1080" s="313"/>
      <c r="AO1080" s="313"/>
      <c r="AP1080" s="313"/>
      <c r="AQ1080" s="313"/>
      <c r="AR1080" s="313"/>
      <c r="AS1080" s="287"/>
      <c r="AT1080" s="175"/>
      <c r="AV1080" s="322"/>
      <c r="AW1080" s="437">
        <v>2.31</v>
      </c>
      <c r="AX1080" s="276"/>
      <c r="AY1080" s="276"/>
      <c r="AZ1080" s="276"/>
      <c r="BA1080" s="276"/>
      <c r="BB1080" s="276"/>
      <c r="BC1080" s="276"/>
      <c r="BD1080" s="276"/>
      <c r="BE1080" s="276"/>
      <c r="BF1080" s="406">
        <f t="shared" si="87"/>
        <v>2.31</v>
      </c>
      <c r="BG1080" s="406"/>
    </row>
    <row r="1081" spans="1:59" ht="15" customHeight="1" thickBot="1" x14ac:dyDescent="0.25">
      <c r="A1081" s="156">
        <v>1082</v>
      </c>
      <c r="B1081" s="155">
        <v>1</v>
      </c>
      <c r="C1081" s="151" t="s">
        <v>162</v>
      </c>
      <c r="D1081" s="151" t="s">
        <v>839</v>
      </c>
      <c r="F1081" s="151" t="s">
        <v>3177</v>
      </c>
      <c r="H1081" s="151" t="s">
        <v>165</v>
      </c>
      <c r="I1081" s="165">
        <v>2011</v>
      </c>
      <c r="J1081" s="165" t="s">
        <v>3190</v>
      </c>
      <c r="K1081" s="165" t="s">
        <v>3191</v>
      </c>
      <c r="L1081" s="165" t="s">
        <v>19</v>
      </c>
      <c r="M1081" s="453" t="s">
        <v>4309</v>
      </c>
      <c r="AF1081" s="144" t="str">
        <f t="shared" si="88"/>
        <v/>
      </c>
      <c r="AG1081" s="144" t="str">
        <f t="shared" si="86"/>
        <v/>
      </c>
      <c r="AH1081" s="146">
        <f t="shared" si="80"/>
        <v>0.50800000000000001</v>
      </c>
      <c r="AI1081" s="146" t="str">
        <f t="shared" si="81"/>
        <v/>
      </c>
      <c r="AJ1081" s="313"/>
      <c r="AK1081" s="313"/>
      <c r="AL1081" s="313"/>
      <c r="AM1081" s="313"/>
      <c r="AN1081" s="313"/>
      <c r="AO1081" s="313"/>
      <c r="AP1081" s="313"/>
      <c r="AQ1081" s="313"/>
      <c r="AR1081" s="313"/>
      <c r="AS1081" s="287"/>
      <c r="AT1081" s="175"/>
      <c r="AV1081" s="322"/>
      <c r="AW1081" s="437">
        <v>0.50800000000000001</v>
      </c>
      <c r="AX1081" s="276"/>
      <c r="AY1081" s="276"/>
      <c r="AZ1081" s="276"/>
      <c r="BA1081" s="276"/>
      <c r="BB1081" s="276"/>
      <c r="BC1081" s="276"/>
      <c r="BD1081" s="276"/>
      <c r="BE1081" s="276"/>
      <c r="BF1081" s="407">
        <f t="shared" si="87"/>
        <v>0.50800000000000001</v>
      </c>
      <c r="BG1081" s="406"/>
    </row>
    <row r="1082" spans="1:59" ht="15" customHeight="1" thickBot="1" x14ac:dyDescent="0.25">
      <c r="A1082" s="156">
        <v>1083</v>
      </c>
      <c r="B1082" s="155">
        <v>1</v>
      </c>
      <c r="C1082" s="151" t="s">
        <v>596</v>
      </c>
      <c r="D1082" s="141" t="s">
        <v>2020</v>
      </c>
      <c r="I1082" s="165">
        <v>2005</v>
      </c>
      <c r="J1082" s="165" t="s">
        <v>3193</v>
      </c>
      <c r="L1082" s="165" t="s">
        <v>3219</v>
      </c>
      <c r="M1082" s="453" t="s">
        <v>4310</v>
      </c>
      <c r="AF1082" s="144" t="str">
        <f t="shared" si="88"/>
        <v/>
      </c>
      <c r="AG1082" s="144" t="str">
        <f t="shared" si="86"/>
        <v/>
      </c>
      <c r="AH1082" s="146">
        <f t="shared" si="80"/>
        <v>0.33333333333333331</v>
      </c>
      <c r="AI1082" s="146">
        <f t="shared" si="81"/>
        <v>0.71972789115646263</v>
      </c>
      <c r="AJ1082" s="313"/>
      <c r="AK1082" s="313"/>
      <c r="AL1082" s="313"/>
      <c r="AM1082" s="313"/>
      <c r="AN1082" s="313"/>
      <c r="AO1082" s="313"/>
      <c r="AP1082" s="313"/>
      <c r="AQ1082" s="313"/>
      <c r="AR1082" s="313"/>
      <c r="AS1082" s="287"/>
      <c r="AV1082" s="322"/>
      <c r="AW1082" s="279">
        <v>0.33333333333333331</v>
      </c>
      <c r="AX1082" s="279"/>
      <c r="AY1082" s="279">
        <v>0.38639455782312926</v>
      </c>
      <c r="AZ1082" s="279" t="s">
        <v>3192</v>
      </c>
      <c r="BA1082" s="279">
        <v>0.35374149659863946</v>
      </c>
      <c r="BB1082" s="279" t="s">
        <v>3192</v>
      </c>
      <c r="BC1082" s="279"/>
      <c r="BD1082" s="279" t="s">
        <v>3192</v>
      </c>
      <c r="BE1082" s="276"/>
      <c r="BF1082" s="407">
        <f t="shared" si="87"/>
        <v>0.33333333333333331</v>
      </c>
      <c r="BG1082" s="407">
        <v>1.073469387755102</v>
      </c>
    </row>
    <row r="1083" spans="1:59" ht="15" customHeight="1" thickBot="1" x14ac:dyDescent="0.25">
      <c r="A1083" s="156">
        <v>1084</v>
      </c>
      <c r="B1083" s="155">
        <v>1</v>
      </c>
      <c r="C1083" s="151" t="s">
        <v>596</v>
      </c>
      <c r="D1083" s="141" t="s">
        <v>2020</v>
      </c>
      <c r="I1083" s="165">
        <v>2006</v>
      </c>
      <c r="J1083" s="165" t="s">
        <v>3194</v>
      </c>
      <c r="L1083" s="165" t="s">
        <v>3219</v>
      </c>
      <c r="M1083" s="453" t="s">
        <v>4310</v>
      </c>
      <c r="AF1083" s="144" t="str">
        <f t="shared" si="88"/>
        <v/>
      </c>
      <c r="AG1083" s="144" t="str">
        <f t="shared" si="86"/>
        <v/>
      </c>
      <c r="AH1083" s="146">
        <f t="shared" si="80"/>
        <v>0.21088435374149658</v>
      </c>
      <c r="AI1083" s="146">
        <f t="shared" si="81"/>
        <v>0.69523809523809521</v>
      </c>
      <c r="AJ1083" s="313"/>
      <c r="AK1083" s="313"/>
      <c r="AL1083" s="313"/>
      <c r="AM1083" s="313"/>
      <c r="AN1083" s="313"/>
      <c r="AO1083" s="313"/>
      <c r="AP1083" s="313"/>
      <c r="AQ1083" s="313"/>
      <c r="AR1083" s="313"/>
      <c r="AS1083" s="287"/>
      <c r="AT1083" s="175"/>
      <c r="AV1083" s="322"/>
      <c r="AW1083" s="279">
        <v>0.21088435374149658</v>
      </c>
      <c r="AX1083" s="279"/>
      <c r="AY1083" s="279">
        <v>0.48435374149659866</v>
      </c>
      <c r="AZ1083" s="279">
        <v>1.361904761904762</v>
      </c>
      <c r="BA1083" s="279">
        <v>0.18367346938775511</v>
      </c>
      <c r="BB1083" s="279" t="s">
        <v>3192</v>
      </c>
      <c r="BC1083" s="279"/>
      <c r="BD1083" s="279" t="s">
        <v>3192</v>
      </c>
      <c r="BE1083" s="276"/>
      <c r="BF1083" s="407">
        <f t="shared" si="87"/>
        <v>0.21088435374149658</v>
      </c>
      <c r="BG1083" s="407">
        <v>2.2408163265306125</v>
      </c>
    </row>
    <row r="1084" spans="1:59" ht="15" customHeight="1" thickBot="1" x14ac:dyDescent="0.25">
      <c r="A1084" s="156">
        <v>1085</v>
      </c>
      <c r="B1084" s="155">
        <v>1</v>
      </c>
      <c r="C1084" s="151" t="s">
        <v>596</v>
      </c>
      <c r="D1084" s="141" t="s">
        <v>2020</v>
      </c>
      <c r="I1084" s="165">
        <v>2011</v>
      </c>
      <c r="J1084" s="165" t="s">
        <v>3195</v>
      </c>
      <c r="L1084" s="165" t="s">
        <v>3219</v>
      </c>
      <c r="M1084" s="453" t="s">
        <v>4310</v>
      </c>
      <c r="AF1084" s="144" t="str">
        <f t="shared" si="88"/>
        <v/>
      </c>
      <c r="AG1084" s="144" t="str">
        <f t="shared" si="86"/>
        <v/>
      </c>
      <c r="AH1084" s="146">
        <f t="shared" si="80"/>
        <v>9.6598639455782315E-2</v>
      </c>
      <c r="AI1084" s="146">
        <f t="shared" si="81"/>
        <v>0.23129251700680273</v>
      </c>
      <c r="AJ1084" s="313"/>
      <c r="AK1084" s="313"/>
      <c r="AL1084" s="313"/>
      <c r="AM1084" s="313"/>
      <c r="AN1084" s="313"/>
      <c r="AO1084" s="313"/>
      <c r="AP1084" s="313"/>
      <c r="AQ1084" s="313"/>
      <c r="AR1084" s="313"/>
      <c r="AS1084" s="287"/>
      <c r="AT1084" s="175"/>
      <c r="AV1084" s="322"/>
      <c r="AW1084" s="279">
        <v>9.6598639455782315E-2</v>
      </c>
      <c r="AX1084" s="279"/>
      <c r="AY1084" s="279">
        <v>0.13469387755102041</v>
      </c>
      <c r="AZ1084" s="279">
        <v>0.92108843537414975</v>
      </c>
      <c r="BA1084" s="279">
        <v>0.67210884353741496</v>
      </c>
      <c r="BB1084" s="279" t="s">
        <v>3192</v>
      </c>
      <c r="BC1084" s="279"/>
      <c r="BD1084" s="279">
        <v>9.6598639455782315E-2</v>
      </c>
      <c r="BE1084" s="276"/>
      <c r="BF1084" s="407">
        <f t="shared" si="87"/>
        <v>9.6598639455782315E-2</v>
      </c>
      <c r="BG1084" s="407">
        <v>1.9183673469387754</v>
      </c>
    </row>
    <row r="1085" spans="1:59" ht="15" customHeight="1" thickBot="1" x14ac:dyDescent="0.25">
      <c r="A1085" s="156">
        <v>1086</v>
      </c>
      <c r="B1085" s="155">
        <v>1</v>
      </c>
      <c r="C1085" s="151" t="s">
        <v>596</v>
      </c>
      <c r="D1085" s="141" t="s">
        <v>2020</v>
      </c>
      <c r="I1085" s="165">
        <v>2011</v>
      </c>
      <c r="J1085" s="165" t="s">
        <v>3195</v>
      </c>
      <c r="L1085" s="165" t="s">
        <v>3219</v>
      </c>
      <c r="M1085" s="453" t="s">
        <v>4310</v>
      </c>
      <c r="AF1085" s="144" t="str">
        <f t="shared" si="88"/>
        <v/>
      </c>
      <c r="AG1085" s="144" t="str">
        <f t="shared" si="86"/>
        <v/>
      </c>
      <c r="AH1085" s="146">
        <f t="shared" si="80"/>
        <v>0.11700680272108842</v>
      </c>
      <c r="AI1085" s="146">
        <f t="shared" si="81"/>
        <v>0.17551020408163262</v>
      </c>
      <c r="AJ1085" s="313"/>
      <c r="AK1085" s="313"/>
      <c r="AL1085" s="313"/>
      <c r="AM1085" s="313"/>
      <c r="AN1085" s="313"/>
      <c r="AO1085" s="313"/>
      <c r="AP1085" s="313"/>
      <c r="AQ1085" s="313"/>
      <c r="AR1085" s="313"/>
      <c r="AS1085" s="287"/>
      <c r="AT1085" s="175"/>
      <c r="AV1085" s="322"/>
      <c r="AW1085" s="279">
        <v>0.11700680272108842</v>
      </c>
      <c r="AX1085" s="279"/>
      <c r="AY1085" s="279">
        <v>5.8503401360544209E-2</v>
      </c>
      <c r="AZ1085" s="279">
        <v>1.0122448979591838</v>
      </c>
      <c r="BA1085" s="279">
        <v>0.64217687074829921</v>
      </c>
      <c r="BB1085" s="279" t="s">
        <v>3192</v>
      </c>
      <c r="BC1085" s="279"/>
      <c r="BD1085" s="279">
        <v>0.11700680272108842</v>
      </c>
      <c r="BE1085" s="276"/>
      <c r="BF1085" s="407">
        <f t="shared" si="87"/>
        <v>0.11700680272108842</v>
      </c>
      <c r="BG1085" s="407">
        <v>1.9455782312925169</v>
      </c>
    </row>
    <row r="1086" spans="1:59" ht="15" customHeight="1" thickBot="1" x14ac:dyDescent="0.25">
      <c r="A1086" s="156">
        <v>1087</v>
      </c>
      <c r="B1086" s="155">
        <v>1</v>
      </c>
      <c r="C1086" s="151" t="s">
        <v>596</v>
      </c>
      <c r="D1086" s="141" t="s">
        <v>2020</v>
      </c>
      <c r="I1086" s="165">
        <v>2010</v>
      </c>
      <c r="J1086" s="165" t="s">
        <v>3196</v>
      </c>
      <c r="L1086" s="165" t="s">
        <v>3219</v>
      </c>
      <c r="M1086" s="453" t="s">
        <v>4310</v>
      </c>
      <c r="AF1086" s="144" t="str">
        <f t="shared" si="88"/>
        <v/>
      </c>
      <c r="AG1086" s="144" t="str">
        <f t="shared" si="86"/>
        <v/>
      </c>
      <c r="AH1086" s="146">
        <f t="shared" si="80"/>
        <v>0.96326530612244898</v>
      </c>
      <c r="AI1086" s="146">
        <f t="shared" si="81"/>
        <v>0.96734693877551026</v>
      </c>
      <c r="AJ1086" s="313"/>
      <c r="AK1086" s="313"/>
      <c r="AL1086" s="313"/>
      <c r="AM1086" s="313"/>
      <c r="AN1086" s="313"/>
      <c r="AO1086" s="313"/>
      <c r="AP1086" s="313"/>
      <c r="AQ1086" s="313"/>
      <c r="AR1086" s="313"/>
      <c r="AS1086" s="287"/>
      <c r="AT1086" s="175"/>
      <c r="AV1086" s="322"/>
      <c r="AW1086" s="279">
        <v>0.96326530612244898</v>
      </c>
      <c r="AX1086" s="279"/>
      <c r="AY1086" s="279">
        <v>4.081632653061224E-3</v>
      </c>
      <c r="AZ1086" s="279">
        <v>1.2666666666666668</v>
      </c>
      <c r="BA1086" s="279" t="s">
        <v>3192</v>
      </c>
      <c r="BB1086" s="279" t="s">
        <v>3192</v>
      </c>
      <c r="BC1086" s="279"/>
      <c r="BD1086" s="279" t="s">
        <v>3192</v>
      </c>
      <c r="BE1086" s="276"/>
      <c r="BF1086" s="407">
        <f t="shared" si="87"/>
        <v>0.96326530612244898</v>
      </c>
      <c r="BG1086" s="407">
        <v>2.2340136054421769</v>
      </c>
    </row>
    <row r="1087" spans="1:59" ht="15" customHeight="1" thickBot="1" x14ac:dyDescent="0.25">
      <c r="A1087" s="156">
        <v>1088</v>
      </c>
      <c r="B1087" s="155">
        <v>1</v>
      </c>
      <c r="C1087" s="151" t="s">
        <v>596</v>
      </c>
      <c r="D1087" s="141" t="s">
        <v>2020</v>
      </c>
      <c r="I1087" s="165">
        <v>2011</v>
      </c>
      <c r="J1087" s="165" t="s">
        <v>3197</v>
      </c>
      <c r="L1087" s="165" t="s">
        <v>3219</v>
      </c>
      <c r="M1087" s="453" t="s">
        <v>4310</v>
      </c>
      <c r="AF1087" s="144" t="str">
        <f t="shared" si="88"/>
        <v/>
      </c>
      <c r="AG1087" s="144" t="str">
        <f t="shared" si="86"/>
        <v/>
      </c>
      <c r="AH1087" s="146">
        <f t="shared" si="80"/>
        <v>0.44897959183673469</v>
      </c>
      <c r="AI1087" s="146">
        <f t="shared" si="81"/>
        <v>0.7482993197278911</v>
      </c>
      <c r="AJ1087" s="313"/>
      <c r="AK1087" s="313"/>
      <c r="AL1087" s="313"/>
      <c r="AM1087" s="313"/>
      <c r="AN1087" s="313"/>
      <c r="AO1087" s="313"/>
      <c r="AP1087" s="313"/>
      <c r="AQ1087" s="313"/>
      <c r="AR1087" s="313"/>
      <c r="AS1087" s="287"/>
      <c r="AT1087" s="175"/>
      <c r="AV1087" s="322"/>
      <c r="AW1087" s="279">
        <v>0.44897959183673469</v>
      </c>
      <c r="AX1087" s="279"/>
      <c r="AY1087" s="279">
        <v>0.29931972789115646</v>
      </c>
      <c r="AZ1087" s="279">
        <v>0.62585034013605445</v>
      </c>
      <c r="BA1087" s="279">
        <v>5.4421768707482998E-2</v>
      </c>
      <c r="BB1087" s="279" t="s">
        <v>3192</v>
      </c>
      <c r="BC1087" s="279"/>
      <c r="BD1087" s="279">
        <v>4.0816326530612242E-2</v>
      </c>
      <c r="BE1087" s="276"/>
      <c r="BF1087" s="407">
        <f t="shared" si="87"/>
        <v>0.44897959183673469</v>
      </c>
      <c r="BG1087" s="407">
        <v>1.4693877551020409</v>
      </c>
    </row>
    <row r="1088" spans="1:59" ht="15" customHeight="1" thickBot="1" x14ac:dyDescent="0.25">
      <c r="A1088" s="156">
        <v>1089</v>
      </c>
      <c r="B1088" s="155">
        <v>1</v>
      </c>
      <c r="C1088" s="151" t="s">
        <v>596</v>
      </c>
      <c r="D1088" s="141" t="s">
        <v>2020</v>
      </c>
      <c r="I1088" s="165">
        <v>2011</v>
      </c>
      <c r="J1088" s="165" t="s">
        <v>3197</v>
      </c>
      <c r="L1088" s="165" t="s">
        <v>3219</v>
      </c>
      <c r="M1088" s="453" t="s">
        <v>4310</v>
      </c>
      <c r="AF1088" s="144" t="str">
        <f t="shared" si="88"/>
        <v/>
      </c>
      <c r="AG1088" s="144" t="str">
        <f t="shared" si="86"/>
        <v/>
      </c>
      <c r="AH1088" s="146">
        <f t="shared" si="80"/>
        <v>0.29931972789115646</v>
      </c>
      <c r="AI1088" s="146">
        <f t="shared" si="81"/>
        <v>0.35374149659863946</v>
      </c>
      <c r="AJ1088" s="313"/>
      <c r="AK1088" s="313"/>
      <c r="AL1088" s="313"/>
      <c r="AM1088" s="313"/>
      <c r="AN1088" s="313"/>
      <c r="AO1088" s="313"/>
      <c r="AP1088" s="313"/>
      <c r="AQ1088" s="313"/>
      <c r="AR1088" s="313"/>
      <c r="AS1088" s="287"/>
      <c r="AT1088" s="175"/>
      <c r="AV1088" s="322"/>
      <c r="AW1088" s="279">
        <v>0.29931972789115646</v>
      </c>
      <c r="AX1088" s="279"/>
      <c r="AY1088" s="279">
        <v>5.4421768707482998E-2</v>
      </c>
      <c r="AZ1088" s="279">
        <v>0.73469387755102045</v>
      </c>
      <c r="BA1088" s="279">
        <v>0.59863945578231292</v>
      </c>
      <c r="BB1088" s="279" t="s">
        <v>3192</v>
      </c>
      <c r="BC1088" s="279"/>
      <c r="BD1088" s="279">
        <v>4.0816326530612242E-2</v>
      </c>
      <c r="BE1088" s="276"/>
      <c r="BF1088" s="407">
        <f t="shared" si="87"/>
        <v>0.29931972789115646</v>
      </c>
      <c r="BG1088" s="407">
        <v>1.7278911564625852</v>
      </c>
    </row>
    <row r="1089" spans="1:59" ht="15" customHeight="1" thickBot="1" x14ac:dyDescent="0.25">
      <c r="A1089" s="156">
        <v>1090</v>
      </c>
      <c r="B1089" s="155">
        <v>1</v>
      </c>
      <c r="C1089" s="151" t="s">
        <v>596</v>
      </c>
      <c r="D1089" s="141" t="s">
        <v>2020</v>
      </c>
      <c r="I1089" s="165">
        <v>2011</v>
      </c>
      <c r="J1089" s="165" t="s">
        <v>3197</v>
      </c>
      <c r="L1089" s="165" t="s">
        <v>3219</v>
      </c>
      <c r="M1089" s="453" t="s">
        <v>4310</v>
      </c>
      <c r="AF1089" s="144" t="str">
        <f t="shared" si="88"/>
        <v/>
      </c>
      <c r="AG1089" s="144" t="str">
        <f t="shared" si="86"/>
        <v/>
      </c>
      <c r="AH1089" s="146">
        <f t="shared" si="80"/>
        <v>0.16326530612244899</v>
      </c>
      <c r="AI1089" s="146">
        <f t="shared" si="81"/>
        <v>0.2857142857142857</v>
      </c>
      <c r="AJ1089" s="313"/>
      <c r="AK1089" s="313"/>
      <c r="AL1089" s="313"/>
      <c r="AM1089" s="313"/>
      <c r="AN1089" s="313"/>
      <c r="AO1089" s="313"/>
      <c r="AP1089" s="313"/>
      <c r="AQ1089" s="313"/>
      <c r="AR1089" s="313"/>
      <c r="AS1089" s="287"/>
      <c r="AT1089" s="175"/>
      <c r="AV1089" s="322"/>
      <c r="AW1089" s="279">
        <v>0.16326530612244899</v>
      </c>
      <c r="AX1089" s="279"/>
      <c r="AY1089" s="279">
        <v>0.12244897959183673</v>
      </c>
      <c r="AZ1089" s="279">
        <v>0.43537414965986398</v>
      </c>
      <c r="BA1089" s="279">
        <v>0.12244897959183673</v>
      </c>
      <c r="BB1089" s="279" t="s">
        <v>3192</v>
      </c>
      <c r="BC1089" s="279"/>
      <c r="BD1089" s="279">
        <v>2.7210884353741499E-2</v>
      </c>
      <c r="BE1089" s="276"/>
      <c r="BF1089" s="407">
        <f t="shared" si="87"/>
        <v>0.16326530612244899</v>
      </c>
      <c r="BG1089" s="407">
        <v>0.87074829931972797</v>
      </c>
    </row>
    <row r="1090" spans="1:59" ht="15" customHeight="1" thickBot="1" x14ac:dyDescent="0.25">
      <c r="A1090" s="156">
        <v>1091</v>
      </c>
      <c r="B1090" s="155">
        <v>1</v>
      </c>
      <c r="C1090" s="151" t="s">
        <v>596</v>
      </c>
      <c r="D1090" s="141" t="s">
        <v>2020</v>
      </c>
      <c r="I1090" s="165">
        <v>2011</v>
      </c>
      <c r="J1090" s="165" t="s">
        <v>3197</v>
      </c>
      <c r="L1090" s="165" t="s">
        <v>3219</v>
      </c>
      <c r="M1090" s="453" t="s">
        <v>4310</v>
      </c>
      <c r="AF1090" s="144" t="str">
        <f t="shared" si="88"/>
        <v/>
      </c>
      <c r="AG1090" s="144" t="str">
        <f t="shared" si="86"/>
        <v/>
      </c>
      <c r="AH1090" s="146">
        <f t="shared" ref="AH1090:AH1153" si="89">IF(BF1090&lt;&gt;0,BF1090,"")</f>
        <v>0.25850340136054417</v>
      </c>
      <c r="AI1090" s="146">
        <f t="shared" ref="AI1090:AI1153" si="90">IF(AND(SUM(AW1090:AY1090)&lt;&gt;0,SUM(AW1090:AY1090)&lt;&gt;AW1090),SUM(AW1090:AY1090),"")</f>
        <v>0.32653061224489788</v>
      </c>
      <c r="AJ1090" s="313"/>
      <c r="AK1090" s="313"/>
      <c r="AL1090" s="313"/>
      <c r="AM1090" s="313"/>
      <c r="AN1090" s="313"/>
      <c r="AO1090" s="313"/>
      <c r="AP1090" s="313"/>
      <c r="AQ1090" s="313"/>
      <c r="AR1090" s="313"/>
      <c r="AS1090" s="287"/>
      <c r="AT1090" s="175"/>
      <c r="AV1090" s="322"/>
      <c r="AW1090" s="279">
        <v>0.25850340136054417</v>
      </c>
      <c r="AX1090" s="279"/>
      <c r="AY1090" s="279">
        <v>6.8027210884353734E-2</v>
      </c>
      <c r="AZ1090" s="279">
        <v>0.82993197278911568</v>
      </c>
      <c r="BA1090" s="279">
        <v>2.7210884353741499E-2</v>
      </c>
      <c r="BB1090" s="279" t="s">
        <v>3192</v>
      </c>
      <c r="BC1090" s="279"/>
      <c r="BD1090" s="279">
        <v>4.0816326530612242E-2</v>
      </c>
      <c r="BE1090" s="276"/>
      <c r="BF1090" s="407">
        <f t="shared" si="87"/>
        <v>0.25850340136054417</v>
      </c>
      <c r="BG1090" s="407">
        <v>1.2244897959183676</v>
      </c>
    </row>
    <row r="1091" spans="1:59" ht="15" customHeight="1" thickBot="1" x14ac:dyDescent="0.25">
      <c r="A1091" s="156">
        <v>1092</v>
      </c>
      <c r="B1091" s="155">
        <v>1</v>
      </c>
      <c r="C1091" s="151" t="s">
        <v>596</v>
      </c>
      <c r="D1091" s="141" t="s">
        <v>2020</v>
      </c>
      <c r="I1091" s="165">
        <v>2009</v>
      </c>
      <c r="J1091" s="165" t="s">
        <v>3198</v>
      </c>
      <c r="L1091" s="165" t="s">
        <v>3219</v>
      </c>
      <c r="M1091" s="453" t="s">
        <v>4310</v>
      </c>
      <c r="AF1091" s="144" t="str">
        <f t="shared" si="88"/>
        <v/>
      </c>
      <c r="AG1091" s="144" t="str">
        <f t="shared" si="86"/>
        <v/>
      </c>
      <c r="AH1091" s="146">
        <f t="shared" si="89"/>
        <v>0.47755102040816327</v>
      </c>
      <c r="AI1091" s="146">
        <f t="shared" si="90"/>
        <v>0.66802721088435379</v>
      </c>
      <c r="AJ1091" s="313"/>
      <c r="AK1091" s="313"/>
      <c r="AL1091" s="313"/>
      <c r="AM1091" s="313"/>
      <c r="AN1091" s="313"/>
      <c r="AO1091" s="313"/>
      <c r="AP1091" s="313"/>
      <c r="AQ1091" s="313"/>
      <c r="AR1091" s="313"/>
      <c r="AS1091" s="287"/>
      <c r="AV1091" s="322"/>
      <c r="AW1091" s="279">
        <v>0.47755102040816327</v>
      </c>
      <c r="AX1091" s="279"/>
      <c r="AY1091" s="279">
        <v>0.19047619047619052</v>
      </c>
      <c r="AZ1091" s="279">
        <v>0.38095238095238104</v>
      </c>
      <c r="BA1091" s="279" t="s">
        <v>3192</v>
      </c>
      <c r="BB1091" s="279" t="s">
        <v>3192</v>
      </c>
      <c r="BC1091" s="279"/>
      <c r="BD1091" s="279" t="s">
        <v>3192</v>
      </c>
      <c r="BE1091" s="276"/>
      <c r="BF1091" s="407">
        <f t="shared" si="87"/>
        <v>0.47755102040816327</v>
      </c>
      <c r="BG1091" s="407">
        <v>1.0489795918367348</v>
      </c>
    </row>
    <row r="1092" spans="1:59" ht="15" customHeight="1" thickBot="1" x14ac:dyDescent="0.25">
      <c r="A1092" s="156">
        <v>1093</v>
      </c>
      <c r="B1092" s="155">
        <v>1</v>
      </c>
      <c r="C1092" s="151" t="s">
        <v>596</v>
      </c>
      <c r="D1092" s="141" t="s">
        <v>2020</v>
      </c>
      <c r="I1092" s="165">
        <v>2009</v>
      </c>
      <c r="J1092" s="165" t="s">
        <v>3199</v>
      </c>
      <c r="L1092" s="165" t="s">
        <v>3219</v>
      </c>
      <c r="M1092" s="453" t="s">
        <v>4310</v>
      </c>
      <c r="AF1092" s="144" t="str">
        <f t="shared" si="88"/>
        <v/>
      </c>
      <c r="AG1092" s="144" t="str">
        <f t="shared" si="86"/>
        <v/>
      </c>
      <c r="AH1092" s="146">
        <f t="shared" si="89"/>
        <v>0.28979591836734697</v>
      </c>
      <c r="AI1092" s="146">
        <f t="shared" si="90"/>
        <v>0.69115646258503394</v>
      </c>
      <c r="AJ1092" s="313"/>
      <c r="AK1092" s="313"/>
      <c r="AL1092" s="313"/>
      <c r="AM1092" s="313"/>
      <c r="AN1092" s="313"/>
      <c r="AO1092" s="313"/>
      <c r="AP1092" s="313"/>
      <c r="AQ1092" s="313"/>
      <c r="AR1092" s="313"/>
      <c r="AS1092" s="287"/>
      <c r="AV1092" s="322"/>
      <c r="AW1092" s="279">
        <v>0.28979591836734697</v>
      </c>
      <c r="AX1092" s="279"/>
      <c r="AY1092" s="279">
        <v>0.40136054421768702</v>
      </c>
      <c r="AZ1092" s="279">
        <v>0.45442176870748302</v>
      </c>
      <c r="BA1092" s="279" t="s">
        <v>3192</v>
      </c>
      <c r="BB1092" s="279" t="s">
        <v>3192</v>
      </c>
      <c r="BC1092" s="279"/>
      <c r="BD1092" s="279" t="s">
        <v>3192</v>
      </c>
      <c r="BE1092" s="276"/>
      <c r="BF1092" s="407">
        <f t="shared" si="87"/>
        <v>0.28979591836734697</v>
      </c>
      <c r="BG1092" s="407">
        <v>1.1455782312925169</v>
      </c>
    </row>
    <row r="1093" spans="1:59" ht="15" customHeight="1" thickBot="1" x14ac:dyDescent="0.25">
      <c r="A1093" s="156">
        <v>1094</v>
      </c>
      <c r="B1093" s="155">
        <v>1</v>
      </c>
      <c r="C1093" s="151" t="s">
        <v>596</v>
      </c>
      <c r="D1093" s="141" t="s">
        <v>2020</v>
      </c>
      <c r="I1093" s="165">
        <v>2008</v>
      </c>
      <c r="J1093" s="165" t="s">
        <v>3200</v>
      </c>
      <c r="L1093" s="165" t="s">
        <v>3219</v>
      </c>
      <c r="M1093" s="453" t="s">
        <v>4310</v>
      </c>
      <c r="AF1093" s="144" t="str">
        <f t="shared" si="88"/>
        <v/>
      </c>
      <c r="AG1093" s="144" t="str">
        <f t="shared" si="86"/>
        <v/>
      </c>
      <c r="AH1093" s="146">
        <f t="shared" si="89"/>
        <v>0.417687074829932</v>
      </c>
      <c r="AI1093" s="146">
        <f t="shared" si="90"/>
        <v>0.57551020408163267</v>
      </c>
      <c r="AJ1093" s="313"/>
      <c r="AK1093" s="313"/>
      <c r="AL1093" s="313"/>
      <c r="AM1093" s="313"/>
      <c r="AN1093" s="313"/>
      <c r="AO1093" s="313"/>
      <c r="AP1093" s="313"/>
      <c r="AQ1093" s="313"/>
      <c r="AR1093" s="313"/>
      <c r="AS1093" s="287"/>
      <c r="AV1093" s="322"/>
      <c r="AW1093" s="279">
        <v>0.417687074829932</v>
      </c>
      <c r="AX1093" s="279"/>
      <c r="AY1093" s="279">
        <v>0.15782312925170067</v>
      </c>
      <c r="AZ1093" s="279">
        <v>0.8013605442176871</v>
      </c>
      <c r="BA1093" s="279">
        <v>0.91292517006802731</v>
      </c>
      <c r="BB1093" s="279" t="s">
        <v>3192</v>
      </c>
      <c r="BC1093" s="279"/>
      <c r="BD1093" s="279" t="s">
        <v>3192</v>
      </c>
      <c r="BE1093" s="276"/>
      <c r="BF1093" s="407">
        <f t="shared" si="87"/>
        <v>0.417687074829932</v>
      </c>
      <c r="BG1093" s="407">
        <v>2.2884353741496599</v>
      </c>
    </row>
    <row r="1094" spans="1:59" ht="15" customHeight="1" thickBot="1" x14ac:dyDescent="0.25">
      <c r="A1094" s="156">
        <v>1095</v>
      </c>
      <c r="B1094" s="155">
        <v>1</v>
      </c>
      <c r="C1094" s="151" t="s">
        <v>596</v>
      </c>
      <c r="D1094" s="141" t="s">
        <v>2020</v>
      </c>
      <c r="I1094" s="165">
        <v>2009</v>
      </c>
      <c r="J1094" s="165" t="s">
        <v>3201</v>
      </c>
      <c r="L1094" s="165" t="s">
        <v>3219</v>
      </c>
      <c r="M1094" s="453" t="s">
        <v>4310</v>
      </c>
      <c r="AF1094" s="144" t="str">
        <f t="shared" si="88"/>
        <v/>
      </c>
      <c r="AG1094" s="144" t="str">
        <f t="shared" si="86"/>
        <v/>
      </c>
      <c r="AH1094" s="146" t="str">
        <f t="shared" si="89"/>
        <v/>
      </c>
      <c r="AI1094" s="146" t="str">
        <f t="shared" si="90"/>
        <v/>
      </c>
      <c r="AJ1094" s="313"/>
      <c r="AK1094" s="313"/>
      <c r="AL1094" s="313"/>
      <c r="AM1094" s="313"/>
      <c r="AN1094" s="313"/>
      <c r="AO1094" s="313"/>
      <c r="AP1094" s="313"/>
      <c r="AQ1094" s="313"/>
      <c r="AR1094" s="313"/>
      <c r="AS1094" s="287"/>
      <c r="AV1094" s="322"/>
      <c r="AW1094" s="279" t="s">
        <v>3192</v>
      </c>
      <c r="AX1094" s="279"/>
      <c r="AY1094" s="279" t="s">
        <v>3192</v>
      </c>
      <c r="AZ1094" s="279" t="s">
        <v>3192</v>
      </c>
      <c r="BA1094" s="279" t="s">
        <v>3192</v>
      </c>
      <c r="BB1094" s="279" t="s">
        <v>3192</v>
      </c>
      <c r="BC1094" s="279"/>
      <c r="BD1094" s="279" t="s">
        <v>3192</v>
      </c>
      <c r="BE1094" s="276"/>
      <c r="BF1094" s="407" t="str">
        <f t="shared" si="87"/>
        <v/>
      </c>
      <c r="BG1094" s="407">
        <v>3.1292517006802716</v>
      </c>
    </row>
    <row r="1095" spans="1:59" ht="15" customHeight="1" thickBot="1" x14ac:dyDescent="0.25">
      <c r="A1095" s="156">
        <v>1096</v>
      </c>
      <c r="B1095" s="155">
        <v>1</v>
      </c>
      <c r="C1095" s="151" t="s">
        <v>596</v>
      </c>
      <c r="D1095" s="141" t="s">
        <v>2020</v>
      </c>
      <c r="I1095" s="165">
        <v>2009</v>
      </c>
      <c r="J1095" s="165" t="s">
        <v>3201</v>
      </c>
      <c r="L1095" s="165" t="s">
        <v>3219</v>
      </c>
      <c r="M1095" s="453" t="s">
        <v>4310</v>
      </c>
      <c r="AF1095" s="144" t="str">
        <f t="shared" si="88"/>
        <v/>
      </c>
      <c r="AG1095" s="144" t="str">
        <f t="shared" si="86"/>
        <v/>
      </c>
      <c r="AH1095" s="146" t="str">
        <f t="shared" si="89"/>
        <v/>
      </c>
      <c r="AI1095" s="146" t="str">
        <f t="shared" si="90"/>
        <v/>
      </c>
      <c r="AJ1095" s="313"/>
      <c r="AK1095" s="313"/>
      <c r="AL1095" s="313"/>
      <c r="AM1095" s="313"/>
      <c r="AN1095" s="313"/>
      <c r="AO1095" s="313"/>
      <c r="AP1095" s="313"/>
      <c r="AQ1095" s="313"/>
      <c r="AR1095" s="313"/>
      <c r="AS1095" s="287"/>
      <c r="AV1095" s="322"/>
      <c r="AW1095" s="279" t="s">
        <v>3192</v>
      </c>
      <c r="AX1095" s="279"/>
      <c r="AY1095" s="279" t="s">
        <v>3192</v>
      </c>
      <c r="AZ1095" s="279" t="s">
        <v>3192</v>
      </c>
      <c r="BA1095" s="279" t="s">
        <v>3192</v>
      </c>
      <c r="BB1095" s="279" t="s">
        <v>3192</v>
      </c>
      <c r="BC1095" s="279"/>
      <c r="BD1095" s="279" t="s">
        <v>3192</v>
      </c>
      <c r="BE1095" s="276"/>
      <c r="BF1095" s="407" t="str">
        <f t="shared" si="87"/>
        <v/>
      </c>
      <c r="BG1095" s="407">
        <v>3.1292517006802716</v>
      </c>
    </row>
    <row r="1096" spans="1:59" ht="15" customHeight="1" thickBot="1" x14ac:dyDescent="0.25">
      <c r="A1096" s="156">
        <v>1097</v>
      </c>
      <c r="B1096" s="155">
        <v>1</v>
      </c>
      <c r="C1096" s="151" t="s">
        <v>596</v>
      </c>
      <c r="D1096" s="141" t="s">
        <v>2020</v>
      </c>
      <c r="I1096" s="165">
        <v>2009</v>
      </c>
      <c r="J1096" s="165" t="s">
        <v>3201</v>
      </c>
      <c r="L1096" s="165" t="s">
        <v>3219</v>
      </c>
      <c r="M1096" s="453" t="s">
        <v>4310</v>
      </c>
      <c r="AF1096" s="144" t="str">
        <f t="shared" si="88"/>
        <v/>
      </c>
      <c r="AG1096" s="144" t="str">
        <f t="shared" si="86"/>
        <v/>
      </c>
      <c r="AH1096" s="146" t="str">
        <f t="shared" si="89"/>
        <v/>
      </c>
      <c r="AI1096" s="146" t="str">
        <f t="shared" si="90"/>
        <v/>
      </c>
      <c r="AJ1096" s="313"/>
      <c r="AK1096" s="313"/>
      <c r="AL1096" s="313"/>
      <c r="AM1096" s="313"/>
      <c r="AN1096" s="313"/>
      <c r="AO1096" s="313"/>
      <c r="AP1096" s="313"/>
      <c r="AQ1096" s="313"/>
      <c r="AR1096" s="313"/>
      <c r="AS1096" s="287"/>
      <c r="AV1096" s="322"/>
      <c r="AW1096" s="279" t="s">
        <v>3192</v>
      </c>
      <c r="AX1096" s="279"/>
      <c r="AY1096" s="279" t="s">
        <v>3192</v>
      </c>
      <c r="AZ1096" s="279" t="s">
        <v>3192</v>
      </c>
      <c r="BA1096" s="279" t="s">
        <v>3192</v>
      </c>
      <c r="BB1096" s="279" t="s">
        <v>3192</v>
      </c>
      <c r="BC1096" s="279"/>
      <c r="BD1096" s="279" t="s">
        <v>3192</v>
      </c>
      <c r="BE1096" s="276"/>
      <c r="BF1096" s="407" t="str">
        <f t="shared" si="87"/>
        <v/>
      </c>
      <c r="BG1096" s="407">
        <v>2.8843537414965992</v>
      </c>
    </row>
    <row r="1097" spans="1:59" ht="15" customHeight="1" thickBot="1" x14ac:dyDescent="0.25">
      <c r="A1097" s="156">
        <v>1098</v>
      </c>
      <c r="B1097" s="155">
        <v>1</v>
      </c>
      <c r="C1097" s="151" t="s">
        <v>596</v>
      </c>
      <c r="D1097" s="141" t="s">
        <v>2020</v>
      </c>
      <c r="I1097" s="165">
        <v>2009</v>
      </c>
      <c r="J1097" s="165" t="s">
        <v>3201</v>
      </c>
      <c r="L1097" s="165" t="s">
        <v>3219</v>
      </c>
      <c r="M1097" s="453" t="s">
        <v>4310</v>
      </c>
      <c r="AF1097" s="144" t="str">
        <f t="shared" si="88"/>
        <v/>
      </c>
      <c r="AG1097" s="144" t="str">
        <f t="shared" si="86"/>
        <v/>
      </c>
      <c r="AH1097" s="146" t="str">
        <f t="shared" si="89"/>
        <v/>
      </c>
      <c r="AI1097" s="146" t="str">
        <f t="shared" si="90"/>
        <v/>
      </c>
      <c r="AJ1097" s="313"/>
      <c r="AK1097" s="313"/>
      <c r="AL1097" s="313"/>
      <c r="AM1097" s="313"/>
      <c r="AN1097" s="313"/>
      <c r="AO1097" s="313"/>
      <c r="AP1097" s="313"/>
      <c r="AQ1097" s="313"/>
      <c r="AR1097" s="313"/>
      <c r="AS1097" s="287"/>
      <c r="AV1097" s="322"/>
      <c r="AW1097" s="279" t="s">
        <v>3192</v>
      </c>
      <c r="AX1097" s="279"/>
      <c r="AY1097" s="279" t="s">
        <v>3192</v>
      </c>
      <c r="AZ1097" s="279" t="s">
        <v>3192</v>
      </c>
      <c r="BA1097" s="279" t="s">
        <v>3192</v>
      </c>
      <c r="BB1097" s="279" t="s">
        <v>3192</v>
      </c>
      <c r="BC1097" s="279"/>
      <c r="BD1097" s="279" t="s">
        <v>3192</v>
      </c>
      <c r="BE1097" s="276"/>
      <c r="BF1097" s="407" t="str">
        <f t="shared" si="87"/>
        <v/>
      </c>
      <c r="BG1097" s="407">
        <v>3.0340136054421771</v>
      </c>
    </row>
    <row r="1098" spans="1:59" ht="15" customHeight="1" thickBot="1" x14ac:dyDescent="0.25">
      <c r="A1098" s="156">
        <v>1099</v>
      </c>
      <c r="B1098" s="155">
        <v>1</v>
      </c>
      <c r="C1098" s="151" t="s">
        <v>596</v>
      </c>
      <c r="D1098" s="141" t="s">
        <v>2020</v>
      </c>
      <c r="I1098" s="165">
        <v>2010</v>
      </c>
      <c r="J1098" s="165" t="s">
        <v>3202</v>
      </c>
      <c r="L1098" s="165" t="s">
        <v>3219</v>
      </c>
      <c r="M1098" s="453" t="s">
        <v>4310</v>
      </c>
      <c r="AF1098" s="144" t="str">
        <f t="shared" si="88"/>
        <v/>
      </c>
      <c r="AG1098" s="144" t="str">
        <f t="shared" si="86"/>
        <v/>
      </c>
      <c r="AH1098" s="146">
        <f t="shared" si="89"/>
        <v>0.68435374149659867</v>
      </c>
      <c r="AI1098" s="146">
        <f t="shared" si="90"/>
        <v>0.83673469387755106</v>
      </c>
      <c r="AJ1098" s="313"/>
      <c r="AK1098" s="313"/>
      <c r="AL1098" s="313"/>
      <c r="AM1098" s="313"/>
      <c r="AN1098" s="313"/>
      <c r="AO1098" s="313"/>
      <c r="AP1098" s="313"/>
      <c r="AQ1098" s="313"/>
      <c r="AR1098" s="313"/>
      <c r="AS1098" s="287"/>
      <c r="AV1098" s="322"/>
      <c r="AW1098" s="279">
        <v>0.68435374149659867</v>
      </c>
      <c r="AX1098" s="279"/>
      <c r="AY1098" s="279">
        <v>0.15238095238095239</v>
      </c>
      <c r="AZ1098" s="279">
        <v>0.43401360544217688</v>
      </c>
      <c r="BA1098" s="279">
        <v>0.10340136054421768</v>
      </c>
      <c r="BB1098" s="279" t="s">
        <v>3192</v>
      </c>
      <c r="BC1098" s="279"/>
      <c r="BD1098" s="279" t="s">
        <v>3192</v>
      </c>
      <c r="BE1098" s="276"/>
      <c r="BF1098" s="407">
        <f t="shared" si="87"/>
        <v>0.68435374149659867</v>
      </c>
      <c r="BG1098" s="407">
        <v>1.3741496598639455</v>
      </c>
    </row>
    <row r="1099" spans="1:59" ht="15" customHeight="1" thickBot="1" x14ac:dyDescent="0.25">
      <c r="A1099" s="156">
        <v>1100</v>
      </c>
      <c r="B1099" s="155">
        <v>1</v>
      </c>
      <c r="C1099" s="151" t="s">
        <v>596</v>
      </c>
      <c r="D1099" s="141" t="s">
        <v>2020</v>
      </c>
      <c r="I1099" s="165">
        <v>2010</v>
      </c>
      <c r="J1099" s="165" t="s">
        <v>3202</v>
      </c>
      <c r="L1099" s="165" t="s">
        <v>3219</v>
      </c>
      <c r="M1099" s="453" t="s">
        <v>4310</v>
      </c>
      <c r="AF1099" s="144" t="str">
        <f t="shared" si="88"/>
        <v/>
      </c>
      <c r="AG1099" s="144" t="str">
        <f t="shared" si="86"/>
        <v/>
      </c>
      <c r="AH1099" s="146">
        <f t="shared" si="89"/>
        <v>0.68435374149659867</v>
      </c>
      <c r="AI1099" s="146">
        <f t="shared" si="90"/>
        <v>0.83673469387755106</v>
      </c>
      <c r="AJ1099" s="313"/>
      <c r="AK1099" s="313"/>
      <c r="AL1099" s="313"/>
      <c r="AM1099" s="313"/>
      <c r="AN1099" s="313"/>
      <c r="AO1099" s="313"/>
      <c r="AP1099" s="313"/>
      <c r="AQ1099" s="313"/>
      <c r="AR1099" s="313"/>
      <c r="AS1099" s="287"/>
      <c r="AV1099" s="322"/>
      <c r="AW1099" s="279">
        <v>0.68435374149659867</v>
      </c>
      <c r="AX1099" s="279"/>
      <c r="AY1099" s="279">
        <v>0.15238095238095239</v>
      </c>
      <c r="AZ1099" s="279">
        <v>0.43401360544217688</v>
      </c>
      <c r="BA1099" s="279">
        <v>0.21904761904761905</v>
      </c>
      <c r="BB1099" s="279" t="s">
        <v>3192</v>
      </c>
      <c r="BC1099" s="279"/>
      <c r="BD1099" s="279" t="s">
        <v>3192</v>
      </c>
      <c r="BE1099" s="276"/>
      <c r="BF1099" s="407">
        <f t="shared" ref="BF1099:BF1130" si="91">AW1099</f>
        <v>0.68435374149659867</v>
      </c>
      <c r="BG1099" s="407">
        <v>1.489795918367347</v>
      </c>
    </row>
    <row r="1100" spans="1:59" ht="15" customHeight="1" thickBot="1" x14ac:dyDescent="0.25">
      <c r="A1100" s="156">
        <v>1101</v>
      </c>
      <c r="B1100" s="155">
        <v>1</v>
      </c>
      <c r="C1100" s="151" t="s">
        <v>596</v>
      </c>
      <c r="D1100" s="141" t="s">
        <v>2020</v>
      </c>
      <c r="I1100" s="165">
        <v>2006</v>
      </c>
      <c r="J1100" s="165" t="s">
        <v>3203</v>
      </c>
      <c r="L1100" s="165" t="s">
        <v>3219</v>
      </c>
      <c r="M1100" s="453" t="s">
        <v>4310</v>
      </c>
      <c r="AF1100" s="144" t="str">
        <f t="shared" si="88"/>
        <v/>
      </c>
      <c r="AG1100" s="144" t="str">
        <f t="shared" si="86"/>
        <v/>
      </c>
      <c r="AH1100" s="146">
        <f t="shared" si="89"/>
        <v>1.9782312925170067</v>
      </c>
      <c r="AI1100" s="146">
        <f t="shared" si="90"/>
        <v>4.5605442176870747</v>
      </c>
      <c r="AJ1100" s="313"/>
      <c r="AK1100" s="313"/>
      <c r="AL1100" s="313"/>
      <c r="AM1100" s="313"/>
      <c r="AN1100" s="313"/>
      <c r="AO1100" s="313"/>
      <c r="AP1100" s="313"/>
      <c r="AQ1100" s="313"/>
      <c r="AR1100" s="313"/>
      <c r="AS1100" s="287"/>
      <c r="AV1100" s="322"/>
      <c r="AW1100" s="279">
        <v>1.9782312925170067</v>
      </c>
      <c r="AX1100" s="279"/>
      <c r="AY1100" s="279">
        <v>2.5823129251700681</v>
      </c>
      <c r="AZ1100" s="279">
        <v>0.77551020408163263</v>
      </c>
      <c r="BA1100" s="279">
        <v>0.80544217687074826</v>
      </c>
      <c r="BB1100" s="279" t="s">
        <v>3192</v>
      </c>
      <c r="BC1100" s="279"/>
      <c r="BD1100" s="279" t="s">
        <v>3192</v>
      </c>
      <c r="BE1100" s="276"/>
      <c r="BF1100" s="407">
        <f t="shared" si="91"/>
        <v>1.9782312925170067</v>
      </c>
      <c r="BG1100" s="407">
        <v>6.1414965986394563</v>
      </c>
    </row>
    <row r="1101" spans="1:59" ht="15" customHeight="1" thickBot="1" x14ac:dyDescent="0.25">
      <c r="A1101" s="156">
        <v>1102</v>
      </c>
      <c r="B1101" s="155">
        <v>1</v>
      </c>
      <c r="C1101" s="151" t="s">
        <v>596</v>
      </c>
      <c r="D1101" s="141" t="s">
        <v>2020</v>
      </c>
      <c r="I1101" s="165">
        <v>2011</v>
      </c>
      <c r="J1101" s="165" t="s">
        <v>3204</v>
      </c>
      <c r="L1101" s="165" t="s">
        <v>3219</v>
      </c>
      <c r="M1101" s="453" t="s">
        <v>4310</v>
      </c>
      <c r="AF1101" s="144" t="str">
        <f t="shared" si="88"/>
        <v/>
      </c>
      <c r="AG1101" s="144" t="str">
        <f t="shared" si="86"/>
        <v/>
      </c>
      <c r="AH1101" s="146">
        <f t="shared" si="89"/>
        <v>0.34421768707482991</v>
      </c>
      <c r="AI1101" s="146">
        <f t="shared" si="90"/>
        <v>0.66394557823129252</v>
      </c>
      <c r="AJ1101" s="313"/>
      <c r="AK1101" s="313"/>
      <c r="AL1101" s="313"/>
      <c r="AM1101" s="313"/>
      <c r="AN1101" s="313"/>
      <c r="AO1101" s="313"/>
      <c r="AP1101" s="313"/>
      <c r="AQ1101" s="313"/>
      <c r="AR1101" s="313"/>
      <c r="AS1101" s="287"/>
      <c r="AV1101" s="322"/>
      <c r="AW1101" s="279">
        <v>0.34421768707482991</v>
      </c>
      <c r="AX1101" s="279"/>
      <c r="AY1101" s="279">
        <v>0.31972789115646261</v>
      </c>
      <c r="AZ1101" s="279">
        <v>0.62312925170068034</v>
      </c>
      <c r="BA1101" s="279">
        <v>0.36734693877551022</v>
      </c>
      <c r="BB1101" s="279">
        <v>3.6734693877551024E-2</v>
      </c>
      <c r="BC1101" s="279"/>
      <c r="BD1101" s="279" t="s">
        <v>3192</v>
      </c>
      <c r="BE1101" s="276"/>
      <c r="BF1101" s="407">
        <f t="shared" si="91"/>
        <v>0.34421768707482991</v>
      </c>
      <c r="BG1101" s="407">
        <v>1.6911564625850344</v>
      </c>
    </row>
    <row r="1102" spans="1:59" ht="15" customHeight="1" thickBot="1" x14ac:dyDescent="0.25">
      <c r="A1102" s="156">
        <v>1103</v>
      </c>
      <c r="B1102" s="155">
        <v>1</v>
      </c>
      <c r="C1102" s="151" t="s">
        <v>596</v>
      </c>
      <c r="D1102" s="141" t="s">
        <v>2020</v>
      </c>
      <c r="I1102" s="165">
        <v>2009</v>
      </c>
      <c r="J1102" s="165" t="s">
        <v>3205</v>
      </c>
      <c r="L1102" s="165" t="s">
        <v>3219</v>
      </c>
      <c r="M1102" s="453" t="s">
        <v>4310</v>
      </c>
      <c r="AF1102" s="144" t="str">
        <f t="shared" si="88"/>
        <v/>
      </c>
      <c r="AG1102" s="144" t="str">
        <f t="shared" si="86"/>
        <v/>
      </c>
      <c r="AH1102" s="146">
        <f t="shared" si="89"/>
        <v>0.28163265306122448</v>
      </c>
      <c r="AI1102" s="146" t="str">
        <f t="shared" si="90"/>
        <v/>
      </c>
      <c r="AJ1102" s="313"/>
      <c r="AK1102" s="313"/>
      <c r="AL1102" s="313"/>
      <c r="AM1102" s="313"/>
      <c r="AN1102" s="313"/>
      <c r="AO1102" s="313"/>
      <c r="AP1102" s="313"/>
      <c r="AQ1102" s="313"/>
      <c r="AR1102" s="313"/>
      <c r="AS1102" s="287"/>
      <c r="AV1102" s="322"/>
      <c r="AW1102" s="279">
        <v>0.28163265306122448</v>
      </c>
      <c r="AX1102" s="279"/>
      <c r="AY1102" s="279" t="s">
        <v>3192</v>
      </c>
      <c r="AZ1102" s="279" t="s">
        <v>3192</v>
      </c>
      <c r="BA1102" s="279" t="s">
        <v>3192</v>
      </c>
      <c r="BB1102" s="279" t="s">
        <v>3192</v>
      </c>
      <c r="BC1102" s="279"/>
      <c r="BD1102" s="279" t="s">
        <v>3192</v>
      </c>
      <c r="BE1102" s="276"/>
      <c r="BF1102" s="407">
        <f t="shared" si="91"/>
        <v>0.28163265306122448</v>
      </c>
      <c r="BG1102" s="407" t="s">
        <v>3192</v>
      </c>
    </row>
    <row r="1103" spans="1:59" ht="15" customHeight="1" thickBot="1" x14ac:dyDescent="0.25">
      <c r="A1103" s="156">
        <v>1104</v>
      </c>
      <c r="B1103" s="155">
        <v>1</v>
      </c>
      <c r="C1103" s="151" t="s">
        <v>596</v>
      </c>
      <c r="D1103" s="141" t="s">
        <v>2020</v>
      </c>
      <c r="I1103" s="165">
        <v>2009</v>
      </c>
      <c r="J1103" s="165" t="s">
        <v>3205</v>
      </c>
      <c r="L1103" s="165" t="s">
        <v>3219</v>
      </c>
      <c r="M1103" s="453" t="s">
        <v>4310</v>
      </c>
      <c r="AF1103" s="144" t="str">
        <f t="shared" si="88"/>
        <v/>
      </c>
      <c r="AG1103" s="144" t="str">
        <f t="shared" si="86"/>
        <v/>
      </c>
      <c r="AH1103" s="146">
        <f t="shared" si="89"/>
        <v>0.2</v>
      </c>
      <c r="AI1103" s="146" t="str">
        <f t="shared" si="90"/>
        <v/>
      </c>
      <c r="AJ1103" s="313"/>
      <c r="AK1103" s="313"/>
      <c r="AL1103" s="313"/>
      <c r="AM1103" s="313"/>
      <c r="AN1103" s="313"/>
      <c r="AO1103" s="313"/>
      <c r="AP1103" s="313"/>
      <c r="AQ1103" s="313"/>
      <c r="AR1103" s="313"/>
      <c r="AS1103" s="287"/>
      <c r="AT1103" s="175"/>
      <c r="AV1103" s="322"/>
      <c r="AW1103" s="279">
        <v>0.2</v>
      </c>
      <c r="AX1103" s="279"/>
      <c r="AY1103" s="279" t="s">
        <v>3192</v>
      </c>
      <c r="AZ1103" s="279" t="s">
        <v>3192</v>
      </c>
      <c r="BA1103" s="279" t="s">
        <v>3192</v>
      </c>
      <c r="BB1103" s="279" t="s">
        <v>3192</v>
      </c>
      <c r="BC1103" s="279"/>
      <c r="BD1103" s="279" t="s">
        <v>3192</v>
      </c>
      <c r="BE1103" s="276"/>
      <c r="BF1103" s="407">
        <f t="shared" si="91"/>
        <v>0.2</v>
      </c>
      <c r="BG1103" s="407" t="s">
        <v>3192</v>
      </c>
    </row>
    <row r="1104" spans="1:59" ht="15" customHeight="1" thickBot="1" x14ac:dyDescent="0.25">
      <c r="A1104" s="156">
        <v>1105</v>
      </c>
      <c r="B1104" s="155">
        <v>1</v>
      </c>
      <c r="C1104" s="151" t="s">
        <v>596</v>
      </c>
      <c r="D1104" s="141" t="s">
        <v>2020</v>
      </c>
      <c r="I1104" s="165">
        <v>2013</v>
      </c>
      <c r="J1104" s="165" t="s">
        <v>3206</v>
      </c>
      <c r="L1104" s="165" t="s">
        <v>3219</v>
      </c>
      <c r="M1104" s="453" t="s">
        <v>4310</v>
      </c>
      <c r="AF1104" s="144" t="str">
        <f t="shared" si="88"/>
        <v/>
      </c>
      <c r="AG1104" s="144" t="str">
        <f t="shared" si="86"/>
        <v/>
      </c>
      <c r="AH1104" s="146">
        <f t="shared" si="89"/>
        <v>2.7210884353741496</v>
      </c>
      <c r="AI1104" s="146">
        <f t="shared" si="90"/>
        <v>3.3197278911564627</v>
      </c>
      <c r="AJ1104" s="313"/>
      <c r="AK1104" s="313"/>
      <c r="AL1104" s="313"/>
      <c r="AM1104" s="313"/>
      <c r="AN1104" s="313"/>
      <c r="AO1104" s="313"/>
      <c r="AP1104" s="313"/>
      <c r="AQ1104" s="313"/>
      <c r="AR1104" s="313"/>
      <c r="AS1104" s="287"/>
      <c r="AT1104" s="175"/>
      <c r="AV1104" s="322"/>
      <c r="AW1104" s="279">
        <v>2.7210884353741496</v>
      </c>
      <c r="AX1104" s="279"/>
      <c r="AY1104" s="279">
        <v>0.59863945578231292</v>
      </c>
      <c r="AZ1104" s="279">
        <v>0.32653061224489793</v>
      </c>
      <c r="BA1104" s="279">
        <v>0.31564625850340133</v>
      </c>
      <c r="BB1104" s="279" t="s">
        <v>3192</v>
      </c>
      <c r="BC1104" s="279"/>
      <c r="BD1104" s="279" t="s">
        <v>3192</v>
      </c>
      <c r="BE1104" s="276"/>
      <c r="BF1104" s="407">
        <f t="shared" si="91"/>
        <v>2.7210884353741496</v>
      </c>
      <c r="BG1104" s="407">
        <v>3.961904761904762</v>
      </c>
    </row>
    <row r="1105" spans="1:59" ht="15" customHeight="1" thickBot="1" x14ac:dyDescent="0.25">
      <c r="A1105" s="156">
        <v>1106</v>
      </c>
      <c r="B1105" s="155">
        <v>1</v>
      </c>
      <c r="C1105" s="151" t="s">
        <v>596</v>
      </c>
      <c r="D1105" s="141" t="s">
        <v>2020</v>
      </c>
      <c r="I1105" s="165">
        <v>2012</v>
      </c>
      <c r="J1105" s="165" t="s">
        <v>3207</v>
      </c>
      <c r="L1105" s="165" t="s">
        <v>3219</v>
      </c>
      <c r="M1105" s="453" t="s">
        <v>4310</v>
      </c>
      <c r="AF1105" s="144" t="str">
        <f t="shared" si="88"/>
        <v/>
      </c>
      <c r="AG1105" s="144" t="str">
        <f t="shared" si="86"/>
        <v/>
      </c>
      <c r="AH1105" s="146">
        <f t="shared" si="89"/>
        <v>6.1224489795918366E-2</v>
      </c>
      <c r="AI1105" s="146">
        <f t="shared" si="90"/>
        <v>8.8435374149659865E-2</v>
      </c>
      <c r="AJ1105" s="313"/>
      <c r="AK1105" s="313"/>
      <c r="AL1105" s="313"/>
      <c r="AM1105" s="313"/>
      <c r="AN1105" s="313"/>
      <c r="AO1105" s="313"/>
      <c r="AP1105" s="313"/>
      <c r="AQ1105" s="313"/>
      <c r="AR1105" s="313"/>
      <c r="AS1105" s="287"/>
      <c r="AT1105" s="175"/>
      <c r="AV1105" s="322"/>
      <c r="AW1105" s="279">
        <v>6.1224489795918366E-2</v>
      </c>
      <c r="AX1105" s="279"/>
      <c r="AY1105" s="279">
        <v>2.7210884353741499E-2</v>
      </c>
      <c r="AZ1105" s="279">
        <v>1.5482993197278909</v>
      </c>
      <c r="BA1105" s="279">
        <v>0.11700680272108842</v>
      </c>
      <c r="BB1105" s="279" t="s">
        <v>3192</v>
      </c>
      <c r="BC1105" s="279"/>
      <c r="BD1105" s="279" t="s">
        <v>3192</v>
      </c>
      <c r="BE1105" s="276"/>
      <c r="BF1105" s="407">
        <f t="shared" si="91"/>
        <v>6.1224489795918366E-2</v>
      </c>
      <c r="BG1105" s="407">
        <v>1.7537414965986393</v>
      </c>
    </row>
    <row r="1106" spans="1:59" ht="15" customHeight="1" thickBot="1" x14ac:dyDescent="0.25">
      <c r="A1106" s="156">
        <v>1107</v>
      </c>
      <c r="B1106" s="155">
        <v>1</v>
      </c>
      <c r="C1106" s="151" t="s">
        <v>596</v>
      </c>
      <c r="D1106" s="141" t="s">
        <v>2020</v>
      </c>
      <c r="I1106" s="165">
        <v>2006</v>
      </c>
      <c r="J1106" s="165" t="s">
        <v>3208</v>
      </c>
      <c r="L1106" s="165" t="s">
        <v>3219</v>
      </c>
      <c r="M1106" s="453" t="s">
        <v>4310</v>
      </c>
      <c r="AF1106" s="144" t="str">
        <f t="shared" si="88"/>
        <v/>
      </c>
      <c r="AG1106" s="144" t="str">
        <f t="shared" si="86"/>
        <v/>
      </c>
      <c r="AH1106" s="146">
        <f t="shared" si="89"/>
        <v>8.0272108843537401E-2</v>
      </c>
      <c r="AI1106" s="146" t="str">
        <f t="shared" si="90"/>
        <v/>
      </c>
      <c r="AJ1106" s="313"/>
      <c r="AK1106" s="313"/>
      <c r="AL1106" s="313"/>
      <c r="AM1106" s="313"/>
      <c r="AN1106" s="313"/>
      <c r="AO1106" s="313"/>
      <c r="AP1106" s="313"/>
      <c r="AQ1106" s="313"/>
      <c r="AR1106" s="313"/>
      <c r="AS1106" s="287"/>
      <c r="AT1106" s="175"/>
      <c r="AV1106" s="322"/>
      <c r="AW1106" s="279">
        <v>8.0272108843537401E-2</v>
      </c>
      <c r="AX1106" s="279"/>
      <c r="AY1106" s="279" t="s">
        <v>3192</v>
      </c>
      <c r="AZ1106" s="279">
        <v>1.0721088435374151</v>
      </c>
      <c r="BA1106" s="279">
        <v>0.4285714285714286</v>
      </c>
      <c r="BB1106" s="279" t="s">
        <v>3192</v>
      </c>
      <c r="BC1106" s="279"/>
      <c r="BD1106" s="279" t="s">
        <v>3192</v>
      </c>
      <c r="BE1106" s="276"/>
      <c r="BF1106" s="407">
        <f t="shared" si="91"/>
        <v>8.0272108843537401E-2</v>
      </c>
      <c r="BG1106" s="407">
        <v>1.5809523809523811</v>
      </c>
    </row>
    <row r="1107" spans="1:59" ht="15" customHeight="1" thickBot="1" x14ac:dyDescent="0.25">
      <c r="A1107" s="156">
        <v>1108</v>
      </c>
      <c r="B1107" s="155">
        <v>1</v>
      </c>
      <c r="C1107" s="151" t="s">
        <v>596</v>
      </c>
      <c r="D1107" s="141" t="s">
        <v>2020</v>
      </c>
      <c r="I1107" s="165">
        <v>2008</v>
      </c>
      <c r="J1107" s="165" t="s">
        <v>3209</v>
      </c>
      <c r="L1107" s="165" t="s">
        <v>3219</v>
      </c>
      <c r="M1107" s="453" t="s">
        <v>4310</v>
      </c>
      <c r="AF1107" s="144" t="str">
        <f t="shared" si="88"/>
        <v/>
      </c>
      <c r="AG1107" s="144" t="str">
        <f t="shared" ref="AG1107:AG1170" si="92">IF(AND(SUM(AJ1107:AL1107)&lt;&gt;0,SUM(AJ1107:AL1107)&lt;&gt;AJ1107),SUM(AJ1107:AL1107),"")</f>
        <v/>
      </c>
      <c r="AH1107" s="146">
        <f t="shared" si="89"/>
        <v>9.6598639455782315E-2</v>
      </c>
      <c r="AI1107" s="146">
        <f t="shared" si="90"/>
        <v>0.13605442176870747</v>
      </c>
      <c r="AJ1107" s="313"/>
      <c r="AK1107" s="313"/>
      <c r="AL1107" s="313"/>
      <c r="AM1107" s="313"/>
      <c r="AN1107" s="313"/>
      <c r="AO1107" s="313"/>
      <c r="AP1107" s="313"/>
      <c r="AQ1107" s="313"/>
      <c r="AR1107" s="313"/>
      <c r="AS1107" s="287"/>
      <c r="AT1107" s="175"/>
      <c r="AV1107" s="322"/>
      <c r="AW1107" s="279">
        <v>9.6598639455782315E-2</v>
      </c>
      <c r="AX1107" s="279"/>
      <c r="AY1107" s="279">
        <v>3.9455782312925167E-2</v>
      </c>
      <c r="AZ1107" s="279">
        <v>0.33877551020408164</v>
      </c>
      <c r="BA1107" s="279" t="s">
        <v>3192</v>
      </c>
      <c r="BB1107" s="279" t="s">
        <v>3192</v>
      </c>
      <c r="BC1107" s="279"/>
      <c r="BD1107" s="279">
        <v>1.6326530612244896E-2</v>
      </c>
      <c r="BE1107" s="276"/>
      <c r="BF1107" s="407">
        <f t="shared" si="91"/>
        <v>9.6598639455782315E-2</v>
      </c>
      <c r="BG1107" s="407">
        <v>0.48979591836734693</v>
      </c>
    </row>
    <row r="1108" spans="1:59" ht="15" customHeight="1" thickBot="1" x14ac:dyDescent="0.25">
      <c r="A1108" s="156">
        <v>1109</v>
      </c>
      <c r="B1108" s="155">
        <v>1</v>
      </c>
      <c r="C1108" s="151" t="s">
        <v>596</v>
      </c>
      <c r="D1108" s="141" t="s">
        <v>2020</v>
      </c>
      <c r="I1108" s="165">
        <v>2008</v>
      </c>
      <c r="J1108" s="165" t="s">
        <v>3209</v>
      </c>
      <c r="L1108" s="165" t="s">
        <v>3219</v>
      </c>
      <c r="M1108" s="453" t="s">
        <v>4310</v>
      </c>
      <c r="AF1108" s="144" t="str">
        <f t="shared" si="88"/>
        <v/>
      </c>
      <c r="AG1108" s="144" t="str">
        <f t="shared" si="92"/>
        <v/>
      </c>
      <c r="AH1108" s="146">
        <f t="shared" si="89"/>
        <v>0.42176870748299311</v>
      </c>
      <c r="AI1108" s="146">
        <f t="shared" si="90"/>
        <v>0.45986394557823118</v>
      </c>
      <c r="AJ1108" s="313"/>
      <c r="AK1108" s="313"/>
      <c r="AL1108" s="313"/>
      <c r="AM1108" s="313"/>
      <c r="AN1108" s="313"/>
      <c r="AO1108" s="313"/>
      <c r="AP1108" s="313"/>
      <c r="AQ1108" s="313"/>
      <c r="AR1108" s="313"/>
      <c r="AS1108" s="287"/>
      <c r="AT1108" s="175"/>
      <c r="AV1108" s="322"/>
      <c r="AW1108" s="279">
        <v>0.42176870748299311</v>
      </c>
      <c r="AX1108" s="279"/>
      <c r="AY1108" s="279">
        <v>3.8095238095238099E-2</v>
      </c>
      <c r="AZ1108" s="279">
        <v>0.50340136054421769</v>
      </c>
      <c r="BA1108" s="279" t="s">
        <v>3192</v>
      </c>
      <c r="BB1108" s="279" t="s">
        <v>3192</v>
      </c>
      <c r="BC1108" s="279"/>
      <c r="BD1108" s="279">
        <v>2.4489795918367346E-2</v>
      </c>
      <c r="BE1108" s="276"/>
      <c r="BF1108" s="407">
        <f t="shared" si="91"/>
        <v>0.42176870748299311</v>
      </c>
      <c r="BG1108" s="407">
        <v>0.9877551020408164</v>
      </c>
    </row>
    <row r="1109" spans="1:59" ht="15" customHeight="1" thickBot="1" x14ac:dyDescent="0.25">
      <c r="A1109" s="156">
        <v>1110</v>
      </c>
      <c r="B1109" s="155">
        <v>1</v>
      </c>
      <c r="C1109" s="151" t="s">
        <v>596</v>
      </c>
      <c r="D1109" s="141" t="s">
        <v>2020</v>
      </c>
      <c r="I1109" s="165">
        <v>2012</v>
      </c>
      <c r="J1109" s="165" t="s">
        <v>3210</v>
      </c>
      <c r="L1109" s="165" t="s">
        <v>3219</v>
      </c>
      <c r="M1109" s="453" t="s">
        <v>4310</v>
      </c>
      <c r="AF1109" s="144" t="str">
        <f t="shared" si="88"/>
        <v/>
      </c>
      <c r="AG1109" s="144" t="str">
        <f t="shared" si="92"/>
        <v/>
      </c>
      <c r="AH1109" s="146">
        <f t="shared" si="89"/>
        <v>1.1170068027210884</v>
      </c>
      <c r="AI1109" s="146">
        <f t="shared" si="90"/>
        <v>1.5755102040816327</v>
      </c>
      <c r="AJ1109" s="313"/>
      <c r="AK1109" s="313"/>
      <c r="AL1109" s="313"/>
      <c r="AM1109" s="313"/>
      <c r="AN1109" s="313"/>
      <c r="AO1109" s="313"/>
      <c r="AP1109" s="313"/>
      <c r="AQ1109" s="313"/>
      <c r="AR1109" s="313"/>
      <c r="AS1109" s="287"/>
      <c r="AT1109" s="175"/>
      <c r="AV1109" s="322"/>
      <c r="AW1109" s="279">
        <v>1.1170068027210884</v>
      </c>
      <c r="AX1109" s="279"/>
      <c r="AY1109" s="279">
        <v>0.45850340136054429</v>
      </c>
      <c r="AZ1109" s="279">
        <v>0.59047619047619049</v>
      </c>
      <c r="BA1109" s="279">
        <v>0.53605442176870755</v>
      </c>
      <c r="BB1109" s="279">
        <v>1.6367346938775513</v>
      </c>
      <c r="BC1109" s="279"/>
      <c r="BD1109" s="279">
        <v>5.1700680272108841E-2</v>
      </c>
      <c r="BE1109" s="276"/>
      <c r="BF1109" s="407">
        <f t="shared" si="91"/>
        <v>1.1170068027210884</v>
      </c>
      <c r="BG1109" s="407">
        <v>4.389115646258503</v>
      </c>
    </row>
    <row r="1110" spans="1:59" ht="15" customHeight="1" thickBot="1" x14ac:dyDescent="0.25">
      <c r="A1110" s="156">
        <v>1111</v>
      </c>
      <c r="B1110" s="155">
        <v>1</v>
      </c>
      <c r="C1110" s="151" t="s">
        <v>596</v>
      </c>
      <c r="D1110" s="141" t="s">
        <v>2020</v>
      </c>
      <c r="I1110" s="165">
        <v>2009</v>
      </c>
      <c r="J1110" s="165" t="s">
        <v>3211</v>
      </c>
      <c r="L1110" s="165" t="s">
        <v>3219</v>
      </c>
      <c r="M1110" s="453" t="s">
        <v>4310</v>
      </c>
      <c r="AF1110" s="144" t="str">
        <f t="shared" si="88"/>
        <v/>
      </c>
      <c r="AG1110" s="144" t="str">
        <f t="shared" si="92"/>
        <v/>
      </c>
      <c r="AH1110" s="146">
        <f t="shared" si="89"/>
        <v>0.62585034013605434</v>
      </c>
      <c r="AI1110" s="146">
        <f t="shared" si="90"/>
        <v>0.68979591836734688</v>
      </c>
      <c r="AJ1110" s="313"/>
      <c r="AK1110" s="313"/>
      <c r="AL1110" s="313"/>
      <c r="AM1110" s="313"/>
      <c r="AN1110" s="313"/>
      <c r="AO1110" s="313"/>
      <c r="AP1110" s="313"/>
      <c r="AQ1110" s="313"/>
      <c r="AR1110" s="313"/>
      <c r="AS1110" s="287"/>
      <c r="AT1110" s="175"/>
      <c r="AV1110" s="322"/>
      <c r="AW1110" s="279">
        <v>0.62585034013605434</v>
      </c>
      <c r="AX1110" s="279"/>
      <c r="AY1110" s="279">
        <v>6.3945578231292516E-2</v>
      </c>
      <c r="AZ1110" s="279">
        <v>0.36870748299319733</v>
      </c>
      <c r="BA1110" s="279" t="s">
        <v>3192</v>
      </c>
      <c r="BB1110" s="279" t="s">
        <v>3192</v>
      </c>
      <c r="BC1110" s="279"/>
      <c r="BD1110" s="279" t="s">
        <v>3192</v>
      </c>
      <c r="BE1110" s="276"/>
      <c r="BF1110" s="407">
        <f t="shared" si="91"/>
        <v>0.62585034013605434</v>
      </c>
      <c r="BG1110" s="407">
        <v>1.0598639455782313</v>
      </c>
    </row>
    <row r="1111" spans="1:59" ht="15" customHeight="1" thickBot="1" x14ac:dyDescent="0.25">
      <c r="A1111" s="156">
        <v>1112</v>
      </c>
      <c r="B1111" s="155">
        <v>1</v>
      </c>
      <c r="C1111" s="151" t="s">
        <v>596</v>
      </c>
      <c r="D1111" s="141" t="s">
        <v>2020</v>
      </c>
      <c r="I1111" s="165">
        <v>2004</v>
      </c>
      <c r="J1111" s="165" t="s">
        <v>3212</v>
      </c>
      <c r="L1111" s="165" t="s">
        <v>3219</v>
      </c>
      <c r="M1111" s="453" t="s">
        <v>4310</v>
      </c>
      <c r="AF1111" s="144" t="str">
        <f t="shared" si="88"/>
        <v/>
      </c>
      <c r="AG1111" s="144" t="str">
        <f t="shared" si="92"/>
        <v/>
      </c>
      <c r="AH1111" s="146">
        <f t="shared" si="89"/>
        <v>0.21904761904761905</v>
      </c>
      <c r="AI1111" s="146">
        <f t="shared" si="90"/>
        <v>0.472108843537415</v>
      </c>
      <c r="AJ1111" s="313"/>
      <c r="AK1111" s="313"/>
      <c r="AL1111" s="313"/>
      <c r="AM1111" s="313"/>
      <c r="AN1111" s="313"/>
      <c r="AO1111" s="313"/>
      <c r="AP1111" s="313"/>
      <c r="AQ1111" s="313"/>
      <c r="AR1111" s="313"/>
      <c r="AS1111" s="287"/>
      <c r="AV1111" s="322"/>
      <c r="AW1111" s="279">
        <v>0.21904761904761905</v>
      </c>
      <c r="AX1111" s="279"/>
      <c r="AY1111" s="279">
        <v>0.25306122448979596</v>
      </c>
      <c r="AZ1111" s="279">
        <v>7.6190476190476197E-2</v>
      </c>
      <c r="BA1111" s="279" t="s">
        <v>3192</v>
      </c>
      <c r="BB1111" s="279" t="s">
        <v>3192</v>
      </c>
      <c r="BC1111" s="279"/>
      <c r="BD1111" s="279" t="s">
        <v>3192</v>
      </c>
      <c r="BE1111" s="276"/>
      <c r="BF1111" s="407">
        <f t="shared" si="91"/>
        <v>0.21904761904761905</v>
      </c>
      <c r="BG1111" s="407">
        <v>0.5496598639455782</v>
      </c>
    </row>
    <row r="1112" spans="1:59" ht="15" customHeight="1" thickBot="1" x14ac:dyDescent="0.25">
      <c r="A1112" s="156">
        <v>1113</v>
      </c>
      <c r="B1112" s="155">
        <v>1</v>
      </c>
      <c r="C1112" s="151" t="s">
        <v>596</v>
      </c>
      <c r="D1112" s="141" t="s">
        <v>2020</v>
      </c>
      <c r="I1112" s="165">
        <v>2010</v>
      </c>
      <c r="J1112" s="165" t="s">
        <v>3213</v>
      </c>
      <c r="L1112" s="165" t="s">
        <v>3219</v>
      </c>
      <c r="M1112" s="453" t="s">
        <v>4310</v>
      </c>
      <c r="AF1112" s="144" t="str">
        <f t="shared" si="88"/>
        <v/>
      </c>
      <c r="AG1112" s="144" t="str">
        <f t="shared" si="92"/>
        <v/>
      </c>
      <c r="AH1112" s="146">
        <f t="shared" si="89"/>
        <v>0.72789115646258506</v>
      </c>
      <c r="AI1112" s="146">
        <f t="shared" si="90"/>
        <v>1.1265306122448979</v>
      </c>
      <c r="AJ1112" s="313"/>
      <c r="AK1112" s="313"/>
      <c r="AL1112" s="313"/>
      <c r="AM1112" s="313"/>
      <c r="AN1112" s="313"/>
      <c r="AO1112" s="313"/>
      <c r="AP1112" s="313"/>
      <c r="AQ1112" s="313"/>
      <c r="AR1112" s="313"/>
      <c r="AS1112" s="287"/>
      <c r="AV1112" s="322"/>
      <c r="AW1112" s="279">
        <v>0.72789115646258506</v>
      </c>
      <c r="AX1112" s="279"/>
      <c r="AY1112" s="279">
        <v>0.39863945578231291</v>
      </c>
      <c r="AZ1112" s="279">
        <v>0.91564625850340153</v>
      </c>
      <c r="BA1112" s="279">
        <v>0.28163265306122448</v>
      </c>
      <c r="BB1112" s="279" t="s">
        <v>3192</v>
      </c>
      <c r="BC1112" s="279"/>
      <c r="BD1112" s="279">
        <v>2.3129251700680271E-2</v>
      </c>
      <c r="BE1112" s="276"/>
      <c r="BF1112" s="407">
        <f t="shared" si="91"/>
        <v>0.72789115646258506</v>
      </c>
      <c r="BG1112" s="407">
        <v>2.3469387755102042</v>
      </c>
    </row>
    <row r="1113" spans="1:59" ht="15" customHeight="1" thickBot="1" x14ac:dyDescent="0.25">
      <c r="A1113" s="156">
        <v>1114</v>
      </c>
      <c r="B1113" s="155">
        <v>1</v>
      </c>
      <c r="C1113" s="151" t="s">
        <v>596</v>
      </c>
      <c r="D1113" s="141" t="s">
        <v>2020</v>
      </c>
      <c r="I1113" s="165">
        <v>2012</v>
      </c>
      <c r="J1113" s="165" t="s">
        <v>3214</v>
      </c>
      <c r="L1113" s="165" t="s">
        <v>3219</v>
      </c>
      <c r="M1113" s="453" t="s">
        <v>4310</v>
      </c>
      <c r="AF1113" s="144" t="str">
        <f t="shared" si="88"/>
        <v/>
      </c>
      <c r="AG1113" s="144" t="str">
        <f t="shared" si="92"/>
        <v/>
      </c>
      <c r="AH1113" s="146">
        <f t="shared" si="89"/>
        <v>0.61768707482993201</v>
      </c>
      <c r="AI1113" s="146" t="str">
        <f t="shared" si="90"/>
        <v/>
      </c>
      <c r="AJ1113" s="313"/>
      <c r="AK1113" s="313"/>
      <c r="AL1113" s="313"/>
      <c r="AM1113" s="313"/>
      <c r="AN1113" s="313"/>
      <c r="AO1113" s="313"/>
      <c r="AP1113" s="313"/>
      <c r="AQ1113" s="313"/>
      <c r="AR1113" s="313"/>
      <c r="AS1113" s="287"/>
      <c r="AV1113" s="322"/>
      <c r="AW1113" s="279">
        <v>0.61768707482993201</v>
      </c>
      <c r="AX1113" s="279"/>
      <c r="AY1113" s="279" t="s">
        <v>3192</v>
      </c>
      <c r="AZ1113" s="279" t="s">
        <v>3192</v>
      </c>
      <c r="BA1113" s="279" t="s">
        <v>3192</v>
      </c>
      <c r="BB1113" s="279" t="s">
        <v>3192</v>
      </c>
      <c r="BC1113" s="279"/>
      <c r="BD1113" s="279" t="s">
        <v>3192</v>
      </c>
      <c r="BE1113" s="276"/>
      <c r="BF1113" s="407">
        <f t="shared" si="91"/>
        <v>0.61768707482993201</v>
      </c>
      <c r="BG1113" s="407" t="s">
        <v>3192</v>
      </c>
    </row>
    <row r="1114" spans="1:59" ht="15" customHeight="1" thickBot="1" x14ac:dyDescent="0.25">
      <c r="A1114" s="156">
        <v>1115</v>
      </c>
      <c r="B1114" s="155">
        <v>1</v>
      </c>
      <c r="C1114" s="151" t="s">
        <v>596</v>
      </c>
      <c r="D1114" s="141" t="s">
        <v>2020</v>
      </c>
      <c r="I1114" s="165">
        <v>2012</v>
      </c>
      <c r="J1114" s="165" t="s">
        <v>3214</v>
      </c>
      <c r="L1114" s="165" t="s">
        <v>3219</v>
      </c>
      <c r="M1114" s="453" t="s">
        <v>4310</v>
      </c>
      <c r="AF1114" s="144" t="str">
        <f t="shared" si="88"/>
        <v/>
      </c>
      <c r="AG1114" s="144" t="str">
        <f t="shared" si="92"/>
        <v/>
      </c>
      <c r="AH1114" s="146">
        <f t="shared" si="89"/>
        <v>1.0666666666666667</v>
      </c>
      <c r="AI1114" s="146" t="str">
        <f t="shared" si="90"/>
        <v/>
      </c>
      <c r="AJ1114" s="313"/>
      <c r="AK1114" s="313"/>
      <c r="AL1114" s="313"/>
      <c r="AM1114" s="313"/>
      <c r="AN1114" s="313"/>
      <c r="AO1114" s="313"/>
      <c r="AP1114" s="313"/>
      <c r="AQ1114" s="313"/>
      <c r="AR1114" s="313"/>
      <c r="AS1114" s="287"/>
      <c r="AV1114" s="322"/>
      <c r="AW1114" s="279">
        <v>1.0666666666666667</v>
      </c>
      <c r="AX1114" s="279"/>
      <c r="AY1114" s="279" t="s">
        <v>3192</v>
      </c>
      <c r="AZ1114" s="279" t="s">
        <v>3192</v>
      </c>
      <c r="BA1114" s="279" t="s">
        <v>3192</v>
      </c>
      <c r="BB1114" s="279" t="s">
        <v>3192</v>
      </c>
      <c r="BC1114" s="279"/>
      <c r="BD1114" s="279" t="s">
        <v>3192</v>
      </c>
      <c r="BE1114" s="276"/>
      <c r="BF1114" s="407">
        <f t="shared" si="91"/>
        <v>1.0666666666666667</v>
      </c>
      <c r="BG1114" s="407" t="s">
        <v>3192</v>
      </c>
    </row>
    <row r="1115" spans="1:59" ht="15" customHeight="1" thickBot="1" x14ac:dyDescent="0.25">
      <c r="A1115" s="156">
        <v>1116</v>
      </c>
      <c r="B1115" s="155">
        <v>1</v>
      </c>
      <c r="C1115" s="151" t="s">
        <v>596</v>
      </c>
      <c r="D1115" s="141" t="s">
        <v>2020</v>
      </c>
      <c r="I1115" s="165">
        <v>2012</v>
      </c>
      <c r="J1115" s="165" t="s">
        <v>3214</v>
      </c>
      <c r="L1115" s="165" t="s">
        <v>3219</v>
      </c>
      <c r="M1115" s="453" t="s">
        <v>4310</v>
      </c>
      <c r="AF1115" s="144" t="str">
        <f t="shared" si="88"/>
        <v/>
      </c>
      <c r="AG1115" s="144" t="str">
        <f t="shared" si="92"/>
        <v/>
      </c>
      <c r="AH1115" s="146">
        <f t="shared" si="89"/>
        <v>1.0993197278911564</v>
      </c>
      <c r="AI1115" s="146" t="str">
        <f t="shared" si="90"/>
        <v/>
      </c>
      <c r="AJ1115" s="313"/>
      <c r="AK1115" s="313"/>
      <c r="AL1115" s="313"/>
      <c r="AM1115" s="313"/>
      <c r="AN1115" s="313"/>
      <c r="AO1115" s="313"/>
      <c r="AP1115" s="313"/>
      <c r="AQ1115" s="313"/>
      <c r="AR1115" s="313"/>
      <c r="AS1115" s="287"/>
      <c r="AV1115" s="322"/>
      <c r="AW1115" s="279">
        <v>1.0993197278911564</v>
      </c>
      <c r="AX1115" s="279"/>
      <c r="AY1115" s="279" t="s">
        <v>3192</v>
      </c>
      <c r="AZ1115" s="279" t="s">
        <v>3192</v>
      </c>
      <c r="BA1115" s="279" t="s">
        <v>3192</v>
      </c>
      <c r="BB1115" s="279" t="s">
        <v>3192</v>
      </c>
      <c r="BC1115" s="279"/>
      <c r="BD1115" s="279" t="s">
        <v>3192</v>
      </c>
      <c r="BE1115" s="276"/>
      <c r="BF1115" s="407">
        <f t="shared" si="91"/>
        <v>1.0993197278911564</v>
      </c>
      <c r="BG1115" s="407" t="s">
        <v>3192</v>
      </c>
    </row>
    <row r="1116" spans="1:59" ht="15" customHeight="1" thickBot="1" x14ac:dyDescent="0.25">
      <c r="A1116" s="156">
        <v>1117</v>
      </c>
      <c r="B1116" s="155">
        <v>1</v>
      </c>
      <c r="C1116" s="151" t="s">
        <v>596</v>
      </c>
      <c r="D1116" s="141" t="s">
        <v>2020</v>
      </c>
      <c r="I1116" s="165">
        <v>2012</v>
      </c>
      <c r="J1116" s="165" t="s">
        <v>3214</v>
      </c>
      <c r="L1116" s="165" t="s">
        <v>3219</v>
      </c>
      <c r="M1116" s="453" t="s">
        <v>4310</v>
      </c>
      <c r="AF1116" s="144" t="str">
        <f t="shared" si="88"/>
        <v/>
      </c>
      <c r="AG1116" s="144" t="str">
        <f t="shared" si="92"/>
        <v/>
      </c>
      <c r="AH1116" s="146">
        <f t="shared" si="89"/>
        <v>0.43265306122448982</v>
      </c>
      <c r="AI1116" s="146" t="str">
        <f t="shared" si="90"/>
        <v/>
      </c>
      <c r="AJ1116" s="313"/>
      <c r="AK1116" s="313"/>
      <c r="AL1116" s="313"/>
      <c r="AM1116" s="313"/>
      <c r="AN1116" s="313"/>
      <c r="AO1116" s="313"/>
      <c r="AP1116" s="313"/>
      <c r="AQ1116" s="313"/>
      <c r="AR1116" s="313"/>
      <c r="AS1116" s="287"/>
      <c r="AV1116" s="322"/>
      <c r="AW1116" s="279">
        <v>0.43265306122448982</v>
      </c>
      <c r="AX1116" s="279"/>
      <c r="AY1116" s="279" t="s">
        <v>3192</v>
      </c>
      <c r="AZ1116" s="279" t="s">
        <v>3192</v>
      </c>
      <c r="BA1116" s="279" t="s">
        <v>3192</v>
      </c>
      <c r="BB1116" s="279" t="s">
        <v>3192</v>
      </c>
      <c r="BC1116" s="279"/>
      <c r="BD1116" s="279" t="s">
        <v>3192</v>
      </c>
      <c r="BE1116" s="276"/>
      <c r="BF1116" s="407">
        <f t="shared" si="91"/>
        <v>0.43265306122448982</v>
      </c>
      <c r="BG1116" s="407" t="s">
        <v>3192</v>
      </c>
    </row>
    <row r="1117" spans="1:59" ht="15" customHeight="1" thickBot="1" x14ac:dyDescent="0.25">
      <c r="A1117" s="156">
        <v>1118</v>
      </c>
      <c r="B1117" s="155">
        <v>1</v>
      </c>
      <c r="C1117" s="151" t="s">
        <v>596</v>
      </c>
      <c r="D1117" s="141" t="s">
        <v>2020</v>
      </c>
      <c r="I1117" s="165">
        <v>2012</v>
      </c>
      <c r="J1117" s="165" t="s">
        <v>3214</v>
      </c>
      <c r="L1117" s="165" t="s">
        <v>3219</v>
      </c>
      <c r="M1117" s="453" t="s">
        <v>4310</v>
      </c>
      <c r="AF1117" s="144" t="str">
        <f t="shared" si="88"/>
        <v/>
      </c>
      <c r="AG1117" s="144" t="str">
        <f t="shared" si="92"/>
        <v/>
      </c>
      <c r="AH1117" s="146">
        <f t="shared" si="89"/>
        <v>0.72108843537414979</v>
      </c>
      <c r="AI1117" s="146" t="str">
        <f t="shared" si="90"/>
        <v/>
      </c>
      <c r="AJ1117" s="313"/>
      <c r="AK1117" s="313"/>
      <c r="AL1117" s="313"/>
      <c r="AM1117" s="313"/>
      <c r="AN1117" s="313"/>
      <c r="AO1117" s="313"/>
      <c r="AP1117" s="313"/>
      <c r="AQ1117" s="313"/>
      <c r="AR1117" s="313"/>
      <c r="AS1117" s="287"/>
      <c r="AV1117" s="322"/>
      <c r="AW1117" s="279">
        <v>0.72108843537414979</v>
      </c>
      <c r="AX1117" s="279"/>
      <c r="AY1117" s="279" t="s">
        <v>3192</v>
      </c>
      <c r="AZ1117" s="279" t="s">
        <v>3192</v>
      </c>
      <c r="BA1117" s="279" t="s">
        <v>3192</v>
      </c>
      <c r="BB1117" s="279" t="s">
        <v>3192</v>
      </c>
      <c r="BC1117" s="279"/>
      <c r="BD1117" s="279" t="s">
        <v>3192</v>
      </c>
      <c r="BE1117" s="276"/>
      <c r="BF1117" s="407">
        <f t="shared" si="91"/>
        <v>0.72108843537414979</v>
      </c>
      <c r="BG1117" s="407" t="s">
        <v>3192</v>
      </c>
    </row>
    <row r="1118" spans="1:59" ht="15" customHeight="1" thickBot="1" x14ac:dyDescent="0.25">
      <c r="A1118" s="156">
        <v>1119</v>
      </c>
      <c r="B1118" s="155">
        <v>1</v>
      </c>
      <c r="C1118" s="151" t="s">
        <v>596</v>
      </c>
      <c r="D1118" s="141" t="s">
        <v>2020</v>
      </c>
      <c r="I1118" s="165">
        <v>2012</v>
      </c>
      <c r="J1118" s="165" t="s">
        <v>3214</v>
      </c>
      <c r="L1118" s="165" t="s">
        <v>3219</v>
      </c>
      <c r="M1118" s="453" t="s">
        <v>4310</v>
      </c>
      <c r="AF1118" s="144" t="str">
        <f t="shared" si="88"/>
        <v/>
      </c>
      <c r="AG1118" s="144" t="str">
        <f t="shared" si="92"/>
        <v/>
      </c>
      <c r="AH1118" s="146">
        <f t="shared" si="89"/>
        <v>0.76870748299319724</v>
      </c>
      <c r="AI1118" s="146" t="str">
        <f t="shared" si="90"/>
        <v/>
      </c>
      <c r="AJ1118" s="313"/>
      <c r="AK1118" s="313"/>
      <c r="AL1118" s="313"/>
      <c r="AM1118" s="313"/>
      <c r="AN1118" s="313"/>
      <c r="AO1118" s="313"/>
      <c r="AP1118" s="313"/>
      <c r="AQ1118" s="313"/>
      <c r="AR1118" s="313"/>
      <c r="AS1118" s="287"/>
      <c r="AV1118" s="322"/>
      <c r="AW1118" s="279">
        <v>0.76870748299319724</v>
      </c>
      <c r="AX1118" s="279"/>
      <c r="AY1118" s="279" t="s">
        <v>3192</v>
      </c>
      <c r="AZ1118" s="279" t="s">
        <v>3192</v>
      </c>
      <c r="BA1118" s="279" t="s">
        <v>3192</v>
      </c>
      <c r="BB1118" s="279" t="s">
        <v>3192</v>
      </c>
      <c r="BC1118" s="279"/>
      <c r="BD1118" s="279" t="s">
        <v>3192</v>
      </c>
      <c r="BE1118" s="276"/>
      <c r="BF1118" s="407">
        <f t="shared" si="91"/>
        <v>0.76870748299319724</v>
      </c>
      <c r="BG1118" s="407" t="s">
        <v>3192</v>
      </c>
    </row>
    <row r="1119" spans="1:59" ht="15" customHeight="1" thickBot="1" x14ac:dyDescent="0.25">
      <c r="A1119" s="156">
        <v>1120</v>
      </c>
      <c r="B1119" s="155">
        <v>1</v>
      </c>
      <c r="C1119" s="151" t="s">
        <v>596</v>
      </c>
      <c r="D1119" s="141" t="s">
        <v>2020</v>
      </c>
      <c r="I1119" s="165">
        <v>2012</v>
      </c>
      <c r="J1119" s="165" t="s">
        <v>3214</v>
      </c>
      <c r="L1119" s="165" t="s">
        <v>3219</v>
      </c>
      <c r="M1119" s="453" t="s">
        <v>4310</v>
      </c>
      <c r="AF1119" s="144" t="str">
        <f t="shared" si="88"/>
        <v/>
      </c>
      <c r="AG1119" s="144" t="str">
        <f t="shared" si="92"/>
        <v/>
      </c>
      <c r="AH1119" s="146">
        <f t="shared" si="89"/>
        <v>0.76598639455782314</v>
      </c>
      <c r="AI1119" s="146" t="str">
        <f t="shared" si="90"/>
        <v/>
      </c>
      <c r="AJ1119" s="313"/>
      <c r="AK1119" s="313"/>
      <c r="AL1119" s="313"/>
      <c r="AM1119" s="313"/>
      <c r="AN1119" s="313"/>
      <c r="AO1119" s="313"/>
      <c r="AP1119" s="313"/>
      <c r="AQ1119" s="313"/>
      <c r="AR1119" s="313"/>
      <c r="AS1119" s="287"/>
      <c r="AV1119" s="322"/>
      <c r="AW1119" s="279">
        <v>0.76598639455782314</v>
      </c>
      <c r="AX1119" s="279"/>
      <c r="AY1119" s="279" t="s">
        <v>3192</v>
      </c>
      <c r="AZ1119" s="279" t="s">
        <v>3192</v>
      </c>
      <c r="BA1119" s="279" t="s">
        <v>3192</v>
      </c>
      <c r="BB1119" s="279" t="s">
        <v>3192</v>
      </c>
      <c r="BC1119" s="279"/>
      <c r="BD1119" s="279" t="s">
        <v>3192</v>
      </c>
      <c r="BE1119" s="276"/>
      <c r="BF1119" s="407">
        <f t="shared" si="91"/>
        <v>0.76598639455782314</v>
      </c>
      <c r="BG1119" s="407" t="s">
        <v>3192</v>
      </c>
    </row>
    <row r="1120" spans="1:59" ht="15" customHeight="1" thickBot="1" x14ac:dyDescent="0.25">
      <c r="A1120" s="156">
        <v>1121</v>
      </c>
      <c r="B1120" s="155">
        <v>1</v>
      </c>
      <c r="C1120" s="151" t="s">
        <v>596</v>
      </c>
      <c r="D1120" s="141" t="s">
        <v>2020</v>
      </c>
      <c r="I1120" s="165">
        <v>2012</v>
      </c>
      <c r="J1120" s="165" t="s">
        <v>3214</v>
      </c>
      <c r="L1120" s="165" t="s">
        <v>3219</v>
      </c>
      <c r="M1120" s="453" t="s">
        <v>4310</v>
      </c>
      <c r="AF1120" s="144" t="str">
        <f t="shared" si="88"/>
        <v/>
      </c>
      <c r="AG1120" s="144" t="str">
        <f t="shared" si="92"/>
        <v/>
      </c>
      <c r="AH1120" s="146">
        <f t="shared" si="89"/>
        <v>0.69251700680272121</v>
      </c>
      <c r="AI1120" s="146" t="str">
        <f t="shared" si="90"/>
        <v/>
      </c>
      <c r="AJ1120" s="313"/>
      <c r="AK1120" s="313"/>
      <c r="AL1120" s="313"/>
      <c r="AM1120" s="313"/>
      <c r="AN1120" s="313"/>
      <c r="AO1120" s="313"/>
      <c r="AP1120" s="313"/>
      <c r="AQ1120" s="313"/>
      <c r="AR1120" s="313"/>
      <c r="AS1120" s="287"/>
      <c r="AV1120" s="322"/>
      <c r="AW1120" s="279">
        <v>0.69251700680272121</v>
      </c>
      <c r="AX1120" s="279"/>
      <c r="AY1120" s="279" t="s">
        <v>3192</v>
      </c>
      <c r="AZ1120" s="279" t="s">
        <v>3192</v>
      </c>
      <c r="BA1120" s="279" t="s">
        <v>3192</v>
      </c>
      <c r="BB1120" s="279" t="s">
        <v>3192</v>
      </c>
      <c r="BC1120" s="279"/>
      <c r="BD1120" s="279" t="s">
        <v>3192</v>
      </c>
      <c r="BE1120" s="276"/>
      <c r="BF1120" s="407">
        <f t="shared" si="91"/>
        <v>0.69251700680272121</v>
      </c>
      <c r="BG1120" s="407" t="s">
        <v>3192</v>
      </c>
    </row>
    <row r="1121" spans="1:59" ht="15" customHeight="1" thickBot="1" x14ac:dyDescent="0.25">
      <c r="A1121" s="156">
        <v>1122</v>
      </c>
      <c r="B1121" s="155">
        <v>1</v>
      </c>
      <c r="C1121" s="151" t="s">
        <v>596</v>
      </c>
      <c r="D1121" s="141" t="s">
        <v>2020</v>
      </c>
      <c r="I1121" s="165">
        <v>2012</v>
      </c>
      <c r="J1121" s="165" t="s">
        <v>3214</v>
      </c>
      <c r="L1121" s="165" t="s">
        <v>3219</v>
      </c>
      <c r="M1121" s="453" t="s">
        <v>4310</v>
      </c>
      <c r="AF1121" s="144" t="str">
        <f t="shared" si="88"/>
        <v/>
      </c>
      <c r="AG1121" s="144" t="str">
        <f t="shared" si="92"/>
        <v/>
      </c>
      <c r="AH1121" s="146">
        <f t="shared" si="89"/>
        <v>0.70612244897959187</v>
      </c>
      <c r="AI1121" s="146" t="str">
        <f t="shared" si="90"/>
        <v/>
      </c>
      <c r="AJ1121" s="313"/>
      <c r="AK1121" s="313"/>
      <c r="AL1121" s="313"/>
      <c r="AM1121" s="313"/>
      <c r="AN1121" s="313"/>
      <c r="AO1121" s="313"/>
      <c r="AP1121" s="313"/>
      <c r="AQ1121" s="313"/>
      <c r="AR1121" s="313"/>
      <c r="AS1121" s="287"/>
      <c r="AV1121" s="322"/>
      <c r="AW1121" s="279">
        <v>0.70612244897959187</v>
      </c>
      <c r="AX1121" s="279"/>
      <c r="AY1121" s="279" t="s">
        <v>3192</v>
      </c>
      <c r="AZ1121" s="279" t="s">
        <v>3192</v>
      </c>
      <c r="BA1121" s="279" t="s">
        <v>3192</v>
      </c>
      <c r="BB1121" s="279" t="s">
        <v>3192</v>
      </c>
      <c r="BC1121" s="279"/>
      <c r="BD1121" s="279" t="s">
        <v>3192</v>
      </c>
      <c r="BE1121" s="276"/>
      <c r="BF1121" s="407">
        <f t="shared" si="91"/>
        <v>0.70612244897959187</v>
      </c>
      <c r="BG1121" s="407" t="s">
        <v>3192</v>
      </c>
    </row>
    <row r="1122" spans="1:59" ht="15" customHeight="1" thickBot="1" x14ac:dyDescent="0.25">
      <c r="A1122" s="156">
        <v>1123</v>
      </c>
      <c r="B1122" s="155">
        <v>1</v>
      </c>
      <c r="C1122" s="151" t="s">
        <v>596</v>
      </c>
      <c r="D1122" s="141" t="s">
        <v>2020</v>
      </c>
      <c r="I1122" s="165">
        <v>2012</v>
      </c>
      <c r="J1122" s="165" t="s">
        <v>3214</v>
      </c>
      <c r="L1122" s="165" t="s">
        <v>3219</v>
      </c>
      <c r="M1122" s="453" t="s">
        <v>4310</v>
      </c>
      <c r="AF1122" s="144" t="str">
        <f t="shared" si="88"/>
        <v/>
      </c>
      <c r="AG1122" s="144" t="str">
        <f t="shared" si="92"/>
        <v/>
      </c>
      <c r="AH1122" s="146">
        <f t="shared" si="89"/>
        <v>0.62040816326530612</v>
      </c>
      <c r="AI1122" s="146" t="str">
        <f t="shared" si="90"/>
        <v/>
      </c>
      <c r="AJ1122" s="313"/>
      <c r="AK1122" s="313"/>
      <c r="AL1122" s="313"/>
      <c r="AM1122" s="313"/>
      <c r="AN1122" s="313"/>
      <c r="AO1122" s="313"/>
      <c r="AP1122" s="313"/>
      <c r="AQ1122" s="313"/>
      <c r="AR1122" s="313"/>
      <c r="AS1122" s="287"/>
      <c r="AV1122" s="322"/>
      <c r="AW1122" s="279">
        <v>0.62040816326530612</v>
      </c>
      <c r="AX1122" s="279"/>
      <c r="AY1122" s="279" t="s">
        <v>3192</v>
      </c>
      <c r="AZ1122" s="279" t="s">
        <v>3192</v>
      </c>
      <c r="BA1122" s="279" t="s">
        <v>3192</v>
      </c>
      <c r="BB1122" s="279" t="s">
        <v>3192</v>
      </c>
      <c r="BC1122" s="279"/>
      <c r="BD1122" s="279" t="s">
        <v>3192</v>
      </c>
      <c r="BE1122" s="276"/>
      <c r="BF1122" s="407">
        <f t="shared" si="91"/>
        <v>0.62040816326530612</v>
      </c>
      <c r="BG1122" s="407" t="s">
        <v>3192</v>
      </c>
    </row>
    <row r="1123" spans="1:59" ht="15" customHeight="1" thickBot="1" x14ac:dyDescent="0.25">
      <c r="A1123" s="156">
        <v>1124</v>
      </c>
      <c r="B1123" s="155">
        <v>1</v>
      </c>
      <c r="C1123" s="151" t="s">
        <v>596</v>
      </c>
      <c r="D1123" s="141" t="s">
        <v>2020</v>
      </c>
      <c r="I1123" s="165">
        <v>2012</v>
      </c>
      <c r="J1123" s="165" t="s">
        <v>3214</v>
      </c>
      <c r="L1123" s="165" t="s">
        <v>3219</v>
      </c>
      <c r="M1123" s="453" t="s">
        <v>4310</v>
      </c>
      <c r="AF1123" s="144" t="str">
        <f t="shared" si="88"/>
        <v/>
      </c>
      <c r="AG1123" s="144" t="str">
        <f t="shared" si="92"/>
        <v/>
      </c>
      <c r="AH1123" s="146">
        <f t="shared" si="89"/>
        <v>0.42176870748299317</v>
      </c>
      <c r="AI1123" s="146" t="str">
        <f t="shared" si="90"/>
        <v/>
      </c>
      <c r="AJ1123" s="313"/>
      <c r="AK1123" s="313"/>
      <c r="AL1123" s="313"/>
      <c r="AM1123" s="313"/>
      <c r="AN1123" s="313"/>
      <c r="AO1123" s="313"/>
      <c r="AP1123" s="313"/>
      <c r="AQ1123" s="313"/>
      <c r="AR1123" s="313"/>
      <c r="AS1123" s="287"/>
      <c r="AV1123" s="322"/>
      <c r="AW1123" s="279">
        <v>0.42176870748299317</v>
      </c>
      <c r="AX1123" s="279"/>
      <c r="AY1123" s="279" t="s">
        <v>3192</v>
      </c>
      <c r="AZ1123" s="279" t="s">
        <v>3192</v>
      </c>
      <c r="BA1123" s="279" t="s">
        <v>3192</v>
      </c>
      <c r="BB1123" s="279" t="s">
        <v>3192</v>
      </c>
      <c r="BC1123" s="279"/>
      <c r="BD1123" s="279" t="s">
        <v>3192</v>
      </c>
      <c r="BE1123" s="276"/>
      <c r="BF1123" s="407">
        <f t="shared" si="91"/>
        <v>0.42176870748299317</v>
      </c>
      <c r="BG1123" s="407" t="s">
        <v>3192</v>
      </c>
    </row>
    <row r="1124" spans="1:59" ht="15" customHeight="1" thickBot="1" x14ac:dyDescent="0.25">
      <c r="A1124" s="156">
        <v>1125</v>
      </c>
      <c r="B1124" s="155">
        <v>1</v>
      </c>
      <c r="C1124" s="151" t="s">
        <v>596</v>
      </c>
      <c r="D1124" s="141" t="s">
        <v>2020</v>
      </c>
      <c r="I1124" s="165">
        <v>2012</v>
      </c>
      <c r="J1124" s="165" t="s">
        <v>3214</v>
      </c>
      <c r="L1124" s="165" t="s">
        <v>3219</v>
      </c>
      <c r="M1124" s="453" t="s">
        <v>4310</v>
      </c>
      <c r="AF1124" s="144" t="str">
        <f t="shared" si="88"/>
        <v/>
      </c>
      <c r="AG1124" s="144" t="str">
        <f t="shared" si="92"/>
        <v/>
      </c>
      <c r="AH1124" s="146">
        <f t="shared" si="89"/>
        <v>0.45578231292517013</v>
      </c>
      <c r="AI1124" s="146" t="str">
        <f t="shared" si="90"/>
        <v/>
      </c>
      <c r="AJ1124" s="313"/>
      <c r="AK1124" s="313"/>
      <c r="AL1124" s="313"/>
      <c r="AM1124" s="313"/>
      <c r="AN1124" s="313"/>
      <c r="AO1124" s="313"/>
      <c r="AP1124" s="313"/>
      <c r="AQ1124" s="313"/>
      <c r="AR1124" s="313"/>
      <c r="AS1124" s="287"/>
      <c r="AV1124" s="322"/>
      <c r="AW1124" s="279">
        <v>0.45578231292517013</v>
      </c>
      <c r="AX1124" s="279"/>
      <c r="AY1124" s="279" t="s">
        <v>3192</v>
      </c>
      <c r="AZ1124" s="279" t="s">
        <v>3192</v>
      </c>
      <c r="BA1124" s="279" t="s">
        <v>3192</v>
      </c>
      <c r="BB1124" s="279" t="s">
        <v>3192</v>
      </c>
      <c r="BC1124" s="279"/>
      <c r="BD1124" s="279" t="s">
        <v>3192</v>
      </c>
      <c r="BE1124" s="276"/>
      <c r="BF1124" s="407">
        <f t="shared" si="91"/>
        <v>0.45578231292517013</v>
      </c>
      <c r="BG1124" s="407" t="s">
        <v>3192</v>
      </c>
    </row>
    <row r="1125" spans="1:59" ht="15" customHeight="1" thickBot="1" x14ac:dyDescent="0.25">
      <c r="A1125" s="156">
        <v>1126</v>
      </c>
      <c r="B1125" s="155">
        <v>1</v>
      </c>
      <c r="C1125" s="151" t="s">
        <v>596</v>
      </c>
      <c r="D1125" s="141" t="s">
        <v>2020</v>
      </c>
      <c r="I1125" s="165">
        <v>2012</v>
      </c>
      <c r="J1125" s="165" t="s">
        <v>3214</v>
      </c>
      <c r="L1125" s="165" t="s">
        <v>3219</v>
      </c>
      <c r="M1125" s="453" t="s">
        <v>4310</v>
      </c>
      <c r="AF1125" s="144" t="str">
        <f t="shared" si="88"/>
        <v/>
      </c>
      <c r="AG1125" s="144" t="str">
        <f t="shared" si="92"/>
        <v/>
      </c>
      <c r="AH1125" s="146">
        <f t="shared" si="89"/>
        <v>0.63265306122448983</v>
      </c>
      <c r="AI1125" s="146" t="str">
        <f t="shared" si="90"/>
        <v/>
      </c>
      <c r="AJ1125" s="313"/>
      <c r="AK1125" s="313"/>
      <c r="AL1125" s="313"/>
      <c r="AM1125" s="313"/>
      <c r="AN1125" s="313"/>
      <c r="AO1125" s="313"/>
      <c r="AP1125" s="313"/>
      <c r="AQ1125" s="313"/>
      <c r="AR1125" s="313"/>
      <c r="AS1125" s="287"/>
      <c r="AV1125" s="322"/>
      <c r="AW1125" s="279">
        <v>0.63265306122448983</v>
      </c>
      <c r="AX1125" s="279"/>
      <c r="AY1125" s="279" t="s">
        <v>3192</v>
      </c>
      <c r="AZ1125" s="279" t="s">
        <v>3192</v>
      </c>
      <c r="BA1125" s="279" t="s">
        <v>3192</v>
      </c>
      <c r="BB1125" s="279" t="s">
        <v>3192</v>
      </c>
      <c r="BC1125" s="279"/>
      <c r="BD1125" s="279" t="s">
        <v>3192</v>
      </c>
      <c r="BE1125" s="276"/>
      <c r="BF1125" s="407">
        <f t="shared" si="91"/>
        <v>0.63265306122448983</v>
      </c>
      <c r="BG1125" s="407" t="s">
        <v>3192</v>
      </c>
    </row>
    <row r="1126" spans="1:59" ht="15" customHeight="1" thickBot="1" x14ac:dyDescent="0.25">
      <c r="A1126" s="156">
        <v>1127</v>
      </c>
      <c r="B1126" s="155">
        <v>1</v>
      </c>
      <c r="C1126" s="151" t="s">
        <v>596</v>
      </c>
      <c r="D1126" s="141" t="s">
        <v>2020</v>
      </c>
      <c r="I1126" s="165">
        <v>2012</v>
      </c>
      <c r="J1126" s="165" t="s">
        <v>3214</v>
      </c>
      <c r="L1126" s="165" t="s">
        <v>3219</v>
      </c>
      <c r="M1126" s="453" t="s">
        <v>4310</v>
      </c>
      <c r="AF1126" s="144" t="str">
        <f t="shared" si="88"/>
        <v/>
      </c>
      <c r="AG1126" s="144" t="str">
        <f t="shared" si="92"/>
        <v/>
      </c>
      <c r="AH1126" s="146">
        <f t="shared" si="89"/>
        <v>0.42040816326530611</v>
      </c>
      <c r="AI1126" s="146" t="str">
        <f t="shared" si="90"/>
        <v/>
      </c>
      <c r="AJ1126" s="313"/>
      <c r="AK1126" s="313"/>
      <c r="AL1126" s="313"/>
      <c r="AM1126" s="313"/>
      <c r="AN1126" s="313"/>
      <c r="AO1126" s="313"/>
      <c r="AP1126" s="313"/>
      <c r="AQ1126" s="313"/>
      <c r="AR1126" s="313"/>
      <c r="AS1126" s="287"/>
      <c r="AT1126" s="175"/>
      <c r="AV1126" s="322"/>
      <c r="AW1126" s="279">
        <v>0.42040816326530611</v>
      </c>
      <c r="AX1126" s="279"/>
      <c r="AY1126" s="279" t="s">
        <v>3192</v>
      </c>
      <c r="AZ1126" s="279" t="s">
        <v>3192</v>
      </c>
      <c r="BA1126" s="279" t="s">
        <v>3192</v>
      </c>
      <c r="BB1126" s="279" t="s">
        <v>3192</v>
      </c>
      <c r="BC1126" s="279"/>
      <c r="BD1126" s="279" t="s">
        <v>3192</v>
      </c>
      <c r="BE1126" s="276"/>
      <c r="BF1126" s="407">
        <f t="shared" si="91"/>
        <v>0.42040816326530611</v>
      </c>
      <c r="BG1126" s="407" t="s">
        <v>3192</v>
      </c>
    </row>
    <row r="1127" spans="1:59" ht="15" customHeight="1" thickBot="1" x14ac:dyDescent="0.25">
      <c r="A1127" s="156">
        <v>1128</v>
      </c>
      <c r="B1127" s="155">
        <v>1</v>
      </c>
      <c r="C1127" s="151" t="s">
        <v>596</v>
      </c>
      <c r="D1127" s="141" t="s">
        <v>2020</v>
      </c>
      <c r="I1127" s="165">
        <v>2012</v>
      </c>
      <c r="J1127" s="165" t="s">
        <v>3214</v>
      </c>
      <c r="L1127" s="165" t="s">
        <v>3219</v>
      </c>
      <c r="M1127" s="453" t="s">
        <v>4310</v>
      </c>
      <c r="AF1127" s="144" t="str">
        <f t="shared" si="88"/>
        <v/>
      </c>
      <c r="AG1127" s="144" t="str">
        <f t="shared" si="92"/>
        <v/>
      </c>
      <c r="AH1127" s="146">
        <f t="shared" si="89"/>
        <v>0.36462585034013606</v>
      </c>
      <c r="AI1127" s="146" t="str">
        <f t="shared" si="90"/>
        <v/>
      </c>
      <c r="AJ1127" s="313"/>
      <c r="AK1127" s="313"/>
      <c r="AL1127" s="313"/>
      <c r="AM1127" s="313"/>
      <c r="AN1127" s="313"/>
      <c r="AO1127" s="313"/>
      <c r="AP1127" s="313"/>
      <c r="AQ1127" s="313"/>
      <c r="AR1127" s="313"/>
      <c r="AS1127" s="287"/>
      <c r="AT1127" s="175"/>
      <c r="AV1127" s="322"/>
      <c r="AW1127" s="279">
        <v>0.36462585034013606</v>
      </c>
      <c r="AX1127" s="279"/>
      <c r="AY1127" s="279" t="s">
        <v>3192</v>
      </c>
      <c r="AZ1127" s="279" t="s">
        <v>3192</v>
      </c>
      <c r="BA1127" s="279" t="s">
        <v>3192</v>
      </c>
      <c r="BB1127" s="279" t="s">
        <v>3192</v>
      </c>
      <c r="BC1127" s="279"/>
      <c r="BD1127" s="279" t="s">
        <v>3192</v>
      </c>
      <c r="BE1127" s="276"/>
      <c r="BF1127" s="407">
        <f t="shared" si="91"/>
        <v>0.36462585034013606</v>
      </c>
      <c r="BG1127" s="407" t="s">
        <v>3192</v>
      </c>
    </row>
    <row r="1128" spans="1:59" ht="15" customHeight="1" thickBot="1" x14ac:dyDescent="0.25">
      <c r="A1128" s="156">
        <v>1129</v>
      </c>
      <c r="B1128" s="155">
        <v>1</v>
      </c>
      <c r="C1128" s="151" t="s">
        <v>596</v>
      </c>
      <c r="D1128" s="141" t="s">
        <v>2020</v>
      </c>
      <c r="I1128" s="165">
        <v>2012</v>
      </c>
      <c r="J1128" s="165" t="s">
        <v>3214</v>
      </c>
      <c r="L1128" s="165" t="s">
        <v>3219</v>
      </c>
      <c r="M1128" s="453" t="s">
        <v>4310</v>
      </c>
      <c r="AF1128" s="144" t="str">
        <f t="shared" si="88"/>
        <v/>
      </c>
      <c r="AG1128" s="144" t="str">
        <f t="shared" si="92"/>
        <v/>
      </c>
      <c r="AH1128" s="146">
        <f t="shared" si="89"/>
        <v>0.28843537414965986</v>
      </c>
      <c r="AI1128" s="146" t="str">
        <f t="shared" si="90"/>
        <v/>
      </c>
      <c r="AJ1128" s="313"/>
      <c r="AK1128" s="313"/>
      <c r="AL1128" s="313"/>
      <c r="AM1128" s="313"/>
      <c r="AN1128" s="313"/>
      <c r="AO1128" s="313"/>
      <c r="AP1128" s="313"/>
      <c r="AQ1128" s="313"/>
      <c r="AR1128" s="313"/>
      <c r="AS1128" s="287"/>
      <c r="AT1128" s="175"/>
      <c r="AV1128" s="322"/>
      <c r="AW1128" s="279">
        <v>0.28843537414965986</v>
      </c>
      <c r="AX1128" s="279"/>
      <c r="AY1128" s="279" t="s">
        <v>3192</v>
      </c>
      <c r="AZ1128" s="279" t="s">
        <v>3192</v>
      </c>
      <c r="BA1128" s="279" t="s">
        <v>3192</v>
      </c>
      <c r="BB1128" s="279" t="s">
        <v>3192</v>
      </c>
      <c r="BC1128" s="279"/>
      <c r="BD1128" s="279" t="s">
        <v>3192</v>
      </c>
      <c r="BE1128" s="276"/>
      <c r="BF1128" s="407">
        <f t="shared" si="91"/>
        <v>0.28843537414965986</v>
      </c>
      <c r="BG1128" s="407" t="s">
        <v>3192</v>
      </c>
    </row>
    <row r="1129" spans="1:59" ht="15" customHeight="1" thickBot="1" x14ac:dyDescent="0.25">
      <c r="A1129" s="156">
        <v>1130</v>
      </c>
      <c r="B1129" s="155">
        <v>1</v>
      </c>
      <c r="C1129" s="151" t="s">
        <v>596</v>
      </c>
      <c r="D1129" s="141" t="s">
        <v>2020</v>
      </c>
      <c r="I1129" s="165">
        <v>2012</v>
      </c>
      <c r="J1129" s="165" t="s">
        <v>3214</v>
      </c>
      <c r="L1129" s="165" t="s">
        <v>3219</v>
      </c>
      <c r="M1129" s="453" t="s">
        <v>4310</v>
      </c>
      <c r="AF1129" s="144" t="str">
        <f t="shared" si="88"/>
        <v/>
      </c>
      <c r="AG1129" s="144" t="str">
        <f t="shared" si="92"/>
        <v/>
      </c>
      <c r="AH1129" s="146">
        <f t="shared" si="89"/>
        <v>1.2380952380952381</v>
      </c>
      <c r="AI1129" s="146" t="str">
        <f t="shared" si="90"/>
        <v/>
      </c>
      <c r="AJ1129" s="313"/>
      <c r="AK1129" s="313"/>
      <c r="AL1129" s="313"/>
      <c r="AM1129" s="313"/>
      <c r="AN1129" s="313"/>
      <c r="AO1129" s="313"/>
      <c r="AP1129" s="313"/>
      <c r="AQ1129" s="313"/>
      <c r="AR1129" s="313"/>
      <c r="AS1129" s="287"/>
      <c r="AT1129" s="175"/>
      <c r="AV1129" s="322"/>
      <c r="AW1129" s="279">
        <v>1.2380952380952381</v>
      </c>
      <c r="AX1129" s="279"/>
      <c r="AY1129" s="279" t="s">
        <v>3192</v>
      </c>
      <c r="AZ1129" s="279" t="s">
        <v>3192</v>
      </c>
      <c r="BA1129" s="279" t="s">
        <v>3192</v>
      </c>
      <c r="BB1129" s="279" t="s">
        <v>3192</v>
      </c>
      <c r="BC1129" s="279"/>
      <c r="BD1129" s="279" t="s">
        <v>3192</v>
      </c>
      <c r="BE1129" s="276"/>
      <c r="BF1129" s="407">
        <f t="shared" si="91"/>
        <v>1.2380952380952381</v>
      </c>
      <c r="BG1129" s="407" t="s">
        <v>3192</v>
      </c>
    </row>
    <row r="1130" spans="1:59" ht="15" customHeight="1" thickBot="1" x14ac:dyDescent="0.25">
      <c r="A1130" s="156">
        <v>1131</v>
      </c>
      <c r="B1130" s="155">
        <v>1</v>
      </c>
      <c r="C1130" s="151" t="s">
        <v>596</v>
      </c>
      <c r="D1130" s="141" t="s">
        <v>2020</v>
      </c>
      <c r="I1130" s="165">
        <v>2012</v>
      </c>
      <c r="J1130" s="165" t="s">
        <v>3214</v>
      </c>
      <c r="L1130" s="165" t="s">
        <v>3219</v>
      </c>
      <c r="M1130" s="453" t="s">
        <v>4310</v>
      </c>
      <c r="AF1130" s="144" t="str">
        <f t="shared" si="88"/>
        <v/>
      </c>
      <c r="AG1130" s="144" t="str">
        <f t="shared" si="92"/>
        <v/>
      </c>
      <c r="AH1130" s="146">
        <f t="shared" si="89"/>
        <v>0.73877551020408172</v>
      </c>
      <c r="AI1130" s="146" t="str">
        <f t="shared" si="90"/>
        <v/>
      </c>
      <c r="AJ1130" s="313"/>
      <c r="AK1130" s="313"/>
      <c r="AL1130" s="313"/>
      <c r="AM1130" s="313"/>
      <c r="AN1130" s="313"/>
      <c r="AO1130" s="313"/>
      <c r="AP1130" s="313"/>
      <c r="AQ1130" s="313"/>
      <c r="AR1130" s="313"/>
      <c r="AS1130" s="287"/>
      <c r="AT1130" s="175"/>
      <c r="AV1130" s="322"/>
      <c r="AW1130" s="279">
        <v>0.73877551020408172</v>
      </c>
      <c r="AX1130" s="279"/>
      <c r="AY1130" s="279" t="s">
        <v>3192</v>
      </c>
      <c r="AZ1130" s="279" t="s">
        <v>3192</v>
      </c>
      <c r="BA1130" s="279" t="s">
        <v>3192</v>
      </c>
      <c r="BB1130" s="279" t="s">
        <v>3192</v>
      </c>
      <c r="BC1130" s="279"/>
      <c r="BD1130" s="279" t="s">
        <v>3192</v>
      </c>
      <c r="BE1130" s="276"/>
      <c r="BF1130" s="407">
        <f t="shared" si="91"/>
        <v>0.73877551020408172</v>
      </c>
      <c r="BG1130" s="407" t="s">
        <v>3192</v>
      </c>
    </row>
    <row r="1131" spans="1:59" ht="15" customHeight="1" thickBot="1" x14ac:dyDescent="0.25">
      <c r="A1131" s="156">
        <v>1132</v>
      </c>
      <c r="B1131" s="155">
        <v>1</v>
      </c>
      <c r="C1131" s="151" t="s">
        <v>596</v>
      </c>
      <c r="D1131" s="141" t="s">
        <v>2020</v>
      </c>
      <c r="I1131" s="165">
        <v>2012</v>
      </c>
      <c r="J1131" s="165" t="s">
        <v>3214</v>
      </c>
      <c r="L1131" s="165" t="s">
        <v>3219</v>
      </c>
      <c r="M1131" s="453" t="s">
        <v>4310</v>
      </c>
      <c r="AF1131" s="144" t="str">
        <f t="shared" si="88"/>
        <v/>
      </c>
      <c r="AG1131" s="144" t="str">
        <f t="shared" si="92"/>
        <v/>
      </c>
      <c r="AH1131" s="146">
        <f t="shared" si="89"/>
        <v>1.0857142857142859</v>
      </c>
      <c r="AI1131" s="146" t="str">
        <f t="shared" si="90"/>
        <v/>
      </c>
      <c r="AJ1131" s="313"/>
      <c r="AK1131" s="313"/>
      <c r="AL1131" s="313"/>
      <c r="AM1131" s="313"/>
      <c r="AN1131" s="313"/>
      <c r="AO1131" s="313"/>
      <c r="AP1131" s="313"/>
      <c r="AQ1131" s="313"/>
      <c r="AR1131" s="313"/>
      <c r="AS1131" s="287"/>
      <c r="AT1131" s="175"/>
      <c r="AV1131" s="322"/>
      <c r="AW1131" s="279">
        <v>1.0857142857142859</v>
      </c>
      <c r="AX1131" s="279"/>
      <c r="AY1131" s="279" t="s">
        <v>3192</v>
      </c>
      <c r="AZ1131" s="279" t="s">
        <v>3192</v>
      </c>
      <c r="BA1131" s="279" t="s">
        <v>3192</v>
      </c>
      <c r="BB1131" s="279" t="s">
        <v>3192</v>
      </c>
      <c r="BC1131" s="279"/>
      <c r="BD1131" s="279" t="s">
        <v>3192</v>
      </c>
      <c r="BE1131" s="276"/>
      <c r="BF1131" s="407">
        <f t="shared" ref="BF1131:BF1162" si="93">AW1131</f>
        <v>1.0857142857142859</v>
      </c>
      <c r="BG1131" s="407" t="s">
        <v>3192</v>
      </c>
    </row>
    <row r="1132" spans="1:59" ht="15" customHeight="1" thickBot="1" x14ac:dyDescent="0.25">
      <c r="A1132" s="156">
        <v>1133</v>
      </c>
      <c r="B1132" s="155">
        <v>1</v>
      </c>
      <c r="C1132" s="151" t="s">
        <v>596</v>
      </c>
      <c r="D1132" s="141" t="s">
        <v>2020</v>
      </c>
      <c r="I1132" s="165">
        <v>2012</v>
      </c>
      <c r="J1132" s="165" t="s">
        <v>3214</v>
      </c>
      <c r="L1132" s="165" t="s">
        <v>3219</v>
      </c>
      <c r="M1132" s="453" t="s">
        <v>4310</v>
      </c>
      <c r="AF1132" s="144" t="str">
        <f t="shared" si="88"/>
        <v/>
      </c>
      <c r="AG1132" s="144" t="str">
        <f t="shared" si="92"/>
        <v/>
      </c>
      <c r="AH1132" s="146">
        <f t="shared" si="89"/>
        <v>0.92925170068027207</v>
      </c>
      <c r="AI1132" s="146" t="str">
        <f t="shared" si="90"/>
        <v/>
      </c>
      <c r="AJ1132" s="313"/>
      <c r="AK1132" s="313"/>
      <c r="AL1132" s="313"/>
      <c r="AM1132" s="313"/>
      <c r="AN1132" s="313"/>
      <c r="AO1132" s="313"/>
      <c r="AP1132" s="313"/>
      <c r="AQ1132" s="313"/>
      <c r="AR1132" s="313"/>
      <c r="AS1132" s="287"/>
      <c r="AT1132" s="175"/>
      <c r="AV1132" s="322"/>
      <c r="AW1132" s="279">
        <v>0.92925170068027207</v>
      </c>
      <c r="AX1132" s="279"/>
      <c r="AY1132" s="279" t="s">
        <v>3192</v>
      </c>
      <c r="AZ1132" s="279" t="s">
        <v>3192</v>
      </c>
      <c r="BA1132" s="279" t="s">
        <v>3192</v>
      </c>
      <c r="BB1132" s="279" t="s">
        <v>3192</v>
      </c>
      <c r="BC1132" s="279"/>
      <c r="BD1132" s="279" t="s">
        <v>3192</v>
      </c>
      <c r="BE1132" s="276"/>
      <c r="BF1132" s="407">
        <f t="shared" si="93"/>
        <v>0.92925170068027207</v>
      </c>
      <c r="BG1132" s="407" t="s">
        <v>3192</v>
      </c>
    </row>
    <row r="1133" spans="1:59" ht="15" customHeight="1" thickBot="1" x14ac:dyDescent="0.25">
      <c r="A1133" s="156">
        <v>1134</v>
      </c>
      <c r="B1133" s="155">
        <v>1</v>
      </c>
      <c r="C1133" s="151" t="s">
        <v>596</v>
      </c>
      <c r="D1133" s="141" t="s">
        <v>2020</v>
      </c>
      <c r="I1133" s="165">
        <v>2012</v>
      </c>
      <c r="J1133" s="165" t="s">
        <v>3214</v>
      </c>
      <c r="L1133" s="165" t="s">
        <v>3219</v>
      </c>
      <c r="M1133" s="453" t="s">
        <v>4310</v>
      </c>
      <c r="AF1133" s="144" t="str">
        <f t="shared" ref="AF1133:AF1196" si="94">IF(AS1133&lt;&gt;0,AS1133,"")</f>
        <v/>
      </c>
      <c r="AG1133" s="144" t="str">
        <f t="shared" si="92"/>
        <v/>
      </c>
      <c r="AH1133" s="146">
        <f t="shared" si="89"/>
        <v>0.35918367346938773</v>
      </c>
      <c r="AI1133" s="146" t="str">
        <f t="shared" si="90"/>
        <v/>
      </c>
      <c r="AJ1133" s="313"/>
      <c r="AK1133" s="313"/>
      <c r="AL1133" s="313"/>
      <c r="AM1133" s="313"/>
      <c r="AN1133" s="313"/>
      <c r="AO1133" s="313"/>
      <c r="AP1133" s="313"/>
      <c r="AQ1133" s="313"/>
      <c r="AR1133" s="313"/>
      <c r="AS1133" s="287"/>
      <c r="AT1133" s="175"/>
      <c r="AV1133" s="322"/>
      <c r="AW1133" s="279">
        <v>0.35918367346938773</v>
      </c>
      <c r="AX1133" s="279"/>
      <c r="AY1133" s="279" t="s">
        <v>3192</v>
      </c>
      <c r="AZ1133" s="279" t="s">
        <v>3192</v>
      </c>
      <c r="BA1133" s="279" t="s">
        <v>3192</v>
      </c>
      <c r="BB1133" s="279" t="s">
        <v>3192</v>
      </c>
      <c r="BC1133" s="279"/>
      <c r="BD1133" s="279" t="s">
        <v>3192</v>
      </c>
      <c r="BE1133" s="276"/>
      <c r="BF1133" s="407">
        <f t="shared" si="93"/>
        <v>0.35918367346938773</v>
      </c>
      <c r="BG1133" s="407" t="s">
        <v>3192</v>
      </c>
    </row>
    <row r="1134" spans="1:59" ht="15" customHeight="1" thickBot="1" x14ac:dyDescent="0.25">
      <c r="A1134" s="156">
        <v>1135</v>
      </c>
      <c r="B1134" s="155">
        <v>1</v>
      </c>
      <c r="C1134" s="151" t="s">
        <v>596</v>
      </c>
      <c r="D1134" s="141" t="s">
        <v>2020</v>
      </c>
      <c r="I1134" s="165">
        <v>2012</v>
      </c>
      <c r="J1134" s="165" t="s">
        <v>3214</v>
      </c>
      <c r="L1134" s="165" t="s">
        <v>3219</v>
      </c>
      <c r="M1134" s="453" t="s">
        <v>4310</v>
      </c>
      <c r="AF1134" s="144" t="str">
        <f t="shared" si="94"/>
        <v/>
      </c>
      <c r="AG1134" s="144" t="str">
        <f t="shared" si="92"/>
        <v/>
      </c>
      <c r="AH1134" s="146">
        <f t="shared" si="89"/>
        <v>0.50884353741496602</v>
      </c>
      <c r="AI1134" s="146" t="str">
        <f t="shared" si="90"/>
        <v/>
      </c>
      <c r="AJ1134" s="313"/>
      <c r="AK1134" s="313"/>
      <c r="AL1134" s="313"/>
      <c r="AM1134" s="313"/>
      <c r="AN1134" s="313"/>
      <c r="AO1134" s="313"/>
      <c r="AP1134" s="313"/>
      <c r="AQ1134" s="313"/>
      <c r="AR1134" s="313"/>
      <c r="AS1134" s="287"/>
      <c r="AT1134" s="175"/>
      <c r="AV1134" s="322"/>
      <c r="AW1134" s="279">
        <v>0.50884353741496602</v>
      </c>
      <c r="AX1134" s="279"/>
      <c r="AY1134" s="279" t="s">
        <v>3192</v>
      </c>
      <c r="AZ1134" s="279" t="s">
        <v>3192</v>
      </c>
      <c r="BA1134" s="279" t="s">
        <v>3192</v>
      </c>
      <c r="BB1134" s="279" t="s">
        <v>3192</v>
      </c>
      <c r="BC1134" s="279"/>
      <c r="BD1134" s="279" t="s">
        <v>3192</v>
      </c>
      <c r="BE1134" s="276"/>
      <c r="BF1134" s="407">
        <f t="shared" si="93"/>
        <v>0.50884353741496602</v>
      </c>
      <c r="BG1134" s="407" t="s">
        <v>3192</v>
      </c>
    </row>
    <row r="1135" spans="1:59" ht="15" customHeight="1" thickBot="1" x14ac:dyDescent="0.25">
      <c r="A1135" s="156">
        <v>1136</v>
      </c>
      <c r="B1135" s="155">
        <v>1</v>
      </c>
      <c r="C1135" s="151" t="s">
        <v>596</v>
      </c>
      <c r="D1135" s="141" t="s">
        <v>2020</v>
      </c>
      <c r="I1135" s="165">
        <v>2012</v>
      </c>
      <c r="J1135" s="165" t="s">
        <v>3214</v>
      </c>
      <c r="L1135" s="165" t="s">
        <v>3219</v>
      </c>
      <c r="M1135" s="453" t="s">
        <v>4310</v>
      </c>
      <c r="AF1135" s="144" t="str">
        <f t="shared" si="94"/>
        <v/>
      </c>
      <c r="AG1135" s="144" t="str">
        <f t="shared" si="92"/>
        <v/>
      </c>
      <c r="AH1135" s="146">
        <f t="shared" si="89"/>
        <v>0.84761904761904761</v>
      </c>
      <c r="AI1135" s="146" t="str">
        <f t="shared" si="90"/>
        <v/>
      </c>
      <c r="AJ1135" s="313"/>
      <c r="AK1135" s="313"/>
      <c r="AL1135" s="313"/>
      <c r="AM1135" s="313"/>
      <c r="AN1135" s="313"/>
      <c r="AO1135" s="313"/>
      <c r="AP1135" s="313"/>
      <c r="AQ1135" s="313"/>
      <c r="AR1135" s="313"/>
      <c r="AS1135" s="287"/>
      <c r="AT1135" s="175"/>
      <c r="AV1135" s="322"/>
      <c r="AW1135" s="279">
        <v>0.84761904761904761</v>
      </c>
      <c r="AX1135" s="279"/>
      <c r="AY1135" s="279" t="s">
        <v>3192</v>
      </c>
      <c r="AZ1135" s="279" t="s">
        <v>3192</v>
      </c>
      <c r="BA1135" s="279" t="s">
        <v>3192</v>
      </c>
      <c r="BB1135" s="279" t="s">
        <v>3192</v>
      </c>
      <c r="BC1135" s="279"/>
      <c r="BD1135" s="279" t="s">
        <v>3192</v>
      </c>
      <c r="BE1135" s="276"/>
      <c r="BF1135" s="407">
        <f t="shared" si="93"/>
        <v>0.84761904761904761</v>
      </c>
      <c r="BG1135" s="407" t="s">
        <v>3192</v>
      </c>
    </row>
    <row r="1136" spans="1:59" ht="15" customHeight="1" thickBot="1" x14ac:dyDescent="0.25">
      <c r="A1136" s="156">
        <v>1137</v>
      </c>
      <c r="B1136" s="155">
        <v>1</v>
      </c>
      <c r="C1136" s="151" t="s">
        <v>596</v>
      </c>
      <c r="D1136" s="141" t="s">
        <v>2020</v>
      </c>
      <c r="I1136" s="165">
        <v>2012</v>
      </c>
      <c r="J1136" s="165" t="s">
        <v>3214</v>
      </c>
      <c r="L1136" s="165" t="s">
        <v>3219</v>
      </c>
      <c r="M1136" s="453" t="s">
        <v>4310</v>
      </c>
      <c r="AF1136" s="144" t="str">
        <f t="shared" si="94"/>
        <v/>
      </c>
      <c r="AG1136" s="144" t="str">
        <f t="shared" si="92"/>
        <v/>
      </c>
      <c r="AH1136" s="146">
        <f t="shared" si="89"/>
        <v>0.70612244897959187</v>
      </c>
      <c r="AI1136" s="146" t="str">
        <f t="shared" si="90"/>
        <v/>
      </c>
      <c r="AJ1136" s="313"/>
      <c r="AK1136" s="313"/>
      <c r="AL1136" s="313"/>
      <c r="AM1136" s="313"/>
      <c r="AN1136" s="313"/>
      <c r="AO1136" s="313"/>
      <c r="AP1136" s="313"/>
      <c r="AQ1136" s="313"/>
      <c r="AR1136" s="313"/>
      <c r="AS1136" s="287"/>
      <c r="AT1136" s="175"/>
      <c r="AV1136" s="322"/>
      <c r="AW1136" s="279">
        <v>0.70612244897959187</v>
      </c>
      <c r="AX1136" s="279"/>
      <c r="AY1136" s="279" t="s">
        <v>3192</v>
      </c>
      <c r="AZ1136" s="279" t="s">
        <v>3192</v>
      </c>
      <c r="BA1136" s="279" t="s">
        <v>3192</v>
      </c>
      <c r="BB1136" s="279" t="s">
        <v>3192</v>
      </c>
      <c r="BC1136" s="279"/>
      <c r="BD1136" s="279" t="s">
        <v>3192</v>
      </c>
      <c r="BE1136" s="276"/>
      <c r="BF1136" s="407">
        <f t="shared" si="93"/>
        <v>0.70612244897959187</v>
      </c>
      <c r="BG1136" s="407" t="s">
        <v>3192</v>
      </c>
    </row>
    <row r="1137" spans="1:59" ht="15" customHeight="1" thickBot="1" x14ac:dyDescent="0.25">
      <c r="A1137" s="156">
        <v>1138</v>
      </c>
      <c r="B1137" s="155">
        <v>1</v>
      </c>
      <c r="C1137" s="151" t="s">
        <v>596</v>
      </c>
      <c r="D1137" s="141" t="s">
        <v>2020</v>
      </c>
      <c r="I1137" s="165">
        <v>2012</v>
      </c>
      <c r="J1137" s="165" t="s">
        <v>3214</v>
      </c>
      <c r="L1137" s="165" t="s">
        <v>3219</v>
      </c>
      <c r="M1137" s="453" t="s">
        <v>4310</v>
      </c>
      <c r="AF1137" s="144" t="str">
        <f t="shared" si="94"/>
        <v/>
      </c>
      <c r="AG1137" s="144" t="str">
        <f t="shared" si="92"/>
        <v/>
      </c>
      <c r="AH1137" s="146">
        <f t="shared" si="89"/>
        <v>0.21632653061224491</v>
      </c>
      <c r="AI1137" s="146" t="str">
        <f t="shared" si="90"/>
        <v/>
      </c>
      <c r="AJ1137" s="313"/>
      <c r="AK1137" s="313"/>
      <c r="AL1137" s="313"/>
      <c r="AM1137" s="313"/>
      <c r="AN1137" s="313"/>
      <c r="AO1137" s="313"/>
      <c r="AP1137" s="313"/>
      <c r="AQ1137" s="313"/>
      <c r="AR1137" s="313"/>
      <c r="AS1137" s="287"/>
      <c r="AT1137" s="175"/>
      <c r="AV1137" s="322"/>
      <c r="AW1137" s="279">
        <v>0.21632653061224491</v>
      </c>
      <c r="AX1137" s="279"/>
      <c r="AY1137" s="279" t="s">
        <v>3192</v>
      </c>
      <c r="AZ1137" s="279" t="s">
        <v>3192</v>
      </c>
      <c r="BA1137" s="279" t="s">
        <v>3192</v>
      </c>
      <c r="BB1137" s="279" t="s">
        <v>3192</v>
      </c>
      <c r="BC1137" s="279"/>
      <c r="BD1137" s="279" t="s">
        <v>3192</v>
      </c>
      <c r="BE1137" s="276"/>
      <c r="BF1137" s="407">
        <f t="shared" si="93"/>
        <v>0.21632653061224491</v>
      </c>
      <c r="BG1137" s="407" t="s">
        <v>3192</v>
      </c>
    </row>
    <row r="1138" spans="1:59" ht="15" customHeight="1" thickBot="1" x14ac:dyDescent="0.25">
      <c r="A1138" s="156">
        <v>1139</v>
      </c>
      <c r="B1138" s="155">
        <v>1</v>
      </c>
      <c r="C1138" s="151" t="s">
        <v>596</v>
      </c>
      <c r="D1138" s="141" t="s">
        <v>2020</v>
      </c>
      <c r="I1138" s="165">
        <v>2012</v>
      </c>
      <c r="J1138" s="165" t="s">
        <v>3214</v>
      </c>
      <c r="L1138" s="165" t="s">
        <v>3219</v>
      </c>
      <c r="M1138" s="453" t="s">
        <v>4310</v>
      </c>
      <c r="AF1138" s="144" t="str">
        <f t="shared" si="94"/>
        <v/>
      </c>
      <c r="AG1138" s="144" t="str">
        <f t="shared" si="92"/>
        <v/>
      </c>
      <c r="AH1138" s="146">
        <f t="shared" si="89"/>
        <v>0.8666666666666667</v>
      </c>
      <c r="AI1138" s="146" t="str">
        <f t="shared" si="90"/>
        <v/>
      </c>
      <c r="AJ1138" s="313"/>
      <c r="AK1138" s="313"/>
      <c r="AL1138" s="313"/>
      <c r="AM1138" s="313"/>
      <c r="AN1138" s="313"/>
      <c r="AO1138" s="313"/>
      <c r="AP1138" s="313"/>
      <c r="AQ1138" s="313"/>
      <c r="AR1138" s="313"/>
      <c r="AS1138" s="287"/>
      <c r="AT1138" s="175"/>
      <c r="AV1138" s="322"/>
      <c r="AW1138" s="279">
        <v>0.8666666666666667</v>
      </c>
      <c r="AX1138" s="279"/>
      <c r="AY1138" s="279" t="s">
        <v>3192</v>
      </c>
      <c r="AZ1138" s="279" t="s">
        <v>3192</v>
      </c>
      <c r="BA1138" s="279" t="s">
        <v>3192</v>
      </c>
      <c r="BB1138" s="279" t="s">
        <v>3192</v>
      </c>
      <c r="BC1138" s="279"/>
      <c r="BD1138" s="279" t="s">
        <v>3192</v>
      </c>
      <c r="BE1138" s="276"/>
      <c r="BF1138" s="407">
        <f t="shared" si="93"/>
        <v>0.8666666666666667</v>
      </c>
      <c r="BG1138" s="407" t="s">
        <v>3192</v>
      </c>
    </row>
    <row r="1139" spans="1:59" ht="15" customHeight="1" thickBot="1" x14ac:dyDescent="0.25">
      <c r="A1139" s="156">
        <v>1140</v>
      </c>
      <c r="B1139" s="155">
        <v>1</v>
      </c>
      <c r="C1139" s="151" t="s">
        <v>596</v>
      </c>
      <c r="D1139" s="141" t="s">
        <v>2020</v>
      </c>
      <c r="I1139" s="165">
        <v>2012</v>
      </c>
      <c r="J1139" s="165" t="s">
        <v>3214</v>
      </c>
      <c r="L1139" s="165" t="s">
        <v>3219</v>
      </c>
      <c r="M1139" s="453" t="s">
        <v>4310</v>
      </c>
      <c r="AF1139" s="144" t="str">
        <f t="shared" si="94"/>
        <v/>
      </c>
      <c r="AG1139" s="144" t="str">
        <f t="shared" si="92"/>
        <v/>
      </c>
      <c r="AH1139" s="146">
        <f t="shared" si="89"/>
        <v>0.88163265306122462</v>
      </c>
      <c r="AI1139" s="146" t="str">
        <f t="shared" si="90"/>
        <v/>
      </c>
      <c r="AJ1139" s="313"/>
      <c r="AK1139" s="313"/>
      <c r="AL1139" s="313"/>
      <c r="AM1139" s="313"/>
      <c r="AN1139" s="313"/>
      <c r="AO1139" s="313"/>
      <c r="AP1139" s="313"/>
      <c r="AQ1139" s="313"/>
      <c r="AR1139" s="313"/>
      <c r="AS1139" s="287"/>
      <c r="AT1139" s="175"/>
      <c r="AV1139" s="322"/>
      <c r="AW1139" s="279">
        <v>0.88163265306122462</v>
      </c>
      <c r="AX1139" s="279"/>
      <c r="AY1139" s="279" t="s">
        <v>3192</v>
      </c>
      <c r="AZ1139" s="279" t="s">
        <v>3192</v>
      </c>
      <c r="BA1139" s="279" t="s">
        <v>3192</v>
      </c>
      <c r="BB1139" s="279" t="s">
        <v>3192</v>
      </c>
      <c r="BC1139" s="279"/>
      <c r="BD1139" s="279" t="s">
        <v>3192</v>
      </c>
      <c r="BE1139" s="276"/>
      <c r="BF1139" s="407">
        <f t="shared" si="93"/>
        <v>0.88163265306122462</v>
      </c>
      <c r="BG1139" s="407" t="s">
        <v>3192</v>
      </c>
    </row>
    <row r="1140" spans="1:59" ht="15" customHeight="1" thickBot="1" x14ac:dyDescent="0.25">
      <c r="A1140" s="156">
        <v>1141</v>
      </c>
      <c r="B1140" s="155">
        <v>1</v>
      </c>
      <c r="C1140" s="151" t="s">
        <v>596</v>
      </c>
      <c r="D1140" s="141" t="s">
        <v>2020</v>
      </c>
      <c r="I1140" s="165">
        <v>2012</v>
      </c>
      <c r="J1140" s="165" t="s">
        <v>3214</v>
      </c>
      <c r="L1140" s="165" t="s">
        <v>3219</v>
      </c>
      <c r="M1140" s="453" t="s">
        <v>4310</v>
      </c>
      <c r="AF1140" s="144" t="str">
        <f t="shared" si="94"/>
        <v/>
      </c>
      <c r="AG1140" s="144" t="str">
        <f t="shared" si="92"/>
        <v/>
      </c>
      <c r="AH1140" s="146">
        <f t="shared" si="89"/>
        <v>1.2435374149659866</v>
      </c>
      <c r="AI1140" s="146" t="str">
        <f t="shared" si="90"/>
        <v/>
      </c>
      <c r="AJ1140" s="313"/>
      <c r="AK1140" s="313"/>
      <c r="AL1140" s="313"/>
      <c r="AM1140" s="313"/>
      <c r="AN1140" s="313"/>
      <c r="AO1140" s="313"/>
      <c r="AP1140" s="313"/>
      <c r="AQ1140" s="313"/>
      <c r="AR1140" s="313"/>
      <c r="AS1140" s="287"/>
      <c r="AT1140" s="175"/>
      <c r="AV1140" s="322"/>
      <c r="AW1140" s="279">
        <v>1.2435374149659866</v>
      </c>
      <c r="AX1140" s="279"/>
      <c r="AY1140" s="279" t="s">
        <v>3192</v>
      </c>
      <c r="AZ1140" s="279" t="s">
        <v>3192</v>
      </c>
      <c r="BA1140" s="279" t="s">
        <v>3192</v>
      </c>
      <c r="BB1140" s="279" t="s">
        <v>3192</v>
      </c>
      <c r="BC1140" s="279"/>
      <c r="BD1140" s="279" t="s">
        <v>3192</v>
      </c>
      <c r="BE1140" s="276"/>
      <c r="BF1140" s="407">
        <f t="shared" si="93"/>
        <v>1.2435374149659866</v>
      </c>
      <c r="BG1140" s="407" t="s">
        <v>3192</v>
      </c>
    </row>
    <row r="1141" spans="1:59" ht="15" customHeight="1" thickBot="1" x14ac:dyDescent="0.25">
      <c r="A1141" s="156">
        <v>1142</v>
      </c>
      <c r="B1141" s="155">
        <v>1</v>
      </c>
      <c r="C1141" s="151" t="s">
        <v>596</v>
      </c>
      <c r="D1141" s="141" t="s">
        <v>2020</v>
      </c>
      <c r="I1141" s="165">
        <v>2012</v>
      </c>
      <c r="J1141" s="165" t="s">
        <v>3214</v>
      </c>
      <c r="L1141" s="165" t="s">
        <v>3219</v>
      </c>
      <c r="M1141" s="453" t="s">
        <v>4310</v>
      </c>
      <c r="AF1141" s="144" t="str">
        <f t="shared" si="94"/>
        <v/>
      </c>
      <c r="AG1141" s="144" t="str">
        <f t="shared" si="92"/>
        <v/>
      </c>
      <c r="AH1141" s="146">
        <f t="shared" si="89"/>
        <v>0.71292517006802725</v>
      </c>
      <c r="AI1141" s="146" t="str">
        <f t="shared" si="90"/>
        <v/>
      </c>
      <c r="AJ1141" s="313"/>
      <c r="AK1141" s="313"/>
      <c r="AL1141" s="313"/>
      <c r="AM1141" s="313"/>
      <c r="AN1141" s="313"/>
      <c r="AO1141" s="313"/>
      <c r="AP1141" s="313"/>
      <c r="AQ1141" s="313"/>
      <c r="AR1141" s="313"/>
      <c r="AS1141" s="287"/>
      <c r="AT1141" s="175"/>
      <c r="AV1141" s="322"/>
      <c r="AW1141" s="279">
        <v>0.71292517006802725</v>
      </c>
      <c r="AX1141" s="279"/>
      <c r="AY1141" s="279" t="s">
        <v>3192</v>
      </c>
      <c r="AZ1141" s="279" t="s">
        <v>3192</v>
      </c>
      <c r="BA1141" s="279" t="s">
        <v>3192</v>
      </c>
      <c r="BB1141" s="279" t="s">
        <v>3192</v>
      </c>
      <c r="BC1141" s="279"/>
      <c r="BD1141" s="279" t="s">
        <v>3192</v>
      </c>
      <c r="BE1141" s="276"/>
      <c r="BF1141" s="407">
        <f t="shared" si="93"/>
        <v>0.71292517006802725</v>
      </c>
      <c r="BG1141" s="407" t="s">
        <v>3192</v>
      </c>
    </row>
    <row r="1142" spans="1:59" ht="15" customHeight="1" thickBot="1" x14ac:dyDescent="0.25">
      <c r="A1142" s="156">
        <v>1143</v>
      </c>
      <c r="B1142" s="155">
        <v>1</v>
      </c>
      <c r="C1142" s="151" t="s">
        <v>596</v>
      </c>
      <c r="D1142" s="141" t="s">
        <v>2020</v>
      </c>
      <c r="I1142" s="165">
        <v>2012</v>
      </c>
      <c r="J1142" s="165" t="s">
        <v>3214</v>
      </c>
      <c r="L1142" s="165" t="s">
        <v>3219</v>
      </c>
      <c r="M1142" s="453" t="s">
        <v>4310</v>
      </c>
      <c r="AF1142" s="144" t="str">
        <f t="shared" si="94"/>
        <v/>
      </c>
      <c r="AG1142" s="144" t="str">
        <f t="shared" si="92"/>
        <v/>
      </c>
      <c r="AH1142" s="146">
        <f t="shared" si="89"/>
        <v>0.31972789115646261</v>
      </c>
      <c r="AI1142" s="146" t="str">
        <f t="shared" si="90"/>
        <v/>
      </c>
      <c r="AJ1142" s="313"/>
      <c r="AK1142" s="313"/>
      <c r="AL1142" s="313"/>
      <c r="AM1142" s="313"/>
      <c r="AN1142" s="313"/>
      <c r="AO1142" s="313"/>
      <c r="AP1142" s="313"/>
      <c r="AQ1142" s="313"/>
      <c r="AR1142" s="313"/>
      <c r="AS1142" s="287"/>
      <c r="AT1142" s="175"/>
      <c r="AV1142" s="322"/>
      <c r="AW1142" s="279">
        <v>0.31972789115646261</v>
      </c>
      <c r="AX1142" s="279"/>
      <c r="AY1142" s="279" t="s">
        <v>3192</v>
      </c>
      <c r="AZ1142" s="279" t="s">
        <v>3192</v>
      </c>
      <c r="BA1142" s="279" t="s">
        <v>3192</v>
      </c>
      <c r="BB1142" s="279" t="s">
        <v>3192</v>
      </c>
      <c r="BC1142" s="279"/>
      <c r="BD1142" s="279" t="s">
        <v>3192</v>
      </c>
      <c r="BE1142" s="276"/>
      <c r="BF1142" s="407">
        <f t="shared" si="93"/>
        <v>0.31972789115646261</v>
      </c>
      <c r="BG1142" s="407" t="s">
        <v>3192</v>
      </c>
    </row>
    <row r="1143" spans="1:59" ht="15" customHeight="1" thickBot="1" x14ac:dyDescent="0.25">
      <c r="A1143" s="156">
        <v>1144</v>
      </c>
      <c r="B1143" s="155">
        <v>1</v>
      </c>
      <c r="C1143" s="151" t="s">
        <v>596</v>
      </c>
      <c r="D1143" s="141" t="s">
        <v>2020</v>
      </c>
      <c r="I1143" s="165">
        <v>2012</v>
      </c>
      <c r="J1143" s="165" t="s">
        <v>3214</v>
      </c>
      <c r="L1143" s="165" t="s">
        <v>3219</v>
      </c>
      <c r="M1143" s="453" t="s">
        <v>4310</v>
      </c>
      <c r="AF1143" s="144" t="str">
        <f t="shared" si="94"/>
        <v/>
      </c>
      <c r="AG1143" s="144" t="str">
        <f t="shared" si="92"/>
        <v/>
      </c>
      <c r="AH1143" s="146">
        <f t="shared" si="89"/>
        <v>0.34829931972789119</v>
      </c>
      <c r="AI1143" s="146" t="str">
        <f t="shared" si="90"/>
        <v/>
      </c>
      <c r="AJ1143" s="313"/>
      <c r="AK1143" s="313"/>
      <c r="AL1143" s="313"/>
      <c r="AM1143" s="313"/>
      <c r="AN1143" s="313"/>
      <c r="AO1143" s="313"/>
      <c r="AP1143" s="313"/>
      <c r="AQ1143" s="313"/>
      <c r="AR1143" s="313"/>
      <c r="AS1143" s="287"/>
      <c r="AT1143" s="175"/>
      <c r="AV1143" s="322"/>
      <c r="AW1143" s="279">
        <v>0.34829931972789119</v>
      </c>
      <c r="AX1143" s="279"/>
      <c r="AY1143" s="279" t="s">
        <v>3192</v>
      </c>
      <c r="AZ1143" s="279" t="s">
        <v>3192</v>
      </c>
      <c r="BA1143" s="279" t="s">
        <v>3192</v>
      </c>
      <c r="BB1143" s="279" t="s">
        <v>3192</v>
      </c>
      <c r="BC1143" s="279"/>
      <c r="BD1143" s="279" t="s">
        <v>3192</v>
      </c>
      <c r="BE1143" s="276"/>
      <c r="BF1143" s="407">
        <f t="shared" si="93"/>
        <v>0.34829931972789119</v>
      </c>
      <c r="BG1143" s="407" t="s">
        <v>3192</v>
      </c>
    </row>
    <row r="1144" spans="1:59" ht="15" customHeight="1" thickBot="1" x14ac:dyDescent="0.25">
      <c r="A1144" s="156">
        <v>1145</v>
      </c>
      <c r="B1144" s="155">
        <v>1</v>
      </c>
      <c r="C1144" s="151" t="s">
        <v>596</v>
      </c>
      <c r="D1144" s="141" t="s">
        <v>2020</v>
      </c>
      <c r="I1144" s="165">
        <v>2012</v>
      </c>
      <c r="J1144" s="165" t="s">
        <v>3214</v>
      </c>
      <c r="L1144" s="165" t="s">
        <v>3219</v>
      </c>
      <c r="M1144" s="453" t="s">
        <v>4310</v>
      </c>
      <c r="AF1144" s="144" t="str">
        <f t="shared" si="94"/>
        <v/>
      </c>
      <c r="AG1144" s="144" t="str">
        <f t="shared" si="92"/>
        <v/>
      </c>
      <c r="AH1144" s="146">
        <f t="shared" si="89"/>
        <v>0.46258503401360546</v>
      </c>
      <c r="AI1144" s="146" t="str">
        <f t="shared" si="90"/>
        <v/>
      </c>
      <c r="AJ1144" s="313"/>
      <c r="AK1144" s="313"/>
      <c r="AL1144" s="313"/>
      <c r="AM1144" s="313"/>
      <c r="AN1144" s="313"/>
      <c r="AO1144" s="313"/>
      <c r="AP1144" s="313"/>
      <c r="AQ1144" s="313"/>
      <c r="AR1144" s="313"/>
      <c r="AS1144" s="287"/>
      <c r="AT1144" s="175"/>
      <c r="AV1144" s="322"/>
      <c r="AW1144" s="279">
        <v>0.46258503401360546</v>
      </c>
      <c r="AX1144" s="279"/>
      <c r="AY1144" s="279" t="s">
        <v>3192</v>
      </c>
      <c r="AZ1144" s="279" t="s">
        <v>3192</v>
      </c>
      <c r="BA1144" s="279" t="s">
        <v>3192</v>
      </c>
      <c r="BB1144" s="279" t="s">
        <v>3192</v>
      </c>
      <c r="BC1144" s="279"/>
      <c r="BD1144" s="279" t="s">
        <v>3192</v>
      </c>
      <c r="BE1144" s="276"/>
      <c r="BF1144" s="407">
        <f t="shared" si="93"/>
        <v>0.46258503401360546</v>
      </c>
      <c r="BG1144" s="407" t="s">
        <v>3192</v>
      </c>
    </row>
    <row r="1145" spans="1:59" ht="15" customHeight="1" thickBot="1" x14ac:dyDescent="0.25">
      <c r="A1145" s="156">
        <v>1146</v>
      </c>
      <c r="B1145" s="155">
        <v>1</v>
      </c>
      <c r="C1145" s="151" t="s">
        <v>596</v>
      </c>
      <c r="D1145" s="141" t="s">
        <v>2020</v>
      </c>
      <c r="I1145" s="165">
        <v>2012</v>
      </c>
      <c r="J1145" s="165" t="s">
        <v>3214</v>
      </c>
      <c r="L1145" s="165" t="s">
        <v>3219</v>
      </c>
      <c r="M1145" s="453" t="s">
        <v>4310</v>
      </c>
      <c r="AF1145" s="144" t="str">
        <f t="shared" si="94"/>
        <v/>
      </c>
      <c r="AG1145" s="144" t="str">
        <f t="shared" si="92"/>
        <v/>
      </c>
      <c r="AH1145" s="146">
        <f t="shared" si="89"/>
        <v>0.70884353741496609</v>
      </c>
      <c r="AI1145" s="146" t="str">
        <f t="shared" si="90"/>
        <v/>
      </c>
      <c r="AJ1145" s="313"/>
      <c r="AK1145" s="313"/>
      <c r="AL1145" s="313"/>
      <c r="AM1145" s="313"/>
      <c r="AN1145" s="313"/>
      <c r="AO1145" s="313"/>
      <c r="AP1145" s="313"/>
      <c r="AQ1145" s="313"/>
      <c r="AR1145" s="313"/>
      <c r="AS1145" s="287"/>
      <c r="AT1145" s="175"/>
      <c r="AV1145" s="322"/>
      <c r="AW1145" s="279">
        <v>0.70884353741496609</v>
      </c>
      <c r="AX1145" s="279"/>
      <c r="AY1145" s="279" t="s">
        <v>3192</v>
      </c>
      <c r="AZ1145" s="279" t="s">
        <v>3192</v>
      </c>
      <c r="BA1145" s="279" t="s">
        <v>3192</v>
      </c>
      <c r="BB1145" s="279" t="s">
        <v>3192</v>
      </c>
      <c r="BC1145" s="279"/>
      <c r="BD1145" s="279" t="s">
        <v>3192</v>
      </c>
      <c r="BE1145" s="276"/>
      <c r="BF1145" s="407">
        <f t="shared" si="93"/>
        <v>0.70884353741496609</v>
      </c>
      <c r="BG1145" s="407" t="s">
        <v>3192</v>
      </c>
    </row>
    <row r="1146" spans="1:59" ht="15" customHeight="1" thickBot="1" x14ac:dyDescent="0.25">
      <c r="A1146" s="156">
        <v>1147</v>
      </c>
      <c r="B1146" s="155">
        <v>1</v>
      </c>
      <c r="C1146" s="151" t="s">
        <v>596</v>
      </c>
      <c r="D1146" s="141" t="s">
        <v>2020</v>
      </c>
      <c r="I1146" s="165">
        <v>2012</v>
      </c>
      <c r="J1146" s="165" t="s">
        <v>3214</v>
      </c>
      <c r="L1146" s="165" t="s">
        <v>3219</v>
      </c>
      <c r="M1146" s="453" t="s">
        <v>4310</v>
      </c>
      <c r="AF1146" s="144" t="str">
        <f t="shared" si="94"/>
        <v/>
      </c>
      <c r="AG1146" s="144" t="str">
        <f t="shared" si="92"/>
        <v/>
      </c>
      <c r="AH1146" s="146">
        <f t="shared" si="89"/>
        <v>0.3836734693877551</v>
      </c>
      <c r="AI1146" s="146" t="str">
        <f t="shared" si="90"/>
        <v/>
      </c>
      <c r="AJ1146" s="313"/>
      <c r="AK1146" s="313"/>
      <c r="AL1146" s="313"/>
      <c r="AM1146" s="313"/>
      <c r="AN1146" s="313"/>
      <c r="AO1146" s="313"/>
      <c r="AP1146" s="313"/>
      <c r="AQ1146" s="313"/>
      <c r="AR1146" s="313"/>
      <c r="AS1146" s="287"/>
      <c r="AT1146" s="175"/>
      <c r="AV1146" s="322"/>
      <c r="AW1146" s="279">
        <v>0.3836734693877551</v>
      </c>
      <c r="AX1146" s="279"/>
      <c r="AY1146" s="279" t="s">
        <v>3192</v>
      </c>
      <c r="AZ1146" s="279" t="s">
        <v>3192</v>
      </c>
      <c r="BA1146" s="279" t="s">
        <v>3192</v>
      </c>
      <c r="BB1146" s="279" t="s">
        <v>3192</v>
      </c>
      <c r="BC1146" s="279"/>
      <c r="BD1146" s="279" t="s">
        <v>3192</v>
      </c>
      <c r="BE1146" s="276"/>
      <c r="BF1146" s="407">
        <f t="shared" si="93"/>
        <v>0.3836734693877551</v>
      </c>
      <c r="BG1146" s="407" t="s">
        <v>3192</v>
      </c>
    </row>
    <row r="1147" spans="1:59" ht="15" customHeight="1" thickBot="1" x14ac:dyDescent="0.25">
      <c r="A1147" s="156">
        <v>1148</v>
      </c>
      <c r="B1147" s="155">
        <v>1</v>
      </c>
      <c r="C1147" s="151" t="s">
        <v>596</v>
      </c>
      <c r="D1147" s="141" t="s">
        <v>2020</v>
      </c>
      <c r="I1147" s="165">
        <v>2012</v>
      </c>
      <c r="J1147" s="165" t="s">
        <v>3214</v>
      </c>
      <c r="L1147" s="165" t="s">
        <v>3219</v>
      </c>
      <c r="M1147" s="453" t="s">
        <v>4310</v>
      </c>
      <c r="AF1147" s="144" t="str">
        <f t="shared" si="94"/>
        <v/>
      </c>
      <c r="AG1147" s="144" t="str">
        <f t="shared" si="92"/>
        <v/>
      </c>
      <c r="AH1147" s="146">
        <f t="shared" si="89"/>
        <v>0.48163265306122449</v>
      </c>
      <c r="AI1147" s="146" t="str">
        <f t="shared" si="90"/>
        <v/>
      </c>
      <c r="AJ1147" s="313"/>
      <c r="AK1147" s="313"/>
      <c r="AL1147" s="313"/>
      <c r="AM1147" s="313"/>
      <c r="AN1147" s="313"/>
      <c r="AO1147" s="313"/>
      <c r="AP1147" s="313"/>
      <c r="AQ1147" s="313"/>
      <c r="AR1147" s="313"/>
      <c r="AS1147" s="287"/>
      <c r="AT1147" s="175"/>
      <c r="AV1147" s="322"/>
      <c r="AW1147" s="279">
        <v>0.48163265306122449</v>
      </c>
      <c r="AX1147" s="279"/>
      <c r="AY1147" s="279" t="s">
        <v>3192</v>
      </c>
      <c r="AZ1147" s="279" t="s">
        <v>3192</v>
      </c>
      <c r="BA1147" s="279" t="s">
        <v>3192</v>
      </c>
      <c r="BB1147" s="279" t="s">
        <v>3192</v>
      </c>
      <c r="BC1147" s="279"/>
      <c r="BD1147" s="279" t="s">
        <v>3192</v>
      </c>
      <c r="BE1147" s="276"/>
      <c r="BF1147" s="407">
        <f t="shared" si="93"/>
        <v>0.48163265306122449</v>
      </c>
      <c r="BG1147" s="407" t="s">
        <v>3192</v>
      </c>
    </row>
    <row r="1148" spans="1:59" ht="15" customHeight="1" thickBot="1" x14ac:dyDescent="0.25">
      <c r="A1148" s="156">
        <v>1149</v>
      </c>
      <c r="B1148" s="155">
        <v>1</v>
      </c>
      <c r="C1148" s="151" t="s">
        <v>596</v>
      </c>
      <c r="D1148" s="141" t="s">
        <v>2020</v>
      </c>
      <c r="I1148" s="165">
        <v>2012</v>
      </c>
      <c r="J1148" s="165" t="s">
        <v>3214</v>
      </c>
      <c r="L1148" s="165" t="s">
        <v>3219</v>
      </c>
      <c r="M1148" s="453" t="s">
        <v>4310</v>
      </c>
      <c r="AF1148" s="144" t="str">
        <f t="shared" si="94"/>
        <v/>
      </c>
      <c r="AG1148" s="144" t="str">
        <f t="shared" si="92"/>
        <v/>
      </c>
      <c r="AH1148" s="146">
        <f t="shared" si="89"/>
        <v>0.44761904761904764</v>
      </c>
      <c r="AI1148" s="146" t="str">
        <f t="shared" si="90"/>
        <v/>
      </c>
      <c r="AJ1148" s="313"/>
      <c r="AK1148" s="313"/>
      <c r="AL1148" s="313"/>
      <c r="AM1148" s="313"/>
      <c r="AN1148" s="313"/>
      <c r="AO1148" s="313"/>
      <c r="AP1148" s="313"/>
      <c r="AQ1148" s="313"/>
      <c r="AR1148" s="313"/>
      <c r="AS1148" s="287"/>
      <c r="AT1148" s="175"/>
      <c r="AV1148" s="322"/>
      <c r="AW1148" s="279">
        <v>0.44761904761904764</v>
      </c>
      <c r="AX1148" s="279"/>
      <c r="AY1148" s="279" t="s">
        <v>3192</v>
      </c>
      <c r="AZ1148" s="279" t="s">
        <v>3192</v>
      </c>
      <c r="BA1148" s="279" t="s">
        <v>3192</v>
      </c>
      <c r="BB1148" s="279" t="s">
        <v>3192</v>
      </c>
      <c r="BC1148" s="279"/>
      <c r="BD1148" s="279" t="s">
        <v>3192</v>
      </c>
      <c r="BE1148" s="276"/>
      <c r="BF1148" s="407">
        <f t="shared" si="93"/>
        <v>0.44761904761904764</v>
      </c>
      <c r="BG1148" s="407" t="s">
        <v>3192</v>
      </c>
    </row>
    <row r="1149" spans="1:59" ht="15" customHeight="1" thickBot="1" x14ac:dyDescent="0.25">
      <c r="A1149" s="156">
        <v>1150</v>
      </c>
      <c r="B1149" s="155">
        <v>1</v>
      </c>
      <c r="C1149" s="151" t="s">
        <v>596</v>
      </c>
      <c r="D1149" s="141" t="s">
        <v>2020</v>
      </c>
      <c r="I1149" s="165">
        <v>2012</v>
      </c>
      <c r="J1149" s="165" t="s">
        <v>3214</v>
      </c>
      <c r="L1149" s="165" t="s">
        <v>3219</v>
      </c>
      <c r="M1149" s="453" t="s">
        <v>4310</v>
      </c>
      <c r="AF1149" s="144" t="str">
        <f t="shared" si="94"/>
        <v/>
      </c>
      <c r="AG1149" s="144" t="str">
        <f t="shared" si="92"/>
        <v/>
      </c>
      <c r="AH1149" s="146">
        <f t="shared" si="89"/>
        <v>0.26122448979591834</v>
      </c>
      <c r="AI1149" s="146" t="str">
        <f t="shared" si="90"/>
        <v/>
      </c>
      <c r="AJ1149" s="313"/>
      <c r="AK1149" s="313"/>
      <c r="AL1149" s="313"/>
      <c r="AM1149" s="313"/>
      <c r="AN1149" s="313"/>
      <c r="AO1149" s="313"/>
      <c r="AP1149" s="313"/>
      <c r="AQ1149" s="313"/>
      <c r="AR1149" s="313"/>
      <c r="AS1149" s="287"/>
      <c r="AT1149" s="175"/>
      <c r="AV1149" s="322"/>
      <c r="AW1149" s="279">
        <v>0.26122448979591834</v>
      </c>
      <c r="AX1149" s="279"/>
      <c r="AY1149" s="279" t="s">
        <v>3192</v>
      </c>
      <c r="AZ1149" s="279" t="s">
        <v>3192</v>
      </c>
      <c r="BA1149" s="279" t="s">
        <v>3192</v>
      </c>
      <c r="BB1149" s="279" t="s">
        <v>3192</v>
      </c>
      <c r="BC1149" s="279"/>
      <c r="BD1149" s="279" t="s">
        <v>3192</v>
      </c>
      <c r="BE1149" s="276"/>
      <c r="BF1149" s="407">
        <f t="shared" si="93"/>
        <v>0.26122448979591834</v>
      </c>
      <c r="BG1149" s="407" t="s">
        <v>3192</v>
      </c>
    </row>
    <row r="1150" spans="1:59" ht="15" customHeight="1" thickBot="1" x14ac:dyDescent="0.25">
      <c r="A1150" s="156">
        <v>1151</v>
      </c>
      <c r="B1150" s="155">
        <v>1</v>
      </c>
      <c r="C1150" s="151" t="s">
        <v>596</v>
      </c>
      <c r="D1150" s="141" t="s">
        <v>2020</v>
      </c>
      <c r="I1150" s="165">
        <v>2012</v>
      </c>
      <c r="J1150" s="165" t="s">
        <v>3214</v>
      </c>
      <c r="L1150" s="165" t="s">
        <v>3219</v>
      </c>
      <c r="M1150" s="453" t="s">
        <v>4310</v>
      </c>
      <c r="AF1150" s="144" t="str">
        <f t="shared" si="94"/>
        <v/>
      </c>
      <c r="AG1150" s="144" t="str">
        <f t="shared" si="92"/>
        <v/>
      </c>
      <c r="AH1150" s="146">
        <f t="shared" si="89"/>
        <v>0.417687074829932</v>
      </c>
      <c r="AI1150" s="146" t="str">
        <f t="shared" si="90"/>
        <v/>
      </c>
      <c r="AJ1150" s="313"/>
      <c r="AK1150" s="313"/>
      <c r="AL1150" s="313"/>
      <c r="AM1150" s="313"/>
      <c r="AN1150" s="313"/>
      <c r="AO1150" s="313"/>
      <c r="AP1150" s="313"/>
      <c r="AQ1150" s="313"/>
      <c r="AR1150" s="313"/>
      <c r="AS1150" s="287"/>
      <c r="AT1150" s="175"/>
      <c r="AV1150" s="322"/>
      <c r="AW1150" s="279">
        <v>0.417687074829932</v>
      </c>
      <c r="AX1150" s="279"/>
      <c r="AY1150" s="279" t="s">
        <v>3192</v>
      </c>
      <c r="AZ1150" s="279" t="s">
        <v>3192</v>
      </c>
      <c r="BA1150" s="279" t="s">
        <v>3192</v>
      </c>
      <c r="BB1150" s="279" t="s">
        <v>3192</v>
      </c>
      <c r="BC1150" s="279"/>
      <c r="BD1150" s="279" t="s">
        <v>3192</v>
      </c>
      <c r="BE1150" s="276"/>
      <c r="BF1150" s="407">
        <f t="shared" si="93"/>
        <v>0.417687074829932</v>
      </c>
      <c r="BG1150" s="407" t="s">
        <v>3192</v>
      </c>
    </row>
    <row r="1151" spans="1:59" ht="15" customHeight="1" thickBot="1" x14ac:dyDescent="0.25">
      <c r="A1151" s="156">
        <v>1152</v>
      </c>
      <c r="B1151" s="155">
        <v>1</v>
      </c>
      <c r="C1151" s="151" t="s">
        <v>596</v>
      </c>
      <c r="D1151" s="141" t="s">
        <v>2020</v>
      </c>
      <c r="I1151" s="165">
        <v>2012</v>
      </c>
      <c r="J1151" s="165" t="s">
        <v>3214</v>
      </c>
      <c r="L1151" s="165" t="s">
        <v>3219</v>
      </c>
      <c r="M1151" s="453" t="s">
        <v>4310</v>
      </c>
      <c r="AF1151" s="144" t="str">
        <f t="shared" si="94"/>
        <v/>
      </c>
      <c r="AG1151" s="144" t="str">
        <f t="shared" si="92"/>
        <v/>
      </c>
      <c r="AH1151" s="146">
        <f t="shared" si="89"/>
        <v>0.53469387755102049</v>
      </c>
      <c r="AI1151" s="146" t="str">
        <f t="shared" si="90"/>
        <v/>
      </c>
      <c r="AJ1151" s="313"/>
      <c r="AK1151" s="313"/>
      <c r="AL1151" s="313"/>
      <c r="AM1151" s="313"/>
      <c r="AN1151" s="313"/>
      <c r="AO1151" s="313"/>
      <c r="AP1151" s="313"/>
      <c r="AQ1151" s="313"/>
      <c r="AR1151" s="313"/>
      <c r="AS1151" s="287"/>
      <c r="AT1151" s="175"/>
      <c r="AV1151" s="322"/>
      <c r="AW1151" s="279">
        <v>0.53469387755102049</v>
      </c>
      <c r="AX1151" s="279"/>
      <c r="AY1151" s="279" t="s">
        <v>3192</v>
      </c>
      <c r="AZ1151" s="279" t="s">
        <v>3192</v>
      </c>
      <c r="BA1151" s="279" t="s">
        <v>3192</v>
      </c>
      <c r="BB1151" s="279" t="s">
        <v>3192</v>
      </c>
      <c r="BC1151" s="279"/>
      <c r="BD1151" s="279" t="s">
        <v>3192</v>
      </c>
      <c r="BE1151" s="276"/>
      <c r="BF1151" s="407">
        <f t="shared" si="93"/>
        <v>0.53469387755102049</v>
      </c>
      <c r="BG1151" s="407" t="s">
        <v>3192</v>
      </c>
    </row>
    <row r="1152" spans="1:59" ht="15" customHeight="1" thickBot="1" x14ac:dyDescent="0.25">
      <c r="A1152" s="156">
        <v>1153</v>
      </c>
      <c r="B1152" s="155">
        <v>1</v>
      </c>
      <c r="C1152" s="151" t="s">
        <v>596</v>
      </c>
      <c r="D1152" s="141" t="s">
        <v>2020</v>
      </c>
      <c r="I1152" s="165">
        <v>2012</v>
      </c>
      <c r="J1152" s="165" t="s">
        <v>3214</v>
      </c>
      <c r="L1152" s="165" t="s">
        <v>3219</v>
      </c>
      <c r="M1152" s="453" t="s">
        <v>4310</v>
      </c>
      <c r="AF1152" s="144" t="str">
        <f t="shared" si="94"/>
        <v/>
      </c>
      <c r="AG1152" s="144" t="str">
        <f t="shared" si="92"/>
        <v/>
      </c>
      <c r="AH1152" s="146">
        <f t="shared" si="89"/>
        <v>0.40272108843537413</v>
      </c>
      <c r="AI1152" s="146" t="str">
        <f t="shared" si="90"/>
        <v/>
      </c>
      <c r="AJ1152" s="313"/>
      <c r="AK1152" s="313"/>
      <c r="AL1152" s="313"/>
      <c r="AM1152" s="313"/>
      <c r="AN1152" s="313"/>
      <c r="AO1152" s="313"/>
      <c r="AP1152" s="313"/>
      <c r="AQ1152" s="313"/>
      <c r="AR1152" s="313"/>
      <c r="AS1152" s="287"/>
      <c r="AT1152" s="175"/>
      <c r="AV1152" s="322"/>
      <c r="AW1152" s="279">
        <v>0.40272108843537413</v>
      </c>
      <c r="AX1152" s="279"/>
      <c r="AY1152" s="279" t="s">
        <v>3192</v>
      </c>
      <c r="AZ1152" s="279" t="s">
        <v>3192</v>
      </c>
      <c r="BA1152" s="279" t="s">
        <v>3192</v>
      </c>
      <c r="BB1152" s="279" t="s">
        <v>3192</v>
      </c>
      <c r="BC1152" s="279"/>
      <c r="BD1152" s="279" t="s">
        <v>3192</v>
      </c>
      <c r="BE1152" s="276"/>
      <c r="BF1152" s="407">
        <f t="shared" si="93"/>
        <v>0.40272108843537413</v>
      </c>
      <c r="BG1152" s="407" t="s">
        <v>3192</v>
      </c>
    </row>
    <row r="1153" spans="1:59" ht="15" customHeight="1" thickBot="1" x14ac:dyDescent="0.25">
      <c r="A1153" s="156">
        <v>1154</v>
      </c>
      <c r="B1153" s="155">
        <v>1</v>
      </c>
      <c r="C1153" s="151" t="s">
        <v>596</v>
      </c>
      <c r="D1153" s="141" t="s">
        <v>2020</v>
      </c>
      <c r="I1153" s="165">
        <v>2013</v>
      </c>
      <c r="J1153" s="165" t="s">
        <v>3215</v>
      </c>
      <c r="L1153" s="165" t="s">
        <v>3219</v>
      </c>
      <c r="M1153" s="453" t="s">
        <v>4310</v>
      </c>
      <c r="AF1153" s="144" t="str">
        <f t="shared" si="94"/>
        <v/>
      </c>
      <c r="AG1153" s="144" t="str">
        <f t="shared" si="92"/>
        <v/>
      </c>
      <c r="AH1153" s="146" t="str">
        <f t="shared" si="89"/>
        <v/>
      </c>
      <c r="AI1153" s="146">
        <f t="shared" si="90"/>
        <v>0.44217687074829937</v>
      </c>
      <c r="AJ1153" s="313"/>
      <c r="AK1153" s="313"/>
      <c r="AL1153" s="313"/>
      <c r="AM1153" s="313"/>
      <c r="AN1153" s="313"/>
      <c r="AO1153" s="313"/>
      <c r="AP1153" s="313"/>
      <c r="AQ1153" s="313"/>
      <c r="AR1153" s="313"/>
      <c r="AS1153" s="287"/>
      <c r="AT1153" s="175"/>
      <c r="AV1153" s="322"/>
      <c r="AW1153" s="279" t="s">
        <v>3192</v>
      </c>
      <c r="AX1153" s="279"/>
      <c r="AY1153" s="279">
        <v>0.44217687074829937</v>
      </c>
      <c r="AZ1153" s="279">
        <v>0.23401360544217684</v>
      </c>
      <c r="BA1153" s="279" t="s">
        <v>3192</v>
      </c>
      <c r="BB1153" s="279" t="s">
        <v>3192</v>
      </c>
      <c r="BC1153" s="279"/>
      <c r="BD1153" s="279" t="s">
        <v>3192</v>
      </c>
      <c r="BE1153" s="276"/>
      <c r="BF1153" s="407" t="str">
        <f t="shared" si="93"/>
        <v/>
      </c>
      <c r="BG1153" s="407">
        <v>0.67619047619047612</v>
      </c>
    </row>
    <row r="1154" spans="1:59" ht="15" customHeight="1" thickBot="1" x14ac:dyDescent="0.25">
      <c r="A1154" s="156">
        <v>1155</v>
      </c>
      <c r="B1154" s="155">
        <v>1</v>
      </c>
      <c r="C1154" s="151" t="s">
        <v>596</v>
      </c>
      <c r="D1154" s="141" t="s">
        <v>2020</v>
      </c>
      <c r="I1154" s="165">
        <v>2013</v>
      </c>
      <c r="J1154" s="165" t="s">
        <v>3215</v>
      </c>
      <c r="L1154" s="165" t="s">
        <v>3219</v>
      </c>
      <c r="M1154" s="453" t="s">
        <v>4310</v>
      </c>
      <c r="AF1154" s="144" t="str">
        <f t="shared" si="94"/>
        <v/>
      </c>
      <c r="AG1154" s="144" t="str">
        <f t="shared" si="92"/>
        <v/>
      </c>
      <c r="AH1154" s="146" t="str">
        <f t="shared" ref="AH1154:AH1217" si="95">IF(BF1154&lt;&gt;0,BF1154,"")</f>
        <v/>
      </c>
      <c r="AI1154" s="146">
        <f t="shared" ref="AI1154:AI1217" si="96">IF(AND(SUM(AW1154:AY1154)&lt;&gt;0,SUM(AW1154:AY1154)&lt;&gt;AW1154),SUM(AW1154:AY1154),"")</f>
        <v>1.5782312925170066</v>
      </c>
      <c r="AJ1154" s="313"/>
      <c r="AK1154" s="313"/>
      <c r="AL1154" s="313"/>
      <c r="AM1154" s="313"/>
      <c r="AN1154" s="313"/>
      <c r="AO1154" s="313"/>
      <c r="AP1154" s="313"/>
      <c r="AQ1154" s="313"/>
      <c r="AR1154" s="313"/>
      <c r="AS1154" s="287"/>
      <c r="AT1154" s="175"/>
      <c r="AV1154" s="322"/>
      <c r="AW1154" s="279" t="s">
        <v>3192</v>
      </c>
      <c r="AX1154" s="279"/>
      <c r="AY1154" s="279">
        <v>1.5782312925170066</v>
      </c>
      <c r="AZ1154" s="279">
        <v>0.23401360544217684</v>
      </c>
      <c r="BA1154" s="279" t="s">
        <v>3192</v>
      </c>
      <c r="BB1154" s="279" t="s">
        <v>3192</v>
      </c>
      <c r="BC1154" s="279"/>
      <c r="BD1154" s="279" t="s">
        <v>3192</v>
      </c>
      <c r="BE1154" s="276"/>
      <c r="BF1154" s="407" t="str">
        <f t="shared" si="93"/>
        <v/>
      </c>
      <c r="BG1154" s="407">
        <v>1.8122448979591836</v>
      </c>
    </row>
    <row r="1155" spans="1:59" ht="15" customHeight="1" thickBot="1" x14ac:dyDescent="0.25">
      <c r="A1155" s="156">
        <v>1156</v>
      </c>
      <c r="B1155" s="155">
        <v>1</v>
      </c>
      <c r="C1155" s="151" t="s">
        <v>596</v>
      </c>
      <c r="D1155" s="141" t="s">
        <v>2020</v>
      </c>
      <c r="I1155" s="165">
        <v>2013</v>
      </c>
      <c r="J1155" s="165" t="s">
        <v>3215</v>
      </c>
      <c r="L1155" s="165" t="s">
        <v>3219</v>
      </c>
      <c r="M1155" s="453" t="s">
        <v>4310</v>
      </c>
      <c r="AF1155" s="144" t="str">
        <f t="shared" si="94"/>
        <v/>
      </c>
      <c r="AG1155" s="144" t="str">
        <f t="shared" si="92"/>
        <v/>
      </c>
      <c r="AH1155" s="146" t="str">
        <f t="shared" si="95"/>
        <v/>
      </c>
      <c r="AI1155" s="146">
        <f t="shared" si="96"/>
        <v>0.16462585034013605</v>
      </c>
      <c r="AJ1155" s="313"/>
      <c r="AK1155" s="313"/>
      <c r="AL1155" s="313"/>
      <c r="AM1155" s="313"/>
      <c r="AN1155" s="313"/>
      <c r="AO1155" s="313"/>
      <c r="AP1155" s="313"/>
      <c r="AQ1155" s="313"/>
      <c r="AR1155" s="313"/>
      <c r="AS1155" s="287"/>
      <c r="AT1155" s="175"/>
      <c r="AV1155" s="322"/>
      <c r="AW1155" s="279" t="s">
        <v>3192</v>
      </c>
      <c r="AX1155" s="279"/>
      <c r="AY1155" s="279">
        <v>0.16462585034013605</v>
      </c>
      <c r="AZ1155" s="279">
        <v>0.23401360544217684</v>
      </c>
      <c r="BA1155" s="279" t="s">
        <v>3192</v>
      </c>
      <c r="BB1155" s="279" t="s">
        <v>3192</v>
      </c>
      <c r="BC1155" s="279"/>
      <c r="BD1155" s="279" t="s">
        <v>3192</v>
      </c>
      <c r="BE1155" s="276"/>
      <c r="BF1155" s="407" t="str">
        <f t="shared" si="93"/>
        <v/>
      </c>
      <c r="BG1155" s="407">
        <v>0.39863945578231291</v>
      </c>
    </row>
    <row r="1156" spans="1:59" ht="15" customHeight="1" thickBot="1" x14ac:dyDescent="0.25">
      <c r="A1156" s="156">
        <v>1157</v>
      </c>
      <c r="B1156" s="155">
        <v>1</v>
      </c>
      <c r="C1156" s="151" t="s">
        <v>596</v>
      </c>
      <c r="D1156" s="141" t="s">
        <v>2020</v>
      </c>
      <c r="I1156" s="165">
        <v>2012</v>
      </c>
      <c r="J1156" s="165" t="s">
        <v>3216</v>
      </c>
      <c r="L1156" s="165" t="s">
        <v>3219</v>
      </c>
      <c r="M1156" s="453" t="s">
        <v>4310</v>
      </c>
      <c r="AF1156" s="144" t="str">
        <f t="shared" si="94"/>
        <v/>
      </c>
      <c r="AG1156" s="144" t="str">
        <f t="shared" si="92"/>
        <v/>
      </c>
      <c r="AH1156" s="146">
        <f t="shared" si="95"/>
        <v>0.39863945578231291</v>
      </c>
      <c r="AI1156" s="146" t="str">
        <f t="shared" si="96"/>
        <v/>
      </c>
      <c r="AJ1156" s="313"/>
      <c r="AK1156" s="313"/>
      <c r="AL1156" s="313"/>
      <c r="AM1156" s="313"/>
      <c r="AN1156" s="313"/>
      <c r="AO1156" s="313"/>
      <c r="AP1156" s="313"/>
      <c r="AQ1156" s="313"/>
      <c r="AR1156" s="313"/>
      <c r="AS1156" s="287"/>
      <c r="AT1156" s="175"/>
      <c r="AV1156" s="322"/>
      <c r="AW1156" s="279">
        <v>0.39863945578231291</v>
      </c>
      <c r="AX1156" s="279"/>
      <c r="AY1156" s="279" t="s">
        <v>3192</v>
      </c>
      <c r="AZ1156" s="279" t="s">
        <v>3192</v>
      </c>
      <c r="BA1156" s="279" t="s">
        <v>3192</v>
      </c>
      <c r="BB1156" s="279" t="s">
        <v>3192</v>
      </c>
      <c r="BC1156" s="279"/>
      <c r="BD1156" s="279" t="s">
        <v>3192</v>
      </c>
      <c r="BE1156" s="276"/>
      <c r="BF1156" s="407">
        <f t="shared" si="93"/>
        <v>0.39863945578231291</v>
      </c>
      <c r="BG1156" s="407" t="s">
        <v>3192</v>
      </c>
    </row>
    <row r="1157" spans="1:59" ht="15" customHeight="1" thickBot="1" x14ac:dyDescent="0.25">
      <c r="A1157" s="156">
        <v>1158</v>
      </c>
      <c r="B1157" s="155">
        <v>1</v>
      </c>
      <c r="C1157" s="151" t="s">
        <v>596</v>
      </c>
      <c r="D1157" s="141" t="s">
        <v>2020</v>
      </c>
      <c r="I1157" s="165">
        <v>2012</v>
      </c>
      <c r="J1157" s="165" t="s">
        <v>3216</v>
      </c>
      <c r="L1157" s="165" t="s">
        <v>3219</v>
      </c>
      <c r="M1157" s="453" t="s">
        <v>4310</v>
      </c>
      <c r="AF1157" s="144" t="str">
        <f t="shared" si="94"/>
        <v/>
      </c>
      <c r="AG1157" s="144" t="str">
        <f t="shared" si="92"/>
        <v/>
      </c>
      <c r="AH1157" s="146">
        <f t="shared" si="95"/>
        <v>7.4829931972789115E-2</v>
      </c>
      <c r="AI1157" s="146" t="str">
        <f t="shared" si="96"/>
        <v/>
      </c>
      <c r="AJ1157" s="313"/>
      <c r="AK1157" s="313"/>
      <c r="AL1157" s="313"/>
      <c r="AM1157" s="313"/>
      <c r="AN1157" s="313"/>
      <c r="AO1157" s="313"/>
      <c r="AP1157" s="313"/>
      <c r="AQ1157" s="313"/>
      <c r="AR1157" s="313"/>
      <c r="AS1157" s="287"/>
      <c r="AT1157" s="175"/>
      <c r="AV1157" s="322"/>
      <c r="AW1157" s="279">
        <v>7.4829931972789115E-2</v>
      </c>
      <c r="AX1157" s="279"/>
      <c r="AY1157" s="279" t="s">
        <v>3192</v>
      </c>
      <c r="AZ1157" s="279" t="s">
        <v>3192</v>
      </c>
      <c r="BA1157" s="279" t="s">
        <v>3192</v>
      </c>
      <c r="BB1157" s="279" t="s">
        <v>3192</v>
      </c>
      <c r="BC1157" s="279"/>
      <c r="BD1157" s="279" t="s">
        <v>3192</v>
      </c>
      <c r="BE1157" s="276"/>
      <c r="BF1157" s="407">
        <f t="shared" si="93"/>
        <v>7.4829931972789115E-2</v>
      </c>
      <c r="BG1157" s="407" t="s">
        <v>3192</v>
      </c>
    </row>
    <row r="1158" spans="1:59" ht="15" customHeight="1" thickBot="1" x14ac:dyDescent="0.25">
      <c r="A1158" s="156">
        <v>1159</v>
      </c>
      <c r="B1158" s="155">
        <v>1</v>
      </c>
      <c r="C1158" s="151" t="s">
        <v>596</v>
      </c>
      <c r="D1158" s="141" t="s">
        <v>2020</v>
      </c>
      <c r="I1158" s="165">
        <v>2012</v>
      </c>
      <c r="J1158" s="165" t="s">
        <v>3216</v>
      </c>
      <c r="L1158" s="165" t="s">
        <v>3219</v>
      </c>
      <c r="M1158" s="453" t="s">
        <v>4310</v>
      </c>
      <c r="AF1158" s="144" t="str">
        <f t="shared" si="94"/>
        <v/>
      </c>
      <c r="AG1158" s="144" t="str">
        <f t="shared" si="92"/>
        <v/>
      </c>
      <c r="AH1158" s="146">
        <f t="shared" si="95"/>
        <v>0.44489795918367347</v>
      </c>
      <c r="AI1158" s="146" t="str">
        <f t="shared" si="96"/>
        <v/>
      </c>
      <c r="AJ1158" s="313"/>
      <c r="AK1158" s="313"/>
      <c r="AL1158" s="313"/>
      <c r="AM1158" s="313"/>
      <c r="AN1158" s="313"/>
      <c r="AO1158" s="313"/>
      <c r="AP1158" s="313"/>
      <c r="AQ1158" s="313"/>
      <c r="AR1158" s="313"/>
      <c r="AS1158" s="287"/>
      <c r="AT1158" s="175"/>
      <c r="AV1158" s="322"/>
      <c r="AW1158" s="279">
        <v>0.44489795918367347</v>
      </c>
      <c r="AX1158" s="279"/>
      <c r="AY1158" s="279" t="s">
        <v>3192</v>
      </c>
      <c r="AZ1158" s="279" t="s">
        <v>3192</v>
      </c>
      <c r="BA1158" s="279" t="s">
        <v>3192</v>
      </c>
      <c r="BB1158" s="279" t="s">
        <v>3192</v>
      </c>
      <c r="BC1158" s="279"/>
      <c r="BD1158" s="279" t="s">
        <v>3192</v>
      </c>
      <c r="BE1158" s="276"/>
      <c r="BF1158" s="407">
        <f t="shared" si="93"/>
        <v>0.44489795918367347</v>
      </c>
      <c r="BG1158" s="407" t="s">
        <v>3192</v>
      </c>
    </row>
    <row r="1159" spans="1:59" ht="15" customHeight="1" thickBot="1" x14ac:dyDescent="0.25">
      <c r="A1159" s="156">
        <v>1160</v>
      </c>
      <c r="B1159" s="155">
        <v>1</v>
      </c>
      <c r="C1159" s="151" t="s">
        <v>596</v>
      </c>
      <c r="D1159" s="141" t="s">
        <v>2020</v>
      </c>
      <c r="I1159" s="165">
        <v>2012</v>
      </c>
      <c r="J1159" s="165" t="s">
        <v>3216</v>
      </c>
      <c r="L1159" s="165" t="s">
        <v>3219</v>
      </c>
      <c r="M1159" s="453" t="s">
        <v>4310</v>
      </c>
      <c r="AF1159" s="144" t="str">
        <f t="shared" si="94"/>
        <v/>
      </c>
      <c r="AG1159" s="144" t="str">
        <f t="shared" si="92"/>
        <v/>
      </c>
      <c r="AH1159" s="146">
        <f t="shared" si="95"/>
        <v>0.2965986394557823</v>
      </c>
      <c r="AI1159" s="146" t="str">
        <f t="shared" si="96"/>
        <v/>
      </c>
      <c r="AJ1159" s="313"/>
      <c r="AK1159" s="313"/>
      <c r="AL1159" s="313"/>
      <c r="AM1159" s="313"/>
      <c r="AN1159" s="313"/>
      <c r="AO1159" s="313"/>
      <c r="AP1159" s="313"/>
      <c r="AQ1159" s="313"/>
      <c r="AR1159" s="313"/>
      <c r="AS1159" s="287"/>
      <c r="AV1159" s="322"/>
      <c r="AW1159" s="279">
        <v>0.2965986394557823</v>
      </c>
      <c r="AX1159" s="279"/>
      <c r="AY1159" s="279" t="s">
        <v>3192</v>
      </c>
      <c r="AZ1159" s="279" t="s">
        <v>3192</v>
      </c>
      <c r="BA1159" s="279" t="s">
        <v>3192</v>
      </c>
      <c r="BB1159" s="279" t="s">
        <v>3192</v>
      </c>
      <c r="BC1159" s="279"/>
      <c r="BD1159" s="279" t="s">
        <v>3192</v>
      </c>
      <c r="BE1159" s="276"/>
      <c r="BF1159" s="407">
        <f t="shared" si="93"/>
        <v>0.2965986394557823</v>
      </c>
      <c r="BG1159" s="407" t="s">
        <v>3192</v>
      </c>
    </row>
    <row r="1160" spans="1:59" ht="15" customHeight="1" thickBot="1" x14ac:dyDescent="0.25">
      <c r="A1160" s="156">
        <v>1161</v>
      </c>
      <c r="B1160" s="155">
        <v>1</v>
      </c>
      <c r="C1160" s="151" t="s">
        <v>596</v>
      </c>
      <c r="D1160" s="141" t="s">
        <v>2020</v>
      </c>
      <c r="I1160" s="165">
        <v>2012</v>
      </c>
      <c r="J1160" s="165" t="s">
        <v>3216</v>
      </c>
      <c r="L1160" s="165" t="s">
        <v>3219</v>
      </c>
      <c r="M1160" s="453" t="s">
        <v>4310</v>
      </c>
      <c r="AF1160" s="144" t="str">
        <f t="shared" si="94"/>
        <v/>
      </c>
      <c r="AG1160" s="144" t="str">
        <f t="shared" si="92"/>
        <v/>
      </c>
      <c r="AH1160" s="146">
        <f t="shared" si="95"/>
        <v>0.29251700680272108</v>
      </c>
      <c r="AI1160" s="146" t="str">
        <f t="shared" si="96"/>
        <v/>
      </c>
      <c r="AJ1160" s="313"/>
      <c r="AK1160" s="313"/>
      <c r="AL1160" s="313"/>
      <c r="AM1160" s="313"/>
      <c r="AN1160" s="313"/>
      <c r="AO1160" s="313"/>
      <c r="AP1160" s="313"/>
      <c r="AQ1160" s="313"/>
      <c r="AR1160" s="313"/>
      <c r="AS1160" s="287"/>
      <c r="AV1160" s="322"/>
      <c r="AW1160" s="279">
        <v>0.29251700680272108</v>
      </c>
      <c r="AX1160" s="279"/>
      <c r="AY1160" s="279" t="s">
        <v>3192</v>
      </c>
      <c r="AZ1160" s="279" t="s">
        <v>3192</v>
      </c>
      <c r="BA1160" s="279" t="s">
        <v>3192</v>
      </c>
      <c r="BB1160" s="279" t="s">
        <v>3192</v>
      </c>
      <c r="BC1160" s="279"/>
      <c r="BD1160" s="279" t="s">
        <v>3192</v>
      </c>
      <c r="BE1160" s="276"/>
      <c r="BF1160" s="407">
        <f t="shared" si="93"/>
        <v>0.29251700680272108</v>
      </c>
      <c r="BG1160" s="407" t="s">
        <v>3192</v>
      </c>
    </row>
    <row r="1161" spans="1:59" ht="15" customHeight="1" thickBot="1" x14ac:dyDescent="0.25">
      <c r="A1161" s="156">
        <v>1162</v>
      </c>
      <c r="B1161" s="155">
        <v>1</v>
      </c>
      <c r="C1161" s="151" t="s">
        <v>596</v>
      </c>
      <c r="D1161" s="141" t="s">
        <v>2020</v>
      </c>
      <c r="I1161" s="165">
        <v>2012</v>
      </c>
      <c r="J1161" s="165" t="s">
        <v>3216</v>
      </c>
      <c r="L1161" s="165" t="s">
        <v>3219</v>
      </c>
      <c r="M1161" s="453" t="s">
        <v>4310</v>
      </c>
      <c r="AF1161" s="144" t="str">
        <f t="shared" si="94"/>
        <v/>
      </c>
      <c r="AG1161" s="144" t="str">
        <f t="shared" si="92"/>
        <v/>
      </c>
      <c r="AH1161" s="146">
        <f t="shared" si="95"/>
        <v>0.3401360544217687</v>
      </c>
      <c r="AI1161" s="146" t="str">
        <f t="shared" si="96"/>
        <v/>
      </c>
      <c r="AJ1161" s="313"/>
      <c r="AK1161" s="313"/>
      <c r="AL1161" s="313"/>
      <c r="AM1161" s="313"/>
      <c r="AN1161" s="313"/>
      <c r="AO1161" s="313"/>
      <c r="AP1161" s="313"/>
      <c r="AQ1161" s="313"/>
      <c r="AR1161" s="313"/>
      <c r="AS1161" s="287"/>
      <c r="AT1161" s="175"/>
      <c r="AV1161" s="322"/>
      <c r="AW1161" s="279">
        <v>0.3401360544217687</v>
      </c>
      <c r="AX1161" s="279"/>
      <c r="AY1161" s="279" t="s">
        <v>3192</v>
      </c>
      <c r="AZ1161" s="279" t="s">
        <v>3192</v>
      </c>
      <c r="BA1161" s="279" t="s">
        <v>3192</v>
      </c>
      <c r="BB1161" s="279" t="s">
        <v>3192</v>
      </c>
      <c r="BC1161" s="279"/>
      <c r="BD1161" s="279" t="s">
        <v>3192</v>
      </c>
      <c r="BE1161" s="276"/>
      <c r="BF1161" s="407">
        <f t="shared" si="93"/>
        <v>0.3401360544217687</v>
      </c>
      <c r="BG1161" s="407" t="s">
        <v>3192</v>
      </c>
    </row>
    <row r="1162" spans="1:59" ht="15" customHeight="1" thickBot="1" x14ac:dyDescent="0.25">
      <c r="A1162" s="156">
        <v>1163</v>
      </c>
      <c r="B1162" s="155">
        <v>1</v>
      </c>
      <c r="C1162" s="151" t="s">
        <v>596</v>
      </c>
      <c r="D1162" s="141" t="s">
        <v>2020</v>
      </c>
      <c r="I1162" s="165">
        <v>2007</v>
      </c>
      <c r="J1162" s="165" t="s">
        <v>3217</v>
      </c>
      <c r="L1162" s="165" t="s">
        <v>3219</v>
      </c>
      <c r="M1162" s="453" t="s">
        <v>4310</v>
      </c>
      <c r="AF1162" s="144" t="str">
        <f t="shared" si="94"/>
        <v/>
      </c>
      <c r="AG1162" s="144" t="str">
        <f t="shared" si="92"/>
        <v/>
      </c>
      <c r="AH1162" s="146">
        <f t="shared" si="95"/>
        <v>0.20816326530612245</v>
      </c>
      <c r="AI1162" s="146">
        <f t="shared" si="96"/>
        <v>0.4503401360544218</v>
      </c>
      <c r="AJ1162" s="313"/>
      <c r="AK1162" s="313"/>
      <c r="AL1162" s="313"/>
      <c r="AM1162" s="313"/>
      <c r="AN1162" s="313"/>
      <c r="AO1162" s="313"/>
      <c r="AP1162" s="313"/>
      <c r="AQ1162" s="313"/>
      <c r="AR1162" s="313"/>
      <c r="AS1162" s="287"/>
      <c r="AT1162" s="175"/>
      <c r="AV1162" s="322"/>
      <c r="AW1162" s="279">
        <v>0.20816326530612245</v>
      </c>
      <c r="AX1162" s="279"/>
      <c r="AY1162" s="279">
        <v>0.24217687074829933</v>
      </c>
      <c r="AZ1162" s="279" t="s">
        <v>3192</v>
      </c>
      <c r="BA1162" s="279">
        <v>0.36598639455782317</v>
      </c>
      <c r="BB1162" s="279">
        <v>0.47210884353741495</v>
      </c>
      <c r="BC1162" s="279"/>
      <c r="BD1162" s="279" t="s">
        <v>3192</v>
      </c>
      <c r="BE1162" s="276"/>
      <c r="BF1162" s="407">
        <f t="shared" si="93"/>
        <v>0.20816326530612245</v>
      </c>
      <c r="BG1162" s="407">
        <v>1.2884353741496599</v>
      </c>
    </row>
    <row r="1163" spans="1:59" ht="15" customHeight="1" thickBot="1" x14ac:dyDescent="0.25">
      <c r="A1163" s="156">
        <v>1164</v>
      </c>
      <c r="B1163" s="155">
        <v>1</v>
      </c>
      <c r="C1163" s="151" t="s">
        <v>596</v>
      </c>
      <c r="D1163" s="141" t="s">
        <v>2020</v>
      </c>
      <c r="I1163" s="165">
        <v>2007</v>
      </c>
      <c r="J1163" s="165" t="s">
        <v>3217</v>
      </c>
      <c r="L1163" s="165" t="s">
        <v>3219</v>
      </c>
      <c r="M1163" s="453" t="s">
        <v>4310</v>
      </c>
      <c r="AF1163" s="144" t="str">
        <f t="shared" si="94"/>
        <v/>
      </c>
      <c r="AG1163" s="144" t="str">
        <f t="shared" si="92"/>
        <v/>
      </c>
      <c r="AH1163" s="146">
        <f t="shared" si="95"/>
        <v>0.20816326530612245</v>
      </c>
      <c r="AI1163" s="146">
        <f t="shared" si="96"/>
        <v>0.4503401360544218</v>
      </c>
      <c r="AJ1163" s="313"/>
      <c r="AK1163" s="313"/>
      <c r="AL1163" s="313"/>
      <c r="AM1163" s="313"/>
      <c r="AN1163" s="313"/>
      <c r="AO1163" s="313"/>
      <c r="AP1163" s="313"/>
      <c r="AQ1163" s="313"/>
      <c r="AR1163" s="313"/>
      <c r="AS1163" s="287"/>
      <c r="AT1163" s="175"/>
      <c r="AV1163" s="322"/>
      <c r="AW1163" s="279">
        <v>0.20816326530612245</v>
      </c>
      <c r="AX1163" s="279"/>
      <c r="AY1163" s="279">
        <v>0.24217687074829933</v>
      </c>
      <c r="AZ1163" s="279">
        <v>0.56462585034013602</v>
      </c>
      <c r="BA1163" s="279">
        <v>0.58911564625850343</v>
      </c>
      <c r="BB1163" s="279">
        <v>0.47210884353741495</v>
      </c>
      <c r="BC1163" s="279"/>
      <c r="BD1163" s="279" t="s">
        <v>3192</v>
      </c>
      <c r="BE1163" s="276"/>
      <c r="BF1163" s="407">
        <f t="shared" ref="BF1163:BF1179" si="97">AW1163</f>
        <v>0.20816326530612245</v>
      </c>
      <c r="BG1163" s="407">
        <v>2.0761904761904764</v>
      </c>
    </row>
    <row r="1164" spans="1:59" ht="15" customHeight="1" thickBot="1" x14ac:dyDescent="0.25">
      <c r="A1164" s="156">
        <v>1165</v>
      </c>
      <c r="B1164" s="155">
        <v>1</v>
      </c>
      <c r="C1164" s="151" t="s">
        <v>596</v>
      </c>
      <c r="D1164" s="141" t="s">
        <v>2020</v>
      </c>
      <c r="I1164" s="165">
        <v>2007</v>
      </c>
      <c r="J1164" s="165" t="s">
        <v>3217</v>
      </c>
      <c r="L1164" s="165" t="s">
        <v>3219</v>
      </c>
      <c r="M1164" s="453" t="s">
        <v>4310</v>
      </c>
      <c r="AF1164" s="144" t="str">
        <f t="shared" si="94"/>
        <v/>
      </c>
      <c r="AG1164" s="144" t="str">
        <f t="shared" si="92"/>
        <v/>
      </c>
      <c r="AH1164" s="146">
        <f t="shared" si="95"/>
        <v>0.20816326530612245</v>
      </c>
      <c r="AI1164" s="146">
        <f t="shared" si="96"/>
        <v>0.4503401360544218</v>
      </c>
      <c r="AJ1164" s="313"/>
      <c r="AK1164" s="313"/>
      <c r="AL1164" s="313"/>
      <c r="AM1164" s="313"/>
      <c r="AN1164" s="313"/>
      <c r="AO1164" s="313"/>
      <c r="AP1164" s="313"/>
      <c r="AQ1164" s="313"/>
      <c r="AR1164" s="313"/>
      <c r="AS1164" s="287"/>
      <c r="AT1164" s="175"/>
      <c r="AV1164" s="322"/>
      <c r="AW1164" s="279">
        <v>0.20816326530612245</v>
      </c>
      <c r="AX1164" s="279"/>
      <c r="AY1164" s="279">
        <v>0.24217687074829933</v>
      </c>
      <c r="AZ1164" s="279">
        <v>0.46530612244897962</v>
      </c>
      <c r="BA1164" s="279">
        <v>0.55102040816326525</v>
      </c>
      <c r="BB1164" s="279">
        <v>0.47210884353741495</v>
      </c>
      <c r="BC1164" s="279"/>
      <c r="BD1164" s="279" t="s">
        <v>3192</v>
      </c>
      <c r="BE1164" s="276"/>
      <c r="BF1164" s="407">
        <f t="shared" si="97"/>
        <v>0.20816326530612245</v>
      </c>
      <c r="BG1164" s="407">
        <v>1.9387755102040818</v>
      </c>
    </row>
    <row r="1165" spans="1:59" ht="15" customHeight="1" thickBot="1" x14ac:dyDescent="0.25">
      <c r="A1165" s="156">
        <v>1166</v>
      </c>
      <c r="B1165" s="155">
        <v>1</v>
      </c>
      <c r="C1165" s="151" t="s">
        <v>596</v>
      </c>
      <c r="D1165" s="141" t="s">
        <v>2020</v>
      </c>
      <c r="I1165" s="165">
        <v>2007</v>
      </c>
      <c r="J1165" s="165" t="s">
        <v>3217</v>
      </c>
      <c r="L1165" s="165" t="s">
        <v>3219</v>
      </c>
      <c r="M1165" s="453" t="s">
        <v>4310</v>
      </c>
      <c r="AF1165" s="144" t="str">
        <f t="shared" si="94"/>
        <v/>
      </c>
      <c r="AG1165" s="144" t="str">
        <f t="shared" si="92"/>
        <v/>
      </c>
      <c r="AH1165" s="146">
        <f t="shared" si="95"/>
        <v>0.20816326530612245</v>
      </c>
      <c r="AI1165" s="146">
        <f t="shared" si="96"/>
        <v>0.4503401360544218</v>
      </c>
      <c r="AJ1165" s="313"/>
      <c r="AK1165" s="313"/>
      <c r="AL1165" s="313"/>
      <c r="AM1165" s="313"/>
      <c r="AN1165" s="313"/>
      <c r="AO1165" s="313"/>
      <c r="AP1165" s="313"/>
      <c r="AQ1165" s="313"/>
      <c r="AR1165" s="313"/>
      <c r="AS1165" s="287"/>
      <c r="AT1165" s="175"/>
      <c r="AV1165" s="322"/>
      <c r="AW1165" s="279">
        <v>0.20816326530612245</v>
      </c>
      <c r="AX1165" s="279"/>
      <c r="AY1165" s="279">
        <v>0.24217687074829933</v>
      </c>
      <c r="AZ1165" s="279">
        <v>0.36734693877551022</v>
      </c>
      <c r="BA1165" s="279">
        <v>0.46666666666666673</v>
      </c>
      <c r="BB1165" s="279">
        <v>0.47210884353741495</v>
      </c>
      <c r="BC1165" s="279"/>
      <c r="BD1165" s="279" t="s">
        <v>3192</v>
      </c>
      <c r="BE1165" s="276"/>
      <c r="BF1165" s="407">
        <f t="shared" si="97"/>
        <v>0.20816326530612245</v>
      </c>
      <c r="BG1165" s="407">
        <v>1.7564625850340134</v>
      </c>
    </row>
    <row r="1166" spans="1:59" ht="15" customHeight="1" thickBot="1" x14ac:dyDescent="0.25">
      <c r="A1166" s="156">
        <v>1167</v>
      </c>
      <c r="B1166" s="155">
        <v>1</v>
      </c>
      <c r="C1166" s="151" t="s">
        <v>596</v>
      </c>
      <c r="D1166" s="141" t="s">
        <v>2020</v>
      </c>
      <c r="I1166" s="165">
        <v>2007</v>
      </c>
      <c r="J1166" s="165" t="s">
        <v>3217</v>
      </c>
      <c r="L1166" s="165" t="s">
        <v>3219</v>
      </c>
      <c r="M1166" s="453" t="s">
        <v>4310</v>
      </c>
      <c r="AF1166" s="144" t="str">
        <f t="shared" si="94"/>
        <v/>
      </c>
      <c r="AG1166" s="144" t="str">
        <f t="shared" si="92"/>
        <v/>
      </c>
      <c r="AH1166" s="146">
        <f t="shared" si="95"/>
        <v>0.20816326530612245</v>
      </c>
      <c r="AI1166" s="146">
        <f t="shared" si="96"/>
        <v>0.4503401360544218</v>
      </c>
      <c r="AJ1166" s="313"/>
      <c r="AK1166" s="313"/>
      <c r="AL1166" s="313"/>
      <c r="AM1166" s="313"/>
      <c r="AN1166" s="313"/>
      <c r="AO1166" s="313"/>
      <c r="AP1166" s="313"/>
      <c r="AQ1166" s="313"/>
      <c r="AR1166" s="313"/>
      <c r="AS1166" s="287"/>
      <c r="AT1166" s="175"/>
      <c r="AV1166" s="322"/>
      <c r="AW1166" s="279">
        <v>0.20816326530612245</v>
      </c>
      <c r="AX1166" s="279"/>
      <c r="AY1166" s="279">
        <v>0.24217687074829933</v>
      </c>
      <c r="AZ1166" s="279" t="s">
        <v>3192</v>
      </c>
      <c r="BA1166" s="279">
        <v>0.12108843537414966</v>
      </c>
      <c r="BB1166" s="279">
        <v>0.47210884353741495</v>
      </c>
      <c r="BC1166" s="279"/>
      <c r="BD1166" s="279" t="s">
        <v>3192</v>
      </c>
      <c r="BE1166" s="276"/>
      <c r="BF1166" s="407">
        <f t="shared" si="97"/>
        <v>0.20816326530612245</v>
      </c>
      <c r="BG1166" s="407">
        <v>1.0435374149659864</v>
      </c>
    </row>
    <row r="1167" spans="1:59" ht="15" customHeight="1" thickBot="1" x14ac:dyDescent="0.25">
      <c r="A1167" s="156">
        <v>1168</v>
      </c>
      <c r="B1167" s="155">
        <v>1</v>
      </c>
      <c r="C1167" s="151" t="s">
        <v>596</v>
      </c>
      <c r="D1167" s="141" t="s">
        <v>2020</v>
      </c>
      <c r="I1167" s="165">
        <v>2007</v>
      </c>
      <c r="J1167" s="165" t="s">
        <v>3217</v>
      </c>
      <c r="L1167" s="165" t="s">
        <v>3219</v>
      </c>
      <c r="M1167" s="453" t="s">
        <v>4310</v>
      </c>
      <c r="AF1167" s="144" t="str">
        <f t="shared" si="94"/>
        <v/>
      </c>
      <c r="AG1167" s="144" t="str">
        <f t="shared" si="92"/>
        <v/>
      </c>
      <c r="AH1167" s="146">
        <f t="shared" si="95"/>
        <v>0.20816326530612245</v>
      </c>
      <c r="AI1167" s="146">
        <f t="shared" si="96"/>
        <v>0.4503401360544218</v>
      </c>
      <c r="AJ1167" s="313"/>
      <c r="AK1167" s="313"/>
      <c r="AL1167" s="313"/>
      <c r="AM1167" s="313"/>
      <c r="AN1167" s="313"/>
      <c r="AO1167" s="313"/>
      <c r="AP1167" s="313"/>
      <c r="AQ1167" s="313"/>
      <c r="AR1167" s="313"/>
      <c r="AS1167" s="287"/>
      <c r="AT1167" s="175"/>
      <c r="AV1167" s="322"/>
      <c r="AW1167" s="279">
        <v>0.20816326530612245</v>
      </c>
      <c r="AX1167" s="279"/>
      <c r="AY1167" s="279">
        <v>0.24217687074829933</v>
      </c>
      <c r="AZ1167" s="279" t="s">
        <v>3192</v>
      </c>
      <c r="BA1167" s="279">
        <v>9.9319727891156465E-2</v>
      </c>
      <c r="BB1167" s="279">
        <v>0.47210884353741495</v>
      </c>
      <c r="BC1167" s="279"/>
      <c r="BD1167" s="279" t="s">
        <v>3192</v>
      </c>
      <c r="BE1167" s="276"/>
      <c r="BF1167" s="407">
        <f t="shared" si="97"/>
        <v>0.20816326530612245</v>
      </c>
      <c r="BG1167" s="407">
        <v>1.0217687074829931</v>
      </c>
    </row>
    <row r="1168" spans="1:59" ht="15" customHeight="1" thickBot="1" x14ac:dyDescent="0.25">
      <c r="A1168" s="156">
        <v>1169</v>
      </c>
      <c r="B1168" s="155">
        <v>1</v>
      </c>
      <c r="C1168" s="151" t="s">
        <v>596</v>
      </c>
      <c r="D1168" s="141" t="s">
        <v>2020</v>
      </c>
      <c r="I1168" s="165">
        <v>2007</v>
      </c>
      <c r="J1168" s="165" t="s">
        <v>3217</v>
      </c>
      <c r="L1168" s="165" t="s">
        <v>3219</v>
      </c>
      <c r="M1168" s="453" t="s">
        <v>4310</v>
      </c>
      <c r="AF1168" s="144" t="str">
        <f t="shared" si="94"/>
        <v/>
      </c>
      <c r="AG1168" s="144" t="str">
        <f t="shared" si="92"/>
        <v/>
      </c>
      <c r="AH1168" s="146">
        <f t="shared" si="95"/>
        <v>0.20816326530612245</v>
      </c>
      <c r="AI1168" s="146">
        <f t="shared" si="96"/>
        <v>0.4503401360544218</v>
      </c>
      <c r="AJ1168" s="313"/>
      <c r="AK1168" s="313"/>
      <c r="AL1168" s="313"/>
      <c r="AM1168" s="313"/>
      <c r="AN1168" s="313"/>
      <c r="AO1168" s="313"/>
      <c r="AP1168" s="313"/>
      <c r="AQ1168" s="313"/>
      <c r="AR1168" s="313"/>
      <c r="AS1168" s="287"/>
      <c r="AT1168" s="175"/>
      <c r="AV1168" s="322"/>
      <c r="AW1168" s="279">
        <v>0.20816326530612245</v>
      </c>
      <c r="AX1168" s="279"/>
      <c r="AY1168" s="279">
        <v>0.24217687074829933</v>
      </c>
      <c r="AZ1168" s="279" t="s">
        <v>3192</v>
      </c>
      <c r="BA1168" s="279">
        <v>8.8435374149659865E-2</v>
      </c>
      <c r="BB1168" s="279">
        <v>0.47210884353741495</v>
      </c>
      <c r="BC1168" s="279"/>
      <c r="BD1168" s="279" t="s">
        <v>3192</v>
      </c>
      <c r="BE1168" s="276"/>
      <c r="BF1168" s="407">
        <f t="shared" si="97"/>
        <v>0.20816326530612245</v>
      </c>
      <c r="BG1168" s="407">
        <v>1.0108843537414964</v>
      </c>
    </row>
    <row r="1169" spans="1:59" ht="15" customHeight="1" thickBot="1" x14ac:dyDescent="0.25">
      <c r="A1169" s="156">
        <v>1170</v>
      </c>
      <c r="B1169" s="155">
        <v>1</v>
      </c>
      <c r="C1169" s="151" t="s">
        <v>596</v>
      </c>
      <c r="D1169" s="141" t="s">
        <v>2020</v>
      </c>
      <c r="I1169" s="165">
        <v>2007</v>
      </c>
      <c r="J1169" s="165" t="s">
        <v>3217</v>
      </c>
      <c r="L1169" s="165" t="s">
        <v>3219</v>
      </c>
      <c r="M1169" s="453" t="s">
        <v>4310</v>
      </c>
      <c r="AF1169" s="144" t="str">
        <f t="shared" si="94"/>
        <v/>
      </c>
      <c r="AG1169" s="144" t="str">
        <f t="shared" si="92"/>
        <v/>
      </c>
      <c r="AH1169" s="146">
        <f t="shared" si="95"/>
        <v>0.20816326530612245</v>
      </c>
      <c r="AI1169" s="146">
        <f t="shared" si="96"/>
        <v>0.4503401360544218</v>
      </c>
      <c r="AJ1169" s="313"/>
      <c r="AK1169" s="313"/>
      <c r="AL1169" s="313"/>
      <c r="AM1169" s="313"/>
      <c r="AN1169" s="313"/>
      <c r="AO1169" s="313"/>
      <c r="AP1169" s="313"/>
      <c r="AQ1169" s="313"/>
      <c r="AR1169" s="313"/>
      <c r="AS1169" s="287"/>
      <c r="AT1169" s="175"/>
      <c r="AV1169" s="322"/>
      <c r="AW1169" s="279">
        <v>0.20816326530612245</v>
      </c>
      <c r="AX1169" s="279"/>
      <c r="AY1169" s="279">
        <v>0.24217687074829933</v>
      </c>
      <c r="AZ1169" s="279">
        <v>0.56462585034013602</v>
      </c>
      <c r="BA1169" s="279">
        <v>0.16326530612244897</v>
      </c>
      <c r="BB1169" s="279">
        <v>0.47210884353741495</v>
      </c>
      <c r="BC1169" s="279"/>
      <c r="BD1169" s="279" t="s">
        <v>3192</v>
      </c>
      <c r="BE1169" s="276"/>
      <c r="BF1169" s="407">
        <f t="shared" si="97"/>
        <v>0.20816326530612245</v>
      </c>
      <c r="BG1169" s="407">
        <v>1.6503401360544221</v>
      </c>
    </row>
    <row r="1170" spans="1:59" ht="15" customHeight="1" thickBot="1" x14ac:dyDescent="0.25">
      <c r="A1170" s="156">
        <v>1171</v>
      </c>
      <c r="B1170" s="155">
        <v>1</v>
      </c>
      <c r="C1170" s="151" t="s">
        <v>596</v>
      </c>
      <c r="D1170" s="141" t="s">
        <v>2020</v>
      </c>
      <c r="I1170" s="165">
        <v>2007</v>
      </c>
      <c r="J1170" s="165" t="s">
        <v>3217</v>
      </c>
      <c r="L1170" s="165" t="s">
        <v>3219</v>
      </c>
      <c r="M1170" s="453" t="s">
        <v>4310</v>
      </c>
      <c r="AF1170" s="144" t="str">
        <f t="shared" si="94"/>
        <v/>
      </c>
      <c r="AG1170" s="144" t="str">
        <f t="shared" si="92"/>
        <v/>
      </c>
      <c r="AH1170" s="146">
        <f t="shared" si="95"/>
        <v>0.20816326530612245</v>
      </c>
      <c r="AI1170" s="146">
        <f t="shared" si="96"/>
        <v>0.4503401360544218</v>
      </c>
      <c r="AJ1170" s="313"/>
      <c r="AK1170" s="313"/>
      <c r="AL1170" s="313"/>
      <c r="AM1170" s="313"/>
      <c r="AN1170" s="313"/>
      <c r="AO1170" s="313"/>
      <c r="AP1170" s="313"/>
      <c r="AQ1170" s="313"/>
      <c r="AR1170" s="313"/>
      <c r="AS1170" s="287"/>
      <c r="AT1170" s="175"/>
      <c r="AV1170" s="322"/>
      <c r="AW1170" s="279">
        <v>0.20816326530612245</v>
      </c>
      <c r="AX1170" s="279"/>
      <c r="AY1170" s="279">
        <v>0.24217687074829933</v>
      </c>
      <c r="AZ1170" s="279">
        <v>0.56462585034013602</v>
      </c>
      <c r="BA1170" s="279">
        <v>0.13605442176870747</v>
      </c>
      <c r="BB1170" s="279">
        <v>0.47210884353741495</v>
      </c>
      <c r="BC1170" s="279"/>
      <c r="BD1170" s="279" t="s">
        <v>3192</v>
      </c>
      <c r="BE1170" s="276"/>
      <c r="BF1170" s="407">
        <f t="shared" si="97"/>
        <v>0.20816326530612245</v>
      </c>
      <c r="BG1170" s="407">
        <v>1.6231292517006803</v>
      </c>
    </row>
    <row r="1171" spans="1:59" ht="15" customHeight="1" thickBot="1" x14ac:dyDescent="0.25">
      <c r="A1171" s="156">
        <v>1172</v>
      </c>
      <c r="B1171" s="155">
        <v>1</v>
      </c>
      <c r="C1171" s="151" t="s">
        <v>596</v>
      </c>
      <c r="D1171" s="141" t="s">
        <v>2020</v>
      </c>
      <c r="I1171" s="165">
        <v>2007</v>
      </c>
      <c r="J1171" s="165" t="s">
        <v>3217</v>
      </c>
      <c r="L1171" s="165" t="s">
        <v>3219</v>
      </c>
      <c r="M1171" s="453" t="s">
        <v>4310</v>
      </c>
      <c r="AF1171" s="144" t="str">
        <f t="shared" si="94"/>
        <v/>
      </c>
      <c r="AG1171" s="144" t="str">
        <f t="shared" ref="AG1171:AG1234" si="98">IF(AND(SUM(AJ1171:AL1171)&lt;&gt;0,SUM(AJ1171:AL1171)&lt;&gt;AJ1171),SUM(AJ1171:AL1171),"")</f>
        <v/>
      </c>
      <c r="AH1171" s="146">
        <f t="shared" si="95"/>
        <v>0.20816326530612245</v>
      </c>
      <c r="AI1171" s="146">
        <f t="shared" si="96"/>
        <v>0.4503401360544218</v>
      </c>
      <c r="AJ1171" s="313"/>
      <c r="AK1171" s="313"/>
      <c r="AL1171" s="313"/>
      <c r="AM1171" s="313"/>
      <c r="AN1171" s="313"/>
      <c r="AO1171" s="313"/>
      <c r="AP1171" s="313"/>
      <c r="AQ1171" s="313"/>
      <c r="AR1171" s="313"/>
      <c r="AS1171" s="287"/>
      <c r="AT1171" s="175"/>
      <c r="AV1171" s="322"/>
      <c r="AW1171" s="279">
        <v>0.20816326530612245</v>
      </c>
      <c r="AX1171" s="279"/>
      <c r="AY1171" s="279">
        <v>0.24217687074829933</v>
      </c>
      <c r="AZ1171" s="279">
        <v>0.56462585034013602</v>
      </c>
      <c r="BA1171" s="279">
        <v>0.1183673469387755</v>
      </c>
      <c r="BB1171" s="279">
        <v>0.47210884353741495</v>
      </c>
      <c r="BC1171" s="279"/>
      <c r="BD1171" s="279" t="s">
        <v>3192</v>
      </c>
      <c r="BE1171" s="276"/>
      <c r="BF1171" s="407">
        <f t="shared" si="97"/>
        <v>0.20816326530612245</v>
      </c>
      <c r="BG1171" s="407">
        <v>1.6054421768707481</v>
      </c>
    </row>
    <row r="1172" spans="1:59" ht="15" customHeight="1" thickBot="1" x14ac:dyDescent="0.25">
      <c r="A1172" s="156">
        <v>1173</v>
      </c>
      <c r="B1172" s="155">
        <v>1</v>
      </c>
      <c r="C1172" s="151" t="s">
        <v>596</v>
      </c>
      <c r="D1172" s="141" t="s">
        <v>2020</v>
      </c>
      <c r="I1172" s="165">
        <v>2003</v>
      </c>
      <c r="J1172" s="165" t="s">
        <v>3218</v>
      </c>
      <c r="L1172" s="165" t="s">
        <v>3219</v>
      </c>
      <c r="M1172" s="453" t="s">
        <v>4310</v>
      </c>
      <c r="AF1172" s="144" t="str">
        <f t="shared" si="94"/>
        <v/>
      </c>
      <c r="AG1172" s="144" t="str">
        <f t="shared" si="98"/>
        <v/>
      </c>
      <c r="AH1172" s="146">
        <f t="shared" si="95"/>
        <v>0.57959183673469394</v>
      </c>
      <c r="AI1172" s="146">
        <f t="shared" si="96"/>
        <v>1.0068027210884354</v>
      </c>
      <c r="AJ1172" s="313"/>
      <c r="AK1172" s="313"/>
      <c r="AL1172" s="313"/>
      <c r="AM1172" s="313"/>
      <c r="AN1172" s="313"/>
      <c r="AO1172" s="313"/>
      <c r="AP1172" s="313"/>
      <c r="AQ1172" s="313"/>
      <c r="AR1172" s="313"/>
      <c r="AS1172" s="287"/>
      <c r="AT1172" s="175"/>
      <c r="AV1172" s="322"/>
      <c r="AW1172" s="279">
        <v>0.57959183673469394</v>
      </c>
      <c r="AX1172" s="279"/>
      <c r="AY1172" s="279">
        <v>0.42721088435374149</v>
      </c>
      <c r="AZ1172" s="279">
        <v>0.38231292517006804</v>
      </c>
      <c r="BA1172" s="279">
        <v>0.13741496598639455</v>
      </c>
      <c r="BB1172" s="279" t="s">
        <v>3192</v>
      </c>
      <c r="BC1172" s="279"/>
      <c r="BD1172" s="279" t="s">
        <v>3192</v>
      </c>
      <c r="BE1172" s="276"/>
      <c r="BF1172" s="407">
        <f t="shared" si="97"/>
        <v>0.57959183673469394</v>
      </c>
      <c r="BG1172" s="407">
        <v>1.5265306122448981</v>
      </c>
    </row>
    <row r="1173" spans="1:59" ht="15" customHeight="1" thickBot="1" x14ac:dyDescent="0.25">
      <c r="A1173" s="156">
        <v>1174</v>
      </c>
      <c r="B1173" s="155">
        <v>1</v>
      </c>
      <c r="C1173" s="151" t="s">
        <v>596</v>
      </c>
      <c r="D1173" s="141" t="s">
        <v>2020</v>
      </c>
      <c r="I1173" s="165">
        <v>2013</v>
      </c>
      <c r="J1173" s="165" t="s">
        <v>3220</v>
      </c>
      <c r="L1173" s="165" t="s">
        <v>19</v>
      </c>
      <c r="M1173" s="453" t="s">
        <v>4311</v>
      </c>
      <c r="AF1173" s="144" t="str">
        <f t="shared" si="94"/>
        <v/>
      </c>
      <c r="AG1173" s="144" t="str">
        <f t="shared" si="98"/>
        <v/>
      </c>
      <c r="AH1173" s="146">
        <f t="shared" si="95"/>
        <v>0.96326530612244898</v>
      </c>
      <c r="AI1173" s="146">
        <f t="shared" si="96"/>
        <v>0.96715646258503407</v>
      </c>
      <c r="AJ1173" s="313"/>
      <c r="AK1173" s="313"/>
      <c r="AL1173" s="313"/>
      <c r="AM1173" s="313"/>
      <c r="AN1173" s="313"/>
      <c r="AO1173" s="313"/>
      <c r="AP1173" s="313"/>
      <c r="AQ1173" s="313"/>
      <c r="AR1173" s="313"/>
      <c r="AS1173" s="287"/>
      <c r="AT1173" s="175"/>
      <c r="AV1173" s="322"/>
      <c r="AW1173" s="279">
        <v>0.96326530612244898</v>
      </c>
      <c r="AX1173" s="279"/>
      <c r="AY1173" s="279">
        <v>3.8911564625850339E-3</v>
      </c>
      <c r="AZ1173" s="279">
        <v>1.2666666666666668</v>
      </c>
      <c r="BA1173" s="279" t="s">
        <v>3192</v>
      </c>
      <c r="BB1173" s="279" t="s">
        <v>3192</v>
      </c>
      <c r="BC1173" s="279"/>
      <c r="BD1173" s="279" t="s">
        <v>3192</v>
      </c>
      <c r="BE1173" s="276"/>
      <c r="BF1173" s="407">
        <f t="shared" si="97"/>
        <v>0.96326530612244898</v>
      </c>
      <c r="BG1173" s="407">
        <v>2.2338231292517006</v>
      </c>
    </row>
    <row r="1174" spans="1:59" ht="15" customHeight="1" thickBot="1" x14ac:dyDescent="0.25">
      <c r="A1174" s="156">
        <v>1175</v>
      </c>
      <c r="B1174" s="155">
        <v>1</v>
      </c>
      <c r="C1174" s="151" t="s">
        <v>596</v>
      </c>
      <c r="D1174" s="141" t="s">
        <v>2020</v>
      </c>
      <c r="I1174" s="165">
        <v>2014</v>
      </c>
      <c r="J1174" s="165" t="s">
        <v>3221</v>
      </c>
      <c r="L1174" s="165" t="s">
        <v>19</v>
      </c>
      <c r="M1174" s="453" t="s">
        <v>4312</v>
      </c>
      <c r="AF1174" s="144" t="str">
        <f t="shared" si="94"/>
        <v/>
      </c>
      <c r="AG1174" s="144" t="str">
        <f t="shared" si="98"/>
        <v/>
      </c>
      <c r="AH1174" s="146">
        <f t="shared" si="95"/>
        <v>0.68027210884353739</v>
      </c>
      <c r="AI1174" s="146">
        <f t="shared" si="96"/>
        <v>0.7482993197278911</v>
      </c>
      <c r="AJ1174" s="313"/>
      <c r="AK1174" s="313"/>
      <c r="AL1174" s="313"/>
      <c r="AM1174" s="313"/>
      <c r="AN1174" s="313"/>
      <c r="AO1174" s="313"/>
      <c r="AP1174" s="313"/>
      <c r="AQ1174" s="313"/>
      <c r="AR1174" s="313"/>
      <c r="AS1174" s="287"/>
      <c r="AT1174" s="175"/>
      <c r="AV1174" s="322"/>
      <c r="AW1174" s="279">
        <v>0.68027210884353739</v>
      </c>
      <c r="AX1174" s="279"/>
      <c r="AY1174" s="279">
        <v>6.8027210884353734E-2</v>
      </c>
      <c r="AZ1174" s="279">
        <v>0.68027210884353739</v>
      </c>
      <c r="BA1174" s="279">
        <v>0.27210884353741494</v>
      </c>
      <c r="BB1174" s="279" t="s">
        <v>3192</v>
      </c>
      <c r="BC1174" s="279"/>
      <c r="BD1174" s="279" t="s">
        <v>3192</v>
      </c>
      <c r="BE1174" s="276"/>
      <c r="BF1174" s="407">
        <f t="shared" si="97"/>
        <v>0.68027210884353739</v>
      </c>
      <c r="BG1174" s="407">
        <v>1.7006802721088436</v>
      </c>
    </row>
    <row r="1175" spans="1:59" ht="15" customHeight="1" thickBot="1" x14ac:dyDescent="0.25">
      <c r="A1175" s="156">
        <v>1176</v>
      </c>
      <c r="B1175" s="155">
        <v>1</v>
      </c>
      <c r="C1175" s="151" t="s">
        <v>596</v>
      </c>
      <c r="D1175" s="141" t="s">
        <v>2020</v>
      </c>
      <c r="I1175" s="165">
        <v>2014</v>
      </c>
      <c r="J1175" s="165" t="s">
        <v>3222</v>
      </c>
      <c r="L1175" s="165" t="s">
        <v>19</v>
      </c>
      <c r="M1175" s="453" t="s">
        <v>4313</v>
      </c>
      <c r="AF1175" s="144" t="str">
        <f t="shared" si="94"/>
        <v/>
      </c>
      <c r="AG1175" s="144" t="str">
        <f t="shared" si="98"/>
        <v/>
      </c>
      <c r="AH1175" s="146">
        <f t="shared" si="95"/>
        <v>0.22993197278911567</v>
      </c>
      <c r="AI1175" s="146">
        <f t="shared" si="96"/>
        <v>0.6027210884353742</v>
      </c>
      <c r="AJ1175" s="313"/>
      <c r="AK1175" s="313"/>
      <c r="AL1175" s="313"/>
      <c r="AM1175" s="313"/>
      <c r="AN1175" s="313"/>
      <c r="AO1175" s="313"/>
      <c r="AP1175" s="313"/>
      <c r="AQ1175" s="313"/>
      <c r="AR1175" s="313"/>
      <c r="AS1175" s="287"/>
      <c r="AT1175" s="175"/>
      <c r="AV1175" s="322"/>
      <c r="AW1175" s="279">
        <v>0.22993197278911567</v>
      </c>
      <c r="AX1175" s="279"/>
      <c r="AY1175" s="279">
        <v>0.3727891156462585</v>
      </c>
      <c r="AZ1175" s="279">
        <v>0.76462585034013608</v>
      </c>
      <c r="BA1175" s="279" t="s">
        <v>3192</v>
      </c>
      <c r="BB1175" s="279" t="s">
        <v>3192</v>
      </c>
      <c r="BC1175" s="279"/>
      <c r="BD1175" s="279" t="s">
        <v>3192</v>
      </c>
      <c r="BE1175" s="276"/>
      <c r="BF1175" s="407">
        <f t="shared" si="97"/>
        <v>0.22993197278911567</v>
      </c>
      <c r="BG1175" s="407">
        <v>1.3673469387755104</v>
      </c>
    </row>
    <row r="1176" spans="1:59" ht="15" customHeight="1" thickBot="1" x14ac:dyDescent="0.25">
      <c r="A1176" s="156">
        <v>1177</v>
      </c>
      <c r="B1176" s="155">
        <v>1</v>
      </c>
      <c r="C1176" s="151" t="s">
        <v>596</v>
      </c>
      <c r="D1176" s="141" t="s">
        <v>2020</v>
      </c>
      <c r="I1176" s="165">
        <v>2016</v>
      </c>
      <c r="J1176" s="165" t="s">
        <v>3223</v>
      </c>
      <c r="L1176" s="165" t="s">
        <v>19</v>
      </c>
      <c r="M1176" s="453" t="s">
        <v>4314</v>
      </c>
      <c r="AF1176" s="144" t="str">
        <f t="shared" si="94"/>
        <v/>
      </c>
      <c r="AG1176" s="144" t="str">
        <f t="shared" si="98"/>
        <v/>
      </c>
      <c r="AH1176" s="146">
        <f t="shared" si="95"/>
        <v>1.398639455782313</v>
      </c>
      <c r="AI1176" s="146">
        <f t="shared" si="96"/>
        <v>1.4025182312925171</v>
      </c>
      <c r="AJ1176" s="313"/>
      <c r="AK1176" s="313"/>
      <c r="AL1176" s="313"/>
      <c r="AM1176" s="313"/>
      <c r="AN1176" s="313"/>
      <c r="AO1176" s="313"/>
      <c r="AP1176" s="313"/>
      <c r="AQ1176" s="313"/>
      <c r="AR1176" s="313"/>
      <c r="AS1176" s="287"/>
      <c r="AT1176" s="175"/>
      <c r="AV1176" s="322"/>
      <c r="AW1176" s="279">
        <v>1.398639455782313</v>
      </c>
      <c r="AX1176" s="279"/>
      <c r="AY1176" s="279">
        <v>3.8787755102040818E-3</v>
      </c>
      <c r="AZ1176" s="279" t="s">
        <v>3192</v>
      </c>
      <c r="BA1176" s="279">
        <v>0.64414965986394557</v>
      </c>
      <c r="BB1176" s="279" t="s">
        <v>3192</v>
      </c>
      <c r="BC1176" s="279"/>
      <c r="BD1176" s="279">
        <v>-0.59278911564625858</v>
      </c>
      <c r="BE1176" s="276"/>
      <c r="BF1176" s="407">
        <f t="shared" si="97"/>
        <v>1.398639455782313</v>
      </c>
      <c r="BG1176" s="407">
        <v>1.4538787755102043</v>
      </c>
    </row>
    <row r="1177" spans="1:59" ht="15" customHeight="1" thickBot="1" x14ac:dyDescent="0.25">
      <c r="A1177" s="156">
        <v>1178</v>
      </c>
      <c r="B1177" s="155">
        <v>1</v>
      </c>
      <c r="C1177" s="151" t="s">
        <v>596</v>
      </c>
      <c r="D1177" s="141" t="s">
        <v>2020</v>
      </c>
      <c r="I1177" s="165">
        <v>2012</v>
      </c>
      <c r="J1177" s="165" t="s">
        <v>3224</v>
      </c>
      <c r="L1177" s="165" t="s">
        <v>19</v>
      </c>
      <c r="M1177" s="453" t="s">
        <v>4315</v>
      </c>
      <c r="AF1177" s="144" t="str">
        <f t="shared" si="94"/>
        <v/>
      </c>
      <c r="AG1177" s="144" t="str">
        <f t="shared" si="98"/>
        <v/>
      </c>
      <c r="AH1177" s="146">
        <f t="shared" si="95"/>
        <v>0.41115646258503408</v>
      </c>
      <c r="AI1177" s="146">
        <f t="shared" si="96"/>
        <v>0.53333333333333344</v>
      </c>
      <c r="AJ1177" s="313"/>
      <c r="AK1177" s="313"/>
      <c r="AL1177" s="313"/>
      <c r="AM1177" s="313"/>
      <c r="AN1177" s="313"/>
      <c r="AO1177" s="313"/>
      <c r="AP1177" s="313"/>
      <c r="AQ1177" s="313"/>
      <c r="AR1177" s="313"/>
      <c r="AS1177" s="287"/>
      <c r="AT1177" s="175"/>
      <c r="AV1177" s="322"/>
      <c r="AW1177" s="279">
        <v>0.41115646258503408</v>
      </c>
      <c r="AX1177" s="279"/>
      <c r="AY1177" s="279">
        <v>0.12217687074829936</v>
      </c>
      <c r="AZ1177" s="279">
        <v>1.1278911564625851</v>
      </c>
      <c r="BA1177" s="279">
        <v>9.3605442176870737E-2</v>
      </c>
      <c r="BB1177" s="279" t="s">
        <v>3192</v>
      </c>
      <c r="BC1177" s="279"/>
      <c r="BD1177" s="279" t="s">
        <v>3192</v>
      </c>
      <c r="BE1177" s="276"/>
      <c r="BF1177" s="407">
        <f t="shared" si="97"/>
        <v>0.41115646258503408</v>
      </c>
      <c r="BG1177" s="407">
        <v>1.7551020408163265</v>
      </c>
    </row>
    <row r="1178" spans="1:59" ht="15" customHeight="1" thickBot="1" x14ac:dyDescent="0.25">
      <c r="A1178" s="156">
        <v>1179</v>
      </c>
      <c r="B1178" s="155">
        <v>1</v>
      </c>
      <c r="C1178" s="151" t="s">
        <v>596</v>
      </c>
      <c r="D1178" s="141" t="s">
        <v>2020</v>
      </c>
      <c r="I1178" s="165">
        <v>2012</v>
      </c>
      <c r="J1178" s="165" t="s">
        <v>3225</v>
      </c>
      <c r="L1178" s="165" t="s">
        <v>19</v>
      </c>
      <c r="M1178" s="453" t="s">
        <v>4315</v>
      </c>
      <c r="AF1178" s="144" t="str">
        <f t="shared" si="94"/>
        <v/>
      </c>
      <c r="AG1178" s="144" t="str">
        <f t="shared" si="98"/>
        <v/>
      </c>
      <c r="AH1178" s="146">
        <f t="shared" si="95"/>
        <v>0.4118367346938776</v>
      </c>
      <c r="AI1178" s="146">
        <f t="shared" si="96"/>
        <v>1.1617687074829932</v>
      </c>
      <c r="AJ1178" s="313"/>
      <c r="AK1178" s="313"/>
      <c r="AL1178" s="313"/>
      <c r="AM1178" s="313"/>
      <c r="AN1178" s="313"/>
      <c r="AO1178" s="313"/>
      <c r="AP1178" s="313"/>
      <c r="AQ1178" s="313"/>
      <c r="AR1178" s="313"/>
      <c r="AS1178" s="287"/>
      <c r="AT1178" s="175"/>
      <c r="AV1178" s="322"/>
      <c r="AW1178" s="279">
        <v>0.4118367346938776</v>
      </c>
      <c r="AX1178" s="279"/>
      <c r="AY1178" s="279">
        <v>0.74993197278911561</v>
      </c>
      <c r="AZ1178" s="279">
        <v>1.1779591836734695</v>
      </c>
      <c r="BA1178" s="279">
        <v>9.5918367346938774E-2</v>
      </c>
      <c r="BB1178" s="279" t="s">
        <v>3192</v>
      </c>
      <c r="BC1178" s="279"/>
      <c r="BD1178" s="279" t="s">
        <v>3192</v>
      </c>
      <c r="BE1178" s="276"/>
      <c r="BF1178" s="407">
        <f t="shared" si="97"/>
        <v>0.4118367346938776</v>
      </c>
      <c r="BG1178" s="407">
        <v>2.435374149659864</v>
      </c>
    </row>
    <row r="1179" spans="1:59" ht="15" customHeight="1" thickBot="1" x14ac:dyDescent="0.25">
      <c r="A1179" s="156">
        <v>1180</v>
      </c>
      <c r="B1179" s="155">
        <v>1</v>
      </c>
      <c r="C1179" s="151" t="s">
        <v>596</v>
      </c>
      <c r="D1179" s="141" t="s">
        <v>2020</v>
      </c>
      <c r="I1179" s="165">
        <v>2013</v>
      </c>
      <c r="J1179" s="165" t="s">
        <v>3226</v>
      </c>
      <c r="L1179" s="165" t="s">
        <v>19</v>
      </c>
      <c r="M1179" s="453" t="s">
        <v>4316</v>
      </c>
      <c r="AF1179" s="144" t="str">
        <f t="shared" si="94"/>
        <v/>
      </c>
      <c r="AG1179" s="144" t="str">
        <f t="shared" si="98"/>
        <v/>
      </c>
      <c r="AH1179" s="146">
        <f t="shared" si="95"/>
        <v>0.13220408163265304</v>
      </c>
      <c r="AI1179" s="146" t="str">
        <f t="shared" si="96"/>
        <v/>
      </c>
      <c r="AJ1179" s="313"/>
      <c r="AK1179" s="313"/>
      <c r="AL1179" s="313"/>
      <c r="AM1179" s="313"/>
      <c r="AN1179" s="313"/>
      <c r="AO1179" s="313"/>
      <c r="AP1179" s="313"/>
      <c r="AQ1179" s="313"/>
      <c r="AR1179" s="313"/>
      <c r="AS1179" s="287"/>
      <c r="AT1179" s="175"/>
      <c r="AV1179" s="322"/>
      <c r="AW1179" s="279">
        <v>0.13220408163265304</v>
      </c>
      <c r="AX1179" s="279"/>
      <c r="AY1179" s="279" t="s">
        <v>3192</v>
      </c>
      <c r="AZ1179" s="279" t="s">
        <v>3192</v>
      </c>
      <c r="BA1179" s="279" t="s">
        <v>3192</v>
      </c>
      <c r="BB1179" s="279" t="s">
        <v>3192</v>
      </c>
      <c r="BC1179" s="279"/>
      <c r="BD1179" s="279" t="s">
        <v>3192</v>
      </c>
      <c r="BE1179" s="276"/>
      <c r="BF1179" s="407">
        <f t="shared" si="97"/>
        <v>0.13220408163265304</v>
      </c>
      <c r="BG1179" s="407" t="s">
        <v>3192</v>
      </c>
    </row>
    <row r="1180" spans="1:59" ht="15" customHeight="1" thickBot="1" x14ac:dyDescent="0.25">
      <c r="A1180" s="156">
        <v>1181</v>
      </c>
      <c r="B1180" s="197">
        <v>4</v>
      </c>
      <c r="C1180" s="151" t="s">
        <v>236</v>
      </c>
      <c r="D1180" s="148" t="s">
        <v>2017</v>
      </c>
      <c r="M1180" s="453"/>
      <c r="AF1180" s="144">
        <f t="shared" si="94"/>
        <v>28.264295951765718</v>
      </c>
      <c r="AG1180" s="144" t="str">
        <f t="shared" si="98"/>
        <v/>
      </c>
      <c r="AH1180" s="146" t="str">
        <f t="shared" si="95"/>
        <v/>
      </c>
      <c r="AI1180" s="146" t="str">
        <f t="shared" si="96"/>
        <v/>
      </c>
      <c r="AJ1180" s="313"/>
      <c r="AK1180" s="313"/>
      <c r="AL1180" s="313"/>
      <c r="AM1180" s="313"/>
      <c r="AN1180" s="313"/>
      <c r="AO1180" s="313"/>
      <c r="AP1180" s="313"/>
      <c r="AQ1180" s="313"/>
      <c r="AR1180" s="313"/>
      <c r="AS1180" s="287">
        <f>DAVERAGE('literature entries'!$D:$AI,"ACTIVE     CED, FARM GATE (MJ/kg)",berry)*4.54</f>
        <v>28.264295951765718</v>
      </c>
      <c r="AT1180" s="175"/>
      <c r="AV1180" s="433" t="s">
        <v>3298</v>
      </c>
      <c r="AW1180" s="279"/>
      <c r="AX1180" s="279"/>
      <c r="AY1180" s="279"/>
      <c r="AZ1180" s="279"/>
      <c r="BA1180" s="279"/>
      <c r="BB1180" s="279"/>
      <c r="BC1180" s="279"/>
      <c r="BD1180" s="279"/>
      <c r="BE1180" s="279"/>
    </row>
    <row r="1181" spans="1:59" ht="15" customHeight="1" thickBot="1" x14ac:dyDescent="0.25">
      <c r="A1181" s="156">
        <v>1182</v>
      </c>
      <c r="B1181" s="197">
        <v>2</v>
      </c>
      <c r="C1181" s="151" t="s">
        <v>236</v>
      </c>
      <c r="D1181" s="151" t="s">
        <v>2011</v>
      </c>
      <c r="J1181" s="165" t="s">
        <v>3299</v>
      </c>
      <c r="M1181" s="453" t="s">
        <v>4281</v>
      </c>
      <c r="AF1181" s="144">
        <f t="shared" si="94"/>
        <v>2.7020649299999997</v>
      </c>
      <c r="AG1181" s="144" t="str">
        <f t="shared" si="98"/>
        <v/>
      </c>
      <c r="AH1181" s="146">
        <f t="shared" si="95"/>
        <v>0.20832000000000001</v>
      </c>
      <c r="AI1181" s="146" t="str">
        <f t="shared" si="96"/>
        <v/>
      </c>
      <c r="AJ1181" s="313"/>
      <c r="AK1181" s="313"/>
      <c r="AL1181" s="313"/>
      <c r="AM1181" s="313"/>
      <c r="AN1181" s="313"/>
      <c r="AO1181" s="313"/>
      <c r="AP1181" s="313"/>
      <c r="AQ1181" s="313"/>
      <c r="AR1181" s="313"/>
      <c r="AS1181" s="173">
        <f>2.3985+0.3028+0.00076493</f>
        <v>2.7020649299999997</v>
      </c>
      <c r="AV1181" s="434"/>
      <c r="AW1181" s="279"/>
      <c r="AX1181" s="279"/>
      <c r="AY1181" s="279"/>
      <c r="AZ1181" s="279"/>
      <c r="BA1181" s="279"/>
      <c r="BB1181" s="279"/>
      <c r="BC1181" s="279"/>
      <c r="BD1181" s="279"/>
      <c r="BE1181" s="279"/>
      <c r="BF1181" s="394">
        <v>0.20832000000000001</v>
      </c>
    </row>
    <row r="1182" spans="1:59" ht="15" customHeight="1" thickBot="1" x14ac:dyDescent="0.25">
      <c r="A1182" s="156">
        <v>1183</v>
      </c>
      <c r="B1182" s="197">
        <v>2</v>
      </c>
      <c r="C1182" s="148" t="s">
        <v>587</v>
      </c>
      <c r="D1182" s="141" t="s">
        <v>2068</v>
      </c>
      <c r="J1182" s="165" t="s">
        <v>3300</v>
      </c>
      <c r="M1182" s="453"/>
      <c r="AF1182" s="144" t="str">
        <f t="shared" si="94"/>
        <v/>
      </c>
      <c r="AG1182" s="144">
        <f t="shared" si="98"/>
        <v>69.364547771906771</v>
      </c>
      <c r="AH1182" s="146" t="str">
        <f t="shared" si="95"/>
        <v/>
      </c>
      <c r="AI1182" s="146">
        <f t="shared" si="96"/>
        <v>6.7544572691172551</v>
      </c>
      <c r="AJ1182" s="313"/>
      <c r="AK1182" s="313"/>
      <c r="AL1182" s="317">
        <v>69.364547771906771</v>
      </c>
      <c r="AM1182" s="313"/>
      <c r="AN1182" s="313"/>
      <c r="AO1182" s="313"/>
      <c r="AP1182" s="313"/>
      <c r="AQ1182" s="313"/>
      <c r="AR1182" s="313"/>
      <c r="AV1182" s="322"/>
      <c r="AW1182" s="279"/>
      <c r="AX1182" s="279"/>
      <c r="AY1182" s="285">
        <v>6.7544572691172551</v>
      </c>
      <c r="AZ1182" s="279"/>
      <c r="BA1182" s="279"/>
      <c r="BB1182" s="279"/>
      <c r="BC1182" s="279"/>
      <c r="BD1182" s="279"/>
      <c r="BE1182" s="279"/>
    </row>
    <row r="1183" spans="1:59" ht="15" customHeight="1" thickBot="1" x14ac:dyDescent="0.25">
      <c r="A1183" s="156">
        <v>1184</v>
      </c>
      <c r="B1183" s="197">
        <v>2</v>
      </c>
      <c r="C1183" s="148" t="s">
        <v>24</v>
      </c>
      <c r="D1183" s="141" t="s">
        <v>2073</v>
      </c>
      <c r="J1183" s="165" t="s">
        <v>3302</v>
      </c>
      <c r="M1183" s="453"/>
      <c r="AF1183" s="144" t="str">
        <f t="shared" si="94"/>
        <v/>
      </c>
      <c r="AG1183" s="144">
        <f t="shared" si="98"/>
        <v>8.5</v>
      </c>
      <c r="AH1183" s="146" t="str">
        <f t="shared" si="95"/>
        <v/>
      </c>
      <c r="AI1183" s="146">
        <f t="shared" si="96"/>
        <v>0.84</v>
      </c>
      <c r="AJ1183" s="313"/>
      <c r="AK1183" s="313"/>
      <c r="AL1183" s="313">
        <v>8.5</v>
      </c>
      <c r="AM1183" s="313"/>
      <c r="AN1183" s="313"/>
      <c r="AO1183" s="313"/>
      <c r="AP1183" s="313"/>
      <c r="AQ1183" s="313"/>
      <c r="AR1183" s="313"/>
      <c r="AV1183" s="322"/>
      <c r="AW1183" s="279"/>
      <c r="AX1183" s="279"/>
      <c r="AY1183" s="279">
        <v>0.84</v>
      </c>
      <c r="AZ1183" s="279"/>
      <c r="BA1183" s="279"/>
      <c r="BB1183" s="279"/>
      <c r="BC1183" s="279"/>
      <c r="BD1183" s="279"/>
      <c r="BE1183" s="279"/>
    </row>
    <row r="1184" spans="1:59" ht="15" customHeight="1" thickBot="1" x14ac:dyDescent="0.25">
      <c r="A1184" s="156">
        <v>1185</v>
      </c>
      <c r="B1184" s="197">
        <v>1</v>
      </c>
      <c r="C1184" s="148" t="s">
        <v>596</v>
      </c>
      <c r="D1184" s="141" t="s">
        <v>2339</v>
      </c>
      <c r="F1184" s="251" t="s">
        <v>3348</v>
      </c>
      <c r="I1184" s="165">
        <v>2009</v>
      </c>
      <c r="J1184" s="165" t="s">
        <v>3336</v>
      </c>
      <c r="L1184" s="161" t="s">
        <v>274</v>
      </c>
      <c r="M1184" s="453" t="s">
        <v>4317</v>
      </c>
      <c r="AF1184" s="144" t="str">
        <f t="shared" si="94"/>
        <v/>
      </c>
      <c r="AG1184" s="144">
        <f t="shared" si="98"/>
        <v>4.1807661240187933E-3</v>
      </c>
      <c r="AH1184" s="146" t="str">
        <f t="shared" si="95"/>
        <v/>
      </c>
      <c r="AI1184" s="146">
        <f t="shared" si="96"/>
        <v>2.7919572459079257E-4</v>
      </c>
      <c r="AJ1184" s="313"/>
      <c r="AK1184" s="313"/>
      <c r="AL1184" s="313">
        <v>4.1807661240187933E-3</v>
      </c>
      <c r="AM1184" s="313">
        <v>3.2888693508947848E-3</v>
      </c>
      <c r="AN1184" s="313">
        <v>0</v>
      </c>
      <c r="AO1184" s="313"/>
      <c r="AP1184" s="313">
        <v>1.2821016113657633E-2</v>
      </c>
      <c r="AQ1184" s="313">
        <v>3.1550848349261826E-5</v>
      </c>
      <c r="AR1184" s="313"/>
      <c r="AT1184" s="173">
        <f>SUM(AJ1184:AR1184)</f>
        <v>2.0322202436920473E-2</v>
      </c>
      <c r="AV1184" s="322"/>
      <c r="AW1184" s="286"/>
      <c r="AX1184" s="286"/>
      <c r="AY1184" s="286">
        <v>2.7919572459079257E-4</v>
      </c>
      <c r="AZ1184" s="286">
        <v>1.4618831931363383E-4</v>
      </c>
      <c r="BA1184" s="286"/>
      <c r="BB1184" s="286"/>
      <c r="BC1184" s="286">
        <v>8.2081146499868188E-4</v>
      </c>
      <c r="BD1184" s="286">
        <v>8.2200972991108875E-6</v>
      </c>
      <c r="BE1184" s="286"/>
      <c r="BF1184" s="394">
        <f>AW1184</f>
        <v>0</v>
      </c>
      <c r="BG1184" s="394">
        <f>SUM(AW1184:BE1184)</f>
        <v>1.2544156062022191E-3</v>
      </c>
    </row>
    <row r="1185" spans="1:59" ht="15" customHeight="1" thickBot="1" x14ac:dyDescent="0.25">
      <c r="A1185" s="156">
        <v>1186</v>
      </c>
      <c r="B1185" s="197">
        <v>2</v>
      </c>
      <c r="C1185" s="148" t="s">
        <v>236</v>
      </c>
      <c r="D1185" s="151" t="s">
        <v>2444</v>
      </c>
      <c r="H1185" s="151" t="s">
        <v>1155</v>
      </c>
      <c r="J1185" s="165" t="s">
        <v>3304</v>
      </c>
      <c r="M1185" s="453" t="s">
        <v>4281</v>
      </c>
      <c r="AF1185" s="144">
        <f t="shared" si="94"/>
        <v>19.814250000000001</v>
      </c>
      <c r="AG1185" s="144" t="str">
        <f t="shared" si="98"/>
        <v/>
      </c>
      <c r="AH1185" s="146">
        <f t="shared" si="95"/>
        <v>3.5733000000000001</v>
      </c>
      <c r="AI1185" s="146" t="str">
        <f t="shared" si="96"/>
        <v/>
      </c>
      <c r="AJ1185" s="313"/>
      <c r="AK1185" s="313"/>
      <c r="AL1185" s="313"/>
      <c r="AM1185" s="313"/>
      <c r="AN1185" s="313"/>
      <c r="AO1185" s="313"/>
      <c r="AP1185" s="313"/>
      <c r="AQ1185" s="313"/>
      <c r="AR1185" s="313"/>
      <c r="AS1185" s="173">
        <f>17.751+2.0034+0.05985</f>
        <v>19.814250000000001</v>
      </c>
      <c r="AV1185" s="322"/>
      <c r="AW1185" s="276"/>
      <c r="AX1185" s="279"/>
      <c r="AY1185" s="279"/>
      <c r="AZ1185" s="279"/>
      <c r="BA1185" s="279"/>
      <c r="BB1185" s="279"/>
      <c r="BC1185" s="279"/>
      <c r="BD1185" s="279"/>
      <c r="BE1185" s="279"/>
      <c r="BF1185" s="407">
        <v>3.5733000000000001</v>
      </c>
    </row>
    <row r="1186" spans="1:59" ht="15" customHeight="1" thickBot="1" x14ac:dyDescent="0.25">
      <c r="A1186" s="156">
        <v>1187</v>
      </c>
      <c r="B1186" s="197">
        <v>2</v>
      </c>
      <c r="C1186" s="148" t="s">
        <v>236</v>
      </c>
      <c r="D1186" s="151" t="s">
        <v>2444</v>
      </c>
      <c r="H1186" s="151" t="s">
        <v>1155</v>
      </c>
      <c r="J1186" s="165" t="s">
        <v>3305</v>
      </c>
      <c r="M1186" s="453" t="s">
        <v>4281</v>
      </c>
      <c r="AF1186" s="144">
        <f t="shared" si="94"/>
        <v>18.157867</v>
      </c>
      <c r="AG1186" s="144" t="str">
        <f t="shared" si="98"/>
        <v/>
      </c>
      <c r="AH1186" s="146">
        <f t="shared" si="95"/>
        <v>2.5215999999999998</v>
      </c>
      <c r="AI1186" s="146" t="str">
        <f t="shared" si="96"/>
        <v/>
      </c>
      <c r="AJ1186" s="313"/>
      <c r="AK1186" s="313"/>
      <c r="AL1186" s="313"/>
      <c r="AM1186" s="313"/>
      <c r="AN1186" s="313"/>
      <c r="AO1186" s="313"/>
      <c r="AP1186" s="313"/>
      <c r="AQ1186" s="313"/>
      <c r="AR1186" s="313"/>
      <c r="AS1186" s="173">
        <f>16.25+1.8565+0.051367</f>
        <v>18.157867</v>
      </c>
      <c r="AV1186" s="322"/>
      <c r="AW1186" s="276"/>
      <c r="AX1186" s="279"/>
      <c r="AY1186" s="279"/>
      <c r="AZ1186" s="279"/>
      <c r="BA1186" s="279"/>
      <c r="BB1186" s="279"/>
      <c r="BC1186" s="279"/>
      <c r="BD1186" s="279"/>
      <c r="BE1186" s="279"/>
      <c r="BF1186" s="407">
        <v>2.5215999999999998</v>
      </c>
    </row>
    <row r="1187" spans="1:59" ht="15" customHeight="1" thickBot="1" x14ac:dyDescent="0.25">
      <c r="A1187" s="156">
        <v>1188</v>
      </c>
      <c r="B1187" s="197">
        <v>1</v>
      </c>
      <c r="C1187" s="148" t="s">
        <v>596</v>
      </c>
      <c r="D1187" s="151" t="s">
        <v>2338</v>
      </c>
      <c r="F1187" s="151" t="s">
        <v>3312</v>
      </c>
      <c r="I1187" s="165">
        <v>2009</v>
      </c>
      <c r="J1187" s="165" t="s">
        <v>3336</v>
      </c>
      <c r="L1187" s="161" t="s">
        <v>274</v>
      </c>
      <c r="M1187" s="453" t="s">
        <v>4317</v>
      </c>
      <c r="AF1187" s="144" t="str">
        <f t="shared" si="94"/>
        <v/>
      </c>
      <c r="AG1187" s="144">
        <f t="shared" si="98"/>
        <v>0.16778808044395427</v>
      </c>
      <c r="AH1187" s="146" t="str">
        <f t="shared" si="95"/>
        <v/>
      </c>
      <c r="AI1187" s="146">
        <f t="shared" si="96"/>
        <v>1.0926977736237927E-2</v>
      </c>
      <c r="AJ1187" s="313"/>
      <c r="AK1187" s="313"/>
      <c r="AL1187" s="313">
        <v>0.16778808044395427</v>
      </c>
      <c r="AM1187" s="313">
        <v>2.8875158029889807</v>
      </c>
      <c r="AN1187" s="313">
        <v>0.10033838697645106</v>
      </c>
      <c r="AO1187" s="313"/>
      <c r="AP1187" s="313">
        <v>0.13099733855258888</v>
      </c>
      <c r="AQ1187" s="313">
        <v>-0.52766842839949202</v>
      </c>
      <c r="AR1187" s="313"/>
      <c r="AT1187" s="173">
        <f t="shared" ref="AT1187:AT1221" si="99">SUM(AJ1187:AR1187)</f>
        <v>2.758971180562483</v>
      </c>
      <c r="AV1187" s="322"/>
      <c r="AW1187" s="276"/>
      <c r="AX1187" s="276"/>
      <c r="AY1187" s="276">
        <v>1.0926977736237927E-2</v>
      </c>
      <c r="AZ1187" s="276">
        <v>0.11726220432813288</v>
      </c>
      <c r="BA1187" s="276">
        <v>7.2135547726891458E-3</v>
      </c>
      <c r="BB1187" s="276"/>
      <c r="BC1187" s="276">
        <v>9.3704316150214507E-3</v>
      </c>
      <c r="BD1187" s="276">
        <v>-1.0515972871282383E-2</v>
      </c>
      <c r="BE1187" s="276"/>
      <c r="BF1187" s="394">
        <f t="shared" ref="BF1187:BF1250" si="100">AW1187</f>
        <v>0</v>
      </c>
      <c r="BG1187" s="394">
        <f t="shared" ref="BG1187:BG1221" si="101">SUM(AW1187:BE1187)</f>
        <v>0.13425719558079902</v>
      </c>
    </row>
    <row r="1188" spans="1:59" ht="15" customHeight="1" thickBot="1" x14ac:dyDescent="0.25">
      <c r="A1188" s="156">
        <v>1189</v>
      </c>
      <c r="B1188" s="197">
        <v>1</v>
      </c>
      <c r="C1188" s="148" t="s">
        <v>596</v>
      </c>
      <c r="D1188" s="151" t="s">
        <v>2338</v>
      </c>
      <c r="F1188" s="151" t="s">
        <v>3313</v>
      </c>
      <c r="I1188" s="165">
        <v>2009</v>
      </c>
      <c r="J1188" s="165" t="s">
        <v>3336</v>
      </c>
      <c r="L1188" s="161" t="s">
        <v>274</v>
      </c>
      <c r="M1188" s="453" t="s">
        <v>4317</v>
      </c>
      <c r="AF1188" s="144" t="str">
        <f t="shared" si="94"/>
        <v/>
      </c>
      <c r="AG1188" s="144">
        <f t="shared" si="98"/>
        <v>0.16778808044395427</v>
      </c>
      <c r="AH1188" s="146" t="str">
        <f t="shared" si="95"/>
        <v/>
      </c>
      <c r="AI1188" s="146">
        <f t="shared" si="96"/>
        <v>1.0926977736237927E-2</v>
      </c>
      <c r="AJ1188" s="313"/>
      <c r="AK1188" s="313"/>
      <c r="AL1188" s="313">
        <v>0.16778808044395427</v>
      </c>
      <c r="AM1188" s="313">
        <v>2.8875158029889807</v>
      </c>
      <c r="AN1188" s="313">
        <v>0.10033838697645106</v>
      </c>
      <c r="AO1188" s="313"/>
      <c r="AP1188" s="313">
        <v>0.13099733855258888</v>
      </c>
      <c r="AQ1188" s="313">
        <v>7.8040967648350802E-4</v>
      </c>
      <c r="AR1188" s="313"/>
      <c r="AT1188" s="173">
        <f t="shared" si="99"/>
        <v>3.2874200186384588</v>
      </c>
      <c r="AV1188" s="322"/>
      <c r="AW1188" s="276"/>
      <c r="AX1188" s="276"/>
      <c r="AY1188" s="276">
        <v>1.0926977736237927E-2</v>
      </c>
      <c r="AZ1188" s="276">
        <v>0.11726220432813288</v>
      </c>
      <c r="BA1188" s="276">
        <v>7.2135547726891458E-3</v>
      </c>
      <c r="BB1188" s="276"/>
      <c r="BC1188" s="276">
        <v>9.3704316150214507E-3</v>
      </c>
      <c r="BD1188" s="276">
        <v>3.2964267740312032E-3</v>
      </c>
      <c r="BE1188" s="276"/>
      <c r="BF1188" s="394">
        <f t="shared" si="100"/>
        <v>0</v>
      </c>
      <c r="BG1188" s="394">
        <f t="shared" si="101"/>
        <v>0.1480695952261126</v>
      </c>
    </row>
    <row r="1189" spans="1:59" ht="15" customHeight="1" thickBot="1" x14ac:dyDescent="0.25">
      <c r="A1189" s="156">
        <v>1190</v>
      </c>
      <c r="B1189" s="197">
        <v>1</v>
      </c>
      <c r="C1189" s="148" t="s">
        <v>596</v>
      </c>
      <c r="D1189" s="151" t="s">
        <v>2338</v>
      </c>
      <c r="F1189" s="151" t="s">
        <v>3314</v>
      </c>
      <c r="I1189" s="165">
        <v>2009</v>
      </c>
      <c r="J1189" s="165" t="s">
        <v>3336</v>
      </c>
      <c r="L1189" s="161" t="s">
        <v>274</v>
      </c>
      <c r="M1189" s="453" t="s">
        <v>4317</v>
      </c>
      <c r="AF1189" s="144" t="str">
        <f t="shared" si="94"/>
        <v/>
      </c>
      <c r="AG1189" s="144">
        <f t="shared" si="98"/>
        <v>0.16778808044395427</v>
      </c>
      <c r="AH1189" s="146" t="str">
        <f t="shared" si="95"/>
        <v/>
      </c>
      <c r="AI1189" s="146">
        <f t="shared" si="96"/>
        <v>1.0926977736237927E-2</v>
      </c>
      <c r="AJ1189" s="313"/>
      <c r="AK1189" s="313"/>
      <c r="AL1189" s="313">
        <v>0.16778808044395427</v>
      </c>
      <c r="AM1189" s="313">
        <v>2.8875158029889807</v>
      </c>
      <c r="AN1189" s="313">
        <v>0.10033838697645106</v>
      </c>
      <c r="AO1189" s="313"/>
      <c r="AP1189" s="313">
        <v>0.13099733855258888</v>
      </c>
      <c r="AQ1189" s="313">
        <v>-1.040230355204196</v>
      </c>
      <c r="AR1189" s="313"/>
      <c r="AT1189" s="173">
        <f t="shared" si="99"/>
        <v>2.2464092537577791</v>
      </c>
      <c r="AV1189" s="322"/>
      <c r="AW1189" s="276"/>
      <c r="AX1189" s="276"/>
      <c r="AY1189" s="276">
        <v>1.0926977736237927E-2</v>
      </c>
      <c r="AZ1189" s="276">
        <v>0.11726220432813288</v>
      </c>
      <c r="BA1189" s="276">
        <v>7.2135547726891458E-3</v>
      </c>
      <c r="BB1189" s="276"/>
      <c r="BC1189" s="276">
        <v>9.3704316150214507E-3</v>
      </c>
      <c r="BD1189" s="276">
        <v>-2.7098760994080571E-2</v>
      </c>
      <c r="BE1189" s="276"/>
      <c r="BF1189" s="394">
        <f t="shared" si="100"/>
        <v>0</v>
      </c>
      <c r="BG1189" s="394">
        <f t="shared" si="101"/>
        <v>0.11767440745800084</v>
      </c>
    </row>
    <row r="1190" spans="1:59" ht="15" customHeight="1" thickBot="1" x14ac:dyDescent="0.25">
      <c r="A1190" s="156">
        <v>1191</v>
      </c>
      <c r="B1190" s="197">
        <v>1</v>
      </c>
      <c r="C1190" s="148" t="s">
        <v>596</v>
      </c>
      <c r="D1190" s="151" t="s">
        <v>2338</v>
      </c>
      <c r="F1190" s="151" t="s">
        <v>3315</v>
      </c>
      <c r="I1190" s="165">
        <v>2009</v>
      </c>
      <c r="J1190" s="165" t="s">
        <v>3336</v>
      </c>
      <c r="L1190" s="161" t="s">
        <v>274</v>
      </c>
      <c r="M1190" s="453" t="s">
        <v>4317</v>
      </c>
      <c r="AF1190" s="144" t="str">
        <f t="shared" si="94"/>
        <v/>
      </c>
      <c r="AG1190" s="144">
        <f t="shared" si="98"/>
        <v>0.16778808044395427</v>
      </c>
      <c r="AH1190" s="146" t="str">
        <f t="shared" si="95"/>
        <v/>
      </c>
      <c r="AI1190" s="146">
        <f t="shared" si="96"/>
        <v>1.0926977736237927E-2</v>
      </c>
      <c r="AJ1190" s="313"/>
      <c r="AK1190" s="313"/>
      <c r="AL1190" s="313">
        <v>0.16778808044395427</v>
      </c>
      <c r="AM1190" s="313">
        <v>3.7125203181286892</v>
      </c>
      <c r="AN1190" s="313">
        <v>0.10033838697645106</v>
      </c>
      <c r="AO1190" s="313"/>
      <c r="AP1190" s="313">
        <v>6.6892257984300693E-2</v>
      </c>
      <c r="AQ1190" s="313">
        <v>-0.73187098178365007</v>
      </c>
      <c r="AR1190" s="313"/>
      <c r="AT1190" s="173">
        <f t="shared" si="99"/>
        <v>3.3156680617497449</v>
      </c>
      <c r="AV1190" s="322"/>
      <c r="AW1190" s="276"/>
      <c r="AX1190" s="276"/>
      <c r="AY1190" s="276">
        <v>1.0926977736237927E-2</v>
      </c>
      <c r="AZ1190" s="276">
        <v>0.15299446401610467</v>
      </c>
      <c r="BA1190" s="276">
        <v>7.2734680183094884E-3</v>
      </c>
      <c r="BB1190" s="276"/>
      <c r="BC1190" s="276">
        <v>4.7211637548829292E-3</v>
      </c>
      <c r="BD1190" s="276">
        <v>-1.4579289189253962E-2</v>
      </c>
      <c r="BE1190" s="276"/>
      <c r="BF1190" s="394">
        <f t="shared" si="100"/>
        <v>0</v>
      </c>
      <c r="BG1190" s="394">
        <f t="shared" si="101"/>
        <v>0.16133678433628107</v>
      </c>
    </row>
    <row r="1191" spans="1:59" ht="15" customHeight="1" thickBot="1" x14ac:dyDescent="0.25">
      <c r="A1191" s="156">
        <v>1192</v>
      </c>
      <c r="B1191" s="197">
        <v>1</v>
      </c>
      <c r="C1191" s="148" t="s">
        <v>596</v>
      </c>
      <c r="D1191" s="151" t="s">
        <v>2338</v>
      </c>
      <c r="F1191" s="151" t="s">
        <v>3316</v>
      </c>
      <c r="I1191" s="165">
        <v>2009</v>
      </c>
      <c r="J1191" s="165" t="s">
        <v>3336</v>
      </c>
      <c r="L1191" s="161" t="s">
        <v>274</v>
      </c>
      <c r="M1191" s="453" t="s">
        <v>4317</v>
      </c>
      <c r="AF1191" s="144" t="str">
        <f t="shared" si="94"/>
        <v/>
      </c>
      <c r="AG1191" s="144">
        <f t="shared" si="98"/>
        <v>0.16778808044395427</v>
      </c>
      <c r="AH1191" s="146" t="str">
        <f t="shared" si="95"/>
        <v/>
      </c>
      <c r="AI1191" s="146">
        <f t="shared" si="96"/>
        <v>1.0926977736237927E-2</v>
      </c>
      <c r="AJ1191" s="313"/>
      <c r="AK1191" s="313"/>
      <c r="AL1191" s="313">
        <v>0.16778808044395427</v>
      </c>
      <c r="AM1191" s="313">
        <v>5.6523957996734087</v>
      </c>
      <c r="AN1191" s="313">
        <v>0.10312556439246358</v>
      </c>
      <c r="AO1191" s="313"/>
      <c r="AP1191" s="313">
        <v>0.27593056418524042</v>
      </c>
      <c r="AQ1191" s="313">
        <v>-1.0393663302052321</v>
      </c>
      <c r="AR1191" s="313"/>
      <c r="AT1191" s="173">
        <f t="shared" si="99"/>
        <v>5.1598736784898351</v>
      </c>
      <c r="AV1191" s="322"/>
      <c r="AW1191" s="276"/>
      <c r="AX1191" s="276"/>
      <c r="AY1191" s="276">
        <v>1.0926977736237927E-2</v>
      </c>
      <c r="AZ1191" s="276">
        <v>0.23006686318211231</v>
      </c>
      <c r="BA1191" s="276">
        <v>7.4532077551705128E-3</v>
      </c>
      <c r="BB1191" s="276"/>
      <c r="BC1191" s="276">
        <v>1.9771371054712779E-2</v>
      </c>
      <c r="BD1191" s="276">
        <v>-2.0789896230258582E-2</v>
      </c>
      <c r="BE1191" s="276"/>
      <c r="BF1191" s="394">
        <f t="shared" si="100"/>
        <v>0</v>
      </c>
      <c r="BG1191" s="394">
        <f t="shared" si="101"/>
        <v>0.24742852349797492</v>
      </c>
    </row>
    <row r="1192" spans="1:59" ht="15" customHeight="1" thickBot="1" x14ac:dyDescent="0.25">
      <c r="A1192" s="156">
        <v>1193</v>
      </c>
      <c r="B1192" s="197">
        <v>1</v>
      </c>
      <c r="C1192" s="148" t="s">
        <v>596</v>
      </c>
      <c r="D1192" s="151" t="s">
        <v>2338</v>
      </c>
      <c r="F1192" s="151" t="s">
        <v>3317</v>
      </c>
      <c r="I1192" s="165">
        <v>2009</v>
      </c>
      <c r="J1192" s="165" t="s">
        <v>3336</v>
      </c>
      <c r="L1192" s="161" t="s">
        <v>274</v>
      </c>
      <c r="M1192" s="453" t="s">
        <v>4317</v>
      </c>
      <c r="AF1192" s="144" t="str">
        <f t="shared" si="94"/>
        <v/>
      </c>
      <c r="AG1192" s="144">
        <f t="shared" si="98"/>
        <v>0.16778808044395427</v>
      </c>
      <c r="AH1192" s="146" t="str">
        <f t="shared" si="95"/>
        <v/>
      </c>
      <c r="AI1192" s="146">
        <f t="shared" si="96"/>
        <v>1.0926977736237927E-2</v>
      </c>
      <c r="AJ1192" s="313"/>
      <c r="AK1192" s="313"/>
      <c r="AL1192" s="313">
        <v>0.16778808044395427</v>
      </c>
      <c r="AM1192" s="313">
        <v>2.2631880618021736</v>
      </c>
      <c r="AN1192" s="313">
        <v>0.10033838697645106</v>
      </c>
      <c r="AO1192" s="313"/>
      <c r="AP1192" s="313">
        <v>0.13099733855258888</v>
      </c>
      <c r="AQ1192" s="313">
        <v>-0.39941645960167549</v>
      </c>
      <c r="AR1192" s="313"/>
      <c r="AT1192" s="173">
        <f t="shared" si="99"/>
        <v>2.2628954081734927</v>
      </c>
      <c r="AV1192" s="322"/>
      <c r="AW1192" s="276"/>
      <c r="AX1192" s="276"/>
      <c r="AY1192" s="276">
        <v>1.0926977736237927E-2</v>
      </c>
      <c r="AZ1192" s="276">
        <v>9.1379682220145239E-2</v>
      </c>
      <c r="BA1192" s="276">
        <v>7.1536415270688049E-3</v>
      </c>
      <c r="BB1192" s="276"/>
      <c r="BC1192" s="276">
        <v>9.3704316150214507E-3</v>
      </c>
      <c r="BD1192" s="276">
        <v>-7.968461667505455E-3</v>
      </c>
      <c r="BE1192" s="276"/>
      <c r="BF1192" s="394">
        <f t="shared" si="100"/>
        <v>0</v>
      </c>
      <c r="BG1192" s="394">
        <f t="shared" si="101"/>
        <v>0.11086227143096797</v>
      </c>
    </row>
    <row r="1193" spans="1:59" ht="15" customHeight="1" thickBot="1" x14ac:dyDescent="0.25">
      <c r="A1193" s="156">
        <v>1194</v>
      </c>
      <c r="B1193" s="197">
        <v>1</v>
      </c>
      <c r="C1193" s="148" t="s">
        <v>596</v>
      </c>
      <c r="D1193" s="151" t="s">
        <v>2338</v>
      </c>
      <c r="F1193" s="151" t="s">
        <v>3318</v>
      </c>
      <c r="I1193" s="165">
        <v>2009</v>
      </c>
      <c r="J1193" s="165" t="s">
        <v>3336</v>
      </c>
      <c r="L1193" s="161" t="s">
        <v>274</v>
      </c>
      <c r="M1193" s="453" t="s">
        <v>4317</v>
      </c>
      <c r="AF1193" s="144" t="str">
        <f t="shared" si="94"/>
        <v/>
      </c>
      <c r="AG1193" s="144">
        <f t="shared" si="98"/>
        <v>0.16778808044395427</v>
      </c>
      <c r="AH1193" s="146" t="str">
        <f t="shared" si="95"/>
        <v/>
      </c>
      <c r="AI1193" s="146">
        <f t="shared" si="96"/>
        <v>1.0926977736237927E-2</v>
      </c>
      <c r="AJ1193" s="313"/>
      <c r="AK1193" s="313"/>
      <c r="AL1193" s="313">
        <v>0.16778808044395427</v>
      </c>
      <c r="AM1193" s="313">
        <v>2.243677819890086</v>
      </c>
      <c r="AN1193" s="313">
        <v>0.10033838697645106</v>
      </c>
      <c r="AO1193" s="313"/>
      <c r="AP1193" s="313">
        <v>0.13099733855258888</v>
      </c>
      <c r="AQ1193" s="313">
        <v>-0.39941645960167549</v>
      </c>
      <c r="AR1193" s="313"/>
      <c r="AT1193" s="173">
        <f t="shared" si="99"/>
        <v>2.2433851662614051</v>
      </c>
      <c r="AV1193" s="322"/>
      <c r="AW1193" s="276"/>
      <c r="AX1193" s="276"/>
      <c r="AY1193" s="276">
        <v>1.0926977736237927E-2</v>
      </c>
      <c r="AZ1193" s="276">
        <v>9.0061590816497714E-2</v>
      </c>
      <c r="BA1193" s="276">
        <v>7.1536415270688049E-3</v>
      </c>
      <c r="BB1193" s="276"/>
      <c r="BC1193" s="276">
        <v>9.3704316150214507E-3</v>
      </c>
      <c r="BD1193" s="276">
        <v>-7.968461667505455E-3</v>
      </c>
      <c r="BE1193" s="276"/>
      <c r="BF1193" s="394">
        <f t="shared" si="100"/>
        <v>0</v>
      </c>
      <c r="BG1193" s="394">
        <f t="shared" si="101"/>
        <v>0.10954418002732044</v>
      </c>
    </row>
    <row r="1194" spans="1:59" ht="15" customHeight="1" thickBot="1" x14ac:dyDescent="0.25">
      <c r="A1194" s="156">
        <v>1195</v>
      </c>
      <c r="B1194" s="197">
        <v>1</v>
      </c>
      <c r="C1194" s="148" t="s">
        <v>596</v>
      </c>
      <c r="D1194" s="151" t="s">
        <v>2338</v>
      </c>
      <c r="F1194" s="151" t="s">
        <v>3319</v>
      </c>
      <c r="I1194" s="165">
        <v>2009</v>
      </c>
      <c r="J1194" s="165" t="s">
        <v>3336</v>
      </c>
      <c r="L1194" s="161" t="s">
        <v>274</v>
      </c>
      <c r="M1194" s="453" t="s">
        <v>4317</v>
      </c>
      <c r="AF1194" s="144" t="str">
        <f t="shared" si="94"/>
        <v/>
      </c>
      <c r="AG1194" s="144">
        <f t="shared" si="98"/>
        <v>0.16778808044395427</v>
      </c>
      <c r="AH1194" s="146" t="str">
        <f t="shared" si="95"/>
        <v/>
      </c>
      <c r="AI1194" s="146">
        <f t="shared" si="96"/>
        <v>1.0926977736237927E-2</v>
      </c>
      <c r="AJ1194" s="313"/>
      <c r="AK1194" s="313"/>
      <c r="AL1194" s="313">
        <v>0.16778808044395427</v>
      </c>
      <c r="AM1194" s="313">
        <v>2.6784774967880405</v>
      </c>
      <c r="AN1194" s="313">
        <v>0.10033838697645106</v>
      </c>
      <c r="AO1194" s="313"/>
      <c r="AP1194" s="313">
        <v>0.13099733855258888</v>
      </c>
      <c r="AQ1194" s="313">
        <v>-0.4552018155831663</v>
      </c>
      <c r="AR1194" s="313"/>
      <c r="AT1194" s="173">
        <f t="shared" si="99"/>
        <v>2.6223994871778684</v>
      </c>
      <c r="AV1194" s="322"/>
      <c r="AW1194" s="276"/>
      <c r="AX1194" s="276"/>
      <c r="AY1194" s="276">
        <v>1.0926977736237927E-2</v>
      </c>
      <c r="AZ1194" s="276">
        <v>0.11031226783617321</v>
      </c>
      <c r="BA1194" s="276">
        <v>7.2135547726891458E-3</v>
      </c>
      <c r="BB1194" s="276"/>
      <c r="BC1194" s="276">
        <v>9.3704316150214507E-3</v>
      </c>
      <c r="BD1194" s="276">
        <v>-8.4309919236944912E-3</v>
      </c>
      <c r="BE1194" s="276"/>
      <c r="BF1194" s="394">
        <f t="shared" si="100"/>
        <v>0</v>
      </c>
      <c r="BG1194" s="394">
        <f t="shared" si="101"/>
        <v>0.12939224003642724</v>
      </c>
    </row>
    <row r="1195" spans="1:59" ht="15" customHeight="1" thickBot="1" x14ac:dyDescent="0.25">
      <c r="A1195" s="156">
        <v>1196</v>
      </c>
      <c r="B1195" s="197">
        <v>1</v>
      </c>
      <c r="C1195" s="148" t="s">
        <v>596</v>
      </c>
      <c r="D1195" s="151" t="s">
        <v>2338</v>
      </c>
      <c r="F1195" s="151" t="s">
        <v>3320</v>
      </c>
      <c r="I1195" s="165">
        <v>2009</v>
      </c>
      <c r="J1195" s="165" t="s">
        <v>3336</v>
      </c>
      <c r="L1195" s="161" t="s">
        <v>274</v>
      </c>
      <c r="M1195" s="453" t="s">
        <v>4317</v>
      </c>
      <c r="AF1195" s="144" t="str">
        <f t="shared" si="94"/>
        <v/>
      </c>
      <c r="AG1195" s="144">
        <f t="shared" si="98"/>
        <v>0.16778808044395427</v>
      </c>
      <c r="AH1195" s="146" t="str">
        <f t="shared" si="95"/>
        <v/>
      </c>
      <c r="AI1195" s="146">
        <f t="shared" si="96"/>
        <v>1.0926977736237927E-2</v>
      </c>
      <c r="AJ1195" s="313"/>
      <c r="AK1195" s="313"/>
      <c r="AL1195" s="313">
        <v>0.16778808044395427</v>
      </c>
      <c r="AM1195" s="313">
        <v>2.4694391905871003</v>
      </c>
      <c r="AN1195" s="313">
        <v>0.10033838697645106</v>
      </c>
      <c r="AO1195" s="313"/>
      <c r="AP1195" s="313">
        <v>0.13099733855258888</v>
      </c>
      <c r="AQ1195" s="313">
        <v>7.8040967648350802E-4</v>
      </c>
      <c r="AR1195" s="313"/>
      <c r="AT1195" s="173">
        <f t="shared" si="99"/>
        <v>2.8693434062365784</v>
      </c>
      <c r="AV1195" s="322"/>
      <c r="AW1195" s="276"/>
      <c r="AX1195" s="276"/>
      <c r="AY1195" s="276">
        <v>1.0926977736237927E-2</v>
      </c>
      <c r="AZ1195" s="276">
        <v>0.10324250485297289</v>
      </c>
      <c r="BA1195" s="276">
        <v>7.2135547726891458E-3</v>
      </c>
      <c r="BB1195" s="276"/>
      <c r="BC1195" s="276">
        <v>9.3704316150214507E-3</v>
      </c>
      <c r="BD1195" s="276">
        <v>3.2964267740312032E-3</v>
      </c>
      <c r="BE1195" s="276"/>
      <c r="BF1195" s="394">
        <f t="shared" si="100"/>
        <v>0</v>
      </c>
      <c r="BG1195" s="394">
        <f t="shared" si="101"/>
        <v>0.13404989575095261</v>
      </c>
    </row>
    <row r="1196" spans="1:59" ht="15" customHeight="1" thickBot="1" x14ac:dyDescent="0.25">
      <c r="A1196" s="156">
        <v>1197</v>
      </c>
      <c r="B1196" s="197">
        <v>1</v>
      </c>
      <c r="C1196" s="148" t="s">
        <v>596</v>
      </c>
      <c r="D1196" s="151" t="s">
        <v>2338</v>
      </c>
      <c r="F1196" s="151" t="s">
        <v>3321</v>
      </c>
      <c r="I1196" s="165">
        <v>2009</v>
      </c>
      <c r="J1196" s="165" t="s">
        <v>3336</v>
      </c>
      <c r="L1196" s="161" t="s">
        <v>274</v>
      </c>
      <c r="M1196" s="453" t="s">
        <v>4317</v>
      </c>
      <c r="AF1196" s="144" t="str">
        <f t="shared" si="94"/>
        <v/>
      </c>
      <c r="AG1196" s="144">
        <f t="shared" si="98"/>
        <v>0.16778808044395427</v>
      </c>
      <c r="AH1196" s="146" t="str">
        <f t="shared" si="95"/>
        <v/>
      </c>
      <c r="AI1196" s="146">
        <f t="shared" si="96"/>
        <v>1.0926977736237927E-2</v>
      </c>
      <c r="AJ1196" s="313"/>
      <c r="AK1196" s="313"/>
      <c r="AL1196" s="313">
        <v>0.16778808044395427</v>
      </c>
      <c r="AM1196" s="313">
        <v>2.8875158029889807</v>
      </c>
      <c r="AN1196" s="313">
        <v>0.10033838697645106</v>
      </c>
      <c r="AO1196" s="313"/>
      <c r="AP1196" s="313">
        <v>0.13099733855258888</v>
      </c>
      <c r="AQ1196" s="313">
        <v>-1.040230355204196</v>
      </c>
      <c r="AR1196" s="313"/>
      <c r="AT1196" s="173">
        <f t="shared" si="99"/>
        <v>2.2464092537577791</v>
      </c>
      <c r="AV1196" s="322"/>
      <c r="AW1196" s="276"/>
      <c r="AX1196" s="276"/>
      <c r="AY1196" s="276">
        <v>1.0926977736237927E-2</v>
      </c>
      <c r="AZ1196" s="276">
        <v>0.11726220432813288</v>
      </c>
      <c r="BA1196" s="276">
        <v>7.2135547726891458E-3</v>
      </c>
      <c r="BB1196" s="276"/>
      <c r="BC1196" s="276">
        <v>9.3704316150214507E-3</v>
      </c>
      <c r="BD1196" s="276">
        <v>-2.7098760994080571E-2</v>
      </c>
      <c r="BE1196" s="276"/>
      <c r="BF1196" s="394">
        <f t="shared" si="100"/>
        <v>0</v>
      </c>
      <c r="BG1196" s="394">
        <f t="shared" si="101"/>
        <v>0.11767440745800084</v>
      </c>
    </row>
    <row r="1197" spans="1:59" ht="15" customHeight="1" thickBot="1" x14ac:dyDescent="0.25">
      <c r="A1197" s="156">
        <v>1198</v>
      </c>
      <c r="B1197" s="197">
        <v>1</v>
      </c>
      <c r="C1197" s="148" t="s">
        <v>596</v>
      </c>
      <c r="D1197" s="151" t="s">
        <v>2338</v>
      </c>
      <c r="F1197" s="151" t="s">
        <v>3322</v>
      </c>
      <c r="I1197" s="165">
        <v>2009</v>
      </c>
      <c r="J1197" s="165" t="s">
        <v>3336</v>
      </c>
      <c r="L1197" s="161" t="s">
        <v>274</v>
      </c>
      <c r="M1197" s="453" t="s">
        <v>4317</v>
      </c>
      <c r="AF1197" s="144" t="str">
        <f t="shared" ref="AF1197:AF1260" si="102">IF(AS1197&lt;&gt;0,AS1197,"")</f>
        <v/>
      </c>
      <c r="AG1197" s="144">
        <f t="shared" si="98"/>
        <v>0.16778808044395427</v>
      </c>
      <c r="AH1197" s="146" t="str">
        <f t="shared" si="95"/>
        <v/>
      </c>
      <c r="AI1197" s="146">
        <f t="shared" si="96"/>
        <v>1.0926977736237927E-2</v>
      </c>
      <c r="AJ1197" s="313"/>
      <c r="AK1197" s="313"/>
      <c r="AL1197" s="313">
        <v>0.16778808044395427</v>
      </c>
      <c r="AM1197" s="313">
        <v>2.1795727393217978</v>
      </c>
      <c r="AN1197" s="313">
        <v>0.10033838697645106</v>
      </c>
      <c r="AO1197" s="313"/>
      <c r="AP1197" s="313">
        <v>0.13099733855258888</v>
      </c>
      <c r="AQ1197" s="313">
        <v>-3.2944437057268093E-2</v>
      </c>
      <c r="AR1197" s="313"/>
      <c r="AT1197" s="173">
        <f t="shared" si="99"/>
        <v>2.5457521082375241</v>
      </c>
      <c r="AV1197" s="322"/>
      <c r="AW1197" s="276"/>
      <c r="AX1197" s="276"/>
      <c r="AY1197" s="276">
        <v>1.0926977736237927E-2</v>
      </c>
      <c r="AZ1197" s="276">
        <v>0.12253456994272294</v>
      </c>
      <c r="BA1197" s="276">
        <v>7.2135547726891458E-3</v>
      </c>
      <c r="BB1197" s="276"/>
      <c r="BC1197" s="276">
        <v>9.3704316150214507E-3</v>
      </c>
      <c r="BD1197" s="276">
        <v>-4.641598964699116E-2</v>
      </c>
      <c r="BE1197" s="276"/>
      <c r="BF1197" s="394">
        <f t="shared" si="100"/>
        <v>0</v>
      </c>
      <c r="BG1197" s="394">
        <f t="shared" si="101"/>
        <v>0.10362954441968032</v>
      </c>
    </row>
    <row r="1198" spans="1:59" ht="15" customHeight="1" thickBot="1" x14ac:dyDescent="0.25">
      <c r="A1198" s="156">
        <v>1199</v>
      </c>
      <c r="B1198" s="197">
        <v>1</v>
      </c>
      <c r="C1198" s="148" t="s">
        <v>596</v>
      </c>
      <c r="D1198" s="151" t="s">
        <v>2338</v>
      </c>
      <c r="F1198" s="151" t="s">
        <v>3323</v>
      </c>
      <c r="I1198" s="165">
        <v>2009</v>
      </c>
      <c r="J1198" s="165" t="s">
        <v>3336</v>
      </c>
      <c r="L1198" s="161" t="s">
        <v>274</v>
      </c>
      <c r="M1198" s="453" t="s">
        <v>4317</v>
      </c>
      <c r="AF1198" s="144" t="str">
        <f t="shared" si="102"/>
        <v/>
      </c>
      <c r="AG1198" s="144">
        <f t="shared" si="98"/>
        <v>0.16778808044395427</v>
      </c>
      <c r="AH1198" s="146" t="str">
        <f t="shared" si="95"/>
        <v/>
      </c>
      <c r="AI1198" s="146">
        <f t="shared" si="96"/>
        <v>1.0926977736237927E-2</v>
      </c>
      <c r="AJ1198" s="313"/>
      <c r="AK1198" s="313"/>
      <c r="AL1198" s="313">
        <v>0.16778808044395427</v>
      </c>
      <c r="AM1198" s="313">
        <v>2.1795727393217978</v>
      </c>
      <c r="AN1198" s="313">
        <v>0.10033838697645106</v>
      </c>
      <c r="AO1198" s="313"/>
      <c r="AP1198" s="313">
        <v>0.13099733855258888</v>
      </c>
      <c r="AQ1198" s="313">
        <v>-0.15697383206982565</v>
      </c>
      <c r="AR1198" s="313"/>
      <c r="AT1198" s="173">
        <f t="shared" si="99"/>
        <v>2.4217227132249666</v>
      </c>
      <c r="AV1198" s="322"/>
      <c r="AW1198" s="276"/>
      <c r="AX1198" s="276"/>
      <c r="AY1198" s="276">
        <v>1.0926977736237927E-2</v>
      </c>
      <c r="AZ1198" s="276">
        <v>0.12253456994272294</v>
      </c>
      <c r="BA1198" s="276">
        <v>7.2135547726891458E-3</v>
      </c>
      <c r="BB1198" s="276"/>
      <c r="BC1198" s="276">
        <v>9.3704316150214507E-3</v>
      </c>
      <c r="BD1198" s="276">
        <v>6.6939871066695425E-2</v>
      </c>
      <c r="BE1198" s="276"/>
      <c r="BF1198" s="394">
        <f t="shared" si="100"/>
        <v>0</v>
      </c>
      <c r="BG1198" s="394">
        <f t="shared" si="101"/>
        <v>0.21698540513336689</v>
      </c>
    </row>
    <row r="1199" spans="1:59" ht="15" customHeight="1" thickBot="1" x14ac:dyDescent="0.25">
      <c r="A1199" s="156">
        <v>1200</v>
      </c>
      <c r="B1199" s="197">
        <v>1</v>
      </c>
      <c r="C1199" s="148" t="s">
        <v>596</v>
      </c>
      <c r="D1199" s="151" t="s">
        <v>2338</v>
      </c>
      <c r="F1199" s="151" t="s">
        <v>3324</v>
      </c>
      <c r="I1199" s="165">
        <v>2009</v>
      </c>
      <c r="J1199" s="165" t="s">
        <v>3336</v>
      </c>
      <c r="L1199" s="161" t="s">
        <v>274</v>
      </c>
      <c r="M1199" s="453" t="s">
        <v>4317</v>
      </c>
      <c r="AF1199" s="144" t="str">
        <f t="shared" si="102"/>
        <v/>
      </c>
      <c r="AG1199" s="144">
        <f t="shared" si="98"/>
        <v>0.16778808044395427</v>
      </c>
      <c r="AH1199" s="146" t="str">
        <f t="shared" si="95"/>
        <v/>
      </c>
      <c r="AI1199" s="146">
        <f t="shared" si="96"/>
        <v>1.0926977736237927E-2</v>
      </c>
      <c r="AJ1199" s="313"/>
      <c r="AK1199" s="313"/>
      <c r="AL1199" s="313">
        <v>0.16778808044395427</v>
      </c>
      <c r="AM1199" s="313">
        <v>2.1795727393217978</v>
      </c>
      <c r="AN1199" s="313">
        <v>0.10033838697645106</v>
      </c>
      <c r="AO1199" s="313"/>
      <c r="AP1199" s="313">
        <v>0.13099733855258888</v>
      </c>
      <c r="AQ1199" s="313">
        <v>-3.7961356406090642E-2</v>
      </c>
      <c r="AR1199" s="313"/>
      <c r="AT1199" s="173">
        <f t="shared" si="99"/>
        <v>2.5407351888887018</v>
      </c>
      <c r="AV1199" s="322"/>
      <c r="AW1199" s="276"/>
      <c r="AX1199" s="276"/>
      <c r="AY1199" s="276">
        <v>1.0926977736237927E-2</v>
      </c>
      <c r="AZ1199" s="276">
        <v>0.12253456994272294</v>
      </c>
      <c r="BA1199" s="276">
        <v>7.2135547726891458E-3</v>
      </c>
      <c r="BB1199" s="276"/>
      <c r="BC1199" s="276">
        <v>9.3704316150214507E-3</v>
      </c>
      <c r="BD1199" s="276">
        <v>-8.6472184198043444E-20</v>
      </c>
      <c r="BE1199" s="276"/>
      <c r="BF1199" s="394">
        <f t="shared" si="100"/>
        <v>0</v>
      </c>
      <c r="BG1199" s="394">
        <f t="shared" si="101"/>
        <v>0.15004553406667148</v>
      </c>
    </row>
    <row r="1200" spans="1:59" ht="15" customHeight="1" thickBot="1" x14ac:dyDescent="0.25">
      <c r="A1200" s="156">
        <v>1201</v>
      </c>
      <c r="B1200" s="197">
        <v>1</v>
      </c>
      <c r="C1200" s="148" t="s">
        <v>596</v>
      </c>
      <c r="D1200" s="151" t="s">
        <v>2338</v>
      </c>
      <c r="F1200" s="151" t="s">
        <v>3325</v>
      </c>
      <c r="I1200" s="165">
        <v>2009</v>
      </c>
      <c r="J1200" s="165" t="s">
        <v>3336</v>
      </c>
      <c r="L1200" s="161" t="s">
        <v>274</v>
      </c>
      <c r="M1200" s="453" t="s">
        <v>4317</v>
      </c>
      <c r="AF1200" s="144" t="str">
        <f t="shared" si="102"/>
        <v/>
      </c>
      <c r="AG1200" s="144">
        <f t="shared" si="98"/>
        <v>8.4172757963578398E-2</v>
      </c>
      <c r="AH1200" s="146" t="str">
        <f t="shared" si="95"/>
        <v/>
      </c>
      <c r="AI1200" s="146">
        <f t="shared" si="96"/>
        <v>5.438924437414624E-3</v>
      </c>
      <c r="AJ1200" s="313"/>
      <c r="AK1200" s="313"/>
      <c r="AL1200" s="313">
        <v>8.4172757963578398E-2</v>
      </c>
      <c r="AM1200" s="313">
        <v>2.8875158029889807</v>
      </c>
      <c r="AN1200" s="313">
        <v>0.26199467710517776</v>
      </c>
      <c r="AO1200" s="313"/>
      <c r="AP1200" s="313">
        <v>0.13099733855258888</v>
      </c>
      <c r="AQ1200" s="313">
        <v>-0.52819799210853446</v>
      </c>
      <c r="AR1200" s="313"/>
      <c r="AT1200" s="173">
        <f t="shared" si="99"/>
        <v>2.8364825845017911</v>
      </c>
      <c r="AV1200" s="322"/>
      <c r="AW1200" s="276"/>
      <c r="AX1200" s="276"/>
      <c r="AY1200" s="276">
        <v>5.438924437414624E-3</v>
      </c>
      <c r="AZ1200" s="276">
        <v>0.11726220432813288</v>
      </c>
      <c r="BA1200" s="276">
        <v>1.8692932633546624E-2</v>
      </c>
      <c r="BB1200" s="276"/>
      <c r="BC1200" s="276">
        <v>9.3704316150214507E-3</v>
      </c>
      <c r="BD1200" s="276">
        <v>-1.0551920818654588E-2</v>
      </c>
      <c r="BE1200" s="276"/>
      <c r="BF1200" s="394">
        <f t="shared" si="100"/>
        <v>0</v>
      </c>
      <c r="BG1200" s="394">
        <f t="shared" si="101"/>
        <v>0.14021257219546102</v>
      </c>
    </row>
    <row r="1201" spans="1:59" ht="15" customHeight="1" thickBot="1" x14ac:dyDescent="0.25">
      <c r="A1201" s="156">
        <v>1202</v>
      </c>
      <c r="B1201" s="197">
        <v>1</v>
      </c>
      <c r="C1201" s="148" t="s">
        <v>596</v>
      </c>
      <c r="D1201" s="151" t="s">
        <v>2338</v>
      </c>
      <c r="F1201" s="151" t="s">
        <v>3326</v>
      </c>
      <c r="I1201" s="165">
        <v>2009</v>
      </c>
      <c r="J1201" s="165" t="s">
        <v>3336</v>
      </c>
      <c r="L1201" s="161" t="s">
        <v>274</v>
      </c>
      <c r="M1201" s="453" t="s">
        <v>4317</v>
      </c>
      <c r="AF1201" s="144" t="str">
        <f t="shared" si="102"/>
        <v/>
      </c>
      <c r="AG1201" s="144">
        <f t="shared" si="98"/>
        <v>0.10842120148288739</v>
      </c>
      <c r="AH1201" s="146" t="str">
        <f t="shared" si="95"/>
        <v/>
      </c>
      <c r="AI1201" s="146">
        <f t="shared" si="96"/>
        <v>7.5107244709660412E-3</v>
      </c>
      <c r="AJ1201" s="313"/>
      <c r="AK1201" s="313"/>
      <c r="AL1201" s="313">
        <v>0.10842120148288739</v>
      </c>
      <c r="AM1201" s="313">
        <v>2.9655567706373311</v>
      </c>
      <c r="AN1201" s="313">
        <v>6.6334822501098181</v>
      </c>
      <c r="AO1201" s="313"/>
      <c r="AP1201" s="313">
        <v>0.13099733855258888</v>
      </c>
      <c r="AQ1201" s="313">
        <v>-0.52819799210853446</v>
      </c>
      <c r="AR1201" s="313"/>
      <c r="AT1201" s="173">
        <f t="shared" si="99"/>
        <v>9.3102595686740912</v>
      </c>
      <c r="AV1201" s="322"/>
      <c r="AW1201" s="276"/>
      <c r="AX1201" s="276"/>
      <c r="AY1201" s="276">
        <v>7.5107244709660412E-3</v>
      </c>
      <c r="AZ1201" s="276">
        <v>0.12421214082009251</v>
      </c>
      <c r="BA1201" s="276">
        <v>0.47127759004960817</v>
      </c>
      <c r="BB1201" s="276"/>
      <c r="BC1201" s="276">
        <v>9.3704316150214507E-3</v>
      </c>
      <c r="BD1201" s="276">
        <v>-1.0551920818654588E-2</v>
      </c>
      <c r="BE1201" s="276"/>
      <c r="BF1201" s="394">
        <f t="shared" si="100"/>
        <v>0</v>
      </c>
      <c r="BG1201" s="394">
        <f t="shared" si="101"/>
        <v>0.60181896613703356</v>
      </c>
    </row>
    <row r="1202" spans="1:59" ht="15" customHeight="1" thickBot="1" x14ac:dyDescent="0.25">
      <c r="A1202" s="156">
        <v>1203</v>
      </c>
      <c r="B1202" s="197">
        <v>1</v>
      </c>
      <c r="C1202" s="148" t="s">
        <v>596</v>
      </c>
      <c r="D1202" s="151" t="s">
        <v>2338</v>
      </c>
      <c r="F1202" s="151" t="s">
        <v>3327</v>
      </c>
      <c r="I1202" s="165">
        <v>2009</v>
      </c>
      <c r="J1202" s="165" t="s">
        <v>3336</v>
      </c>
      <c r="L1202" s="161" t="s">
        <v>274</v>
      </c>
      <c r="M1202" s="453" t="s">
        <v>4317</v>
      </c>
      <c r="AF1202" s="144" t="str">
        <f t="shared" si="102"/>
        <v/>
      </c>
      <c r="AG1202" s="144">
        <f t="shared" si="98"/>
        <v>8.2305349094849989E-3</v>
      </c>
      <c r="AH1202" s="146" t="str">
        <f t="shared" si="95"/>
        <v/>
      </c>
      <c r="AI1202" s="146">
        <f t="shared" si="96"/>
        <v>5.7121288374433821E-4</v>
      </c>
      <c r="AJ1202" s="313"/>
      <c r="AK1202" s="313"/>
      <c r="AL1202" s="313">
        <v>8.2305349094849989E-3</v>
      </c>
      <c r="AM1202" s="313">
        <v>5.6022266061851838</v>
      </c>
      <c r="AN1202" s="313">
        <v>3.8741766082574158</v>
      </c>
      <c r="AO1202" s="313"/>
      <c r="AP1202" s="313">
        <v>0.13099733855258888</v>
      </c>
      <c r="AQ1202" s="313">
        <v>-1.044020916489973</v>
      </c>
      <c r="AR1202" s="313"/>
      <c r="AT1202" s="173">
        <f t="shared" si="99"/>
        <v>8.5716101714147008</v>
      </c>
      <c r="AV1202" s="322"/>
      <c r="AW1202" s="276"/>
      <c r="AX1202" s="276"/>
      <c r="AY1202" s="276">
        <v>5.7121288374433821E-4</v>
      </c>
      <c r="AZ1202" s="276">
        <v>0.23797541160399741</v>
      </c>
      <c r="BA1202" s="276">
        <v>0.28542670213530807</v>
      </c>
      <c r="BB1202" s="276"/>
      <c r="BC1202" s="276">
        <v>9.3704316150214507E-3</v>
      </c>
      <c r="BD1202" s="276">
        <v>-2.0571812016200536E-2</v>
      </c>
      <c r="BE1202" s="276"/>
      <c r="BF1202" s="394">
        <f t="shared" si="100"/>
        <v>0</v>
      </c>
      <c r="BG1202" s="394">
        <f t="shared" si="101"/>
        <v>0.51277194622187083</v>
      </c>
    </row>
    <row r="1203" spans="1:59" ht="15" customHeight="1" thickBot="1" x14ac:dyDescent="0.25">
      <c r="A1203" s="156">
        <v>1204</v>
      </c>
      <c r="B1203" s="197">
        <v>1</v>
      </c>
      <c r="C1203" s="148" t="s">
        <v>596</v>
      </c>
      <c r="D1203" s="151" t="s">
        <v>2338</v>
      </c>
      <c r="F1203" s="151" t="s">
        <v>3328</v>
      </c>
      <c r="I1203" s="165">
        <v>2009</v>
      </c>
      <c r="J1203" s="165" t="s">
        <v>3336</v>
      </c>
      <c r="L1203" s="161" t="s">
        <v>274</v>
      </c>
      <c r="M1203" s="453" t="s">
        <v>4317</v>
      </c>
      <c r="AF1203" s="144" t="str">
        <f t="shared" si="102"/>
        <v/>
      </c>
      <c r="AG1203" s="144">
        <f t="shared" si="98"/>
        <v>8.2305349094849989E-3</v>
      </c>
      <c r="AH1203" s="146" t="str">
        <f t="shared" si="95"/>
        <v/>
      </c>
      <c r="AI1203" s="146">
        <f t="shared" si="96"/>
        <v>5.7121288374433821E-4</v>
      </c>
      <c r="AJ1203" s="313"/>
      <c r="AK1203" s="313"/>
      <c r="AL1203" s="313">
        <v>8.2305349094849989E-3</v>
      </c>
      <c r="AM1203" s="313">
        <v>5.6022266061851838</v>
      </c>
      <c r="AN1203" s="313">
        <v>1.9231524170486451</v>
      </c>
      <c r="AO1203" s="313"/>
      <c r="AP1203" s="313">
        <v>0.13099733855258888</v>
      </c>
      <c r="AQ1203" s="313">
        <v>-1.044020916489973</v>
      </c>
      <c r="AR1203" s="313"/>
      <c r="AT1203" s="173">
        <f t="shared" si="99"/>
        <v>6.620585980205929</v>
      </c>
      <c r="AV1203" s="322"/>
      <c r="AW1203" s="276"/>
      <c r="AX1203" s="276"/>
      <c r="AY1203" s="276">
        <v>5.7121288374433821E-4</v>
      </c>
      <c r="AZ1203" s="276">
        <v>0.23797541160399741</v>
      </c>
      <c r="BA1203" s="276">
        <v>0.13684185299686055</v>
      </c>
      <c r="BB1203" s="276"/>
      <c r="BC1203" s="276">
        <v>9.3704316150214507E-3</v>
      </c>
      <c r="BD1203" s="276">
        <v>-2.0571812016200536E-2</v>
      </c>
      <c r="BE1203" s="276"/>
      <c r="BF1203" s="394">
        <f t="shared" si="100"/>
        <v>0</v>
      </c>
      <c r="BG1203" s="394">
        <f t="shared" si="101"/>
        <v>0.36418709708342323</v>
      </c>
    </row>
    <row r="1204" spans="1:59" ht="15" customHeight="1" thickBot="1" x14ac:dyDescent="0.25">
      <c r="A1204" s="156">
        <v>1205</v>
      </c>
      <c r="B1204" s="197">
        <v>1</v>
      </c>
      <c r="C1204" s="148" t="s">
        <v>596</v>
      </c>
      <c r="D1204" s="151" t="s">
        <v>2338</v>
      </c>
      <c r="F1204" s="151" t="s">
        <v>3329</v>
      </c>
      <c r="I1204" s="165">
        <v>2009</v>
      </c>
      <c r="J1204" s="165" t="s">
        <v>3336</v>
      </c>
      <c r="L1204" s="161" t="s">
        <v>274</v>
      </c>
      <c r="M1204" s="453" t="s">
        <v>4317</v>
      </c>
      <c r="AF1204" s="144" t="str">
        <f t="shared" si="102"/>
        <v/>
      </c>
      <c r="AG1204" s="144">
        <f t="shared" si="98"/>
        <v>0.16778808044395427</v>
      </c>
      <c r="AH1204" s="146" t="str">
        <f t="shared" si="95"/>
        <v/>
      </c>
      <c r="AI1204" s="146">
        <f t="shared" si="96"/>
        <v>4.8170249478754765E-3</v>
      </c>
      <c r="AJ1204" s="313"/>
      <c r="AK1204" s="313"/>
      <c r="AL1204" s="313">
        <v>0.16778808044395427</v>
      </c>
      <c r="AM1204" s="313">
        <v>3.1160643511020067</v>
      </c>
      <c r="AN1204" s="313">
        <v>0.10033838697645106</v>
      </c>
      <c r="AO1204" s="313"/>
      <c r="AP1204" s="313">
        <v>0.13099733855258888</v>
      </c>
      <c r="AQ1204" s="313">
        <v>-0.52766842839949202</v>
      </c>
      <c r="AR1204" s="313"/>
      <c r="AT1204" s="173">
        <f t="shared" si="99"/>
        <v>2.9875197286755091</v>
      </c>
      <c r="AV1204" s="322"/>
      <c r="AW1204" s="276"/>
      <c r="AX1204" s="276"/>
      <c r="AY1204" s="276">
        <v>4.8170249478754765E-3</v>
      </c>
      <c r="AZ1204" s="276">
        <v>0.64933975603326377</v>
      </c>
      <c r="BA1204" s="276">
        <v>0.85148704675629694</v>
      </c>
      <c r="BB1204" s="276"/>
      <c r="BC1204" s="276">
        <v>1.3061087545234501E-2</v>
      </c>
      <c r="BD1204" s="276">
        <v>-0.16448582452608623</v>
      </c>
      <c r="BE1204" s="276"/>
      <c r="BF1204" s="394">
        <f t="shared" si="100"/>
        <v>0</v>
      </c>
      <c r="BG1204" s="394">
        <f t="shared" si="101"/>
        <v>1.3542190907565845</v>
      </c>
    </row>
    <row r="1205" spans="1:59" ht="15" customHeight="1" thickBot="1" x14ac:dyDescent="0.25">
      <c r="A1205" s="156">
        <v>1206</v>
      </c>
      <c r="B1205" s="197">
        <v>1</v>
      </c>
      <c r="C1205" s="148" t="s">
        <v>596</v>
      </c>
      <c r="D1205" s="151" t="s">
        <v>2338</v>
      </c>
      <c r="F1205" s="151" t="s">
        <v>3330</v>
      </c>
      <c r="I1205" s="165">
        <v>2009</v>
      </c>
      <c r="J1205" s="165" t="s">
        <v>3336</v>
      </c>
      <c r="L1205" s="161" t="s">
        <v>274</v>
      </c>
      <c r="M1205" s="453" t="s">
        <v>4317</v>
      </c>
      <c r="AF1205" s="144" t="str">
        <f t="shared" si="102"/>
        <v/>
      </c>
      <c r="AG1205" s="144">
        <f t="shared" si="98"/>
        <v>0.16778808044395427</v>
      </c>
      <c r="AH1205" s="146" t="str">
        <f t="shared" si="95"/>
        <v/>
      </c>
      <c r="AI1205" s="146">
        <f t="shared" si="96"/>
        <v>1.0926977736237927E-2</v>
      </c>
      <c r="AJ1205" s="313"/>
      <c r="AK1205" s="313"/>
      <c r="AL1205" s="313">
        <v>0.16778808044395427</v>
      </c>
      <c r="AM1205" s="313">
        <v>2.8875158029889807</v>
      </c>
      <c r="AN1205" s="313">
        <v>0.10033838697645106</v>
      </c>
      <c r="AO1205" s="313"/>
      <c r="AP1205" s="313">
        <v>3.2609975767346593</v>
      </c>
      <c r="AQ1205" s="313">
        <v>-0.52766842839949202</v>
      </c>
      <c r="AR1205" s="313"/>
      <c r="AT1205" s="173">
        <f t="shared" si="99"/>
        <v>5.8889714187445534</v>
      </c>
      <c r="AV1205" s="322"/>
      <c r="AW1205" s="276"/>
      <c r="AX1205" s="276"/>
      <c r="AY1205" s="276">
        <v>1.0926977736237927E-2</v>
      </c>
      <c r="AZ1205" s="276">
        <v>0.13355860713686579</v>
      </c>
      <c r="BA1205" s="276">
        <v>7.2135547726891458E-3</v>
      </c>
      <c r="BB1205" s="276"/>
      <c r="BC1205" s="276">
        <v>9.3704316150214507E-3</v>
      </c>
      <c r="BD1205" s="276">
        <v>-1.0515972871282383E-2</v>
      </c>
      <c r="BE1205" s="276"/>
      <c r="BF1205" s="394">
        <f t="shared" si="100"/>
        <v>0</v>
      </c>
      <c r="BG1205" s="394">
        <f t="shared" si="101"/>
        <v>0.15055359838953195</v>
      </c>
    </row>
    <row r="1206" spans="1:59" ht="15" customHeight="1" thickBot="1" x14ac:dyDescent="0.25">
      <c r="A1206" s="156">
        <v>1207</v>
      </c>
      <c r="B1206" s="197">
        <v>1</v>
      </c>
      <c r="C1206" s="148" t="s">
        <v>596</v>
      </c>
      <c r="D1206" s="151" t="s">
        <v>2338</v>
      </c>
      <c r="F1206" s="151" t="s">
        <v>3331</v>
      </c>
      <c r="I1206" s="165">
        <v>2009</v>
      </c>
      <c r="J1206" s="165" t="s">
        <v>3336</v>
      </c>
      <c r="L1206" s="161" t="s">
        <v>274</v>
      </c>
      <c r="M1206" s="453" t="s">
        <v>4317</v>
      </c>
      <c r="AF1206" s="144" t="str">
        <f t="shared" si="102"/>
        <v/>
      </c>
      <c r="AG1206" s="144">
        <f t="shared" si="98"/>
        <v>0.16778808044395427</v>
      </c>
      <c r="AH1206" s="146" t="str">
        <f t="shared" si="95"/>
        <v/>
      </c>
      <c r="AI1206" s="146">
        <f t="shared" si="96"/>
        <v>1.0926977736237927E-2</v>
      </c>
      <c r="AJ1206" s="313"/>
      <c r="AK1206" s="313"/>
      <c r="AL1206" s="313">
        <v>0.16778808044395427</v>
      </c>
      <c r="AM1206" s="313">
        <v>2.8875158029889807</v>
      </c>
      <c r="AN1206" s="313">
        <v>0.10033838697645106</v>
      </c>
      <c r="AO1206" s="313"/>
      <c r="AP1206" s="313">
        <v>0.22297419328100232</v>
      </c>
      <c r="AQ1206" s="313">
        <v>-0.52766842839949202</v>
      </c>
      <c r="AR1206" s="313"/>
      <c r="AT1206" s="173">
        <f t="shared" si="99"/>
        <v>2.8509480352908962</v>
      </c>
      <c r="AV1206" s="322"/>
      <c r="AW1206" s="276"/>
      <c r="AX1206" s="276"/>
      <c r="AY1206" s="276">
        <v>1.0926977736237927E-2</v>
      </c>
      <c r="AZ1206" s="276">
        <v>0.10432094327413906</v>
      </c>
      <c r="BA1206" s="276">
        <v>7.2135547726891458E-3</v>
      </c>
      <c r="BB1206" s="276"/>
      <c r="BC1206" s="276">
        <v>0.23270304598940733</v>
      </c>
      <c r="BD1206" s="276">
        <v>-1.0515972871282383E-2</v>
      </c>
      <c r="BE1206" s="276"/>
      <c r="BF1206" s="394">
        <f t="shared" si="100"/>
        <v>0</v>
      </c>
      <c r="BG1206" s="394">
        <f t="shared" si="101"/>
        <v>0.34464854890119112</v>
      </c>
    </row>
    <row r="1207" spans="1:59" ht="15" customHeight="1" thickBot="1" x14ac:dyDescent="0.25">
      <c r="A1207" s="156">
        <v>1208</v>
      </c>
      <c r="B1207" s="197">
        <v>1</v>
      </c>
      <c r="C1207" s="148" t="s">
        <v>596</v>
      </c>
      <c r="D1207" s="151" t="s">
        <v>2338</v>
      </c>
      <c r="F1207" s="151" t="s">
        <v>3332</v>
      </c>
      <c r="I1207" s="165">
        <v>2009</v>
      </c>
      <c r="J1207" s="165" t="s">
        <v>3336</v>
      </c>
      <c r="L1207" s="161" t="s">
        <v>274</v>
      </c>
      <c r="M1207" s="453" t="s">
        <v>4317</v>
      </c>
      <c r="AF1207" s="144" t="str">
        <f t="shared" si="102"/>
        <v/>
      </c>
      <c r="AG1207" s="144">
        <f t="shared" si="98"/>
        <v>0.16778808044395427</v>
      </c>
      <c r="AH1207" s="146" t="str">
        <f t="shared" si="95"/>
        <v/>
      </c>
      <c r="AI1207" s="146">
        <f t="shared" si="96"/>
        <v>1.0926977736237927E-2</v>
      </c>
      <c r="AJ1207" s="313"/>
      <c r="AK1207" s="313"/>
      <c r="AL1207" s="313">
        <v>0.16778808044395427</v>
      </c>
      <c r="AM1207" s="313">
        <v>2.8875158029889807</v>
      </c>
      <c r="AN1207" s="313">
        <v>0.10033838697645106</v>
      </c>
      <c r="AO1207" s="313"/>
      <c r="AP1207" s="313">
        <v>0.13099733855258888</v>
      </c>
      <c r="AQ1207" s="313">
        <v>-0.3269916544465899</v>
      </c>
      <c r="AR1207" s="313"/>
      <c r="AT1207" s="173">
        <f t="shared" si="99"/>
        <v>2.9596479545153853</v>
      </c>
      <c r="AV1207" s="322"/>
      <c r="AW1207" s="276"/>
      <c r="AX1207" s="276"/>
      <c r="AY1207" s="276">
        <v>1.0926977736237927E-2</v>
      </c>
      <c r="AZ1207" s="276">
        <v>0.11726220432813288</v>
      </c>
      <c r="BA1207" s="276">
        <v>7.2135547726891458E-3</v>
      </c>
      <c r="BB1207" s="276"/>
      <c r="BC1207" s="276">
        <v>1.5241929685814943E-2</v>
      </c>
      <c r="BD1207" s="276">
        <v>-1.0515972871282383E-2</v>
      </c>
      <c r="BE1207" s="276"/>
      <c r="BF1207" s="394">
        <f t="shared" si="100"/>
        <v>0</v>
      </c>
      <c r="BG1207" s="394">
        <f t="shared" si="101"/>
        <v>0.1401286936515925</v>
      </c>
    </row>
    <row r="1208" spans="1:59" ht="15" customHeight="1" thickBot="1" x14ac:dyDescent="0.25">
      <c r="A1208" s="156">
        <v>1209</v>
      </c>
      <c r="B1208" s="197">
        <v>1</v>
      </c>
      <c r="C1208" s="148" t="s">
        <v>596</v>
      </c>
      <c r="D1208" s="151" t="s">
        <v>2338</v>
      </c>
      <c r="F1208" s="151" t="s">
        <v>3333</v>
      </c>
      <c r="I1208" s="165">
        <v>2009</v>
      </c>
      <c r="J1208" s="165" t="s">
        <v>3336</v>
      </c>
      <c r="L1208" s="161" t="s">
        <v>274</v>
      </c>
      <c r="M1208" s="453" t="s">
        <v>4317</v>
      </c>
      <c r="AF1208" s="144" t="str">
        <f t="shared" si="102"/>
        <v/>
      </c>
      <c r="AG1208" s="144">
        <f t="shared" si="98"/>
        <v>6.2488517667000911E-3</v>
      </c>
      <c r="AH1208" s="146" t="str">
        <f t="shared" si="95"/>
        <v/>
      </c>
      <c r="AI1208" s="146">
        <f t="shared" si="96"/>
        <v>1.0926977736237927E-2</v>
      </c>
      <c r="AJ1208" s="313"/>
      <c r="AK1208" s="313"/>
      <c r="AL1208" s="313">
        <v>6.2488517667000911E-3</v>
      </c>
      <c r="AM1208" s="313">
        <v>2.1433394329136344</v>
      </c>
      <c r="AN1208" s="313">
        <v>3.902048382417541E-2</v>
      </c>
      <c r="AO1208" s="313"/>
      <c r="AP1208" s="313">
        <v>8.9189677312400935E-4</v>
      </c>
      <c r="AQ1208" s="313">
        <v>-1.144791315965906</v>
      </c>
      <c r="AR1208" s="313"/>
      <c r="AT1208" s="173">
        <f t="shared" si="99"/>
        <v>1.0447093493117277</v>
      </c>
      <c r="AV1208" s="322"/>
      <c r="AW1208" s="276"/>
      <c r="AX1208" s="276"/>
      <c r="AY1208" s="276">
        <v>1.0926977736237927E-2</v>
      </c>
      <c r="AZ1208" s="276">
        <v>0.11726220432813288</v>
      </c>
      <c r="BA1208" s="276">
        <v>7.2135547726891458E-3</v>
      </c>
      <c r="BB1208" s="276"/>
      <c r="BC1208" s="276">
        <v>9.3704316150214507E-3</v>
      </c>
      <c r="BD1208" s="276">
        <v>-4.5605962566204142E-3</v>
      </c>
      <c r="BE1208" s="276"/>
      <c r="BF1208" s="394">
        <f t="shared" si="100"/>
        <v>0</v>
      </c>
      <c r="BG1208" s="394">
        <f t="shared" si="101"/>
        <v>0.14021257219546099</v>
      </c>
    </row>
    <row r="1209" spans="1:59" ht="15" customHeight="1" thickBot="1" x14ac:dyDescent="0.25">
      <c r="A1209" s="156">
        <v>1210</v>
      </c>
      <c r="B1209" s="197">
        <v>1</v>
      </c>
      <c r="C1209" s="148" t="s">
        <v>596</v>
      </c>
      <c r="D1209" s="151" t="s">
        <v>2338</v>
      </c>
      <c r="F1209" s="151" t="s">
        <v>3334</v>
      </c>
      <c r="I1209" s="165">
        <v>2009</v>
      </c>
      <c r="J1209" s="165" t="s">
        <v>3336</v>
      </c>
      <c r="L1209" s="161" t="s">
        <v>274</v>
      </c>
      <c r="M1209" s="453" t="s">
        <v>4317</v>
      </c>
      <c r="AF1209" s="144" t="str">
        <f t="shared" si="102"/>
        <v/>
      </c>
      <c r="AG1209" s="144">
        <f t="shared" si="98"/>
        <v>0.11956991114693753</v>
      </c>
      <c r="AH1209" s="146" t="str">
        <f t="shared" si="95"/>
        <v/>
      </c>
      <c r="AI1209" s="146">
        <f t="shared" si="96"/>
        <v>4.1376087425408015E-4</v>
      </c>
      <c r="AJ1209" s="313"/>
      <c r="AK1209" s="313"/>
      <c r="AL1209" s="313">
        <v>0.11956991114693753</v>
      </c>
      <c r="AM1209" s="313">
        <v>6.1122800733154756</v>
      </c>
      <c r="AN1209" s="313">
        <v>6.8564564433908215</v>
      </c>
      <c r="AO1209" s="313"/>
      <c r="AP1209" s="313">
        <v>7.2661715235446636</v>
      </c>
      <c r="AQ1209" s="313">
        <v>-8.6660035089627968E-2</v>
      </c>
      <c r="AR1209" s="313"/>
      <c r="AT1209" s="173">
        <f t="shared" si="99"/>
        <v>20.267817916308267</v>
      </c>
      <c r="AV1209" s="322"/>
      <c r="AW1209" s="276"/>
      <c r="AX1209" s="276"/>
      <c r="AY1209" s="276">
        <v>4.1376087425408015E-4</v>
      </c>
      <c r="AZ1209" s="276">
        <v>8.4238023342200485E-2</v>
      </c>
      <c r="BA1209" s="276">
        <v>2.8518704915282676E-3</v>
      </c>
      <c r="BB1209" s="276"/>
      <c r="BC1209" s="276">
        <v>6.230977544515541E-5</v>
      </c>
      <c r="BD1209" s="276">
        <v>-2.9761305629448561E-2</v>
      </c>
      <c r="BE1209" s="276"/>
      <c r="BF1209" s="394">
        <f t="shared" si="100"/>
        <v>0</v>
      </c>
      <c r="BG1209" s="394">
        <f t="shared" si="101"/>
        <v>5.7804658853979424E-2</v>
      </c>
    </row>
    <row r="1210" spans="1:59" ht="15" customHeight="1" thickBot="1" x14ac:dyDescent="0.25">
      <c r="A1210" s="156">
        <v>1211</v>
      </c>
      <c r="B1210" s="197">
        <v>1</v>
      </c>
      <c r="C1210" s="148" t="s">
        <v>596</v>
      </c>
      <c r="D1210" s="151" t="s">
        <v>2338</v>
      </c>
      <c r="F1210" s="151" t="s">
        <v>3335</v>
      </c>
      <c r="I1210" s="165">
        <v>2009</v>
      </c>
      <c r="J1210" s="165" t="s">
        <v>3336</v>
      </c>
      <c r="L1210" s="161" t="s">
        <v>274</v>
      </c>
      <c r="M1210" s="453" t="s">
        <v>4317</v>
      </c>
      <c r="AF1210" s="144" t="str">
        <f t="shared" si="102"/>
        <v/>
      </c>
      <c r="AG1210" s="144">
        <f t="shared" si="98"/>
        <v>6.2488517667000911E-3</v>
      </c>
      <c r="AH1210" s="146" t="str">
        <f t="shared" si="95"/>
        <v/>
      </c>
      <c r="AI1210" s="146">
        <f t="shared" si="96"/>
        <v>8.2895966640304849E-3</v>
      </c>
      <c r="AJ1210" s="313"/>
      <c r="AK1210" s="313"/>
      <c r="AL1210" s="313">
        <v>6.2488517667000911E-3</v>
      </c>
      <c r="AM1210" s="313">
        <v>1.6221372561192919</v>
      </c>
      <c r="AN1210" s="313">
        <v>3.902048382417541E-2</v>
      </c>
      <c r="AO1210" s="313"/>
      <c r="AP1210" s="313">
        <v>8.9189677312400935E-4</v>
      </c>
      <c r="AQ1210" s="313">
        <v>7.1491100720721375E-3</v>
      </c>
      <c r="AR1210" s="313"/>
      <c r="AT1210" s="173">
        <f t="shared" si="99"/>
        <v>1.6754475985553636</v>
      </c>
      <c r="AV1210" s="322"/>
      <c r="AW1210" s="276"/>
      <c r="AX1210" s="276"/>
      <c r="AY1210" s="276">
        <v>8.2895966640304849E-3</v>
      </c>
      <c r="AZ1210" s="276">
        <v>0.26265966879957825</v>
      </c>
      <c r="BA1210" s="276">
        <v>0.48817312531454454</v>
      </c>
      <c r="BB1210" s="276"/>
      <c r="BC1210" s="276">
        <v>0.51621252426486453</v>
      </c>
      <c r="BD1210" s="276">
        <v>7.9099863397800001E-3</v>
      </c>
      <c r="BE1210" s="276"/>
      <c r="BF1210" s="394">
        <f t="shared" si="100"/>
        <v>0</v>
      </c>
      <c r="BG1210" s="394">
        <f t="shared" si="101"/>
        <v>1.2832449013827978</v>
      </c>
    </row>
    <row r="1211" spans="1:59" ht="15" customHeight="1" thickBot="1" x14ac:dyDescent="0.25">
      <c r="A1211" s="156">
        <v>1212</v>
      </c>
      <c r="B1211" s="197">
        <v>1</v>
      </c>
      <c r="C1211" s="148" t="s">
        <v>596</v>
      </c>
      <c r="D1211" s="141" t="s">
        <v>2339</v>
      </c>
      <c r="F1211" s="251" t="s">
        <v>3337</v>
      </c>
      <c r="I1211" s="165">
        <v>2009</v>
      </c>
      <c r="J1211" s="165" t="s">
        <v>3336</v>
      </c>
      <c r="L1211" s="161" t="s">
        <v>274</v>
      </c>
      <c r="M1211" s="453" t="s">
        <v>4317</v>
      </c>
      <c r="AF1211" s="144" t="str">
        <f t="shared" si="102"/>
        <v/>
      </c>
      <c r="AG1211" s="144">
        <f t="shared" si="98"/>
        <v>7.8040967648350824E-3</v>
      </c>
      <c r="AH1211" s="146" t="str">
        <f t="shared" si="95"/>
        <v/>
      </c>
      <c r="AI1211" s="146">
        <f t="shared" si="96"/>
        <v>5.0087473338605696E-4</v>
      </c>
      <c r="AJ1211" s="313"/>
      <c r="AK1211" s="313"/>
      <c r="AL1211" s="313">
        <v>7.8040967648350824E-3</v>
      </c>
      <c r="AM1211" s="313">
        <v>0.10033838697645107</v>
      </c>
      <c r="AN1211" s="313">
        <v>0</v>
      </c>
      <c r="AO1211" s="313"/>
      <c r="AP1211" s="313">
        <v>0.51562782196231782</v>
      </c>
      <c r="AQ1211" s="313">
        <v>2.0848087071773718E-3</v>
      </c>
      <c r="AR1211" s="313"/>
      <c r="AT1211" s="173">
        <f t="shared" si="99"/>
        <v>0.62585511441078134</v>
      </c>
      <c r="AV1211" s="322"/>
      <c r="AW1211" s="286"/>
      <c r="AX1211" s="286"/>
      <c r="AY1211" s="286">
        <v>5.0087473338605696E-4</v>
      </c>
      <c r="AZ1211" s="286">
        <v>6.967910465645745E-3</v>
      </c>
      <c r="BA1211" s="286"/>
      <c r="BB1211" s="286"/>
      <c r="BC1211" s="286">
        <v>3.3072111582428648E-2</v>
      </c>
      <c r="BD1211" s="286">
        <v>1.5577443861288854E-4</v>
      </c>
      <c r="BE1211" s="286"/>
      <c r="BF1211" s="394">
        <f t="shared" si="100"/>
        <v>0</v>
      </c>
      <c r="BG1211" s="394">
        <f t="shared" si="101"/>
        <v>4.0696671220073338E-2</v>
      </c>
    </row>
    <row r="1212" spans="1:59" ht="15" customHeight="1" thickBot="1" x14ac:dyDescent="0.25">
      <c r="A1212" s="156">
        <v>1213</v>
      </c>
      <c r="B1212" s="197">
        <v>1</v>
      </c>
      <c r="C1212" s="148" t="s">
        <v>596</v>
      </c>
      <c r="D1212" s="141" t="s">
        <v>2339</v>
      </c>
      <c r="F1212" s="251" t="s">
        <v>3338</v>
      </c>
      <c r="I1212" s="165">
        <v>2009</v>
      </c>
      <c r="J1212" s="165" t="s">
        <v>3336</v>
      </c>
      <c r="L1212" s="161" t="s">
        <v>274</v>
      </c>
      <c r="M1212" s="453" t="s">
        <v>4317</v>
      </c>
      <c r="AF1212" s="144" t="str">
        <f t="shared" si="102"/>
        <v/>
      </c>
      <c r="AG1212" s="144">
        <f t="shared" si="98"/>
        <v>6.4105080568288165E-3</v>
      </c>
      <c r="AH1212" s="146" t="str">
        <f t="shared" si="95"/>
        <v/>
      </c>
      <c r="AI1212" s="146">
        <f t="shared" si="96"/>
        <v>4.1699618951757854E-4</v>
      </c>
      <c r="AJ1212" s="313"/>
      <c r="AK1212" s="313"/>
      <c r="AL1212" s="313">
        <v>6.4105080568288165E-3</v>
      </c>
      <c r="AM1212" s="313">
        <v>3.2888693508947846E-2</v>
      </c>
      <c r="AN1212" s="313">
        <v>0</v>
      </c>
      <c r="AO1212" s="313"/>
      <c r="AP1212" s="313">
        <v>0.32331258025745341</v>
      </c>
      <c r="AQ1212" s="313">
        <v>1.1823206598725151E-3</v>
      </c>
      <c r="AR1212" s="313"/>
      <c r="AT1212" s="173">
        <f t="shared" si="99"/>
        <v>0.36379410248310257</v>
      </c>
      <c r="AV1212" s="322"/>
      <c r="AW1212" s="286"/>
      <c r="AX1212" s="286"/>
      <c r="AY1212" s="286">
        <v>4.1699618951757854E-4</v>
      </c>
      <c r="AZ1212" s="286">
        <v>1.4582883983991182E-3</v>
      </c>
      <c r="BA1212" s="286"/>
      <c r="BB1212" s="286"/>
      <c r="BC1212" s="286">
        <v>2.061015649339756E-2</v>
      </c>
      <c r="BD1212" s="286">
        <v>1.4091595369904378E-4</v>
      </c>
      <c r="BE1212" s="286"/>
      <c r="BF1212" s="394">
        <f t="shared" si="100"/>
        <v>0</v>
      </c>
      <c r="BG1212" s="394">
        <f t="shared" si="101"/>
        <v>2.2626357035013301E-2</v>
      </c>
    </row>
    <row r="1213" spans="1:59" ht="15" customHeight="1" thickBot="1" x14ac:dyDescent="0.25">
      <c r="A1213" s="156">
        <v>1214</v>
      </c>
      <c r="B1213" s="197">
        <v>1</v>
      </c>
      <c r="C1213" s="148" t="s">
        <v>596</v>
      </c>
      <c r="D1213" s="141" t="s">
        <v>2339</v>
      </c>
      <c r="F1213" s="251" t="s">
        <v>3339</v>
      </c>
      <c r="I1213" s="165">
        <v>2009</v>
      </c>
      <c r="J1213" s="165" t="s">
        <v>3336</v>
      </c>
      <c r="L1213" s="161" t="s">
        <v>274</v>
      </c>
      <c r="M1213" s="453" t="s">
        <v>4317</v>
      </c>
      <c r="AF1213" s="144" t="str">
        <f t="shared" si="102"/>
        <v/>
      </c>
      <c r="AG1213" s="144">
        <f t="shared" si="98"/>
        <v>6.9679435400313225E-3</v>
      </c>
      <c r="AH1213" s="146" t="str">
        <f t="shared" si="95"/>
        <v/>
      </c>
      <c r="AI1213" s="146">
        <f t="shared" si="96"/>
        <v>4.4215975267812211E-4</v>
      </c>
      <c r="AJ1213" s="313"/>
      <c r="AK1213" s="313"/>
      <c r="AL1213" s="313">
        <v>6.9679435400313225E-3</v>
      </c>
      <c r="AM1213" s="313">
        <v>4.8496887038618007E-2</v>
      </c>
      <c r="AN1213" s="313">
        <v>0</v>
      </c>
      <c r="AO1213" s="313"/>
      <c r="AP1213" s="313">
        <v>0.38184330599371652</v>
      </c>
      <c r="AQ1213" s="313">
        <v>1.7439369091990389E-3</v>
      </c>
      <c r="AR1213" s="313"/>
      <c r="AT1213" s="173">
        <f t="shared" si="99"/>
        <v>0.43905207348156489</v>
      </c>
      <c r="AV1213" s="322"/>
      <c r="AW1213" s="286"/>
      <c r="AX1213" s="286"/>
      <c r="AY1213" s="286">
        <v>4.4215975267812211E-4</v>
      </c>
      <c r="AZ1213" s="286">
        <v>4.7714908812040166E-3</v>
      </c>
      <c r="BA1213" s="286"/>
      <c r="BB1213" s="286"/>
      <c r="BC1213" s="286">
        <v>2.4444604213099432E-2</v>
      </c>
      <c r="BD1213" s="286">
        <v>1.4858484913844754E-4</v>
      </c>
      <c r="BE1213" s="286"/>
      <c r="BF1213" s="394">
        <f t="shared" si="100"/>
        <v>0</v>
      </c>
      <c r="BG1213" s="394">
        <f t="shared" si="101"/>
        <v>2.9806839696120017E-2</v>
      </c>
    </row>
    <row r="1214" spans="1:59" ht="15" customHeight="1" thickBot="1" x14ac:dyDescent="0.25">
      <c r="A1214" s="156">
        <v>1215</v>
      </c>
      <c r="B1214" s="197">
        <v>1</v>
      </c>
      <c r="C1214" s="148" t="s">
        <v>596</v>
      </c>
      <c r="D1214" s="141" t="s">
        <v>2339</v>
      </c>
      <c r="F1214" s="251" t="s">
        <v>3340</v>
      </c>
      <c r="I1214" s="165">
        <v>2009</v>
      </c>
      <c r="J1214" s="165" t="s">
        <v>3336</v>
      </c>
      <c r="L1214" s="161" t="s">
        <v>274</v>
      </c>
      <c r="M1214" s="453" t="s">
        <v>4317</v>
      </c>
      <c r="AF1214" s="144" t="str">
        <f t="shared" si="102"/>
        <v/>
      </c>
      <c r="AG1214" s="144">
        <f t="shared" si="98"/>
        <v>8.6402499896388405E-3</v>
      </c>
      <c r="AH1214" s="146" t="str">
        <f t="shared" si="95"/>
        <v/>
      </c>
      <c r="AI1214" s="146">
        <f t="shared" si="96"/>
        <v>5.5719318426917836E-4</v>
      </c>
      <c r="AJ1214" s="313"/>
      <c r="AK1214" s="313"/>
      <c r="AL1214" s="313">
        <v>8.6402499896388405E-3</v>
      </c>
      <c r="AM1214" s="313">
        <v>1.4493322563265151E-2</v>
      </c>
      <c r="AN1214" s="313">
        <v>0</v>
      </c>
      <c r="AO1214" s="313"/>
      <c r="AP1214" s="313">
        <v>0.64662516051490682</v>
      </c>
      <c r="AQ1214" s="313">
        <v>2.4805879002511508E-3</v>
      </c>
      <c r="AR1214" s="313"/>
      <c r="AT1214" s="173">
        <f t="shared" si="99"/>
        <v>0.67223932096806194</v>
      </c>
      <c r="AV1214" s="322"/>
      <c r="AW1214" s="286"/>
      <c r="AX1214" s="286"/>
      <c r="AY1214" s="286">
        <v>5.5719318426917836E-4</v>
      </c>
      <c r="AZ1214" s="286">
        <v>1.1203776931003905E-3</v>
      </c>
      <c r="BA1214" s="286"/>
      <c r="BB1214" s="286"/>
      <c r="BC1214" s="286">
        <v>4.1340139478035796E-2</v>
      </c>
      <c r="BD1214" s="286">
        <v>1.6895535264936371E-4</v>
      </c>
      <c r="BE1214" s="286"/>
      <c r="BF1214" s="394">
        <f t="shared" si="100"/>
        <v>0</v>
      </c>
      <c r="BG1214" s="394">
        <f t="shared" si="101"/>
        <v>4.3186665708054732E-2</v>
      </c>
    </row>
    <row r="1215" spans="1:59" ht="15" customHeight="1" thickBot="1" x14ac:dyDescent="0.25">
      <c r="A1215" s="156">
        <v>1216</v>
      </c>
      <c r="B1215" s="197">
        <v>1</v>
      </c>
      <c r="C1215" s="148" t="s">
        <v>596</v>
      </c>
      <c r="D1215" s="141" t="s">
        <v>2339</v>
      </c>
      <c r="F1215" s="251" t="s">
        <v>3341</v>
      </c>
      <c r="I1215" s="165">
        <v>2009</v>
      </c>
      <c r="J1215" s="165" t="s">
        <v>3336</v>
      </c>
      <c r="L1215" s="161" t="s">
        <v>274</v>
      </c>
      <c r="M1215" s="453" t="s">
        <v>4317</v>
      </c>
      <c r="AF1215" s="144" t="str">
        <f t="shared" si="102"/>
        <v/>
      </c>
      <c r="AG1215" s="144">
        <f t="shared" si="98"/>
        <v>7.8040967648350824E-3</v>
      </c>
      <c r="AH1215" s="146" t="str">
        <f t="shared" si="95"/>
        <v/>
      </c>
      <c r="AI1215" s="146">
        <f t="shared" si="96"/>
        <v>5.0087473338605696E-4</v>
      </c>
      <c r="AJ1215" s="313"/>
      <c r="AK1215" s="313"/>
      <c r="AL1215" s="313">
        <v>7.8040967648350824E-3</v>
      </c>
      <c r="AM1215" s="313">
        <v>2.0067677395290213E-2</v>
      </c>
      <c r="AN1215" s="313">
        <v>0</v>
      </c>
      <c r="AO1215" s="313"/>
      <c r="AP1215" s="313">
        <v>0.51562782196231782</v>
      </c>
      <c r="AQ1215" s="313">
        <v>1.8022167889678612E-3</v>
      </c>
      <c r="AR1215" s="313"/>
      <c r="AT1215" s="173">
        <f t="shared" si="99"/>
        <v>0.545301812911411</v>
      </c>
      <c r="AV1215" s="322"/>
      <c r="AW1215" s="286"/>
      <c r="AX1215" s="286"/>
      <c r="AY1215" s="286">
        <v>5.0087473338605696E-4</v>
      </c>
      <c r="AZ1215" s="286">
        <v>1.3959786229539627E-3</v>
      </c>
      <c r="BA1215" s="286"/>
      <c r="BB1215" s="286"/>
      <c r="BC1215" s="286">
        <v>3.3072111582428648E-2</v>
      </c>
      <c r="BD1215" s="286">
        <v>1.2414024492534811E-4</v>
      </c>
      <c r="BE1215" s="286"/>
      <c r="BF1215" s="394">
        <f t="shared" si="100"/>
        <v>0</v>
      </c>
      <c r="BG1215" s="394">
        <f t="shared" si="101"/>
        <v>3.5093105183694011E-2</v>
      </c>
    </row>
    <row r="1216" spans="1:59" ht="15" customHeight="1" thickBot="1" x14ac:dyDescent="0.25">
      <c r="A1216" s="156">
        <v>1217</v>
      </c>
      <c r="B1216" s="197">
        <v>1</v>
      </c>
      <c r="C1216" s="148" t="s">
        <v>596</v>
      </c>
      <c r="D1216" s="141" t="s">
        <v>2339</v>
      </c>
      <c r="F1216" s="251" t="s">
        <v>3342</v>
      </c>
      <c r="I1216" s="165">
        <v>2009</v>
      </c>
      <c r="J1216" s="165" t="s">
        <v>3336</v>
      </c>
      <c r="L1216" s="161" t="s">
        <v>274</v>
      </c>
      <c r="M1216" s="453" t="s">
        <v>4317</v>
      </c>
      <c r="AF1216" s="144" t="str">
        <f t="shared" si="102"/>
        <v/>
      </c>
      <c r="AG1216" s="144">
        <f t="shared" si="98"/>
        <v>7.8040967648350824E-3</v>
      </c>
      <c r="AH1216" s="146" t="str">
        <f t="shared" si="95"/>
        <v/>
      </c>
      <c r="AI1216" s="146">
        <f t="shared" si="96"/>
        <v>5.0087473338605696E-4</v>
      </c>
      <c r="AJ1216" s="313"/>
      <c r="AK1216" s="313"/>
      <c r="AL1216" s="313">
        <v>7.8040967648350824E-3</v>
      </c>
      <c r="AM1216" s="313">
        <v>0.10033838697645107</v>
      </c>
      <c r="AN1216" s="313">
        <v>0</v>
      </c>
      <c r="AO1216" s="313"/>
      <c r="AP1216" s="313">
        <v>0.51562782196231782</v>
      </c>
      <c r="AQ1216" s="313">
        <v>-3.8134161405883424E-2</v>
      </c>
      <c r="AR1216" s="313"/>
      <c r="AT1216" s="173">
        <f t="shared" si="99"/>
        <v>0.58563614429772048</v>
      </c>
      <c r="AV1216" s="322"/>
      <c r="AW1216" s="286"/>
      <c r="AX1216" s="286"/>
      <c r="AY1216" s="286">
        <v>5.0087473338605696E-4</v>
      </c>
      <c r="AZ1216" s="286">
        <v>6.967910465645745E-3</v>
      </c>
      <c r="BA1216" s="286"/>
      <c r="BB1216" s="286"/>
      <c r="BC1216" s="286">
        <v>3.3072111582428648E-2</v>
      </c>
      <c r="BD1216" s="286">
        <v>-2.8183190739808762E-3</v>
      </c>
      <c r="BE1216" s="286"/>
      <c r="BF1216" s="394">
        <f t="shared" si="100"/>
        <v>0</v>
      </c>
      <c r="BG1216" s="394">
        <f t="shared" si="101"/>
        <v>3.7722577707479575E-2</v>
      </c>
    </row>
    <row r="1217" spans="1:62" ht="15" customHeight="1" thickBot="1" x14ac:dyDescent="0.25">
      <c r="A1217" s="156">
        <v>1218</v>
      </c>
      <c r="B1217" s="197">
        <v>1</v>
      </c>
      <c r="C1217" s="148" t="s">
        <v>596</v>
      </c>
      <c r="D1217" s="141" t="s">
        <v>2339</v>
      </c>
      <c r="F1217" s="252" t="s">
        <v>3343</v>
      </c>
      <c r="I1217" s="165">
        <v>2009</v>
      </c>
      <c r="J1217" s="165" t="s">
        <v>3336</v>
      </c>
      <c r="L1217" s="161" t="s">
        <v>274</v>
      </c>
      <c r="M1217" s="453" t="s">
        <v>4317</v>
      </c>
      <c r="AF1217" s="144" t="str">
        <f t="shared" si="102"/>
        <v/>
      </c>
      <c r="AG1217" s="144">
        <f t="shared" si="98"/>
        <v>6.1317903152275635E-3</v>
      </c>
      <c r="AH1217" s="146" t="str">
        <f t="shared" si="95"/>
        <v/>
      </c>
      <c r="AI1217" s="146">
        <f t="shared" si="96"/>
        <v>3.8823783161981456E-4</v>
      </c>
      <c r="AJ1217" s="313"/>
      <c r="AK1217" s="313"/>
      <c r="AL1217" s="313">
        <v>6.1317903152275635E-3</v>
      </c>
      <c r="AM1217" s="313">
        <v>5.0169193488225537E-2</v>
      </c>
      <c r="AN1217" s="313">
        <v>0</v>
      </c>
      <c r="AO1217" s="313"/>
      <c r="AP1217" s="313">
        <v>0.25920749968916518</v>
      </c>
      <c r="AQ1217" s="313">
        <v>1.0480344519690312E-3</v>
      </c>
      <c r="AR1217" s="313"/>
      <c r="AT1217" s="173">
        <f t="shared" si="99"/>
        <v>0.31655651794458733</v>
      </c>
      <c r="AV1217" s="322"/>
      <c r="AW1217" s="286"/>
      <c r="AX1217" s="286"/>
      <c r="AY1217" s="286">
        <v>3.8823783161981456E-4</v>
      </c>
      <c r="AZ1217" s="286">
        <v>3.4833561003666685E-3</v>
      </c>
      <c r="BA1217" s="286"/>
      <c r="BB1217" s="286"/>
      <c r="BC1217" s="286">
        <v>1.6536055791214324E-2</v>
      </c>
      <c r="BD1217" s="286">
        <v>7.8246698780166322E-5</v>
      </c>
      <c r="BE1217" s="286"/>
      <c r="BF1217" s="394">
        <f t="shared" si="100"/>
        <v>0</v>
      </c>
      <c r="BG1217" s="394">
        <f t="shared" si="101"/>
        <v>2.0485896421980974E-2</v>
      </c>
    </row>
    <row r="1218" spans="1:62" ht="15" customHeight="1" thickBot="1" x14ac:dyDescent="0.25">
      <c r="A1218" s="156">
        <v>1219</v>
      </c>
      <c r="B1218" s="197">
        <v>1</v>
      </c>
      <c r="C1218" s="148" t="s">
        <v>596</v>
      </c>
      <c r="D1218" s="141" t="s">
        <v>2339</v>
      </c>
      <c r="F1218" s="251" t="s">
        <v>3344</v>
      </c>
      <c r="I1218" s="165">
        <v>2009</v>
      </c>
      <c r="J1218" s="165" t="s">
        <v>3336</v>
      </c>
      <c r="L1218" s="161" t="s">
        <v>274</v>
      </c>
      <c r="M1218" s="453" t="s">
        <v>4317</v>
      </c>
      <c r="AF1218" s="144" t="str">
        <f t="shared" si="102"/>
        <v/>
      </c>
      <c r="AG1218" s="144">
        <f t="shared" si="98"/>
        <v>4.7382016072213002E-3</v>
      </c>
      <c r="AH1218" s="146" t="str">
        <f t="shared" ref="AH1218:AH1281" si="103">IF(BF1218&lt;&gt;0,BF1218,"")</f>
        <v/>
      </c>
      <c r="AI1218" s="146">
        <f t="shared" ref="AI1218:AI1281" si="104">IF(AND(SUM(AW1218:AY1218)&lt;&gt;0,SUM(AW1218:AY1218)&lt;&gt;AW1218),SUM(AW1218:AY1218),"")</f>
        <v>3.0795408248855655E-4</v>
      </c>
      <c r="AJ1218" s="313"/>
      <c r="AK1218" s="313"/>
      <c r="AL1218" s="313">
        <v>4.7382016072213002E-3</v>
      </c>
      <c r="AM1218" s="313">
        <v>0.10033838697645107</v>
      </c>
      <c r="AN1218" s="313">
        <v>0</v>
      </c>
      <c r="AO1218" s="313"/>
      <c r="AP1218" s="313">
        <v>7.2466612816325743E-2</v>
      </c>
      <c r="AQ1218" s="313">
        <v>6.0481749927471891E-4</v>
      </c>
      <c r="AR1218" s="313"/>
      <c r="AT1218" s="173">
        <f t="shared" si="99"/>
        <v>0.17814801889927284</v>
      </c>
      <c r="AV1218" s="322"/>
      <c r="AW1218" s="286"/>
      <c r="AX1218" s="286"/>
      <c r="AY1218" s="286">
        <v>3.0795408248855655E-4</v>
      </c>
      <c r="AZ1218" s="286">
        <v>6.967910465645745E-3</v>
      </c>
      <c r="BA1218" s="286"/>
      <c r="BB1218" s="286"/>
      <c r="BC1218" s="286">
        <v>4.7211637548829292E-3</v>
      </c>
      <c r="BD1218" s="286">
        <v>5.631845088312125E-5</v>
      </c>
      <c r="BE1218" s="286"/>
      <c r="BF1218" s="394">
        <f t="shared" si="100"/>
        <v>0</v>
      </c>
      <c r="BG1218" s="394">
        <f t="shared" si="101"/>
        <v>1.2053346753900351E-2</v>
      </c>
    </row>
    <row r="1219" spans="1:62" ht="15" customHeight="1" thickBot="1" x14ac:dyDescent="0.25">
      <c r="A1219" s="156">
        <v>1220</v>
      </c>
      <c r="B1219" s="197">
        <v>1</v>
      </c>
      <c r="C1219" s="148" t="s">
        <v>596</v>
      </c>
      <c r="D1219" s="141" t="s">
        <v>2339</v>
      </c>
      <c r="F1219" s="251" t="s">
        <v>3345</v>
      </c>
      <c r="I1219" s="165">
        <v>2009</v>
      </c>
      <c r="J1219" s="165" t="s">
        <v>3336</v>
      </c>
      <c r="L1219" s="161" t="s">
        <v>274</v>
      </c>
      <c r="M1219" s="453" t="s">
        <v>4317</v>
      </c>
      <c r="AF1219" s="144" t="str">
        <f t="shared" si="102"/>
        <v/>
      </c>
      <c r="AG1219" s="144">
        <f t="shared" si="98"/>
        <v>5.2956370904238053E-3</v>
      </c>
      <c r="AH1219" s="146" t="str">
        <f t="shared" si="103"/>
        <v/>
      </c>
      <c r="AI1219" s="146">
        <f t="shared" si="104"/>
        <v>3.4030723512354106E-4</v>
      </c>
      <c r="AJ1219" s="313"/>
      <c r="AK1219" s="313"/>
      <c r="AL1219" s="313">
        <v>5.2956370904238053E-3</v>
      </c>
      <c r="AM1219" s="313">
        <v>0.10033838697645107</v>
      </c>
      <c r="AN1219" s="313">
        <v>0</v>
      </c>
      <c r="AO1219" s="313"/>
      <c r="AP1219" s="313">
        <v>0.28707927384929049</v>
      </c>
      <c r="AQ1219" s="313">
        <v>8.5845064413185893E-4</v>
      </c>
      <c r="AR1219" s="313"/>
      <c r="AT1219" s="173">
        <f t="shared" si="99"/>
        <v>0.39357174856029725</v>
      </c>
      <c r="AV1219" s="322"/>
      <c r="AW1219" s="286"/>
      <c r="AX1219" s="286"/>
      <c r="AY1219" s="286">
        <v>3.4030723512354106E-4</v>
      </c>
      <c r="AZ1219" s="286">
        <v>6.967910465645745E-3</v>
      </c>
      <c r="BA1219" s="286"/>
      <c r="BB1219" s="286"/>
      <c r="BC1219" s="286">
        <v>1.8333453159824573E-2</v>
      </c>
      <c r="BD1219" s="286">
        <v>7.3094159656816944E-5</v>
      </c>
      <c r="BE1219" s="286"/>
      <c r="BF1219" s="394">
        <f t="shared" si="100"/>
        <v>0</v>
      </c>
      <c r="BG1219" s="394">
        <f t="shared" si="101"/>
        <v>2.5714765020250677E-2</v>
      </c>
    </row>
    <row r="1220" spans="1:62" ht="15" customHeight="1" thickBot="1" x14ac:dyDescent="0.25">
      <c r="A1220" s="156">
        <v>1221</v>
      </c>
      <c r="B1220" s="197">
        <v>1</v>
      </c>
      <c r="C1220" s="148" t="s">
        <v>596</v>
      </c>
      <c r="D1220" s="141" t="s">
        <v>2339</v>
      </c>
      <c r="F1220" s="252" t="s">
        <v>3346</v>
      </c>
      <c r="I1220" s="165">
        <v>2009</v>
      </c>
      <c r="J1220" s="165" t="s">
        <v>3336</v>
      </c>
      <c r="L1220" s="161" t="s">
        <v>274</v>
      </c>
      <c r="M1220" s="453" t="s">
        <v>4317</v>
      </c>
      <c r="AF1220" s="144" t="str">
        <f t="shared" si="102"/>
        <v/>
      </c>
      <c r="AG1220" s="144">
        <f t="shared" si="98"/>
        <v>1.1148709664050117E-2</v>
      </c>
      <c r="AH1220" s="146" t="str">
        <f t="shared" si="103"/>
        <v/>
      </c>
      <c r="AI1220" s="146">
        <f t="shared" si="104"/>
        <v>7.2495027200613509E-4</v>
      </c>
      <c r="AJ1220" s="313"/>
      <c r="AK1220" s="313"/>
      <c r="AL1220" s="313">
        <v>1.1148709664050117E-2</v>
      </c>
      <c r="AM1220" s="313">
        <v>0.10033838697645107</v>
      </c>
      <c r="AN1220" s="313">
        <v>0</v>
      </c>
      <c r="AO1220" s="313"/>
      <c r="AP1220" s="313">
        <v>1.0340428213406483</v>
      </c>
      <c r="AQ1220" s="313">
        <v>3.7013716084646387E-3</v>
      </c>
      <c r="AR1220" s="313"/>
      <c r="AT1220" s="173">
        <f t="shared" si="99"/>
        <v>1.1492312895896142</v>
      </c>
      <c r="AV1220" s="322"/>
      <c r="AW1220" s="286"/>
      <c r="AX1220" s="286"/>
      <c r="AY1220" s="286">
        <v>7.2495027200613509E-4</v>
      </c>
      <c r="AZ1220" s="286">
        <v>6.967910465645745E-3</v>
      </c>
      <c r="BA1220" s="286"/>
      <c r="BB1220" s="286"/>
      <c r="BC1220" s="286">
        <v>6.6024396673616606E-2</v>
      </c>
      <c r="BD1220" s="286">
        <v>2.7200613511635152E-4</v>
      </c>
      <c r="BE1220" s="286"/>
      <c r="BF1220" s="394">
        <f t="shared" si="100"/>
        <v>0</v>
      </c>
      <c r="BG1220" s="394">
        <f t="shared" si="101"/>
        <v>7.398926354638484E-2</v>
      </c>
    </row>
    <row r="1221" spans="1:62" ht="15" customHeight="1" thickBot="1" x14ac:dyDescent="0.25">
      <c r="A1221" s="156">
        <v>1222</v>
      </c>
      <c r="B1221" s="197">
        <v>1</v>
      </c>
      <c r="C1221" s="148" t="s">
        <v>596</v>
      </c>
      <c r="D1221" s="141" t="s">
        <v>2339</v>
      </c>
      <c r="F1221" s="251" t="s">
        <v>3347</v>
      </c>
      <c r="I1221" s="165">
        <v>2009</v>
      </c>
      <c r="J1221" s="165" t="s">
        <v>3336</v>
      </c>
      <c r="L1221" s="161" t="s">
        <v>274</v>
      </c>
      <c r="M1221" s="453" t="s">
        <v>4317</v>
      </c>
      <c r="AF1221" s="144" t="str">
        <f t="shared" si="102"/>
        <v/>
      </c>
      <c r="AG1221" s="144">
        <f t="shared" si="98"/>
        <v>9.7551209560438525E-3</v>
      </c>
      <c r="AH1221" s="146" t="str">
        <f t="shared" si="103"/>
        <v/>
      </c>
      <c r="AI1221" s="146">
        <f t="shared" si="104"/>
        <v>6.3867519831284293E-4</v>
      </c>
      <c r="AJ1221" s="313"/>
      <c r="AK1221" s="313"/>
      <c r="AL1221" s="313">
        <v>9.7551209560438525E-3</v>
      </c>
      <c r="AM1221" s="313">
        <v>0.10033838697645107</v>
      </c>
      <c r="AN1221" s="313">
        <v>0</v>
      </c>
      <c r="AO1221" s="313"/>
      <c r="AP1221" s="313">
        <v>0.51562782196231782</v>
      </c>
      <c r="AQ1221" s="313">
        <v>2.0848087071773718E-3</v>
      </c>
      <c r="AR1221" s="313"/>
      <c r="AT1221" s="173">
        <f t="shared" si="99"/>
        <v>0.62780613860199019</v>
      </c>
      <c r="AV1221" s="322"/>
      <c r="AW1221" s="286"/>
      <c r="AX1221" s="286"/>
      <c r="AY1221" s="286">
        <v>6.3867519831284293E-4</v>
      </c>
      <c r="AZ1221" s="286">
        <v>6.967910465645745E-3</v>
      </c>
      <c r="BA1221" s="286"/>
      <c r="BB1221" s="286"/>
      <c r="BC1221" s="286">
        <v>3.3072111582428648E-2</v>
      </c>
      <c r="BD1221" s="286">
        <v>1.5577443861288854E-4</v>
      </c>
      <c r="BE1221" s="286"/>
      <c r="BF1221" s="394">
        <f t="shared" si="100"/>
        <v>0</v>
      </c>
      <c r="BG1221" s="394">
        <f t="shared" si="101"/>
        <v>4.0834471685000123E-2</v>
      </c>
    </row>
    <row r="1222" spans="1:62" ht="15" customHeight="1" thickBot="1" x14ac:dyDescent="0.25">
      <c r="A1222" s="156">
        <v>1223</v>
      </c>
      <c r="B1222" s="247">
        <v>1</v>
      </c>
      <c r="C1222" s="148" t="s">
        <v>24</v>
      </c>
      <c r="D1222" s="253" t="s">
        <v>4056</v>
      </c>
      <c r="E1222" s="148" t="s">
        <v>13</v>
      </c>
      <c r="F1222" s="253" t="s">
        <v>3371</v>
      </c>
      <c r="G1222" s="253" t="s">
        <v>15</v>
      </c>
      <c r="H1222" s="253" t="s">
        <v>42</v>
      </c>
      <c r="I1222" s="161">
        <v>2008</v>
      </c>
      <c r="J1222" s="259" t="s">
        <v>3372</v>
      </c>
      <c r="K1222" s="259" t="s">
        <v>116</v>
      </c>
      <c r="L1222" s="161" t="s">
        <v>104</v>
      </c>
      <c r="M1222" s="455" t="s">
        <v>4318</v>
      </c>
      <c r="N1222" s="267" t="s">
        <v>20</v>
      </c>
      <c r="O1222" s="267" t="s">
        <v>15</v>
      </c>
      <c r="P1222" s="267" t="s">
        <v>15</v>
      </c>
      <c r="Q1222" s="267" t="s">
        <v>15</v>
      </c>
      <c r="R1222" s="267" t="s">
        <v>20</v>
      </c>
      <c r="S1222" s="267" t="s">
        <v>20</v>
      </c>
      <c r="T1222" s="267" t="s">
        <v>20</v>
      </c>
      <c r="U1222" s="267" t="s">
        <v>15</v>
      </c>
      <c r="V1222" s="267" t="s">
        <v>15</v>
      </c>
      <c r="W1222" s="267" t="s">
        <v>15</v>
      </c>
      <c r="X1222" s="267" t="s">
        <v>15</v>
      </c>
      <c r="Y1222" s="267" t="s">
        <v>15</v>
      </c>
      <c r="Z1222" s="267" t="s">
        <v>15</v>
      </c>
      <c r="AA1222" s="267" t="s">
        <v>3373</v>
      </c>
      <c r="AB1222" s="267" t="s">
        <v>15</v>
      </c>
      <c r="AC1222" s="267" t="s">
        <v>20</v>
      </c>
      <c r="AD1222" s="274" t="s">
        <v>3374</v>
      </c>
      <c r="AE1222" s="274" t="s">
        <v>92</v>
      </c>
      <c r="AF1222" s="144" t="str">
        <f t="shared" si="102"/>
        <v/>
      </c>
      <c r="AG1222" s="144" t="str">
        <f t="shared" si="98"/>
        <v/>
      </c>
      <c r="AH1222" s="146">
        <f t="shared" si="103"/>
        <v>8.2319999999999993</v>
      </c>
      <c r="AI1222" s="146">
        <f t="shared" si="104"/>
        <v>8.5809999999999995</v>
      </c>
      <c r="AJ1222" s="420"/>
      <c r="AK1222" s="420"/>
      <c r="AL1222" s="420"/>
      <c r="AM1222" s="420"/>
      <c r="AN1222" s="420"/>
      <c r="AO1222" s="420"/>
      <c r="AP1222" s="420"/>
      <c r="AQ1222" s="420"/>
      <c r="AR1222" s="420"/>
      <c r="AS1222" s="430"/>
      <c r="AT1222" s="430"/>
      <c r="AU1222" s="310"/>
      <c r="AV1222" s="435"/>
      <c r="AW1222" s="278">
        <v>8.2319999999999993</v>
      </c>
      <c r="AX1222" s="278">
        <v>0.34899999999999998</v>
      </c>
      <c r="AY1222" s="278"/>
      <c r="AZ1222" s="278">
        <v>0.186</v>
      </c>
      <c r="BA1222" s="278">
        <v>2.3E-2</v>
      </c>
      <c r="BB1222" s="278">
        <v>0.11600000000000001</v>
      </c>
      <c r="BC1222" s="278"/>
      <c r="BD1222" s="278"/>
      <c r="BE1222" s="278"/>
      <c r="BF1222" s="403">
        <f t="shared" si="100"/>
        <v>8.2319999999999993</v>
      </c>
      <c r="BG1222" s="403">
        <f>SUM(AW1222:BB1222)</f>
        <v>8.9059999999999988</v>
      </c>
      <c r="BH1222" s="278"/>
      <c r="BI1222" s="365"/>
    </row>
    <row r="1223" spans="1:62" ht="17" thickBot="1" x14ac:dyDescent="0.25">
      <c r="A1223" s="156">
        <v>1224</v>
      </c>
      <c r="B1223" s="247">
        <v>1</v>
      </c>
      <c r="C1223" s="253" t="s">
        <v>24</v>
      </c>
      <c r="D1223" s="253" t="s">
        <v>53</v>
      </c>
      <c r="E1223" s="253" t="s">
        <v>13</v>
      </c>
      <c r="F1223" s="253" t="s">
        <v>3375</v>
      </c>
      <c r="G1223" s="253" t="s">
        <v>15</v>
      </c>
      <c r="H1223" s="253" t="s">
        <v>42</v>
      </c>
      <c r="I1223" s="161">
        <v>2008</v>
      </c>
      <c r="J1223" s="259" t="s">
        <v>3372</v>
      </c>
      <c r="K1223" s="259" t="s">
        <v>116</v>
      </c>
      <c r="L1223" s="161" t="s">
        <v>104</v>
      </c>
      <c r="M1223" s="455" t="s">
        <v>4318</v>
      </c>
      <c r="N1223" s="267" t="s">
        <v>20</v>
      </c>
      <c r="O1223" s="267" t="s">
        <v>15</v>
      </c>
      <c r="P1223" s="267" t="s">
        <v>15</v>
      </c>
      <c r="Q1223" s="267" t="s">
        <v>15</v>
      </c>
      <c r="R1223" s="267" t="s">
        <v>20</v>
      </c>
      <c r="S1223" s="267" t="s">
        <v>15</v>
      </c>
      <c r="T1223" s="267" t="s">
        <v>15</v>
      </c>
      <c r="U1223" s="267" t="s">
        <v>15</v>
      </c>
      <c r="V1223" s="267" t="s">
        <v>15</v>
      </c>
      <c r="W1223" s="267" t="s">
        <v>15</v>
      </c>
      <c r="X1223" s="267" t="s">
        <v>15</v>
      </c>
      <c r="Y1223" s="267" t="s">
        <v>15</v>
      </c>
      <c r="Z1223" s="267" t="s">
        <v>15</v>
      </c>
      <c r="AA1223" s="267" t="s">
        <v>3373</v>
      </c>
      <c r="AB1223" s="267" t="s">
        <v>15</v>
      </c>
      <c r="AC1223" s="267" t="s">
        <v>20</v>
      </c>
      <c r="AD1223" s="274" t="s">
        <v>3374</v>
      </c>
      <c r="AE1223" s="274" t="s">
        <v>92</v>
      </c>
      <c r="AF1223" s="144" t="str">
        <f t="shared" si="102"/>
        <v/>
      </c>
      <c r="AG1223" s="144" t="str">
        <f t="shared" si="98"/>
        <v/>
      </c>
      <c r="AH1223" s="146">
        <f t="shared" si="103"/>
        <v>15.56</v>
      </c>
      <c r="AI1223" s="146">
        <f t="shared" si="104"/>
        <v>16.77</v>
      </c>
      <c r="AJ1223" s="303"/>
      <c r="AK1223" s="303"/>
      <c r="AL1223" s="303"/>
      <c r="AM1223" s="303"/>
      <c r="AN1223" s="303"/>
      <c r="AO1223" s="303"/>
      <c r="AP1223" s="303"/>
      <c r="AQ1223" s="303"/>
      <c r="AR1223" s="318"/>
      <c r="AS1223" s="226"/>
      <c r="AT1223" s="232"/>
      <c r="AU1223" s="318"/>
      <c r="AV1223" s="343"/>
      <c r="AW1223" s="357">
        <v>15.56</v>
      </c>
      <c r="AX1223" s="294">
        <v>1.21</v>
      </c>
      <c r="AY1223" s="294"/>
      <c r="AZ1223" s="294">
        <v>0.24</v>
      </c>
      <c r="BA1223" s="294"/>
      <c r="BB1223" s="294"/>
      <c r="BC1223" s="294"/>
      <c r="BD1223" s="294"/>
      <c r="BE1223" s="294"/>
      <c r="BF1223" s="383">
        <f t="shared" si="100"/>
        <v>15.56</v>
      </c>
      <c r="BG1223" s="383">
        <f>SUM(AW1223:AZ1223)</f>
        <v>17.009999999999998</v>
      </c>
      <c r="BH1223" s="375"/>
      <c r="BI1223" s="376"/>
      <c r="BJ1223" s="409"/>
    </row>
    <row r="1224" spans="1:62" ht="17" thickBot="1" x14ac:dyDescent="0.25">
      <c r="A1224" s="156">
        <v>1225</v>
      </c>
      <c r="B1224" s="247">
        <v>1</v>
      </c>
      <c r="C1224" s="253" t="s">
        <v>24</v>
      </c>
      <c r="D1224" s="253" t="s">
        <v>53</v>
      </c>
      <c r="E1224" s="253" t="s">
        <v>13</v>
      </c>
      <c r="F1224" s="253" t="s">
        <v>3376</v>
      </c>
      <c r="G1224" s="253" t="s">
        <v>15</v>
      </c>
      <c r="H1224" s="253" t="s">
        <v>376</v>
      </c>
      <c r="I1224" s="161">
        <v>2008</v>
      </c>
      <c r="J1224" s="259" t="s">
        <v>3372</v>
      </c>
      <c r="K1224" s="259" t="s">
        <v>116</v>
      </c>
      <c r="L1224" s="161" t="s">
        <v>104</v>
      </c>
      <c r="M1224" s="455" t="s">
        <v>4318</v>
      </c>
      <c r="N1224" s="267" t="s">
        <v>20</v>
      </c>
      <c r="O1224" s="267" t="s">
        <v>15</v>
      </c>
      <c r="P1224" s="267" t="s">
        <v>15</v>
      </c>
      <c r="Q1224" s="267" t="s">
        <v>15</v>
      </c>
      <c r="R1224" s="267" t="s">
        <v>20</v>
      </c>
      <c r="S1224" s="267" t="s">
        <v>15</v>
      </c>
      <c r="T1224" s="267" t="s">
        <v>15</v>
      </c>
      <c r="U1224" s="267" t="s">
        <v>15</v>
      </c>
      <c r="V1224" s="267" t="s">
        <v>15</v>
      </c>
      <c r="W1224" s="267" t="s">
        <v>15</v>
      </c>
      <c r="X1224" s="267" t="s">
        <v>15</v>
      </c>
      <c r="Y1224" s="267" t="s">
        <v>15</v>
      </c>
      <c r="Z1224" s="267" t="s">
        <v>15</v>
      </c>
      <c r="AA1224" s="267" t="s">
        <v>3373</v>
      </c>
      <c r="AB1224" s="267" t="s">
        <v>15</v>
      </c>
      <c r="AC1224" s="267" t="s">
        <v>20</v>
      </c>
      <c r="AD1224" s="274" t="s">
        <v>3374</v>
      </c>
      <c r="AE1224" s="274" t="s">
        <v>92</v>
      </c>
      <c r="AF1224" s="144" t="str">
        <f t="shared" si="102"/>
        <v/>
      </c>
      <c r="AG1224" s="144" t="str">
        <f t="shared" si="98"/>
        <v/>
      </c>
      <c r="AH1224" s="146">
        <f t="shared" si="103"/>
        <v>37.74</v>
      </c>
      <c r="AI1224" s="146">
        <f t="shared" si="104"/>
        <v>37.79</v>
      </c>
      <c r="AJ1224" s="303"/>
      <c r="AK1224" s="303"/>
      <c r="AL1224" s="303"/>
      <c r="AM1224" s="303"/>
      <c r="AN1224" s="303"/>
      <c r="AO1224" s="303"/>
      <c r="AP1224" s="303"/>
      <c r="AQ1224" s="303"/>
      <c r="AR1224" s="318"/>
      <c r="AS1224" s="226"/>
      <c r="AT1224" s="232"/>
      <c r="AU1224" s="318"/>
      <c r="AV1224" s="343"/>
      <c r="AW1224" s="357">
        <v>37.74</v>
      </c>
      <c r="AX1224" s="294">
        <v>0.05</v>
      </c>
      <c r="AY1224" s="294"/>
      <c r="AZ1224" s="294">
        <v>0.08</v>
      </c>
      <c r="BA1224" s="294"/>
      <c r="BB1224" s="294"/>
      <c r="BC1224" s="294"/>
      <c r="BD1224" s="294"/>
      <c r="BE1224" s="294"/>
      <c r="BF1224" s="383">
        <f t="shared" si="100"/>
        <v>37.74</v>
      </c>
      <c r="BG1224" s="383">
        <f>SUM(AW1224:AZ1224)</f>
        <v>37.869999999999997</v>
      </c>
      <c r="BH1224" s="375"/>
      <c r="BI1224" s="376"/>
      <c r="BJ1224" s="409"/>
    </row>
    <row r="1225" spans="1:62" ht="17" thickBot="1" x14ac:dyDescent="0.25">
      <c r="A1225" s="156">
        <v>1226</v>
      </c>
      <c r="B1225" s="247">
        <v>1</v>
      </c>
      <c r="C1225" s="253" t="s">
        <v>24</v>
      </c>
      <c r="D1225" s="253" t="s">
        <v>53</v>
      </c>
      <c r="E1225" s="253" t="s">
        <v>13</v>
      </c>
      <c r="F1225" s="253" t="s">
        <v>3377</v>
      </c>
      <c r="G1225" s="253" t="s">
        <v>15</v>
      </c>
      <c r="H1225" s="253" t="s">
        <v>375</v>
      </c>
      <c r="I1225" s="161">
        <v>2008</v>
      </c>
      <c r="J1225" s="259" t="s">
        <v>3372</v>
      </c>
      <c r="K1225" s="259" t="s">
        <v>116</v>
      </c>
      <c r="L1225" s="161" t="s">
        <v>104</v>
      </c>
      <c r="M1225" s="455" t="s">
        <v>4318</v>
      </c>
      <c r="N1225" s="267" t="s">
        <v>20</v>
      </c>
      <c r="O1225" s="267" t="s">
        <v>15</v>
      </c>
      <c r="P1225" s="267" t="s">
        <v>15</v>
      </c>
      <c r="Q1225" s="267" t="s">
        <v>15</v>
      </c>
      <c r="R1225" s="267" t="s">
        <v>20</v>
      </c>
      <c r="S1225" s="267" t="s">
        <v>15</v>
      </c>
      <c r="T1225" s="267" t="s">
        <v>15</v>
      </c>
      <c r="U1225" s="267" t="s">
        <v>15</v>
      </c>
      <c r="V1225" s="267" t="s">
        <v>15</v>
      </c>
      <c r="W1225" s="267" t="s">
        <v>15</v>
      </c>
      <c r="X1225" s="267" t="s">
        <v>15</v>
      </c>
      <c r="Y1225" s="267" t="s">
        <v>15</v>
      </c>
      <c r="Z1225" s="267" t="s">
        <v>15</v>
      </c>
      <c r="AA1225" s="267" t="s">
        <v>3373</v>
      </c>
      <c r="AB1225" s="267" t="s">
        <v>15</v>
      </c>
      <c r="AC1225" s="267" t="s">
        <v>20</v>
      </c>
      <c r="AD1225" s="274" t="s">
        <v>3378</v>
      </c>
      <c r="AE1225" s="274" t="s">
        <v>92</v>
      </c>
      <c r="AF1225" s="144" t="str">
        <f t="shared" si="102"/>
        <v/>
      </c>
      <c r="AG1225" s="144" t="str">
        <f t="shared" si="98"/>
        <v/>
      </c>
      <c r="AH1225" s="146">
        <f t="shared" si="103"/>
        <v>58.39</v>
      </c>
      <c r="AI1225" s="146">
        <f t="shared" si="104"/>
        <v>58.44</v>
      </c>
      <c r="AJ1225" s="303"/>
      <c r="AK1225" s="303"/>
      <c r="AL1225" s="303"/>
      <c r="AM1225" s="303"/>
      <c r="AN1225" s="303"/>
      <c r="AO1225" s="303"/>
      <c r="AP1225" s="303"/>
      <c r="AQ1225" s="303"/>
      <c r="AR1225" s="318"/>
      <c r="AS1225" s="226"/>
      <c r="AT1225" s="232"/>
      <c r="AU1225" s="318"/>
      <c r="AV1225" s="343"/>
      <c r="AW1225" s="357">
        <v>58.39</v>
      </c>
      <c r="AX1225" s="294">
        <v>0.05</v>
      </c>
      <c r="AY1225" s="294"/>
      <c r="AZ1225" s="294">
        <v>0.08</v>
      </c>
      <c r="BA1225" s="294"/>
      <c r="BB1225" s="294"/>
      <c r="BC1225" s="294"/>
      <c r="BD1225" s="294"/>
      <c r="BE1225" s="294"/>
      <c r="BF1225" s="383">
        <f t="shared" si="100"/>
        <v>58.39</v>
      </c>
      <c r="BG1225" s="383">
        <f>SUM(AW1225:AZ1225)</f>
        <v>58.519999999999996</v>
      </c>
      <c r="BH1225" s="375"/>
      <c r="BI1225" s="376"/>
      <c r="BJ1225" s="409"/>
    </row>
    <row r="1226" spans="1:62" ht="17" thickBot="1" x14ac:dyDescent="0.25">
      <c r="A1226" s="156">
        <v>1227</v>
      </c>
      <c r="B1226" s="247">
        <v>1</v>
      </c>
      <c r="C1226" s="253" t="s">
        <v>24</v>
      </c>
      <c r="D1226" s="253" t="s">
        <v>283</v>
      </c>
      <c r="E1226" s="253" t="s">
        <v>13</v>
      </c>
      <c r="F1226" s="253" t="s">
        <v>3379</v>
      </c>
      <c r="G1226" s="253" t="s">
        <v>15</v>
      </c>
      <c r="H1226" s="253" t="s">
        <v>375</v>
      </c>
      <c r="I1226" s="161">
        <v>2008</v>
      </c>
      <c r="J1226" s="259" t="s">
        <v>3372</v>
      </c>
      <c r="K1226" s="259" t="s">
        <v>116</v>
      </c>
      <c r="L1226" s="161" t="s">
        <v>104</v>
      </c>
      <c r="M1226" s="455" t="s">
        <v>4318</v>
      </c>
      <c r="N1226" s="267" t="s">
        <v>20</v>
      </c>
      <c r="O1226" s="267" t="s">
        <v>15</v>
      </c>
      <c r="P1226" s="267" t="s">
        <v>15</v>
      </c>
      <c r="Q1226" s="267" t="s">
        <v>15</v>
      </c>
      <c r="R1226" s="267" t="s">
        <v>20</v>
      </c>
      <c r="S1226" s="267" t="s">
        <v>20</v>
      </c>
      <c r="T1226" s="267" t="s">
        <v>20</v>
      </c>
      <c r="U1226" s="267" t="s">
        <v>15</v>
      </c>
      <c r="V1226" s="267" t="s">
        <v>15</v>
      </c>
      <c r="W1226" s="267" t="s">
        <v>15</v>
      </c>
      <c r="X1226" s="267" t="s">
        <v>15</v>
      </c>
      <c r="Y1226" s="267" t="s">
        <v>15</v>
      </c>
      <c r="Z1226" s="267" t="s">
        <v>15</v>
      </c>
      <c r="AA1226" s="186"/>
      <c r="AB1226" s="267"/>
      <c r="AC1226" s="267" t="s">
        <v>20</v>
      </c>
      <c r="AD1226" s="274" t="s">
        <v>3378</v>
      </c>
      <c r="AE1226" s="268"/>
      <c r="AF1226" s="144" t="str">
        <f t="shared" si="102"/>
        <v/>
      </c>
      <c r="AG1226" s="144" t="str">
        <f t="shared" si="98"/>
        <v/>
      </c>
      <c r="AH1226" s="146">
        <f t="shared" si="103"/>
        <v>2.44</v>
      </c>
      <c r="AI1226" s="146">
        <f t="shared" si="104"/>
        <v>2.4859999999999998</v>
      </c>
      <c r="AJ1226" s="303"/>
      <c r="AK1226" s="303"/>
      <c r="AL1226" s="303"/>
      <c r="AM1226" s="303"/>
      <c r="AN1226" s="303"/>
      <c r="AO1226" s="303"/>
      <c r="AP1226" s="303"/>
      <c r="AQ1226" s="303"/>
      <c r="AR1226" s="318"/>
      <c r="AS1226" s="227"/>
      <c r="AT1226" s="232"/>
      <c r="AU1226" s="318"/>
      <c r="AV1226" s="343"/>
      <c r="AW1226" s="357">
        <v>2.44</v>
      </c>
      <c r="AX1226" s="294">
        <v>4.5999999999999999E-2</v>
      </c>
      <c r="AY1226" s="294"/>
      <c r="AZ1226" s="294">
        <v>0.186</v>
      </c>
      <c r="BA1226" s="294">
        <v>0.11600000000000001</v>
      </c>
      <c r="BB1226" s="294">
        <v>0.11600000000000001</v>
      </c>
      <c r="BC1226" s="294"/>
      <c r="BD1226" s="294"/>
      <c r="BE1226" s="294"/>
      <c r="BF1226" s="383">
        <f t="shared" si="100"/>
        <v>2.44</v>
      </c>
      <c r="BG1226" s="383">
        <f t="shared" ref="BG1226:BG1247" si="105">SUM(AW1226:BE1226)</f>
        <v>2.9039999999999999</v>
      </c>
      <c r="BH1226" s="375"/>
      <c r="BI1226" s="376"/>
      <c r="BJ1226" s="409"/>
    </row>
    <row r="1227" spans="1:62" ht="17" thickBot="1" x14ac:dyDescent="0.25">
      <c r="A1227" s="156">
        <v>1228</v>
      </c>
      <c r="B1227" s="247">
        <v>1</v>
      </c>
      <c r="C1227" s="253" t="s">
        <v>24</v>
      </c>
      <c r="D1227" s="253" t="s">
        <v>283</v>
      </c>
      <c r="E1227" s="253" t="s">
        <v>13</v>
      </c>
      <c r="F1227" s="253" t="s">
        <v>3380</v>
      </c>
      <c r="G1227" s="253" t="s">
        <v>15</v>
      </c>
      <c r="H1227" s="253" t="s">
        <v>42</v>
      </c>
      <c r="I1227" s="161">
        <v>2008</v>
      </c>
      <c r="J1227" s="259" t="s">
        <v>3372</v>
      </c>
      <c r="K1227" s="259" t="s">
        <v>116</v>
      </c>
      <c r="L1227" s="161" t="s">
        <v>104</v>
      </c>
      <c r="M1227" s="455" t="s">
        <v>4318</v>
      </c>
      <c r="N1227" s="267" t="s">
        <v>20</v>
      </c>
      <c r="O1227" s="267" t="s">
        <v>15</v>
      </c>
      <c r="P1227" s="267" t="s">
        <v>15</v>
      </c>
      <c r="Q1227" s="267" t="s">
        <v>15</v>
      </c>
      <c r="R1227" s="267" t="s">
        <v>20</v>
      </c>
      <c r="S1227" s="267" t="s">
        <v>20</v>
      </c>
      <c r="T1227" s="267" t="s">
        <v>20</v>
      </c>
      <c r="U1227" s="267" t="s">
        <v>15</v>
      </c>
      <c r="V1227" s="267" t="s">
        <v>15</v>
      </c>
      <c r="W1227" s="267" t="s">
        <v>15</v>
      </c>
      <c r="X1227" s="267" t="s">
        <v>15</v>
      </c>
      <c r="Y1227" s="267" t="s">
        <v>15</v>
      </c>
      <c r="Z1227" s="267" t="s">
        <v>15</v>
      </c>
      <c r="AA1227" s="186"/>
      <c r="AB1227" s="267"/>
      <c r="AC1227" s="267" t="s">
        <v>20</v>
      </c>
      <c r="AD1227" s="274" t="s">
        <v>3378</v>
      </c>
      <c r="AE1227" s="268"/>
      <c r="AF1227" s="144" t="str">
        <f t="shared" si="102"/>
        <v/>
      </c>
      <c r="AG1227" s="144" t="str">
        <f t="shared" si="98"/>
        <v/>
      </c>
      <c r="AH1227" s="146">
        <f t="shared" si="103"/>
        <v>2.72</v>
      </c>
      <c r="AI1227" s="146">
        <f t="shared" si="104"/>
        <v>2.7670000000000003</v>
      </c>
      <c r="AJ1227" s="303"/>
      <c r="AK1227" s="303"/>
      <c r="AL1227" s="303"/>
      <c r="AM1227" s="303"/>
      <c r="AN1227" s="303"/>
      <c r="AO1227" s="303"/>
      <c r="AP1227" s="303"/>
      <c r="AQ1227" s="303"/>
      <c r="AR1227" s="318"/>
      <c r="AS1227" s="227"/>
      <c r="AT1227" s="232"/>
      <c r="AU1227" s="318"/>
      <c r="AV1227" s="343"/>
      <c r="AW1227" s="357">
        <v>2.72</v>
      </c>
      <c r="AX1227" s="294">
        <v>4.7E-2</v>
      </c>
      <c r="AY1227" s="294"/>
      <c r="AZ1227" s="294">
        <v>0.186</v>
      </c>
      <c r="BA1227" s="294">
        <v>2.3E-2</v>
      </c>
      <c r="BB1227" s="294">
        <v>0.11600000000000001</v>
      </c>
      <c r="BC1227" s="294"/>
      <c r="BD1227" s="294"/>
      <c r="BE1227" s="294"/>
      <c r="BF1227" s="383">
        <f t="shared" si="100"/>
        <v>2.72</v>
      </c>
      <c r="BG1227" s="383">
        <f t="shared" si="105"/>
        <v>3.0920000000000005</v>
      </c>
      <c r="BH1227" s="375"/>
      <c r="BI1227" s="376"/>
      <c r="BJ1227" s="409"/>
    </row>
    <row r="1228" spans="1:62" ht="17" thickBot="1" x14ac:dyDescent="0.25">
      <c r="A1228" s="156">
        <v>1229</v>
      </c>
      <c r="B1228" s="247">
        <v>1</v>
      </c>
      <c r="C1228" s="253" t="s">
        <v>24</v>
      </c>
      <c r="D1228" s="253" t="s">
        <v>269</v>
      </c>
      <c r="E1228" s="253" t="s">
        <v>13</v>
      </c>
      <c r="F1228" s="253" t="s">
        <v>3381</v>
      </c>
      <c r="G1228" s="253" t="s">
        <v>15</v>
      </c>
      <c r="H1228" s="253" t="s">
        <v>42</v>
      </c>
      <c r="I1228" s="161">
        <v>2008</v>
      </c>
      <c r="J1228" s="259" t="s">
        <v>3372</v>
      </c>
      <c r="K1228" s="259" t="s">
        <v>116</v>
      </c>
      <c r="L1228" s="161" t="s">
        <v>104</v>
      </c>
      <c r="M1228" s="455" t="s">
        <v>4318</v>
      </c>
      <c r="N1228" s="267" t="s">
        <v>20</v>
      </c>
      <c r="O1228" s="267" t="s">
        <v>15</v>
      </c>
      <c r="P1228" s="267" t="s">
        <v>15</v>
      </c>
      <c r="Q1228" s="267" t="s">
        <v>15</v>
      </c>
      <c r="R1228" s="267" t="s">
        <v>20</v>
      </c>
      <c r="S1228" s="267" t="s">
        <v>15</v>
      </c>
      <c r="T1228" s="267" t="s">
        <v>20</v>
      </c>
      <c r="U1228" s="267" t="s">
        <v>15</v>
      </c>
      <c r="V1228" s="267" t="s">
        <v>15</v>
      </c>
      <c r="W1228" s="267" t="s">
        <v>15</v>
      </c>
      <c r="X1228" s="267" t="s">
        <v>15</v>
      </c>
      <c r="Y1228" s="267" t="s">
        <v>15</v>
      </c>
      <c r="Z1228" s="267" t="s">
        <v>15</v>
      </c>
      <c r="AA1228" s="186"/>
      <c r="AB1228" s="267"/>
      <c r="AC1228" s="267" t="s">
        <v>20</v>
      </c>
      <c r="AD1228" s="274" t="s">
        <v>3378</v>
      </c>
      <c r="AE1228" s="268"/>
      <c r="AF1228" s="144" t="str">
        <f t="shared" si="102"/>
        <v/>
      </c>
      <c r="AG1228" s="144" t="str">
        <f t="shared" si="98"/>
        <v/>
      </c>
      <c r="AH1228" s="146">
        <f t="shared" si="103"/>
        <v>3.907</v>
      </c>
      <c r="AI1228" s="146">
        <f t="shared" si="104"/>
        <v>4.2089999999999996</v>
      </c>
      <c r="AJ1228" s="303"/>
      <c r="AK1228" s="303"/>
      <c r="AL1228" s="303"/>
      <c r="AM1228" s="303"/>
      <c r="AN1228" s="303"/>
      <c r="AO1228" s="303"/>
      <c r="AP1228" s="303"/>
      <c r="AQ1228" s="303"/>
      <c r="AR1228" s="318"/>
      <c r="AS1228" s="227"/>
      <c r="AT1228" s="232"/>
      <c r="AU1228" s="318"/>
      <c r="AV1228" s="343"/>
      <c r="AW1228" s="357">
        <v>3.907</v>
      </c>
      <c r="AX1228" s="294">
        <v>0.30199999999999999</v>
      </c>
      <c r="AY1228" s="294"/>
      <c r="AZ1228" s="294">
        <v>0.20899999999999999</v>
      </c>
      <c r="BA1228" s="294"/>
      <c r="BB1228" s="294">
        <v>0.11600000000000001</v>
      </c>
      <c r="BC1228" s="294"/>
      <c r="BD1228" s="294"/>
      <c r="BE1228" s="294"/>
      <c r="BF1228" s="383">
        <f t="shared" si="100"/>
        <v>3.907</v>
      </c>
      <c r="BG1228" s="383">
        <f t="shared" si="105"/>
        <v>4.5339999999999989</v>
      </c>
      <c r="BH1228" s="375"/>
      <c r="BI1228" s="376"/>
      <c r="BJ1228" s="409"/>
    </row>
    <row r="1229" spans="1:62" ht="17" thickBot="1" x14ac:dyDescent="0.25">
      <c r="A1229" s="156">
        <v>1230</v>
      </c>
      <c r="B1229" s="247">
        <v>1</v>
      </c>
      <c r="C1229" s="253" t="s">
        <v>24</v>
      </c>
      <c r="D1229" s="148" t="s">
        <v>394</v>
      </c>
      <c r="E1229" s="253" t="s">
        <v>13</v>
      </c>
      <c r="F1229" s="253" t="s">
        <v>394</v>
      </c>
      <c r="G1229" s="253" t="s">
        <v>15</v>
      </c>
      <c r="H1229" s="253" t="s">
        <v>42</v>
      </c>
      <c r="I1229" s="161">
        <v>2008</v>
      </c>
      <c r="J1229" s="259" t="s">
        <v>3372</v>
      </c>
      <c r="K1229" s="259" t="s">
        <v>116</v>
      </c>
      <c r="L1229" s="161" t="s">
        <v>104</v>
      </c>
      <c r="M1229" s="455" t="s">
        <v>4318</v>
      </c>
      <c r="N1229" s="267" t="s">
        <v>20</v>
      </c>
      <c r="O1229" s="267" t="s">
        <v>15</v>
      </c>
      <c r="P1229" s="267" t="s">
        <v>15</v>
      </c>
      <c r="Q1229" s="267" t="s">
        <v>15</v>
      </c>
      <c r="R1229" s="267" t="s">
        <v>20</v>
      </c>
      <c r="S1229" s="267" t="s">
        <v>15</v>
      </c>
      <c r="T1229" s="267" t="s">
        <v>20</v>
      </c>
      <c r="U1229" s="267" t="s">
        <v>15</v>
      </c>
      <c r="V1229" s="267" t="s">
        <v>15</v>
      </c>
      <c r="W1229" s="267" t="s">
        <v>15</v>
      </c>
      <c r="X1229" s="267" t="s">
        <v>15</v>
      </c>
      <c r="Y1229" s="267" t="s">
        <v>15</v>
      </c>
      <c r="Z1229" s="267" t="s">
        <v>15</v>
      </c>
      <c r="AA1229" s="186"/>
      <c r="AB1229" s="267"/>
      <c r="AC1229" s="267" t="s">
        <v>20</v>
      </c>
      <c r="AD1229" s="274" t="s">
        <v>3378</v>
      </c>
      <c r="AE1229" s="268"/>
      <c r="AF1229" s="144" t="str">
        <f t="shared" si="102"/>
        <v/>
      </c>
      <c r="AG1229" s="144" t="str">
        <f t="shared" si="98"/>
        <v/>
      </c>
      <c r="AH1229" s="146">
        <f t="shared" si="103"/>
        <v>5.7670000000000003</v>
      </c>
      <c r="AI1229" s="146">
        <f t="shared" si="104"/>
        <v>5.9300000000000006</v>
      </c>
      <c r="AJ1229" s="303"/>
      <c r="AK1229" s="303"/>
      <c r="AL1229" s="303"/>
      <c r="AM1229" s="303"/>
      <c r="AN1229" s="303"/>
      <c r="AO1229" s="303"/>
      <c r="AP1229" s="303"/>
      <c r="AQ1229" s="303"/>
      <c r="AR1229" s="318"/>
      <c r="AS1229" s="227"/>
      <c r="AT1229" s="232"/>
      <c r="AU1229" s="318"/>
      <c r="AV1229" s="343"/>
      <c r="AW1229" s="357">
        <v>5.7670000000000003</v>
      </c>
      <c r="AX1229" s="294">
        <v>0.16300000000000001</v>
      </c>
      <c r="AY1229" s="294"/>
      <c r="AZ1229" s="294">
        <v>0.20899999999999999</v>
      </c>
      <c r="BA1229" s="294"/>
      <c r="BB1229" s="294">
        <v>0.112</v>
      </c>
      <c r="BC1229" s="294"/>
      <c r="BD1229" s="294"/>
      <c r="BE1229" s="294"/>
      <c r="BF1229" s="383">
        <f t="shared" si="100"/>
        <v>5.7670000000000003</v>
      </c>
      <c r="BG1229" s="383">
        <f t="shared" si="105"/>
        <v>6.2510000000000003</v>
      </c>
      <c r="BH1229" s="375"/>
      <c r="BI1229" s="376"/>
      <c r="BJ1229" s="409"/>
    </row>
    <row r="1230" spans="1:62" ht="17" thickBot="1" x14ac:dyDescent="0.25">
      <c r="A1230" s="156">
        <v>1231</v>
      </c>
      <c r="B1230" s="247">
        <v>1</v>
      </c>
      <c r="C1230" s="253" t="s">
        <v>24</v>
      </c>
      <c r="D1230" s="253" t="s">
        <v>346</v>
      </c>
      <c r="E1230" s="253" t="s">
        <v>13</v>
      </c>
      <c r="F1230" s="253" t="s">
        <v>2426</v>
      </c>
      <c r="G1230" s="253" t="s">
        <v>15</v>
      </c>
      <c r="H1230" s="253" t="s">
        <v>42</v>
      </c>
      <c r="I1230" s="161">
        <v>2008</v>
      </c>
      <c r="J1230" s="259" t="s">
        <v>3372</v>
      </c>
      <c r="K1230" s="259" t="s">
        <v>116</v>
      </c>
      <c r="L1230" s="161" t="s">
        <v>104</v>
      </c>
      <c r="M1230" s="455" t="s">
        <v>4318</v>
      </c>
      <c r="N1230" s="267" t="s">
        <v>20</v>
      </c>
      <c r="O1230" s="267" t="s">
        <v>15</v>
      </c>
      <c r="P1230" s="267" t="s">
        <v>15</v>
      </c>
      <c r="Q1230" s="267" t="s">
        <v>15</v>
      </c>
      <c r="R1230" s="267" t="s">
        <v>20</v>
      </c>
      <c r="S1230" s="267" t="s">
        <v>15</v>
      </c>
      <c r="T1230" s="267" t="s">
        <v>20</v>
      </c>
      <c r="U1230" s="267" t="s">
        <v>15</v>
      </c>
      <c r="V1230" s="267" t="s">
        <v>15</v>
      </c>
      <c r="W1230" s="267" t="s">
        <v>15</v>
      </c>
      <c r="X1230" s="267" t="s">
        <v>15</v>
      </c>
      <c r="Y1230" s="267" t="s">
        <v>15</v>
      </c>
      <c r="Z1230" s="267" t="s">
        <v>15</v>
      </c>
      <c r="AA1230" s="186"/>
      <c r="AB1230" s="267"/>
      <c r="AC1230" s="267" t="s">
        <v>20</v>
      </c>
      <c r="AD1230" s="274" t="s">
        <v>3378</v>
      </c>
      <c r="AE1230" s="268"/>
      <c r="AF1230" s="144" t="str">
        <f t="shared" si="102"/>
        <v/>
      </c>
      <c r="AG1230" s="144" t="str">
        <f t="shared" si="98"/>
        <v/>
      </c>
      <c r="AH1230" s="146">
        <f t="shared" si="103"/>
        <v>15.93</v>
      </c>
      <c r="AI1230" s="146">
        <f t="shared" si="104"/>
        <v>16</v>
      </c>
      <c r="AJ1230" s="303"/>
      <c r="AK1230" s="303"/>
      <c r="AL1230" s="303"/>
      <c r="AM1230" s="303"/>
      <c r="AN1230" s="303"/>
      <c r="AO1230" s="303"/>
      <c r="AP1230" s="303"/>
      <c r="AQ1230" s="303"/>
      <c r="AR1230" s="318"/>
      <c r="AS1230" s="227"/>
      <c r="AT1230" s="233"/>
      <c r="AU1230" s="318"/>
      <c r="AV1230" s="343"/>
      <c r="AW1230" s="357">
        <v>15.93</v>
      </c>
      <c r="AX1230" s="294">
        <v>7.0000000000000007E-2</v>
      </c>
      <c r="AY1230" s="294"/>
      <c r="AZ1230" s="294">
        <v>0.186</v>
      </c>
      <c r="BA1230" s="294"/>
      <c r="BB1230" s="294">
        <v>0.11600000000000001</v>
      </c>
      <c r="BC1230" s="294"/>
      <c r="BD1230" s="294"/>
      <c r="BE1230" s="294"/>
      <c r="BF1230" s="383">
        <f t="shared" si="100"/>
        <v>15.93</v>
      </c>
      <c r="BG1230" s="383">
        <f t="shared" si="105"/>
        <v>16.302</v>
      </c>
      <c r="BH1230" s="375"/>
      <c r="BI1230" s="376"/>
      <c r="BJ1230" s="409"/>
    </row>
    <row r="1231" spans="1:62" ht="17" thickBot="1" x14ac:dyDescent="0.25">
      <c r="A1231" s="156">
        <v>1232</v>
      </c>
      <c r="B1231" s="247">
        <v>1</v>
      </c>
      <c r="C1231" s="253" t="s">
        <v>398</v>
      </c>
      <c r="D1231" s="253" t="s">
        <v>3382</v>
      </c>
      <c r="E1231" s="253" t="s">
        <v>13</v>
      </c>
      <c r="F1231" s="253" t="s">
        <v>3382</v>
      </c>
      <c r="G1231" s="253" t="s">
        <v>15</v>
      </c>
      <c r="H1231" s="253" t="s">
        <v>42</v>
      </c>
      <c r="I1231" s="161">
        <v>2008</v>
      </c>
      <c r="J1231" s="259" t="s">
        <v>3372</v>
      </c>
      <c r="K1231" s="259" t="s">
        <v>116</v>
      </c>
      <c r="L1231" s="161" t="s">
        <v>104</v>
      </c>
      <c r="M1231" s="455" t="s">
        <v>4318</v>
      </c>
      <c r="N1231" s="267" t="s">
        <v>20</v>
      </c>
      <c r="O1231" s="267" t="s">
        <v>15</v>
      </c>
      <c r="P1231" s="267" t="s">
        <v>20</v>
      </c>
      <c r="Q1231" s="267" t="s">
        <v>20</v>
      </c>
      <c r="R1231" s="267" t="s">
        <v>20</v>
      </c>
      <c r="S1231" s="267" t="s">
        <v>20</v>
      </c>
      <c r="T1231" s="267" t="s">
        <v>20</v>
      </c>
      <c r="U1231" s="267" t="s">
        <v>15</v>
      </c>
      <c r="V1231" s="267" t="s">
        <v>15</v>
      </c>
      <c r="W1231" s="267" t="s">
        <v>15</v>
      </c>
      <c r="X1231" s="267" t="s">
        <v>15</v>
      </c>
      <c r="Y1231" s="267" t="s">
        <v>15</v>
      </c>
      <c r="Z1231" s="267" t="s">
        <v>15</v>
      </c>
      <c r="AA1231" s="186"/>
      <c r="AB1231" s="267"/>
      <c r="AC1231" s="267" t="s">
        <v>20</v>
      </c>
      <c r="AD1231" s="274" t="s">
        <v>3378</v>
      </c>
      <c r="AE1231" s="268"/>
      <c r="AF1231" s="144" t="str">
        <f t="shared" si="102"/>
        <v/>
      </c>
      <c r="AG1231" s="144" t="str">
        <f t="shared" si="98"/>
        <v/>
      </c>
      <c r="AH1231" s="146">
        <f t="shared" si="103"/>
        <v>0.45300000000000001</v>
      </c>
      <c r="AI1231" s="146">
        <f t="shared" si="104"/>
        <v>0.77300000000000002</v>
      </c>
      <c r="AJ1231" s="303"/>
      <c r="AK1231" s="303"/>
      <c r="AL1231" s="303"/>
      <c r="AM1231" s="303"/>
      <c r="AN1231" s="303"/>
      <c r="AO1231" s="303"/>
      <c r="AP1231" s="303"/>
      <c r="AQ1231" s="303"/>
      <c r="AR1231" s="318"/>
      <c r="AS1231" s="227"/>
      <c r="AT1231" s="233"/>
      <c r="AU1231" s="318"/>
      <c r="AV1231" s="343"/>
      <c r="AW1231" s="358">
        <v>0.45300000000000001</v>
      </c>
      <c r="AX1231" s="352">
        <v>0.08</v>
      </c>
      <c r="AY1231" s="352">
        <v>0.24</v>
      </c>
      <c r="AZ1231" s="352">
        <v>0.2</v>
      </c>
      <c r="BA1231" s="352">
        <v>2.7E-2</v>
      </c>
      <c r="BB1231" s="352">
        <v>9.2999999999999999E-2</v>
      </c>
      <c r="BC1231" s="294"/>
      <c r="BD1231" s="294"/>
      <c r="BE1231" s="294"/>
      <c r="BF1231" s="383">
        <f t="shared" si="100"/>
        <v>0.45300000000000001</v>
      </c>
      <c r="BG1231" s="383">
        <f t="shared" si="105"/>
        <v>1.093</v>
      </c>
      <c r="BH1231" s="375"/>
      <c r="BI1231" s="376"/>
      <c r="BJ1231" s="409"/>
    </row>
    <row r="1232" spans="1:62" ht="17" thickBot="1" x14ac:dyDescent="0.25">
      <c r="A1232" s="156">
        <v>1233</v>
      </c>
      <c r="B1232" s="247">
        <v>1</v>
      </c>
      <c r="C1232" s="148" t="s">
        <v>398</v>
      </c>
      <c r="D1232" s="253" t="s">
        <v>406</v>
      </c>
      <c r="E1232" s="253" t="s">
        <v>13</v>
      </c>
      <c r="F1232" s="253" t="s">
        <v>406</v>
      </c>
      <c r="G1232" s="253" t="s">
        <v>15</v>
      </c>
      <c r="H1232" s="253" t="s">
        <v>42</v>
      </c>
      <c r="I1232" s="161">
        <v>2008</v>
      </c>
      <c r="J1232" s="259" t="s">
        <v>3372</v>
      </c>
      <c r="K1232" s="259" t="s">
        <v>116</v>
      </c>
      <c r="L1232" s="161" t="s">
        <v>104</v>
      </c>
      <c r="M1232" s="455" t="s">
        <v>4318</v>
      </c>
      <c r="N1232" s="267" t="s">
        <v>20</v>
      </c>
      <c r="O1232" s="267" t="s">
        <v>15</v>
      </c>
      <c r="P1232" s="267" t="s">
        <v>20</v>
      </c>
      <c r="Q1232" s="267" t="s">
        <v>20</v>
      </c>
      <c r="R1232" s="267" t="s">
        <v>20</v>
      </c>
      <c r="S1232" s="267" t="s">
        <v>20</v>
      </c>
      <c r="T1232" s="267" t="s">
        <v>20</v>
      </c>
      <c r="U1232" s="267" t="s">
        <v>15</v>
      </c>
      <c r="V1232" s="267" t="s">
        <v>15</v>
      </c>
      <c r="W1232" s="267" t="s">
        <v>15</v>
      </c>
      <c r="X1232" s="267" t="s">
        <v>15</v>
      </c>
      <c r="Y1232" s="267" t="s">
        <v>15</v>
      </c>
      <c r="Z1232" s="267" t="s">
        <v>15</v>
      </c>
      <c r="AA1232" s="186"/>
      <c r="AB1232" s="267"/>
      <c r="AC1232" s="267" t="s">
        <v>20</v>
      </c>
      <c r="AD1232" s="274" t="s">
        <v>3378</v>
      </c>
      <c r="AE1232" s="268"/>
      <c r="AF1232" s="144" t="str">
        <f t="shared" si="102"/>
        <v/>
      </c>
      <c r="AG1232" s="144" t="str">
        <f t="shared" si="98"/>
        <v/>
      </c>
      <c r="AH1232" s="146">
        <f t="shared" si="103"/>
        <v>0.61</v>
      </c>
      <c r="AI1232" s="146">
        <f t="shared" si="104"/>
        <v>1.6639999999999999</v>
      </c>
      <c r="AJ1232" s="303"/>
      <c r="AK1232" s="303"/>
      <c r="AL1232" s="303"/>
      <c r="AM1232" s="303"/>
      <c r="AN1232" s="303"/>
      <c r="AO1232" s="303"/>
      <c r="AP1232" s="303"/>
      <c r="AQ1232" s="303"/>
      <c r="AR1232" s="318"/>
      <c r="AS1232" s="227"/>
      <c r="AT1232" s="233"/>
      <c r="AU1232" s="318"/>
      <c r="AV1232" s="343"/>
      <c r="AW1232" s="357">
        <v>0.61</v>
      </c>
      <c r="AX1232" s="294">
        <v>0.107</v>
      </c>
      <c r="AY1232" s="294">
        <v>0.94699999999999995</v>
      </c>
      <c r="AZ1232" s="294">
        <v>0.2</v>
      </c>
      <c r="BA1232" s="294">
        <v>2.7E-2</v>
      </c>
      <c r="BB1232" s="294">
        <v>9.2999999999999999E-2</v>
      </c>
      <c r="BC1232" s="294"/>
      <c r="BD1232" s="294"/>
      <c r="BE1232" s="294"/>
      <c r="BF1232" s="383">
        <f t="shared" si="100"/>
        <v>0.61</v>
      </c>
      <c r="BG1232" s="383">
        <f t="shared" si="105"/>
        <v>1.9839999999999998</v>
      </c>
      <c r="BH1232" s="375"/>
      <c r="BI1232" s="376"/>
      <c r="BJ1232" s="409"/>
    </row>
    <row r="1233" spans="1:62" ht="17" thickBot="1" x14ac:dyDescent="0.25">
      <c r="A1233" s="156">
        <v>1234</v>
      </c>
      <c r="B1233" s="247">
        <v>1</v>
      </c>
      <c r="C1233" s="148" t="s">
        <v>760</v>
      </c>
      <c r="D1233" s="253" t="s">
        <v>2335</v>
      </c>
      <c r="E1233" s="253" t="s">
        <v>13</v>
      </c>
      <c r="F1233" s="253" t="s">
        <v>2335</v>
      </c>
      <c r="G1233" s="253" t="s">
        <v>15</v>
      </c>
      <c r="H1233" s="253" t="s">
        <v>42</v>
      </c>
      <c r="I1233" s="161">
        <v>2008</v>
      </c>
      <c r="J1233" s="259" t="s">
        <v>3372</v>
      </c>
      <c r="K1233" s="259" t="s">
        <v>116</v>
      </c>
      <c r="L1233" s="161" t="s">
        <v>104</v>
      </c>
      <c r="M1233" s="455" t="s">
        <v>4318</v>
      </c>
      <c r="N1233" s="267" t="s">
        <v>20</v>
      </c>
      <c r="O1233" s="267" t="s">
        <v>15</v>
      </c>
      <c r="P1233" s="267" t="s">
        <v>20</v>
      </c>
      <c r="Q1233" s="267" t="s">
        <v>20</v>
      </c>
      <c r="R1233" s="267" t="s">
        <v>20</v>
      </c>
      <c r="S1233" s="267" t="s">
        <v>20</v>
      </c>
      <c r="T1233" s="267" t="s">
        <v>15</v>
      </c>
      <c r="U1233" s="267" t="s">
        <v>15</v>
      </c>
      <c r="V1233" s="267" t="s">
        <v>15</v>
      </c>
      <c r="W1233" s="267" t="s">
        <v>15</v>
      </c>
      <c r="X1233" s="267" t="s">
        <v>15</v>
      </c>
      <c r="Y1233" s="267" t="s">
        <v>15</v>
      </c>
      <c r="Z1233" s="267" t="s">
        <v>15</v>
      </c>
      <c r="AA1233" s="186"/>
      <c r="AB1233" s="267"/>
      <c r="AC1233" s="267" t="s">
        <v>20</v>
      </c>
      <c r="AD1233" s="274" t="s">
        <v>3378</v>
      </c>
      <c r="AE1233" s="268"/>
      <c r="AF1233" s="144" t="str">
        <f t="shared" si="102"/>
        <v/>
      </c>
      <c r="AG1233" s="144" t="str">
        <f t="shared" si="98"/>
        <v/>
      </c>
      <c r="AH1233" s="146">
        <f t="shared" si="103"/>
        <v>1.53</v>
      </c>
      <c r="AI1233" s="146">
        <f t="shared" si="104"/>
        <v>1.903</v>
      </c>
      <c r="AJ1233" s="303"/>
      <c r="AK1233" s="303"/>
      <c r="AL1233" s="303"/>
      <c r="AM1233" s="303"/>
      <c r="AN1233" s="303"/>
      <c r="AO1233" s="303"/>
      <c r="AP1233" s="303"/>
      <c r="AQ1233" s="303"/>
      <c r="AR1233" s="318"/>
      <c r="AS1233" s="227"/>
      <c r="AT1233" s="233"/>
      <c r="AU1233" s="318"/>
      <c r="AV1233" s="343"/>
      <c r="AW1233" s="357">
        <v>1.53</v>
      </c>
      <c r="AX1233" s="294">
        <v>9.2999999999999999E-2</v>
      </c>
      <c r="AY1233" s="294">
        <v>0.28000000000000003</v>
      </c>
      <c r="AZ1233" s="294">
        <v>0.21299999999999999</v>
      </c>
      <c r="BA1233" s="294">
        <v>1.2999999999999999E-2</v>
      </c>
      <c r="BB1233" s="294"/>
      <c r="BC1233" s="294"/>
      <c r="BD1233" s="294"/>
      <c r="BE1233" s="294"/>
      <c r="BF1233" s="383">
        <f t="shared" si="100"/>
        <v>1.53</v>
      </c>
      <c r="BG1233" s="383">
        <f t="shared" si="105"/>
        <v>2.129</v>
      </c>
      <c r="BH1233" s="375"/>
      <c r="BI1233" s="376"/>
      <c r="BJ1233" s="409"/>
    </row>
    <row r="1234" spans="1:62" ht="17" thickBot="1" x14ac:dyDescent="0.25">
      <c r="A1234" s="156">
        <v>1235</v>
      </c>
      <c r="B1234" s="247">
        <v>1</v>
      </c>
      <c r="C1234" s="148" t="s">
        <v>39</v>
      </c>
      <c r="D1234" s="253" t="s">
        <v>40</v>
      </c>
      <c r="E1234" s="253" t="s">
        <v>13</v>
      </c>
      <c r="F1234" s="253" t="s">
        <v>3383</v>
      </c>
      <c r="G1234" s="253" t="s">
        <v>15</v>
      </c>
      <c r="H1234" s="253" t="s">
        <v>42</v>
      </c>
      <c r="I1234" s="161">
        <v>2008</v>
      </c>
      <c r="J1234" s="259" t="s">
        <v>3372</v>
      </c>
      <c r="K1234" s="259" t="s">
        <v>116</v>
      </c>
      <c r="L1234" s="161" t="s">
        <v>104</v>
      </c>
      <c r="M1234" s="455" t="s">
        <v>4318</v>
      </c>
      <c r="N1234" s="267" t="s">
        <v>20</v>
      </c>
      <c r="O1234" s="267" t="s">
        <v>15</v>
      </c>
      <c r="P1234" s="267" t="s">
        <v>20</v>
      </c>
      <c r="Q1234" s="267" t="s">
        <v>20</v>
      </c>
      <c r="R1234" s="267" t="s">
        <v>20</v>
      </c>
      <c r="S1234" s="267" t="s">
        <v>20</v>
      </c>
      <c r="T1234" s="267" t="s">
        <v>15</v>
      </c>
      <c r="U1234" s="267" t="s">
        <v>15</v>
      </c>
      <c r="V1234" s="267" t="s">
        <v>15</v>
      </c>
      <c r="W1234" s="267" t="s">
        <v>15</v>
      </c>
      <c r="X1234" s="267" t="s">
        <v>15</v>
      </c>
      <c r="Y1234" s="267" t="s">
        <v>15</v>
      </c>
      <c r="Z1234" s="267" t="s">
        <v>15</v>
      </c>
      <c r="AA1234" s="186"/>
      <c r="AB1234" s="267"/>
      <c r="AC1234" s="267" t="s">
        <v>20</v>
      </c>
      <c r="AD1234" s="274" t="s">
        <v>3378</v>
      </c>
      <c r="AE1234" s="268"/>
      <c r="AF1234" s="144" t="str">
        <f t="shared" si="102"/>
        <v/>
      </c>
      <c r="AG1234" s="144" t="str">
        <f t="shared" si="98"/>
        <v/>
      </c>
      <c r="AH1234" s="146">
        <f t="shared" si="103"/>
        <v>1.7729999999999999</v>
      </c>
      <c r="AI1234" s="146">
        <f t="shared" si="104"/>
        <v>2.0529999999999999</v>
      </c>
      <c r="AJ1234" s="303"/>
      <c r="AK1234" s="303"/>
      <c r="AL1234" s="303"/>
      <c r="AM1234" s="303"/>
      <c r="AN1234" s="303"/>
      <c r="AO1234" s="303"/>
      <c r="AP1234" s="303"/>
      <c r="AQ1234" s="303"/>
      <c r="AR1234" s="318"/>
      <c r="AS1234" s="227"/>
      <c r="AT1234" s="233"/>
      <c r="AU1234" s="318"/>
      <c r="AV1234" s="343"/>
      <c r="AW1234" s="357">
        <v>1.7729999999999999</v>
      </c>
      <c r="AX1234" s="294">
        <v>0.14699999999999999</v>
      </c>
      <c r="AY1234" s="294">
        <v>0.13300000000000001</v>
      </c>
      <c r="AZ1234" s="294">
        <v>0.2</v>
      </c>
      <c r="BA1234" s="294">
        <v>1.2999999999999999E-2</v>
      </c>
      <c r="BB1234" s="294"/>
      <c r="BC1234" s="294"/>
      <c r="BD1234" s="294"/>
      <c r="BE1234" s="294"/>
      <c r="BF1234" s="383">
        <f t="shared" si="100"/>
        <v>1.7729999999999999</v>
      </c>
      <c r="BG1234" s="383">
        <f t="shared" si="105"/>
        <v>2.266</v>
      </c>
      <c r="BH1234" s="375"/>
      <c r="BI1234" s="376"/>
      <c r="BJ1234" s="409"/>
    </row>
    <row r="1235" spans="1:62" ht="17" thickBot="1" x14ac:dyDescent="0.25">
      <c r="A1235" s="156">
        <v>1236</v>
      </c>
      <c r="B1235" s="247">
        <v>1</v>
      </c>
      <c r="C1235" s="148" t="s">
        <v>760</v>
      </c>
      <c r="D1235" s="253" t="s">
        <v>1867</v>
      </c>
      <c r="E1235" s="253" t="s">
        <v>13</v>
      </c>
      <c r="F1235" s="253" t="s">
        <v>1867</v>
      </c>
      <c r="G1235" s="253" t="s">
        <v>15</v>
      </c>
      <c r="H1235" s="253" t="s">
        <v>42</v>
      </c>
      <c r="I1235" s="161">
        <v>2008</v>
      </c>
      <c r="J1235" s="259" t="s">
        <v>3372</v>
      </c>
      <c r="K1235" s="259" t="s">
        <v>116</v>
      </c>
      <c r="L1235" s="161" t="s">
        <v>104</v>
      </c>
      <c r="M1235" s="455" t="s">
        <v>4318</v>
      </c>
      <c r="N1235" s="267" t="s">
        <v>20</v>
      </c>
      <c r="O1235" s="267" t="s">
        <v>15</v>
      </c>
      <c r="P1235" s="267" t="s">
        <v>20</v>
      </c>
      <c r="Q1235" s="267" t="s">
        <v>20</v>
      </c>
      <c r="R1235" s="267" t="s">
        <v>20</v>
      </c>
      <c r="S1235" s="267" t="s">
        <v>20</v>
      </c>
      <c r="T1235" s="267" t="s">
        <v>15</v>
      </c>
      <c r="U1235" s="267" t="s">
        <v>15</v>
      </c>
      <c r="V1235" s="267" t="s">
        <v>15</v>
      </c>
      <c r="W1235" s="267" t="s">
        <v>15</v>
      </c>
      <c r="X1235" s="267" t="s">
        <v>15</v>
      </c>
      <c r="Y1235" s="267" t="s">
        <v>15</v>
      </c>
      <c r="Z1235" s="267" t="s">
        <v>15</v>
      </c>
      <c r="AA1235" s="186"/>
      <c r="AB1235" s="267"/>
      <c r="AC1235" s="267" t="s">
        <v>20</v>
      </c>
      <c r="AD1235" s="274" t="s">
        <v>3378</v>
      </c>
      <c r="AE1235" s="268"/>
      <c r="AF1235" s="144" t="str">
        <f t="shared" si="102"/>
        <v/>
      </c>
      <c r="AG1235" s="144" t="str">
        <f t="shared" ref="AG1235:AG1298" si="106">IF(AND(SUM(AJ1235:AL1235)&lt;&gt;0,SUM(AJ1235:AL1235)&lt;&gt;AJ1235),SUM(AJ1235:AL1235),"")</f>
        <v/>
      </c>
      <c r="AH1235" s="146">
        <f t="shared" si="103"/>
        <v>1.867</v>
      </c>
      <c r="AI1235" s="146">
        <f t="shared" si="104"/>
        <v>2.053666666666667</v>
      </c>
      <c r="AJ1235" s="303"/>
      <c r="AK1235" s="303"/>
      <c r="AL1235" s="303"/>
      <c r="AM1235" s="303"/>
      <c r="AN1235" s="303"/>
      <c r="AO1235" s="303"/>
      <c r="AP1235" s="303"/>
      <c r="AQ1235" s="303"/>
      <c r="AR1235" s="318"/>
      <c r="AS1235" s="227"/>
      <c r="AT1235" s="233"/>
      <c r="AU1235" s="318"/>
      <c r="AV1235" s="343"/>
      <c r="AW1235" s="357">
        <v>1.867</v>
      </c>
      <c r="AX1235" s="294">
        <v>0.12</v>
      </c>
      <c r="AY1235" s="294">
        <v>6.6666666666666666E-2</v>
      </c>
      <c r="AZ1235" s="294">
        <v>0.2</v>
      </c>
      <c r="BA1235" s="294">
        <v>2.6666666666666668E-2</v>
      </c>
      <c r="BB1235" s="294"/>
      <c r="BC1235" s="294"/>
      <c r="BD1235" s="294"/>
      <c r="BE1235" s="294"/>
      <c r="BF1235" s="383">
        <f t="shared" si="100"/>
        <v>1.867</v>
      </c>
      <c r="BG1235" s="383">
        <f t="shared" si="105"/>
        <v>2.280333333333334</v>
      </c>
      <c r="BH1235" s="375"/>
      <c r="BI1235" s="376"/>
      <c r="BJ1235" s="409"/>
    </row>
    <row r="1236" spans="1:62" ht="17" thickBot="1" x14ac:dyDescent="0.25">
      <c r="A1236" s="156">
        <v>1237</v>
      </c>
      <c r="B1236" s="247">
        <v>1</v>
      </c>
      <c r="C1236" s="148" t="s">
        <v>398</v>
      </c>
      <c r="D1236" s="253" t="s">
        <v>411</v>
      </c>
      <c r="E1236" s="253" t="s">
        <v>13</v>
      </c>
      <c r="F1236" s="253" t="s">
        <v>411</v>
      </c>
      <c r="G1236" s="253" t="s">
        <v>15</v>
      </c>
      <c r="H1236" s="253" t="s">
        <v>42</v>
      </c>
      <c r="I1236" s="161">
        <v>2008</v>
      </c>
      <c r="J1236" s="259" t="s">
        <v>3372</v>
      </c>
      <c r="K1236" s="259" t="s">
        <v>116</v>
      </c>
      <c r="L1236" s="161" t="s">
        <v>104</v>
      </c>
      <c r="M1236" s="455" t="s">
        <v>4318</v>
      </c>
      <c r="N1236" s="267" t="s">
        <v>20</v>
      </c>
      <c r="O1236" s="267" t="s">
        <v>15</v>
      </c>
      <c r="P1236" s="267" t="s">
        <v>20</v>
      </c>
      <c r="Q1236" s="267" t="s">
        <v>20</v>
      </c>
      <c r="R1236" s="267" t="s">
        <v>20</v>
      </c>
      <c r="S1236" s="267" t="s">
        <v>20</v>
      </c>
      <c r="T1236" s="267" t="s">
        <v>20</v>
      </c>
      <c r="U1236" s="267" t="s">
        <v>15</v>
      </c>
      <c r="V1236" s="267" t="s">
        <v>15</v>
      </c>
      <c r="W1236" s="267" t="s">
        <v>15</v>
      </c>
      <c r="X1236" s="267" t="s">
        <v>15</v>
      </c>
      <c r="Y1236" s="267" t="s">
        <v>15</v>
      </c>
      <c r="Z1236" s="267" t="s">
        <v>15</v>
      </c>
      <c r="AA1236" s="186"/>
      <c r="AB1236" s="267"/>
      <c r="AC1236" s="267" t="s">
        <v>20</v>
      </c>
      <c r="AD1236" s="274" t="s">
        <v>3378</v>
      </c>
      <c r="AE1236" s="268"/>
      <c r="AF1236" s="144" t="str">
        <f t="shared" si="102"/>
        <v/>
      </c>
      <c r="AG1236" s="144" t="str">
        <f t="shared" si="106"/>
        <v/>
      </c>
      <c r="AH1236" s="146">
        <f t="shared" si="103"/>
        <v>3.573</v>
      </c>
      <c r="AI1236" s="146">
        <f t="shared" si="104"/>
        <v>5.9063333333333325</v>
      </c>
      <c r="AJ1236" s="303"/>
      <c r="AK1236" s="303"/>
      <c r="AL1236" s="303"/>
      <c r="AM1236" s="303"/>
      <c r="AN1236" s="303"/>
      <c r="AO1236" s="303"/>
      <c r="AP1236" s="303"/>
      <c r="AQ1236" s="303"/>
      <c r="AR1236" s="318"/>
      <c r="AS1236" s="227"/>
      <c r="AT1236" s="233"/>
      <c r="AU1236" s="318"/>
      <c r="AV1236" s="343"/>
      <c r="AW1236" s="357">
        <v>3.573</v>
      </c>
      <c r="AX1236" s="294">
        <v>5.3333333333333337E-2</v>
      </c>
      <c r="AY1236" s="294">
        <v>2.2799999999999998</v>
      </c>
      <c r="AZ1236" s="294">
        <v>0.2</v>
      </c>
      <c r="BA1236" s="294">
        <v>1.3333333333333334E-2</v>
      </c>
      <c r="BB1236" s="294">
        <v>0.10666666666666667</v>
      </c>
      <c r="BC1236" s="294"/>
      <c r="BD1236" s="294"/>
      <c r="BE1236" s="294"/>
      <c r="BF1236" s="383">
        <f t="shared" si="100"/>
        <v>3.573</v>
      </c>
      <c r="BG1236" s="383">
        <f t="shared" si="105"/>
        <v>6.2263333333333328</v>
      </c>
      <c r="BH1236" s="375"/>
      <c r="BI1236" s="376"/>
      <c r="BJ1236" s="409"/>
    </row>
    <row r="1237" spans="1:62" ht="17" thickBot="1" x14ac:dyDescent="0.25">
      <c r="A1237" s="156">
        <v>1238</v>
      </c>
      <c r="B1237" s="247">
        <v>1</v>
      </c>
      <c r="C1237" s="148" t="s">
        <v>11</v>
      </c>
      <c r="D1237" s="253" t="s">
        <v>426</v>
      </c>
      <c r="E1237" s="253" t="s">
        <v>13</v>
      </c>
      <c r="F1237" s="253" t="s">
        <v>3384</v>
      </c>
      <c r="G1237" s="253" t="s">
        <v>15</v>
      </c>
      <c r="H1237" s="253" t="s">
        <v>42</v>
      </c>
      <c r="I1237" s="161">
        <v>2008</v>
      </c>
      <c r="J1237" s="259" t="s">
        <v>3372</v>
      </c>
      <c r="K1237" s="259" t="s">
        <v>116</v>
      </c>
      <c r="L1237" s="161" t="s">
        <v>104</v>
      </c>
      <c r="M1237" s="455" t="s">
        <v>4318</v>
      </c>
      <c r="N1237" s="267" t="s">
        <v>20</v>
      </c>
      <c r="O1237" s="267" t="s">
        <v>15</v>
      </c>
      <c r="P1237" s="267" t="s">
        <v>20</v>
      </c>
      <c r="Q1237" s="267" t="s">
        <v>20</v>
      </c>
      <c r="R1237" s="267" t="s">
        <v>20</v>
      </c>
      <c r="S1237" s="267" t="s">
        <v>20</v>
      </c>
      <c r="T1237" s="267" t="s">
        <v>20</v>
      </c>
      <c r="U1237" s="267" t="s">
        <v>15</v>
      </c>
      <c r="V1237" s="267" t="s">
        <v>15</v>
      </c>
      <c r="W1237" s="267" t="s">
        <v>15</v>
      </c>
      <c r="X1237" s="267" t="s">
        <v>15</v>
      </c>
      <c r="Y1237" s="267" t="s">
        <v>15</v>
      </c>
      <c r="Z1237" s="267" t="s">
        <v>15</v>
      </c>
      <c r="AA1237" s="186"/>
      <c r="AB1237" s="267"/>
      <c r="AC1237" s="267" t="s">
        <v>20</v>
      </c>
      <c r="AD1237" s="274" t="s">
        <v>3378</v>
      </c>
      <c r="AE1237" s="268"/>
      <c r="AF1237" s="144" t="str">
        <f t="shared" si="102"/>
        <v/>
      </c>
      <c r="AG1237" s="144" t="str">
        <f t="shared" si="106"/>
        <v/>
      </c>
      <c r="AH1237" s="146">
        <f t="shared" si="103"/>
        <v>8.16</v>
      </c>
      <c r="AI1237" s="146">
        <f t="shared" si="104"/>
        <v>8.6533333333333342</v>
      </c>
      <c r="AJ1237" s="303"/>
      <c r="AK1237" s="303"/>
      <c r="AL1237" s="303"/>
      <c r="AM1237" s="303"/>
      <c r="AN1237" s="303"/>
      <c r="AO1237" s="303"/>
      <c r="AP1237" s="303"/>
      <c r="AQ1237" s="303"/>
      <c r="AR1237" s="318"/>
      <c r="AS1237" s="227"/>
      <c r="AT1237" s="233"/>
      <c r="AU1237" s="318"/>
      <c r="AV1237" s="343"/>
      <c r="AW1237" s="357">
        <v>8.16</v>
      </c>
      <c r="AX1237" s="294">
        <v>9.3333333333333338E-2</v>
      </c>
      <c r="AY1237" s="294">
        <v>0.4</v>
      </c>
      <c r="AZ1237" s="294">
        <v>0.18666666666666668</v>
      </c>
      <c r="BA1237" s="294">
        <v>2.6666666666666668E-2</v>
      </c>
      <c r="BB1237" s="294">
        <v>9.3333333333333338E-2</v>
      </c>
      <c r="BC1237" s="294"/>
      <c r="BD1237" s="294"/>
      <c r="BE1237" s="294"/>
      <c r="BF1237" s="383">
        <f t="shared" si="100"/>
        <v>8.16</v>
      </c>
      <c r="BG1237" s="383">
        <f t="shared" si="105"/>
        <v>8.9600000000000026</v>
      </c>
      <c r="BH1237" s="375"/>
      <c r="BI1237" s="376"/>
      <c r="BJ1237" s="409"/>
    </row>
    <row r="1238" spans="1:62" ht="17" thickBot="1" x14ac:dyDescent="0.25">
      <c r="A1238" s="156">
        <v>1239</v>
      </c>
      <c r="B1238" s="247">
        <v>1</v>
      </c>
      <c r="C1238" s="148" t="s">
        <v>596</v>
      </c>
      <c r="D1238" s="253" t="s">
        <v>2272</v>
      </c>
      <c r="E1238" s="253" t="s">
        <v>13</v>
      </c>
      <c r="F1238" s="253" t="s">
        <v>2857</v>
      </c>
      <c r="G1238" s="253" t="s">
        <v>15</v>
      </c>
      <c r="H1238" s="253" t="s">
        <v>42</v>
      </c>
      <c r="I1238" s="161">
        <v>2008</v>
      </c>
      <c r="J1238" s="259" t="s">
        <v>3372</v>
      </c>
      <c r="K1238" s="259" t="s">
        <v>116</v>
      </c>
      <c r="L1238" s="161" t="s">
        <v>104</v>
      </c>
      <c r="M1238" s="455" t="s">
        <v>4318</v>
      </c>
      <c r="N1238" s="267" t="s">
        <v>20</v>
      </c>
      <c r="O1238" s="267" t="s">
        <v>15</v>
      </c>
      <c r="P1238" s="267" t="s">
        <v>20</v>
      </c>
      <c r="Q1238" s="267" t="s">
        <v>20</v>
      </c>
      <c r="R1238" s="267" t="s">
        <v>20</v>
      </c>
      <c r="S1238" s="267" t="s">
        <v>20</v>
      </c>
      <c r="T1238" s="267" t="s">
        <v>20</v>
      </c>
      <c r="U1238" s="267" t="s">
        <v>15</v>
      </c>
      <c r="V1238" s="267" t="s">
        <v>15</v>
      </c>
      <c r="W1238" s="267" t="s">
        <v>15</v>
      </c>
      <c r="X1238" s="267" t="s">
        <v>15</v>
      </c>
      <c r="Y1238" s="267" t="s">
        <v>15</v>
      </c>
      <c r="Z1238" s="267" t="s">
        <v>15</v>
      </c>
      <c r="AA1238" s="186"/>
      <c r="AB1238" s="267"/>
      <c r="AC1238" s="267" t="s">
        <v>20</v>
      </c>
      <c r="AD1238" s="274" t="s">
        <v>3378</v>
      </c>
      <c r="AE1238" s="268"/>
      <c r="AF1238" s="144" t="str">
        <f t="shared" si="102"/>
        <v/>
      </c>
      <c r="AG1238" s="144" t="str">
        <f t="shared" si="106"/>
        <v/>
      </c>
      <c r="AH1238" s="146">
        <f t="shared" si="103"/>
        <v>9.2999999999999999E-2</v>
      </c>
      <c r="AI1238" s="146">
        <f t="shared" si="104"/>
        <v>0.45300000000000001</v>
      </c>
      <c r="AJ1238" s="304"/>
      <c r="AK1238" s="303"/>
      <c r="AL1238" s="303"/>
      <c r="AM1238" s="303"/>
      <c r="AN1238" s="303"/>
      <c r="AO1238" s="303"/>
      <c r="AP1238" s="303"/>
      <c r="AQ1238" s="303"/>
      <c r="AR1238" s="318"/>
      <c r="AS1238" s="228"/>
      <c r="AT1238" s="234"/>
      <c r="AU1238" s="318"/>
      <c r="AV1238" s="344"/>
      <c r="AW1238" s="357">
        <v>9.2999999999999999E-2</v>
      </c>
      <c r="AX1238" s="294">
        <v>0.10666666666666667</v>
      </c>
      <c r="AY1238" s="294">
        <v>0.25333333333333335</v>
      </c>
      <c r="AZ1238" s="294">
        <v>5.3333333333333337E-2</v>
      </c>
      <c r="BA1238" s="294">
        <v>2.6666666666666668E-2</v>
      </c>
      <c r="BB1238" s="294">
        <v>9.3333333333333338E-2</v>
      </c>
      <c r="BC1238" s="294"/>
      <c r="BD1238" s="294"/>
      <c r="BE1238" s="294"/>
      <c r="BF1238" s="383">
        <f t="shared" si="100"/>
        <v>9.2999999999999999E-2</v>
      </c>
      <c r="BG1238" s="383">
        <f t="shared" si="105"/>
        <v>0.6263333333333333</v>
      </c>
      <c r="BH1238" s="375"/>
      <c r="BI1238" s="376"/>
      <c r="BJ1238" s="409"/>
    </row>
    <row r="1239" spans="1:62" ht="17" thickBot="1" x14ac:dyDescent="0.25">
      <c r="A1239" s="156">
        <v>1240</v>
      </c>
      <c r="B1239" s="247">
        <v>1</v>
      </c>
      <c r="C1239" s="148" t="s">
        <v>11</v>
      </c>
      <c r="D1239" s="253" t="s">
        <v>12</v>
      </c>
      <c r="E1239" s="253" t="s">
        <v>13</v>
      </c>
      <c r="F1239" s="253" t="s">
        <v>3385</v>
      </c>
      <c r="G1239" s="253" t="s">
        <v>15</v>
      </c>
      <c r="H1239" s="253" t="s">
        <v>42</v>
      </c>
      <c r="I1239" s="161">
        <v>2008</v>
      </c>
      <c r="J1239" s="259" t="s">
        <v>3372</v>
      </c>
      <c r="K1239" s="259" t="s">
        <v>116</v>
      </c>
      <c r="L1239" s="161" t="s">
        <v>104</v>
      </c>
      <c r="M1239" s="455" t="s">
        <v>4318</v>
      </c>
      <c r="N1239" s="267" t="s">
        <v>20</v>
      </c>
      <c r="O1239" s="267" t="s">
        <v>15</v>
      </c>
      <c r="P1239" s="267" t="s">
        <v>20</v>
      </c>
      <c r="Q1239" s="267" t="s">
        <v>20</v>
      </c>
      <c r="R1239" s="267" t="s">
        <v>20</v>
      </c>
      <c r="S1239" s="267" t="s">
        <v>20</v>
      </c>
      <c r="T1239" s="267" t="s">
        <v>20</v>
      </c>
      <c r="U1239" s="267" t="s">
        <v>15</v>
      </c>
      <c r="V1239" s="267" t="s">
        <v>15</v>
      </c>
      <c r="W1239" s="267" t="s">
        <v>15</v>
      </c>
      <c r="X1239" s="267" t="s">
        <v>15</v>
      </c>
      <c r="Y1239" s="267" t="s">
        <v>15</v>
      </c>
      <c r="Z1239" s="267" t="s">
        <v>15</v>
      </c>
      <c r="AA1239" s="186"/>
      <c r="AB1239" s="267"/>
      <c r="AC1239" s="267" t="s">
        <v>20</v>
      </c>
      <c r="AD1239" s="274" t="s">
        <v>3378</v>
      </c>
      <c r="AE1239" s="268"/>
      <c r="AF1239" s="144" t="str">
        <f t="shared" si="102"/>
        <v/>
      </c>
      <c r="AG1239" s="144" t="str">
        <f t="shared" si="106"/>
        <v/>
      </c>
      <c r="AH1239" s="146">
        <f t="shared" si="103"/>
        <v>0.21299999999999999</v>
      </c>
      <c r="AI1239" s="146">
        <f t="shared" si="104"/>
        <v>1.0263333333333333</v>
      </c>
      <c r="AJ1239" s="304"/>
      <c r="AK1239" s="303"/>
      <c r="AL1239" s="303"/>
      <c r="AM1239" s="303"/>
      <c r="AN1239" s="303"/>
      <c r="AO1239" s="303"/>
      <c r="AP1239" s="303"/>
      <c r="AQ1239" s="303"/>
      <c r="AR1239" s="318"/>
      <c r="AS1239" s="228"/>
      <c r="AT1239" s="234"/>
      <c r="AU1239" s="318"/>
      <c r="AV1239" s="344"/>
      <c r="AW1239" s="357">
        <v>0.21299999999999999</v>
      </c>
      <c r="AX1239" s="294">
        <v>2.6666666666666668E-2</v>
      </c>
      <c r="AY1239" s="294">
        <v>0.78666666666666663</v>
      </c>
      <c r="AZ1239" s="294">
        <v>6.6666666666666666E-2</v>
      </c>
      <c r="BA1239" s="294">
        <v>2.6666666666666668E-2</v>
      </c>
      <c r="BB1239" s="294">
        <v>9.3333333333333338E-2</v>
      </c>
      <c r="BC1239" s="294"/>
      <c r="BD1239" s="294"/>
      <c r="BE1239" s="294"/>
      <c r="BF1239" s="383">
        <f t="shared" si="100"/>
        <v>0.21299999999999999</v>
      </c>
      <c r="BG1239" s="383">
        <f t="shared" si="105"/>
        <v>1.2129999999999999</v>
      </c>
      <c r="BH1239" s="375"/>
      <c r="BI1239" s="376"/>
      <c r="BJ1239" s="409"/>
    </row>
    <row r="1240" spans="1:62" ht="17" thickBot="1" x14ac:dyDescent="0.25">
      <c r="A1240" s="156">
        <v>1241</v>
      </c>
      <c r="B1240" s="247">
        <v>1</v>
      </c>
      <c r="C1240" s="148" t="s">
        <v>975</v>
      </c>
      <c r="D1240" s="253" t="s">
        <v>3057</v>
      </c>
      <c r="E1240" s="253" t="s">
        <v>13</v>
      </c>
      <c r="F1240" s="253" t="s">
        <v>3386</v>
      </c>
      <c r="G1240" s="253" t="s">
        <v>15</v>
      </c>
      <c r="H1240" s="253" t="s">
        <v>42</v>
      </c>
      <c r="I1240" s="161">
        <v>2008</v>
      </c>
      <c r="J1240" s="259" t="s">
        <v>3372</v>
      </c>
      <c r="K1240" s="259" t="s">
        <v>116</v>
      </c>
      <c r="L1240" s="161" t="s">
        <v>104</v>
      </c>
      <c r="M1240" s="455" t="s">
        <v>4318</v>
      </c>
      <c r="N1240" s="267" t="s">
        <v>15</v>
      </c>
      <c r="O1240" s="267" t="s">
        <v>15</v>
      </c>
      <c r="P1240" s="267" t="s">
        <v>20</v>
      </c>
      <c r="Q1240" s="267" t="s">
        <v>20</v>
      </c>
      <c r="R1240" s="267" t="s">
        <v>20</v>
      </c>
      <c r="S1240" s="267" t="s">
        <v>20</v>
      </c>
      <c r="T1240" s="267" t="s">
        <v>20</v>
      </c>
      <c r="U1240" s="267" t="s">
        <v>15</v>
      </c>
      <c r="V1240" s="267" t="s">
        <v>15</v>
      </c>
      <c r="W1240" s="267" t="s">
        <v>15</v>
      </c>
      <c r="X1240" s="267" t="s">
        <v>15</v>
      </c>
      <c r="Y1240" s="267" t="s">
        <v>15</v>
      </c>
      <c r="Z1240" s="267" t="s">
        <v>15</v>
      </c>
      <c r="AA1240" s="186"/>
      <c r="AB1240" s="267"/>
      <c r="AC1240" s="267" t="s">
        <v>20</v>
      </c>
      <c r="AD1240" s="274" t="s">
        <v>3378</v>
      </c>
      <c r="AE1240" s="268"/>
      <c r="AF1240" s="144" t="str">
        <f t="shared" si="102"/>
        <v/>
      </c>
      <c r="AG1240" s="144" t="str">
        <f t="shared" si="106"/>
        <v/>
      </c>
      <c r="AH1240" s="146" t="str">
        <f t="shared" si="103"/>
        <v/>
      </c>
      <c r="AI1240" s="146">
        <f t="shared" si="104"/>
        <v>0.62903225806451613</v>
      </c>
      <c r="AJ1240" s="304"/>
      <c r="AK1240" s="303"/>
      <c r="AL1240" s="303"/>
      <c r="AM1240" s="303"/>
      <c r="AN1240" s="303"/>
      <c r="AO1240" s="303"/>
      <c r="AP1240" s="303"/>
      <c r="AQ1240" s="303"/>
      <c r="AR1240" s="318"/>
      <c r="AS1240" s="228"/>
      <c r="AT1240" s="234"/>
      <c r="AU1240" s="318"/>
      <c r="AV1240" s="343"/>
      <c r="AW1240" s="357"/>
      <c r="AX1240" s="294">
        <v>3.2258064516129031E-2</v>
      </c>
      <c r="AY1240" s="294">
        <v>0.59677419354838712</v>
      </c>
      <c r="AZ1240" s="294">
        <v>0.17741935483870969</v>
      </c>
      <c r="BA1240" s="294">
        <v>1.6129032258064516E-2</v>
      </c>
      <c r="BB1240" s="294">
        <v>0.11290322580645161</v>
      </c>
      <c r="BC1240" s="294"/>
      <c r="BD1240" s="294"/>
      <c r="BE1240" s="294"/>
      <c r="BF1240" s="383">
        <f t="shared" si="100"/>
        <v>0</v>
      </c>
      <c r="BG1240" s="383">
        <f t="shared" si="105"/>
        <v>0.93548387096774188</v>
      </c>
      <c r="BH1240" s="375"/>
      <c r="BI1240" s="376"/>
      <c r="BJ1240" s="409"/>
    </row>
    <row r="1241" spans="1:62" ht="17" thickBot="1" x14ac:dyDescent="0.25">
      <c r="A1241" s="156">
        <v>1242</v>
      </c>
      <c r="B1241" s="247">
        <v>1</v>
      </c>
      <c r="C1241" s="148" t="s">
        <v>975</v>
      </c>
      <c r="D1241" s="253" t="s">
        <v>3057</v>
      </c>
      <c r="E1241" s="253" t="s">
        <v>13</v>
      </c>
      <c r="F1241" s="253" t="s">
        <v>3387</v>
      </c>
      <c r="G1241" s="253" t="s">
        <v>15</v>
      </c>
      <c r="H1241" s="253" t="s">
        <v>42</v>
      </c>
      <c r="I1241" s="161">
        <v>2008</v>
      </c>
      <c r="J1241" s="259" t="s">
        <v>3372</v>
      </c>
      <c r="K1241" s="259" t="s">
        <v>116</v>
      </c>
      <c r="L1241" s="161" t="s">
        <v>104</v>
      </c>
      <c r="M1241" s="455" t="s">
        <v>4318</v>
      </c>
      <c r="N1241" s="267" t="s">
        <v>3039</v>
      </c>
      <c r="O1241" s="267" t="s">
        <v>15</v>
      </c>
      <c r="P1241" s="267" t="s">
        <v>20</v>
      </c>
      <c r="Q1241" s="267" t="s">
        <v>20</v>
      </c>
      <c r="R1241" s="267" t="s">
        <v>20</v>
      </c>
      <c r="S1241" s="267" t="s">
        <v>20</v>
      </c>
      <c r="T1241" s="267" t="s">
        <v>20</v>
      </c>
      <c r="U1241" s="267" t="s">
        <v>15</v>
      </c>
      <c r="V1241" s="267" t="s">
        <v>15</v>
      </c>
      <c r="W1241" s="267" t="s">
        <v>15</v>
      </c>
      <c r="X1241" s="267" t="s">
        <v>15</v>
      </c>
      <c r="Y1241" s="267" t="s">
        <v>15</v>
      </c>
      <c r="Z1241" s="267" t="s">
        <v>15</v>
      </c>
      <c r="AA1241" s="186"/>
      <c r="AB1241" s="267"/>
      <c r="AC1241" s="267" t="s">
        <v>20</v>
      </c>
      <c r="AD1241" s="274" t="s">
        <v>3378</v>
      </c>
      <c r="AE1241" s="268"/>
      <c r="AF1241" s="144" t="str">
        <f t="shared" si="102"/>
        <v/>
      </c>
      <c r="AG1241" s="144" t="str">
        <f t="shared" si="106"/>
        <v/>
      </c>
      <c r="AH1241" s="146" t="str">
        <f t="shared" si="103"/>
        <v/>
      </c>
      <c r="AI1241" s="146">
        <f t="shared" si="104"/>
        <v>0.75806451612903225</v>
      </c>
      <c r="AJ1241" s="304"/>
      <c r="AK1241" s="303"/>
      <c r="AL1241" s="303"/>
      <c r="AM1241" s="303"/>
      <c r="AN1241" s="303"/>
      <c r="AO1241" s="303"/>
      <c r="AP1241" s="303"/>
      <c r="AQ1241" s="303"/>
      <c r="AR1241" s="318"/>
      <c r="AS1241" s="228"/>
      <c r="AT1241" s="234"/>
      <c r="AU1241" s="318"/>
      <c r="AV1241" s="343"/>
      <c r="AW1241" s="357"/>
      <c r="AX1241" s="294">
        <v>1.6129032258064516E-2</v>
      </c>
      <c r="AY1241" s="294">
        <v>0.74193548387096775</v>
      </c>
      <c r="AZ1241" s="294">
        <v>0.19354838709677419</v>
      </c>
      <c r="BA1241" s="294">
        <v>1.6129032258064516E-2</v>
      </c>
      <c r="BB1241" s="294">
        <v>0.11290322580645161</v>
      </c>
      <c r="BC1241" s="294"/>
      <c r="BD1241" s="294"/>
      <c r="BE1241" s="294"/>
      <c r="BF1241" s="383">
        <f t="shared" si="100"/>
        <v>0</v>
      </c>
      <c r="BG1241" s="383">
        <f t="shared" si="105"/>
        <v>1.0806451612903225</v>
      </c>
      <c r="BH1241" s="375"/>
      <c r="BI1241" s="376"/>
      <c r="BJ1241" s="409"/>
    </row>
    <row r="1242" spans="1:62" ht="17" thickBot="1" x14ac:dyDescent="0.25">
      <c r="A1242" s="156">
        <v>1243</v>
      </c>
      <c r="B1242" s="247">
        <v>1</v>
      </c>
      <c r="C1242" s="148" t="s">
        <v>975</v>
      </c>
      <c r="D1242" s="253" t="s">
        <v>3057</v>
      </c>
      <c r="E1242" s="253" t="s">
        <v>13</v>
      </c>
      <c r="F1242" s="253" t="s">
        <v>3388</v>
      </c>
      <c r="G1242" s="253" t="s">
        <v>15</v>
      </c>
      <c r="H1242" s="253" t="s">
        <v>42</v>
      </c>
      <c r="I1242" s="161">
        <v>2008</v>
      </c>
      <c r="J1242" s="259" t="s">
        <v>3372</v>
      </c>
      <c r="K1242" s="259" t="s">
        <v>116</v>
      </c>
      <c r="L1242" s="161" t="s">
        <v>104</v>
      </c>
      <c r="M1242" s="455" t="s">
        <v>4318</v>
      </c>
      <c r="N1242" s="267" t="s">
        <v>15</v>
      </c>
      <c r="O1242" s="267" t="s">
        <v>15</v>
      </c>
      <c r="P1242" s="267" t="s">
        <v>20</v>
      </c>
      <c r="Q1242" s="267" t="s">
        <v>20</v>
      </c>
      <c r="R1242" s="267" t="s">
        <v>20</v>
      </c>
      <c r="S1242" s="267" t="s">
        <v>20</v>
      </c>
      <c r="T1242" s="267" t="s">
        <v>20</v>
      </c>
      <c r="U1242" s="267" t="s">
        <v>15</v>
      </c>
      <c r="V1242" s="267" t="s">
        <v>15</v>
      </c>
      <c r="W1242" s="267" t="s">
        <v>15</v>
      </c>
      <c r="X1242" s="267" t="s">
        <v>15</v>
      </c>
      <c r="Y1242" s="267" t="s">
        <v>15</v>
      </c>
      <c r="Z1242" s="267" t="s">
        <v>15</v>
      </c>
      <c r="AA1242" s="186"/>
      <c r="AB1242" s="267"/>
      <c r="AC1242" s="267" t="s">
        <v>20</v>
      </c>
      <c r="AD1242" s="274" t="s">
        <v>3378</v>
      </c>
      <c r="AE1242" s="268"/>
      <c r="AF1242" s="144" t="str">
        <f t="shared" si="102"/>
        <v/>
      </c>
      <c r="AG1242" s="144" t="str">
        <f t="shared" si="106"/>
        <v/>
      </c>
      <c r="AH1242" s="146" t="str">
        <f t="shared" si="103"/>
        <v/>
      </c>
      <c r="AI1242" s="146">
        <f t="shared" si="104"/>
        <v>1.2741935483870968</v>
      </c>
      <c r="AJ1242" s="304"/>
      <c r="AK1242" s="303"/>
      <c r="AL1242" s="303"/>
      <c r="AM1242" s="303"/>
      <c r="AN1242" s="303"/>
      <c r="AO1242" s="303"/>
      <c r="AP1242" s="303"/>
      <c r="AQ1242" s="303"/>
      <c r="AR1242" s="318"/>
      <c r="AS1242" s="228"/>
      <c r="AT1242" s="234"/>
      <c r="AU1242" s="318"/>
      <c r="AV1242" s="343"/>
      <c r="AW1242" s="357"/>
      <c r="AX1242" s="294">
        <v>3.2258064516129031E-2</v>
      </c>
      <c r="AY1242" s="294">
        <v>1.2419354838709677</v>
      </c>
      <c r="AZ1242" s="294">
        <v>0.19354838709677419</v>
      </c>
      <c r="BA1242" s="294">
        <v>1.6129032258064516E-2</v>
      </c>
      <c r="BB1242" s="294">
        <v>0.12903225806451613</v>
      </c>
      <c r="BC1242" s="294"/>
      <c r="BD1242" s="294"/>
      <c r="BE1242" s="294"/>
      <c r="BF1242" s="383">
        <f t="shared" si="100"/>
        <v>0</v>
      </c>
      <c r="BG1242" s="383">
        <f t="shared" si="105"/>
        <v>1.6129032258064515</v>
      </c>
      <c r="BH1242" s="375"/>
      <c r="BI1242" s="376"/>
      <c r="BJ1242" s="409"/>
    </row>
    <row r="1243" spans="1:62" ht="17" thickBot="1" x14ac:dyDescent="0.25">
      <c r="A1243" s="156">
        <v>1244</v>
      </c>
      <c r="B1243" s="247">
        <v>1</v>
      </c>
      <c r="C1243" s="148" t="s">
        <v>975</v>
      </c>
      <c r="D1243" s="253" t="s">
        <v>3060</v>
      </c>
      <c r="E1243" s="253" t="s">
        <v>13</v>
      </c>
      <c r="F1243" s="253" t="s">
        <v>3389</v>
      </c>
      <c r="G1243" s="253" t="s">
        <v>15</v>
      </c>
      <c r="H1243" s="253" t="s">
        <v>42</v>
      </c>
      <c r="I1243" s="161">
        <v>2008</v>
      </c>
      <c r="J1243" s="259" t="s">
        <v>3372</v>
      </c>
      <c r="K1243" s="259" t="s">
        <v>116</v>
      </c>
      <c r="L1243" s="161" t="s">
        <v>104</v>
      </c>
      <c r="M1243" s="455" t="s">
        <v>4318</v>
      </c>
      <c r="N1243" s="267" t="s">
        <v>292</v>
      </c>
      <c r="O1243" s="267" t="s">
        <v>15</v>
      </c>
      <c r="P1243" s="267" t="s">
        <v>20</v>
      </c>
      <c r="Q1243" s="267" t="s">
        <v>20</v>
      </c>
      <c r="R1243" s="267" t="s">
        <v>20</v>
      </c>
      <c r="S1243" s="267" t="s">
        <v>20</v>
      </c>
      <c r="T1243" s="267" t="s">
        <v>20</v>
      </c>
      <c r="U1243" s="267" t="s">
        <v>15</v>
      </c>
      <c r="V1243" s="267" t="s">
        <v>15</v>
      </c>
      <c r="W1243" s="267" t="s">
        <v>15</v>
      </c>
      <c r="X1243" s="267" t="s">
        <v>15</v>
      </c>
      <c r="Y1243" s="267" t="s">
        <v>15</v>
      </c>
      <c r="Z1243" s="267" t="s">
        <v>15</v>
      </c>
      <c r="AA1243" s="186"/>
      <c r="AB1243" s="267"/>
      <c r="AC1243" s="267" t="s">
        <v>20</v>
      </c>
      <c r="AD1243" s="274" t="s">
        <v>3378</v>
      </c>
      <c r="AE1243" s="268"/>
      <c r="AF1243" s="144" t="str">
        <f t="shared" si="102"/>
        <v/>
      </c>
      <c r="AG1243" s="144" t="str">
        <f t="shared" si="106"/>
        <v/>
      </c>
      <c r="AH1243" s="146" t="str">
        <f t="shared" si="103"/>
        <v/>
      </c>
      <c r="AI1243" s="146">
        <f t="shared" si="104"/>
        <v>1.6129032258064515</v>
      </c>
      <c r="AJ1243" s="304"/>
      <c r="AK1243" s="303"/>
      <c r="AL1243" s="303"/>
      <c r="AM1243" s="303"/>
      <c r="AN1243" s="303"/>
      <c r="AO1243" s="303"/>
      <c r="AP1243" s="303"/>
      <c r="AQ1243" s="303"/>
      <c r="AR1243" s="318"/>
      <c r="AS1243" s="228"/>
      <c r="AT1243" s="234"/>
      <c r="AU1243" s="318"/>
      <c r="AV1243" s="343"/>
      <c r="AW1243" s="357"/>
      <c r="AX1243" s="294">
        <v>4.8387096774193547E-2</v>
      </c>
      <c r="AY1243" s="294">
        <v>1.564516129032258</v>
      </c>
      <c r="AZ1243" s="294">
        <v>0.19354838709677419</v>
      </c>
      <c r="BA1243" s="294">
        <v>1.6129032258064516E-2</v>
      </c>
      <c r="BB1243" s="294">
        <v>0.11290322580645161</v>
      </c>
      <c r="BC1243" s="294"/>
      <c r="BD1243" s="294"/>
      <c r="BE1243" s="294"/>
      <c r="BF1243" s="383">
        <f t="shared" si="100"/>
        <v>0</v>
      </c>
      <c r="BG1243" s="383">
        <f t="shared" si="105"/>
        <v>1.9354838709677418</v>
      </c>
      <c r="BH1243" s="375"/>
      <c r="BI1243" s="376"/>
      <c r="BJ1243" s="409"/>
    </row>
    <row r="1244" spans="1:62" ht="17" thickBot="1" x14ac:dyDescent="0.25">
      <c r="A1244" s="156">
        <v>1245</v>
      </c>
      <c r="B1244" s="247">
        <v>1</v>
      </c>
      <c r="C1244" s="148" t="s">
        <v>975</v>
      </c>
      <c r="D1244" s="253" t="s">
        <v>3057</v>
      </c>
      <c r="E1244" s="253" t="s">
        <v>13</v>
      </c>
      <c r="F1244" s="253" t="s">
        <v>3390</v>
      </c>
      <c r="G1244" s="253" t="s">
        <v>15</v>
      </c>
      <c r="H1244" s="253" t="s">
        <v>42</v>
      </c>
      <c r="I1244" s="161">
        <v>2008</v>
      </c>
      <c r="J1244" s="259" t="s">
        <v>3372</v>
      </c>
      <c r="K1244" s="259" t="s">
        <v>116</v>
      </c>
      <c r="L1244" s="161" t="s">
        <v>104</v>
      </c>
      <c r="M1244" s="455" t="s">
        <v>4318</v>
      </c>
      <c r="N1244" s="267" t="s">
        <v>20</v>
      </c>
      <c r="O1244" s="267" t="s">
        <v>15</v>
      </c>
      <c r="P1244" s="267" t="s">
        <v>20</v>
      </c>
      <c r="Q1244" s="267" t="s">
        <v>20</v>
      </c>
      <c r="R1244" s="267" t="s">
        <v>20</v>
      </c>
      <c r="S1244" s="267" t="s">
        <v>20</v>
      </c>
      <c r="T1244" s="267" t="s">
        <v>20</v>
      </c>
      <c r="U1244" s="267" t="s">
        <v>15</v>
      </c>
      <c r="V1244" s="267" t="s">
        <v>15</v>
      </c>
      <c r="W1244" s="267" t="s">
        <v>15</v>
      </c>
      <c r="X1244" s="267" t="s">
        <v>15</v>
      </c>
      <c r="Y1244" s="267" t="s">
        <v>15</v>
      </c>
      <c r="Z1244" s="267" t="s">
        <v>15</v>
      </c>
      <c r="AA1244" s="186"/>
      <c r="AB1244" s="267"/>
      <c r="AC1244" s="267" t="s">
        <v>20</v>
      </c>
      <c r="AD1244" s="274" t="s">
        <v>3378</v>
      </c>
      <c r="AE1244" s="268"/>
      <c r="AF1244" s="144" t="str">
        <f t="shared" si="102"/>
        <v/>
      </c>
      <c r="AG1244" s="144" t="str">
        <f t="shared" si="106"/>
        <v/>
      </c>
      <c r="AH1244" s="146">
        <f t="shared" si="103"/>
        <v>0.37096774193548387</v>
      </c>
      <c r="AI1244" s="146">
        <f t="shared" si="104"/>
        <v>1.7580645161290325</v>
      </c>
      <c r="AJ1244" s="304"/>
      <c r="AK1244" s="303"/>
      <c r="AL1244" s="303"/>
      <c r="AM1244" s="303"/>
      <c r="AN1244" s="303"/>
      <c r="AO1244" s="303"/>
      <c r="AP1244" s="303"/>
      <c r="AQ1244" s="303"/>
      <c r="AR1244" s="318"/>
      <c r="AS1244" s="228"/>
      <c r="AT1244" s="234"/>
      <c r="AU1244" s="318"/>
      <c r="AV1244" s="343"/>
      <c r="AW1244" s="357">
        <v>0.37096774193548387</v>
      </c>
      <c r="AX1244" s="294">
        <v>0.22580645161290322</v>
      </c>
      <c r="AY1244" s="294">
        <v>1.1612903225806452</v>
      </c>
      <c r="AZ1244" s="294">
        <v>0.19354838709677419</v>
      </c>
      <c r="BA1244" s="294">
        <v>1.6129032258064516E-2</v>
      </c>
      <c r="BB1244" s="294">
        <v>9.6774193548387094E-2</v>
      </c>
      <c r="BC1244" s="294"/>
      <c r="BD1244" s="294"/>
      <c r="BE1244" s="294"/>
      <c r="BF1244" s="383">
        <f t="shared" si="100"/>
        <v>0.37096774193548387</v>
      </c>
      <c r="BG1244" s="383">
        <f t="shared" si="105"/>
        <v>2.0645161290322585</v>
      </c>
      <c r="BH1244" s="375"/>
      <c r="BI1244" s="376"/>
      <c r="BJ1244" s="409"/>
    </row>
    <row r="1245" spans="1:62" ht="17" thickBot="1" x14ac:dyDescent="0.25">
      <c r="A1245" s="156">
        <v>1246</v>
      </c>
      <c r="B1245" s="247">
        <v>1</v>
      </c>
      <c r="C1245" s="148" t="s">
        <v>975</v>
      </c>
      <c r="D1245" s="253" t="s">
        <v>3057</v>
      </c>
      <c r="E1245" s="253" t="s">
        <v>13</v>
      </c>
      <c r="F1245" s="253" t="s">
        <v>3391</v>
      </c>
      <c r="G1245" s="253" t="s">
        <v>15</v>
      </c>
      <c r="H1245" s="253" t="s">
        <v>42</v>
      </c>
      <c r="I1245" s="161">
        <v>2008</v>
      </c>
      <c r="J1245" s="259" t="s">
        <v>3372</v>
      </c>
      <c r="K1245" s="259" t="s">
        <v>116</v>
      </c>
      <c r="L1245" s="161" t="s">
        <v>104</v>
      </c>
      <c r="M1245" s="455" t="s">
        <v>4318</v>
      </c>
      <c r="N1245" s="267" t="s">
        <v>15</v>
      </c>
      <c r="O1245" s="267" t="s">
        <v>15</v>
      </c>
      <c r="P1245" s="267" t="s">
        <v>20</v>
      </c>
      <c r="Q1245" s="267" t="s">
        <v>20</v>
      </c>
      <c r="R1245" s="267" t="s">
        <v>20</v>
      </c>
      <c r="S1245" s="267" t="s">
        <v>20</v>
      </c>
      <c r="T1245" s="267" t="s">
        <v>20</v>
      </c>
      <c r="U1245" s="267" t="s">
        <v>15</v>
      </c>
      <c r="V1245" s="267" t="s">
        <v>15</v>
      </c>
      <c r="W1245" s="267" t="s">
        <v>15</v>
      </c>
      <c r="X1245" s="267" t="s">
        <v>15</v>
      </c>
      <c r="Y1245" s="267" t="s">
        <v>15</v>
      </c>
      <c r="Z1245" s="267" t="s">
        <v>15</v>
      </c>
      <c r="AA1245" s="186"/>
      <c r="AB1245" s="267"/>
      <c r="AC1245" s="267" t="s">
        <v>20</v>
      </c>
      <c r="AD1245" s="274" t="s">
        <v>3378</v>
      </c>
      <c r="AE1245" s="268"/>
      <c r="AF1245" s="144" t="str">
        <f t="shared" si="102"/>
        <v/>
      </c>
      <c r="AG1245" s="144" t="str">
        <f t="shared" si="106"/>
        <v/>
      </c>
      <c r="AH1245" s="146" t="str">
        <f t="shared" si="103"/>
        <v/>
      </c>
      <c r="AI1245" s="146">
        <f t="shared" si="104"/>
        <v>3.0806451612903225</v>
      </c>
      <c r="AJ1245" s="304"/>
      <c r="AK1245" s="303"/>
      <c r="AL1245" s="303"/>
      <c r="AM1245" s="303"/>
      <c r="AN1245" s="303"/>
      <c r="AO1245" s="303"/>
      <c r="AP1245" s="303"/>
      <c r="AQ1245" s="303"/>
      <c r="AR1245" s="318"/>
      <c r="AS1245" s="228"/>
      <c r="AT1245" s="234"/>
      <c r="AU1245" s="318"/>
      <c r="AV1245" s="343"/>
      <c r="AW1245" s="357"/>
      <c r="AX1245" s="294">
        <v>3.2258064516129031E-2</v>
      </c>
      <c r="AY1245" s="294">
        <v>3.0483870967741935</v>
      </c>
      <c r="AZ1245" s="294">
        <v>0.19354838709677419</v>
      </c>
      <c r="BA1245" s="294">
        <v>1.6129032258064516E-2</v>
      </c>
      <c r="BB1245" s="294">
        <v>9.6774193548387094E-2</v>
      </c>
      <c r="BC1245" s="294"/>
      <c r="BD1245" s="294"/>
      <c r="BE1245" s="294"/>
      <c r="BF1245" s="383">
        <f t="shared" si="100"/>
        <v>0</v>
      </c>
      <c r="BG1245" s="383">
        <f t="shared" si="105"/>
        <v>3.387096774193548</v>
      </c>
      <c r="BH1245" s="375"/>
      <c r="BI1245" s="376"/>
      <c r="BJ1245" s="409"/>
    </row>
    <row r="1246" spans="1:62" ht="17" thickBot="1" x14ac:dyDescent="0.25">
      <c r="A1246" s="156">
        <v>1247</v>
      </c>
      <c r="B1246" s="247">
        <v>1</v>
      </c>
      <c r="C1246" s="148" t="s">
        <v>975</v>
      </c>
      <c r="D1246" s="253" t="s">
        <v>3059</v>
      </c>
      <c r="E1246" s="253" t="s">
        <v>13</v>
      </c>
      <c r="F1246" s="253" t="s">
        <v>3392</v>
      </c>
      <c r="G1246" s="253" t="s">
        <v>15</v>
      </c>
      <c r="H1246" s="253" t="s">
        <v>42</v>
      </c>
      <c r="I1246" s="161">
        <v>2008</v>
      </c>
      <c r="J1246" s="259" t="s">
        <v>3372</v>
      </c>
      <c r="K1246" s="259" t="s">
        <v>116</v>
      </c>
      <c r="L1246" s="161" t="s">
        <v>104</v>
      </c>
      <c r="M1246" s="455" t="s">
        <v>4318</v>
      </c>
      <c r="N1246" s="267" t="s">
        <v>15</v>
      </c>
      <c r="O1246" s="267" t="s">
        <v>15</v>
      </c>
      <c r="P1246" s="267" t="s">
        <v>20</v>
      </c>
      <c r="Q1246" s="267" t="s">
        <v>20</v>
      </c>
      <c r="R1246" s="267" t="s">
        <v>20</v>
      </c>
      <c r="S1246" s="267" t="s">
        <v>20</v>
      </c>
      <c r="T1246" s="267" t="s">
        <v>20</v>
      </c>
      <c r="U1246" s="267" t="s">
        <v>15</v>
      </c>
      <c r="V1246" s="267" t="s">
        <v>15</v>
      </c>
      <c r="W1246" s="267" t="s">
        <v>15</v>
      </c>
      <c r="X1246" s="267" t="s">
        <v>15</v>
      </c>
      <c r="Y1246" s="267" t="s">
        <v>15</v>
      </c>
      <c r="Z1246" s="267" t="s">
        <v>15</v>
      </c>
      <c r="AA1246" s="186"/>
      <c r="AB1246" s="267"/>
      <c r="AC1246" s="267" t="s">
        <v>20</v>
      </c>
      <c r="AD1246" s="274" t="s">
        <v>3378</v>
      </c>
      <c r="AE1246" s="268"/>
      <c r="AF1246" s="144" t="str">
        <f t="shared" si="102"/>
        <v/>
      </c>
      <c r="AG1246" s="144" t="str">
        <f t="shared" si="106"/>
        <v/>
      </c>
      <c r="AH1246" s="146" t="str">
        <f t="shared" si="103"/>
        <v/>
      </c>
      <c r="AI1246" s="146">
        <f t="shared" si="104"/>
        <v>6.096774193548387</v>
      </c>
      <c r="AJ1246" s="304"/>
      <c r="AK1246" s="303"/>
      <c r="AL1246" s="303"/>
      <c r="AM1246" s="303"/>
      <c r="AN1246" s="303"/>
      <c r="AO1246" s="303"/>
      <c r="AP1246" s="303"/>
      <c r="AQ1246" s="303"/>
      <c r="AR1246" s="318"/>
      <c r="AS1246" s="228"/>
      <c r="AT1246" s="234"/>
      <c r="AU1246" s="318"/>
      <c r="AV1246" s="343"/>
      <c r="AW1246" s="357"/>
      <c r="AX1246" s="294">
        <v>3.2258064516129031E-2</v>
      </c>
      <c r="AY1246" s="294">
        <v>6.064516129032258</v>
      </c>
      <c r="AZ1246" s="294">
        <v>0.19354838709677419</v>
      </c>
      <c r="BA1246" s="294">
        <v>1.6129032258064516E-2</v>
      </c>
      <c r="BB1246" s="294">
        <v>9.6774193548387094E-2</v>
      </c>
      <c r="BC1246" s="294"/>
      <c r="BD1246" s="294"/>
      <c r="BE1246" s="294"/>
      <c r="BF1246" s="383">
        <f t="shared" si="100"/>
        <v>0</v>
      </c>
      <c r="BG1246" s="383">
        <f t="shared" si="105"/>
        <v>6.403225806451613</v>
      </c>
      <c r="BH1246" s="375"/>
      <c r="BI1246" s="376"/>
      <c r="BJ1246" s="409"/>
    </row>
    <row r="1247" spans="1:62" ht="17" thickBot="1" x14ac:dyDescent="0.25">
      <c r="A1247" s="156">
        <v>1248</v>
      </c>
      <c r="B1247" s="247">
        <v>1</v>
      </c>
      <c r="C1247" s="148" t="s">
        <v>975</v>
      </c>
      <c r="D1247" s="253" t="s">
        <v>3059</v>
      </c>
      <c r="E1247" s="253" t="s">
        <v>13</v>
      </c>
      <c r="F1247" s="253" t="s">
        <v>3393</v>
      </c>
      <c r="G1247" s="253" t="s">
        <v>15</v>
      </c>
      <c r="H1247" s="253" t="s">
        <v>42</v>
      </c>
      <c r="I1247" s="161">
        <v>2008</v>
      </c>
      <c r="J1247" s="259" t="s">
        <v>3372</v>
      </c>
      <c r="K1247" s="259" t="s">
        <v>116</v>
      </c>
      <c r="L1247" s="161" t="s">
        <v>104</v>
      </c>
      <c r="M1247" s="455" t="s">
        <v>4318</v>
      </c>
      <c r="N1247" s="267" t="s">
        <v>15</v>
      </c>
      <c r="O1247" s="267" t="s">
        <v>15</v>
      </c>
      <c r="P1247" s="267" t="s">
        <v>20</v>
      </c>
      <c r="Q1247" s="267" t="s">
        <v>20</v>
      </c>
      <c r="R1247" s="267" t="s">
        <v>20</v>
      </c>
      <c r="S1247" s="267" t="s">
        <v>20</v>
      </c>
      <c r="T1247" s="267" t="s">
        <v>20</v>
      </c>
      <c r="U1247" s="267" t="s">
        <v>15</v>
      </c>
      <c r="V1247" s="267" t="s">
        <v>15</v>
      </c>
      <c r="W1247" s="267" t="s">
        <v>15</v>
      </c>
      <c r="X1247" s="267" t="s">
        <v>15</v>
      </c>
      <c r="Y1247" s="267" t="s">
        <v>15</v>
      </c>
      <c r="Z1247" s="267" t="s">
        <v>15</v>
      </c>
      <c r="AA1247" s="186"/>
      <c r="AB1247" s="267"/>
      <c r="AC1247" s="267" t="s">
        <v>20</v>
      </c>
      <c r="AD1247" s="274" t="s">
        <v>3378</v>
      </c>
      <c r="AE1247" s="268"/>
      <c r="AF1247" s="144" t="str">
        <f t="shared" si="102"/>
        <v/>
      </c>
      <c r="AG1247" s="144" t="str">
        <f t="shared" si="106"/>
        <v/>
      </c>
      <c r="AH1247" s="146" t="str">
        <f t="shared" si="103"/>
        <v/>
      </c>
      <c r="AI1247" s="146">
        <f t="shared" si="104"/>
        <v>9.5161290322580641</v>
      </c>
      <c r="AJ1247" s="304"/>
      <c r="AK1247" s="303"/>
      <c r="AL1247" s="303"/>
      <c r="AM1247" s="303"/>
      <c r="AN1247" s="303"/>
      <c r="AO1247" s="303"/>
      <c r="AP1247" s="303"/>
      <c r="AQ1247" s="303"/>
      <c r="AR1247" s="318"/>
      <c r="AS1247" s="228"/>
      <c r="AT1247" s="234"/>
      <c r="AU1247" s="318"/>
      <c r="AV1247" s="343"/>
      <c r="AW1247" s="357"/>
      <c r="AX1247" s="294">
        <v>1.6129032258064516E-2</v>
      </c>
      <c r="AY1247" s="294">
        <v>9.5</v>
      </c>
      <c r="AZ1247" s="294">
        <v>0.20967741935483872</v>
      </c>
      <c r="BA1247" s="294">
        <v>1.6129032258064516E-2</v>
      </c>
      <c r="BB1247" s="294">
        <v>0.11290322580645161</v>
      </c>
      <c r="BC1247" s="294"/>
      <c r="BD1247" s="294"/>
      <c r="BE1247" s="294"/>
      <c r="BF1247" s="383">
        <f t="shared" si="100"/>
        <v>0</v>
      </c>
      <c r="BG1247" s="383">
        <f t="shared" si="105"/>
        <v>9.8548387096774182</v>
      </c>
      <c r="BH1247" s="375"/>
      <c r="BI1247" s="376"/>
      <c r="BJ1247" s="409"/>
    </row>
    <row r="1248" spans="1:62" ht="17" thickBot="1" x14ac:dyDescent="0.25">
      <c r="A1248" s="156">
        <v>1249</v>
      </c>
      <c r="B1248" s="247">
        <v>1</v>
      </c>
      <c r="C1248" s="148" t="s">
        <v>760</v>
      </c>
      <c r="D1248" s="254" t="s">
        <v>3292</v>
      </c>
      <c r="E1248" s="253" t="s">
        <v>13</v>
      </c>
      <c r="F1248" s="253" t="s">
        <v>3394</v>
      </c>
      <c r="G1248" s="253" t="s">
        <v>20</v>
      </c>
      <c r="H1248" s="253" t="s">
        <v>633</v>
      </c>
      <c r="I1248" s="161">
        <v>2013</v>
      </c>
      <c r="J1248" s="259" t="s">
        <v>3395</v>
      </c>
      <c r="K1248" s="259" t="s">
        <v>3396</v>
      </c>
      <c r="L1248" s="161" t="s">
        <v>19</v>
      </c>
      <c r="M1248" s="455" t="s">
        <v>4319</v>
      </c>
      <c r="N1248" s="267" t="s">
        <v>20</v>
      </c>
      <c r="O1248" s="267" t="s">
        <v>15</v>
      </c>
      <c r="P1248" s="267" t="s">
        <v>15</v>
      </c>
      <c r="Q1248" s="267" t="s">
        <v>15</v>
      </c>
      <c r="R1248" s="267" t="s">
        <v>15</v>
      </c>
      <c r="S1248" s="267" t="s">
        <v>15</v>
      </c>
      <c r="T1248" s="267" t="s">
        <v>15</v>
      </c>
      <c r="U1248" s="267" t="s">
        <v>15</v>
      </c>
      <c r="V1248" s="267" t="s">
        <v>15</v>
      </c>
      <c r="W1248" s="267" t="s">
        <v>15</v>
      </c>
      <c r="X1248" s="267" t="s">
        <v>15</v>
      </c>
      <c r="Y1248" s="267" t="s">
        <v>15</v>
      </c>
      <c r="Z1248" s="267" t="s">
        <v>15</v>
      </c>
      <c r="AA1248" s="186"/>
      <c r="AB1248" s="267"/>
      <c r="AC1248" s="267" t="s">
        <v>15</v>
      </c>
      <c r="AD1248" s="274" t="s">
        <v>3397</v>
      </c>
      <c r="AE1248" s="268"/>
      <c r="AF1248" s="144" t="str">
        <f t="shared" si="102"/>
        <v/>
      </c>
      <c r="AG1248" s="144" t="str">
        <f t="shared" si="106"/>
        <v/>
      </c>
      <c r="AH1248" s="146">
        <f t="shared" si="103"/>
        <v>0.247</v>
      </c>
      <c r="AI1248" s="146" t="str">
        <f t="shared" si="104"/>
        <v/>
      </c>
      <c r="AJ1248" s="304"/>
      <c r="AK1248" s="303"/>
      <c r="AL1248" s="303"/>
      <c r="AM1248" s="303"/>
      <c r="AN1248" s="303"/>
      <c r="AO1248" s="303"/>
      <c r="AP1248" s="303"/>
      <c r="AQ1248" s="303"/>
      <c r="AR1248" s="318"/>
      <c r="AS1248" s="228"/>
      <c r="AT1248" s="234"/>
      <c r="AU1248" s="318"/>
      <c r="AV1248" s="343"/>
      <c r="AW1248" s="357">
        <v>0.247</v>
      </c>
      <c r="AX1248" s="294"/>
      <c r="AY1248" s="294"/>
      <c r="AZ1248" s="294"/>
      <c r="BA1248" s="294"/>
      <c r="BB1248" s="294"/>
      <c r="BC1248" s="294"/>
      <c r="BD1248" s="294"/>
      <c r="BE1248" s="294"/>
      <c r="BF1248" s="383">
        <f t="shared" si="100"/>
        <v>0.247</v>
      </c>
      <c r="BG1248" s="383"/>
      <c r="BH1248" s="375"/>
      <c r="BI1248" s="376"/>
      <c r="BJ1248" s="409"/>
    </row>
    <row r="1249" spans="1:62" ht="17" thickBot="1" x14ac:dyDescent="0.25">
      <c r="A1249" s="156">
        <v>1250</v>
      </c>
      <c r="B1249" s="247">
        <v>1</v>
      </c>
      <c r="C1249" s="148" t="s">
        <v>760</v>
      </c>
      <c r="D1249" s="254" t="s">
        <v>3292</v>
      </c>
      <c r="E1249" s="253" t="s">
        <v>13</v>
      </c>
      <c r="F1249" s="253" t="s">
        <v>3398</v>
      </c>
      <c r="G1249" s="253" t="s">
        <v>20</v>
      </c>
      <c r="H1249" s="253" t="s">
        <v>633</v>
      </c>
      <c r="I1249" s="161">
        <v>2013</v>
      </c>
      <c r="J1249" s="259" t="s">
        <v>3395</v>
      </c>
      <c r="K1249" s="259" t="s">
        <v>3396</v>
      </c>
      <c r="L1249" s="161" t="s">
        <v>19</v>
      </c>
      <c r="M1249" s="455" t="s">
        <v>4319</v>
      </c>
      <c r="N1249" s="267" t="s">
        <v>20</v>
      </c>
      <c r="O1249" s="267" t="s">
        <v>15</v>
      </c>
      <c r="P1249" s="267" t="s">
        <v>15</v>
      </c>
      <c r="Q1249" s="267" t="s">
        <v>15</v>
      </c>
      <c r="R1249" s="267" t="s">
        <v>15</v>
      </c>
      <c r="S1249" s="267" t="s">
        <v>15</v>
      </c>
      <c r="T1249" s="267" t="s">
        <v>15</v>
      </c>
      <c r="U1249" s="267" t="s">
        <v>15</v>
      </c>
      <c r="V1249" s="267" t="s">
        <v>15</v>
      </c>
      <c r="W1249" s="267" t="s">
        <v>15</v>
      </c>
      <c r="X1249" s="267" t="s">
        <v>15</v>
      </c>
      <c r="Y1249" s="267" t="s">
        <v>15</v>
      </c>
      <c r="Z1249" s="267" t="s">
        <v>15</v>
      </c>
      <c r="AA1249" s="186"/>
      <c r="AB1249" s="267"/>
      <c r="AC1249" s="267" t="s">
        <v>15</v>
      </c>
      <c r="AD1249" s="274" t="s">
        <v>3397</v>
      </c>
      <c r="AE1249" s="268"/>
      <c r="AF1249" s="144" t="str">
        <f t="shared" si="102"/>
        <v/>
      </c>
      <c r="AG1249" s="144" t="str">
        <f t="shared" si="106"/>
        <v/>
      </c>
      <c r="AH1249" s="146">
        <f t="shared" si="103"/>
        <v>0.127</v>
      </c>
      <c r="AI1249" s="146" t="str">
        <f t="shared" si="104"/>
        <v/>
      </c>
      <c r="AJ1249" s="304"/>
      <c r="AK1249" s="303"/>
      <c r="AL1249" s="303"/>
      <c r="AM1249" s="303"/>
      <c r="AN1249" s="303"/>
      <c r="AO1249" s="303"/>
      <c r="AP1249" s="303"/>
      <c r="AQ1249" s="303"/>
      <c r="AR1249" s="318"/>
      <c r="AS1249" s="228"/>
      <c r="AT1249" s="234"/>
      <c r="AU1249" s="318"/>
      <c r="AV1249" s="343"/>
      <c r="AW1249" s="357">
        <v>0.127</v>
      </c>
      <c r="AX1249" s="294"/>
      <c r="AY1249" s="294"/>
      <c r="AZ1249" s="294"/>
      <c r="BA1249" s="294"/>
      <c r="BB1249" s="294"/>
      <c r="BC1249" s="294"/>
      <c r="BD1249" s="294"/>
      <c r="BE1249" s="294"/>
      <c r="BF1249" s="383">
        <f t="shared" si="100"/>
        <v>0.127</v>
      </c>
      <c r="BG1249" s="383"/>
      <c r="BH1249" s="375"/>
      <c r="BI1249" s="376"/>
      <c r="BJ1249" s="409"/>
    </row>
    <row r="1250" spans="1:62" ht="17" thickBot="1" x14ac:dyDescent="0.25">
      <c r="A1250" s="156">
        <v>1251</v>
      </c>
      <c r="B1250" s="247">
        <v>1</v>
      </c>
      <c r="C1250" s="148" t="s">
        <v>760</v>
      </c>
      <c r="D1250" s="254" t="s">
        <v>3292</v>
      </c>
      <c r="E1250" s="253" t="s">
        <v>13</v>
      </c>
      <c r="F1250" s="253" t="s">
        <v>3399</v>
      </c>
      <c r="G1250" s="253" t="s">
        <v>20</v>
      </c>
      <c r="H1250" s="253" t="s">
        <v>633</v>
      </c>
      <c r="I1250" s="161">
        <v>2013</v>
      </c>
      <c r="J1250" s="259" t="s">
        <v>3395</v>
      </c>
      <c r="K1250" s="259" t="s">
        <v>3396</v>
      </c>
      <c r="L1250" s="161" t="s">
        <v>19</v>
      </c>
      <c r="M1250" s="455" t="s">
        <v>4319</v>
      </c>
      <c r="N1250" s="267" t="s">
        <v>20</v>
      </c>
      <c r="O1250" s="267" t="s">
        <v>15</v>
      </c>
      <c r="P1250" s="267" t="s">
        <v>15</v>
      </c>
      <c r="Q1250" s="267" t="s">
        <v>15</v>
      </c>
      <c r="R1250" s="267" t="s">
        <v>15</v>
      </c>
      <c r="S1250" s="267" t="s">
        <v>15</v>
      </c>
      <c r="T1250" s="267" t="s">
        <v>15</v>
      </c>
      <c r="U1250" s="267" t="s">
        <v>15</v>
      </c>
      <c r="V1250" s="267" t="s">
        <v>15</v>
      </c>
      <c r="W1250" s="267" t="s">
        <v>15</v>
      </c>
      <c r="X1250" s="267" t="s">
        <v>15</v>
      </c>
      <c r="Y1250" s="267" t="s">
        <v>15</v>
      </c>
      <c r="Z1250" s="267" t="s">
        <v>15</v>
      </c>
      <c r="AA1250" s="186"/>
      <c r="AB1250" s="267"/>
      <c r="AC1250" s="267" t="s">
        <v>15</v>
      </c>
      <c r="AD1250" s="274" t="s">
        <v>3397</v>
      </c>
      <c r="AE1250" s="268"/>
      <c r="AF1250" s="144" t="str">
        <f t="shared" si="102"/>
        <v/>
      </c>
      <c r="AG1250" s="144" t="str">
        <f t="shared" si="106"/>
        <v/>
      </c>
      <c r="AH1250" s="146">
        <f t="shared" si="103"/>
        <v>0.30299999999999999</v>
      </c>
      <c r="AI1250" s="146" t="str">
        <f t="shared" si="104"/>
        <v/>
      </c>
      <c r="AJ1250" s="304"/>
      <c r="AK1250" s="303"/>
      <c r="AL1250" s="303"/>
      <c r="AM1250" s="303"/>
      <c r="AN1250" s="303"/>
      <c r="AO1250" s="303"/>
      <c r="AP1250" s="303"/>
      <c r="AQ1250" s="303"/>
      <c r="AR1250" s="318"/>
      <c r="AS1250" s="228"/>
      <c r="AT1250" s="234"/>
      <c r="AU1250" s="318"/>
      <c r="AV1250" s="343"/>
      <c r="AW1250" s="358">
        <v>0.30299999999999999</v>
      </c>
      <c r="AX1250" s="294"/>
      <c r="AY1250" s="294"/>
      <c r="AZ1250" s="294"/>
      <c r="BA1250" s="294"/>
      <c r="BB1250" s="294"/>
      <c r="BC1250" s="294"/>
      <c r="BD1250" s="294"/>
      <c r="BE1250" s="294"/>
      <c r="BF1250" s="383">
        <f t="shared" si="100"/>
        <v>0.30299999999999999</v>
      </c>
      <c r="BG1250" s="383"/>
      <c r="BH1250" s="375"/>
      <c r="BI1250" s="376"/>
      <c r="BJ1250" s="409"/>
    </row>
    <row r="1251" spans="1:62" ht="17" thickBot="1" x14ac:dyDescent="0.25">
      <c r="A1251" s="156">
        <v>1252</v>
      </c>
      <c r="B1251" s="247">
        <v>1</v>
      </c>
      <c r="C1251" s="148" t="s">
        <v>760</v>
      </c>
      <c r="D1251" s="254" t="s">
        <v>3292</v>
      </c>
      <c r="E1251" s="253" t="s">
        <v>13</v>
      </c>
      <c r="F1251" s="148" t="s">
        <v>3400</v>
      </c>
      <c r="G1251" s="253" t="s">
        <v>20</v>
      </c>
      <c r="H1251" s="253" t="s">
        <v>633</v>
      </c>
      <c r="I1251" s="161">
        <v>2013</v>
      </c>
      <c r="J1251" s="259" t="s">
        <v>3395</v>
      </c>
      <c r="K1251" s="259" t="s">
        <v>3396</v>
      </c>
      <c r="L1251" s="161" t="s">
        <v>19</v>
      </c>
      <c r="M1251" s="455" t="s">
        <v>4319</v>
      </c>
      <c r="N1251" s="267" t="s">
        <v>20</v>
      </c>
      <c r="O1251" s="267" t="s">
        <v>15</v>
      </c>
      <c r="P1251" s="267" t="s">
        <v>15</v>
      </c>
      <c r="Q1251" s="267" t="s">
        <v>15</v>
      </c>
      <c r="R1251" s="267" t="s">
        <v>15</v>
      </c>
      <c r="S1251" s="267" t="s">
        <v>15</v>
      </c>
      <c r="T1251" s="267" t="s">
        <v>15</v>
      </c>
      <c r="U1251" s="267" t="s">
        <v>15</v>
      </c>
      <c r="V1251" s="267" t="s">
        <v>15</v>
      </c>
      <c r="W1251" s="267" t="s">
        <v>15</v>
      </c>
      <c r="X1251" s="267" t="s">
        <v>15</v>
      </c>
      <c r="Y1251" s="267" t="s">
        <v>15</v>
      </c>
      <c r="Z1251" s="267" t="s">
        <v>15</v>
      </c>
      <c r="AA1251" s="186"/>
      <c r="AB1251" s="267"/>
      <c r="AC1251" s="267" t="s">
        <v>15</v>
      </c>
      <c r="AD1251" s="274" t="s">
        <v>3397</v>
      </c>
      <c r="AE1251" s="268"/>
      <c r="AF1251" s="144" t="str">
        <f t="shared" si="102"/>
        <v/>
      </c>
      <c r="AG1251" s="144" t="str">
        <f t="shared" si="106"/>
        <v/>
      </c>
      <c r="AH1251" s="146">
        <f t="shared" si="103"/>
        <v>0.30199999999999999</v>
      </c>
      <c r="AI1251" s="146" t="str">
        <f t="shared" si="104"/>
        <v/>
      </c>
      <c r="AJ1251" s="303"/>
      <c r="AK1251" s="303"/>
      <c r="AL1251" s="303"/>
      <c r="AM1251" s="303"/>
      <c r="AN1251" s="303"/>
      <c r="AO1251" s="303"/>
      <c r="AP1251" s="303"/>
      <c r="AQ1251" s="303"/>
      <c r="AR1251" s="318"/>
      <c r="AS1251" s="227"/>
      <c r="AT1251" s="233"/>
      <c r="AU1251" s="318"/>
      <c r="AV1251" s="343"/>
      <c r="AW1251" s="357">
        <v>0.30199999999999999</v>
      </c>
      <c r="AX1251" s="294"/>
      <c r="AY1251" s="294"/>
      <c r="AZ1251" s="294"/>
      <c r="BA1251" s="294"/>
      <c r="BB1251" s="294"/>
      <c r="BC1251" s="294"/>
      <c r="BD1251" s="294"/>
      <c r="BE1251" s="294"/>
      <c r="BF1251" s="383">
        <f t="shared" ref="BF1251:BF1314" si="107">AW1251</f>
        <v>0.30199999999999999</v>
      </c>
      <c r="BG1251" s="383"/>
      <c r="BH1251" s="375"/>
      <c r="BI1251" s="376"/>
      <c r="BJ1251" s="409"/>
    </row>
    <row r="1252" spans="1:62" ht="17" thickBot="1" x14ac:dyDescent="0.25">
      <c r="A1252" s="156">
        <v>1253</v>
      </c>
      <c r="B1252" s="247">
        <v>1</v>
      </c>
      <c r="C1252" s="148" t="s">
        <v>760</v>
      </c>
      <c r="D1252" s="254" t="s">
        <v>3292</v>
      </c>
      <c r="E1252" s="253" t="s">
        <v>13</v>
      </c>
      <c r="F1252" s="148" t="s">
        <v>3401</v>
      </c>
      <c r="G1252" s="253" t="s">
        <v>20</v>
      </c>
      <c r="H1252" s="253" t="s">
        <v>633</v>
      </c>
      <c r="I1252" s="161">
        <v>2013</v>
      </c>
      <c r="J1252" s="259" t="s">
        <v>3395</v>
      </c>
      <c r="K1252" s="259" t="s">
        <v>3396</v>
      </c>
      <c r="L1252" s="161" t="s">
        <v>19</v>
      </c>
      <c r="M1252" s="455" t="s">
        <v>4319</v>
      </c>
      <c r="N1252" s="267" t="s">
        <v>20</v>
      </c>
      <c r="O1252" s="267" t="s">
        <v>15</v>
      </c>
      <c r="P1252" s="267" t="s">
        <v>15</v>
      </c>
      <c r="Q1252" s="267" t="s">
        <v>15</v>
      </c>
      <c r="R1252" s="267" t="s">
        <v>15</v>
      </c>
      <c r="S1252" s="267" t="s">
        <v>15</v>
      </c>
      <c r="T1252" s="267" t="s">
        <v>15</v>
      </c>
      <c r="U1252" s="267" t="s">
        <v>15</v>
      </c>
      <c r="V1252" s="267" t="s">
        <v>15</v>
      </c>
      <c r="W1252" s="267" t="s">
        <v>15</v>
      </c>
      <c r="X1252" s="267" t="s">
        <v>15</v>
      </c>
      <c r="Y1252" s="267" t="s">
        <v>15</v>
      </c>
      <c r="Z1252" s="267" t="s">
        <v>15</v>
      </c>
      <c r="AA1252" s="186"/>
      <c r="AB1252" s="267"/>
      <c r="AC1252" s="267" t="s">
        <v>15</v>
      </c>
      <c r="AD1252" s="274" t="s">
        <v>3397</v>
      </c>
      <c r="AE1252" s="268"/>
      <c r="AF1252" s="144" t="str">
        <f t="shared" si="102"/>
        <v/>
      </c>
      <c r="AG1252" s="144" t="str">
        <f t="shared" si="106"/>
        <v/>
      </c>
      <c r="AH1252" s="146">
        <f t="shared" si="103"/>
        <v>0.11799999999999999</v>
      </c>
      <c r="AI1252" s="146" t="str">
        <f t="shared" si="104"/>
        <v/>
      </c>
      <c r="AJ1252" s="303"/>
      <c r="AK1252" s="303"/>
      <c r="AL1252" s="303"/>
      <c r="AM1252" s="303"/>
      <c r="AN1252" s="303"/>
      <c r="AO1252" s="303"/>
      <c r="AP1252" s="303"/>
      <c r="AQ1252" s="303"/>
      <c r="AR1252" s="318"/>
      <c r="AS1252" s="227"/>
      <c r="AT1252" s="233"/>
      <c r="AU1252" s="318"/>
      <c r="AV1252" s="343"/>
      <c r="AW1252" s="357">
        <v>0.11799999999999999</v>
      </c>
      <c r="AX1252" s="294"/>
      <c r="AY1252" s="294"/>
      <c r="AZ1252" s="294"/>
      <c r="BA1252" s="294"/>
      <c r="BB1252" s="294"/>
      <c r="BC1252" s="294"/>
      <c r="BD1252" s="294"/>
      <c r="BE1252" s="294"/>
      <c r="BF1252" s="383">
        <f t="shared" si="107"/>
        <v>0.11799999999999999</v>
      </c>
      <c r="BG1252" s="383"/>
      <c r="BH1252" s="375"/>
      <c r="BI1252" s="376"/>
      <c r="BJ1252" s="409"/>
    </row>
    <row r="1253" spans="1:62" ht="17" thickBot="1" x14ac:dyDescent="0.25">
      <c r="A1253" s="156">
        <v>1254</v>
      </c>
      <c r="B1253" s="247">
        <v>1</v>
      </c>
      <c r="C1253" s="148" t="s">
        <v>760</v>
      </c>
      <c r="D1253" s="254" t="s">
        <v>3292</v>
      </c>
      <c r="E1253" s="253" t="s">
        <v>13</v>
      </c>
      <c r="F1253" s="148" t="s">
        <v>3402</v>
      </c>
      <c r="G1253" s="253" t="s">
        <v>20</v>
      </c>
      <c r="H1253" s="253" t="s">
        <v>633</v>
      </c>
      <c r="I1253" s="161">
        <v>2013</v>
      </c>
      <c r="J1253" s="259" t="s">
        <v>3395</v>
      </c>
      <c r="K1253" s="259" t="s">
        <v>3396</v>
      </c>
      <c r="L1253" s="161" t="s">
        <v>19</v>
      </c>
      <c r="M1253" s="455" t="s">
        <v>4319</v>
      </c>
      <c r="N1253" s="267" t="s">
        <v>20</v>
      </c>
      <c r="O1253" s="267" t="s">
        <v>15</v>
      </c>
      <c r="P1253" s="267" t="s">
        <v>15</v>
      </c>
      <c r="Q1253" s="267" t="s">
        <v>15</v>
      </c>
      <c r="R1253" s="267" t="s">
        <v>15</v>
      </c>
      <c r="S1253" s="267" t="s">
        <v>15</v>
      </c>
      <c r="T1253" s="267" t="s">
        <v>15</v>
      </c>
      <c r="U1253" s="267" t="s">
        <v>15</v>
      </c>
      <c r="V1253" s="267" t="s">
        <v>15</v>
      </c>
      <c r="W1253" s="267" t="s">
        <v>15</v>
      </c>
      <c r="X1253" s="267" t="s">
        <v>15</v>
      </c>
      <c r="Y1253" s="267" t="s">
        <v>15</v>
      </c>
      <c r="Z1253" s="267" t="s">
        <v>15</v>
      </c>
      <c r="AA1253" s="186"/>
      <c r="AB1253" s="267"/>
      <c r="AC1253" s="267" t="s">
        <v>15</v>
      </c>
      <c r="AD1253" s="274" t="s">
        <v>3397</v>
      </c>
      <c r="AE1253" s="268"/>
      <c r="AF1253" s="144" t="str">
        <f t="shared" si="102"/>
        <v/>
      </c>
      <c r="AG1253" s="144" t="str">
        <f t="shared" si="106"/>
        <v/>
      </c>
      <c r="AH1253" s="146">
        <f t="shared" si="103"/>
        <v>0.438</v>
      </c>
      <c r="AI1253" s="146" t="str">
        <f t="shared" si="104"/>
        <v/>
      </c>
      <c r="AJ1253" s="303"/>
      <c r="AK1253" s="303"/>
      <c r="AL1253" s="303"/>
      <c r="AM1253" s="303"/>
      <c r="AN1253" s="303"/>
      <c r="AO1253" s="303"/>
      <c r="AP1253" s="303"/>
      <c r="AQ1253" s="303"/>
      <c r="AR1253" s="318"/>
      <c r="AS1253" s="227"/>
      <c r="AT1253" s="233"/>
      <c r="AU1253" s="318"/>
      <c r="AV1253" s="343"/>
      <c r="AW1253" s="357">
        <v>0.438</v>
      </c>
      <c r="AX1253" s="294"/>
      <c r="AY1253" s="294"/>
      <c r="AZ1253" s="294"/>
      <c r="BA1253" s="294"/>
      <c r="BB1253" s="294"/>
      <c r="BC1253" s="294"/>
      <c r="BD1253" s="294"/>
      <c r="BE1253" s="294"/>
      <c r="BF1253" s="383">
        <f t="shared" si="107"/>
        <v>0.438</v>
      </c>
      <c r="BG1253" s="383"/>
      <c r="BH1253" s="375"/>
      <c r="BI1253" s="376"/>
      <c r="BJ1253" s="409"/>
    </row>
    <row r="1254" spans="1:62" ht="17" thickBot="1" x14ac:dyDescent="0.25">
      <c r="A1254" s="156">
        <v>1255</v>
      </c>
      <c r="B1254" s="247">
        <v>1</v>
      </c>
      <c r="C1254" s="148" t="s">
        <v>760</v>
      </c>
      <c r="D1254" s="254" t="s">
        <v>3292</v>
      </c>
      <c r="E1254" s="253" t="s">
        <v>13</v>
      </c>
      <c r="F1254" s="253" t="s">
        <v>3403</v>
      </c>
      <c r="G1254" s="253" t="s">
        <v>20</v>
      </c>
      <c r="H1254" s="253" t="s">
        <v>633</v>
      </c>
      <c r="I1254" s="161">
        <v>2013</v>
      </c>
      <c r="J1254" s="259" t="s">
        <v>3395</v>
      </c>
      <c r="K1254" s="259" t="s">
        <v>3396</v>
      </c>
      <c r="L1254" s="161" t="s">
        <v>19</v>
      </c>
      <c r="M1254" s="455" t="s">
        <v>4319</v>
      </c>
      <c r="N1254" s="267" t="s">
        <v>20</v>
      </c>
      <c r="O1254" s="267" t="s">
        <v>15</v>
      </c>
      <c r="P1254" s="267" t="s">
        <v>15</v>
      </c>
      <c r="Q1254" s="267" t="s">
        <v>15</v>
      </c>
      <c r="R1254" s="267" t="s">
        <v>15</v>
      </c>
      <c r="S1254" s="267" t="s">
        <v>15</v>
      </c>
      <c r="T1254" s="267" t="s">
        <v>15</v>
      </c>
      <c r="U1254" s="267" t="s">
        <v>15</v>
      </c>
      <c r="V1254" s="267" t="s">
        <v>15</v>
      </c>
      <c r="W1254" s="267" t="s">
        <v>15</v>
      </c>
      <c r="X1254" s="267" t="s">
        <v>15</v>
      </c>
      <c r="Y1254" s="267" t="s">
        <v>15</v>
      </c>
      <c r="Z1254" s="267" t="s">
        <v>15</v>
      </c>
      <c r="AA1254" s="186"/>
      <c r="AB1254" s="267"/>
      <c r="AC1254" s="267" t="s">
        <v>15</v>
      </c>
      <c r="AD1254" s="274" t="s">
        <v>3397</v>
      </c>
      <c r="AE1254" s="268"/>
      <c r="AF1254" s="144" t="str">
        <f t="shared" si="102"/>
        <v/>
      </c>
      <c r="AG1254" s="144" t="str">
        <f t="shared" si="106"/>
        <v/>
      </c>
      <c r="AH1254" s="146">
        <f t="shared" si="103"/>
        <v>8.6599999999999996E-2</v>
      </c>
      <c r="AI1254" s="146" t="str">
        <f t="shared" si="104"/>
        <v/>
      </c>
      <c r="AJ1254" s="303"/>
      <c r="AK1254" s="303"/>
      <c r="AL1254" s="303"/>
      <c r="AM1254" s="303"/>
      <c r="AN1254" s="303"/>
      <c r="AO1254" s="303"/>
      <c r="AP1254" s="303"/>
      <c r="AQ1254" s="303"/>
      <c r="AR1254" s="318"/>
      <c r="AS1254" s="227"/>
      <c r="AT1254" s="233"/>
      <c r="AU1254" s="318"/>
      <c r="AV1254" s="343"/>
      <c r="AW1254" s="357">
        <v>8.6599999999999996E-2</v>
      </c>
      <c r="AX1254" s="294"/>
      <c r="AY1254" s="294"/>
      <c r="AZ1254" s="294"/>
      <c r="BA1254" s="294"/>
      <c r="BB1254" s="294"/>
      <c r="BC1254" s="294"/>
      <c r="BD1254" s="294"/>
      <c r="BE1254" s="294"/>
      <c r="BF1254" s="383">
        <f t="shared" si="107"/>
        <v>8.6599999999999996E-2</v>
      </c>
      <c r="BG1254" s="383"/>
      <c r="BH1254" s="375"/>
      <c r="BI1254" s="376"/>
      <c r="BJ1254" s="409"/>
    </row>
    <row r="1255" spans="1:62" ht="17" thickBot="1" x14ac:dyDescent="0.25">
      <c r="A1255" s="156">
        <v>1256</v>
      </c>
      <c r="B1255" s="247">
        <v>1</v>
      </c>
      <c r="C1255" s="253" t="s">
        <v>24</v>
      </c>
      <c r="D1255" s="253" t="s">
        <v>283</v>
      </c>
      <c r="E1255" s="253" t="s">
        <v>13</v>
      </c>
      <c r="F1255" s="253" t="s">
        <v>3404</v>
      </c>
      <c r="G1255" s="253" t="s">
        <v>20</v>
      </c>
      <c r="H1255" s="253" t="s">
        <v>55</v>
      </c>
      <c r="I1255" s="161">
        <v>2012</v>
      </c>
      <c r="J1255" s="259" t="s">
        <v>3405</v>
      </c>
      <c r="K1255" s="259" t="s">
        <v>3406</v>
      </c>
      <c r="L1255" s="259" t="s">
        <v>19</v>
      </c>
      <c r="M1255" s="455" t="s">
        <v>4320</v>
      </c>
      <c r="N1255" s="267" t="s">
        <v>20</v>
      </c>
      <c r="O1255" s="267" t="s">
        <v>15</v>
      </c>
      <c r="P1255" s="267" t="s">
        <v>15</v>
      </c>
      <c r="Q1255" s="267" t="s">
        <v>15</v>
      </c>
      <c r="R1255" s="267" t="s">
        <v>15</v>
      </c>
      <c r="S1255" s="267" t="s">
        <v>15</v>
      </c>
      <c r="T1255" s="267" t="s">
        <v>15</v>
      </c>
      <c r="U1255" s="267" t="s">
        <v>15</v>
      </c>
      <c r="V1255" s="267" t="s">
        <v>15</v>
      </c>
      <c r="W1255" s="267" t="s">
        <v>15</v>
      </c>
      <c r="X1255" s="267" t="s">
        <v>15</v>
      </c>
      <c r="Y1255" s="267" t="s">
        <v>15</v>
      </c>
      <c r="Z1255" s="267" t="s">
        <v>15</v>
      </c>
      <c r="AA1255" s="186"/>
      <c r="AB1255" s="267"/>
      <c r="AC1255" s="267" t="s">
        <v>20</v>
      </c>
      <c r="AD1255" s="274" t="s">
        <v>3407</v>
      </c>
      <c r="AE1255" s="274" t="s">
        <v>485</v>
      </c>
      <c r="AF1255" s="144" t="str">
        <f t="shared" si="102"/>
        <v/>
      </c>
      <c r="AG1255" s="144" t="str">
        <f t="shared" si="106"/>
        <v/>
      </c>
      <c r="AH1255" s="146">
        <f t="shared" si="103"/>
        <v>3.7069999999999999</v>
      </c>
      <c r="AI1255" s="146" t="str">
        <f t="shared" si="104"/>
        <v/>
      </c>
      <c r="AJ1255" s="303"/>
      <c r="AK1255" s="303"/>
      <c r="AL1255" s="303"/>
      <c r="AM1255" s="303"/>
      <c r="AN1255" s="303"/>
      <c r="AO1255" s="303"/>
      <c r="AP1255" s="303"/>
      <c r="AQ1255" s="303"/>
      <c r="AR1255" s="318"/>
      <c r="AS1255" s="227"/>
      <c r="AT1255" s="233"/>
      <c r="AU1255" s="318"/>
      <c r="AV1255" s="343"/>
      <c r="AW1255" s="357">
        <v>3.7069999999999999</v>
      </c>
      <c r="AX1255" s="294"/>
      <c r="AY1255" s="294"/>
      <c r="AZ1255" s="294"/>
      <c r="BA1255" s="294"/>
      <c r="BB1255" s="294"/>
      <c r="BC1255" s="294"/>
      <c r="BD1255" s="294"/>
      <c r="BE1255" s="294"/>
      <c r="BF1255" s="383">
        <f t="shared" si="107"/>
        <v>3.7069999999999999</v>
      </c>
      <c r="BG1255" s="383"/>
      <c r="BH1255" s="375"/>
      <c r="BI1255" s="376"/>
      <c r="BJ1255" s="409"/>
    </row>
    <row r="1256" spans="1:62" ht="17" thickBot="1" x14ac:dyDescent="0.25">
      <c r="A1256" s="156">
        <v>1257</v>
      </c>
      <c r="B1256" s="247">
        <v>1</v>
      </c>
      <c r="C1256" s="253" t="s">
        <v>24</v>
      </c>
      <c r="D1256" s="253" t="s">
        <v>283</v>
      </c>
      <c r="E1256" s="253" t="s">
        <v>13</v>
      </c>
      <c r="F1256" s="253" t="s">
        <v>3408</v>
      </c>
      <c r="G1256" s="253" t="s">
        <v>20</v>
      </c>
      <c r="H1256" s="253" t="s">
        <v>55</v>
      </c>
      <c r="I1256" s="161">
        <v>2012</v>
      </c>
      <c r="J1256" s="259" t="s">
        <v>3405</v>
      </c>
      <c r="K1256" s="259" t="s">
        <v>3406</v>
      </c>
      <c r="L1256" s="259" t="s">
        <v>19</v>
      </c>
      <c r="M1256" s="455" t="s">
        <v>4320</v>
      </c>
      <c r="N1256" s="267" t="s">
        <v>20</v>
      </c>
      <c r="O1256" s="267" t="s">
        <v>15</v>
      </c>
      <c r="P1256" s="267" t="s">
        <v>15</v>
      </c>
      <c r="Q1256" s="267" t="s">
        <v>15</v>
      </c>
      <c r="R1256" s="267" t="s">
        <v>15</v>
      </c>
      <c r="S1256" s="267" t="s">
        <v>15</v>
      </c>
      <c r="T1256" s="267" t="s">
        <v>15</v>
      </c>
      <c r="U1256" s="267" t="s">
        <v>15</v>
      </c>
      <c r="V1256" s="267" t="s">
        <v>15</v>
      </c>
      <c r="W1256" s="267" t="s">
        <v>15</v>
      </c>
      <c r="X1256" s="267" t="s">
        <v>15</v>
      </c>
      <c r="Y1256" s="267" t="s">
        <v>15</v>
      </c>
      <c r="Z1256" s="267" t="s">
        <v>15</v>
      </c>
      <c r="AA1256" s="186"/>
      <c r="AB1256" s="267"/>
      <c r="AC1256" s="267" t="s">
        <v>20</v>
      </c>
      <c r="AD1256" s="274" t="s">
        <v>3407</v>
      </c>
      <c r="AE1256" s="274" t="s">
        <v>485</v>
      </c>
      <c r="AF1256" s="144" t="str">
        <f t="shared" si="102"/>
        <v/>
      </c>
      <c r="AG1256" s="144" t="str">
        <f t="shared" si="106"/>
        <v/>
      </c>
      <c r="AH1256" s="146">
        <f t="shared" si="103"/>
        <v>3.4460000000000002</v>
      </c>
      <c r="AI1256" s="146" t="str">
        <f t="shared" si="104"/>
        <v/>
      </c>
      <c r="AJ1256" s="303"/>
      <c r="AK1256" s="303"/>
      <c r="AL1256" s="303"/>
      <c r="AM1256" s="303"/>
      <c r="AN1256" s="303"/>
      <c r="AO1256" s="303"/>
      <c r="AP1256" s="303"/>
      <c r="AQ1256" s="303"/>
      <c r="AR1256" s="318"/>
      <c r="AS1256" s="227"/>
      <c r="AT1256" s="233"/>
      <c r="AU1256" s="318"/>
      <c r="AV1256" s="343"/>
      <c r="AW1256" s="357">
        <v>3.4460000000000002</v>
      </c>
      <c r="AX1256" s="294"/>
      <c r="AY1256" s="294"/>
      <c r="AZ1256" s="294"/>
      <c r="BA1256" s="294"/>
      <c r="BB1256" s="294"/>
      <c r="BC1256" s="294"/>
      <c r="BD1256" s="294"/>
      <c r="BE1256" s="294"/>
      <c r="BF1256" s="383">
        <f t="shared" si="107"/>
        <v>3.4460000000000002</v>
      </c>
      <c r="BG1256" s="383"/>
      <c r="BH1256" s="375"/>
      <c r="BI1256" s="376"/>
      <c r="BJ1256" s="409"/>
    </row>
    <row r="1257" spans="1:62" ht="17" thickBot="1" x14ac:dyDescent="0.25">
      <c r="A1257" s="156">
        <v>1258</v>
      </c>
      <c r="B1257" s="247">
        <v>1</v>
      </c>
      <c r="C1257" s="253" t="s">
        <v>24</v>
      </c>
      <c r="D1257" s="253" t="s">
        <v>283</v>
      </c>
      <c r="E1257" s="253" t="s">
        <v>13</v>
      </c>
      <c r="F1257" s="253" t="s">
        <v>3409</v>
      </c>
      <c r="G1257" s="253" t="s">
        <v>20</v>
      </c>
      <c r="H1257" s="253" t="s">
        <v>55</v>
      </c>
      <c r="I1257" s="161">
        <v>2012</v>
      </c>
      <c r="J1257" s="259" t="s">
        <v>3405</v>
      </c>
      <c r="K1257" s="259" t="s">
        <v>3406</v>
      </c>
      <c r="L1257" s="259" t="s">
        <v>19</v>
      </c>
      <c r="M1257" s="455" t="s">
        <v>4320</v>
      </c>
      <c r="N1257" s="267" t="s">
        <v>20</v>
      </c>
      <c r="O1257" s="267" t="s">
        <v>15</v>
      </c>
      <c r="P1257" s="267" t="s">
        <v>15</v>
      </c>
      <c r="Q1257" s="267" t="s">
        <v>15</v>
      </c>
      <c r="R1257" s="267" t="s">
        <v>15</v>
      </c>
      <c r="S1257" s="267" t="s">
        <v>15</v>
      </c>
      <c r="T1257" s="267" t="s">
        <v>15</v>
      </c>
      <c r="U1257" s="267" t="s">
        <v>15</v>
      </c>
      <c r="V1257" s="267" t="s">
        <v>15</v>
      </c>
      <c r="W1257" s="267" t="s">
        <v>15</v>
      </c>
      <c r="X1257" s="267" t="s">
        <v>15</v>
      </c>
      <c r="Y1257" s="267" t="s">
        <v>15</v>
      </c>
      <c r="Z1257" s="267" t="s">
        <v>15</v>
      </c>
      <c r="AA1257" s="186"/>
      <c r="AB1257" s="267"/>
      <c r="AC1257" s="267" t="s">
        <v>20</v>
      </c>
      <c r="AD1257" s="274" t="s">
        <v>3407</v>
      </c>
      <c r="AE1257" s="274" t="s">
        <v>485</v>
      </c>
      <c r="AF1257" s="144" t="str">
        <f t="shared" si="102"/>
        <v/>
      </c>
      <c r="AG1257" s="144" t="str">
        <f t="shared" si="106"/>
        <v/>
      </c>
      <c r="AH1257" s="146">
        <f t="shared" si="103"/>
        <v>9.9809999999999999</v>
      </c>
      <c r="AI1257" s="146" t="str">
        <f t="shared" si="104"/>
        <v/>
      </c>
      <c r="AJ1257" s="303"/>
      <c r="AK1257" s="303"/>
      <c r="AL1257" s="303"/>
      <c r="AM1257" s="303"/>
      <c r="AN1257" s="303"/>
      <c r="AO1257" s="303"/>
      <c r="AP1257" s="303"/>
      <c r="AQ1257" s="303"/>
      <c r="AR1257" s="318"/>
      <c r="AS1257" s="227"/>
      <c r="AT1257" s="233"/>
      <c r="AU1257" s="318"/>
      <c r="AV1257" s="343"/>
      <c r="AW1257" s="357">
        <v>9.9809999999999999</v>
      </c>
      <c r="AX1257" s="294"/>
      <c r="AY1257" s="294"/>
      <c r="AZ1257" s="294"/>
      <c r="BA1257" s="294"/>
      <c r="BB1257" s="294"/>
      <c r="BC1257" s="294"/>
      <c r="BD1257" s="294"/>
      <c r="BE1257" s="294"/>
      <c r="BF1257" s="383">
        <f t="shared" si="107"/>
        <v>9.9809999999999999</v>
      </c>
      <c r="BG1257" s="383"/>
      <c r="BH1257" s="375"/>
      <c r="BI1257" s="376"/>
      <c r="BJ1257" s="409"/>
    </row>
    <row r="1258" spans="1:62" ht="17" thickBot="1" x14ac:dyDescent="0.25">
      <c r="A1258" s="156">
        <v>1259</v>
      </c>
      <c r="B1258" s="247">
        <v>1</v>
      </c>
      <c r="C1258" s="253" t="s">
        <v>24</v>
      </c>
      <c r="D1258" s="253" t="s">
        <v>283</v>
      </c>
      <c r="E1258" s="253" t="s">
        <v>13</v>
      </c>
      <c r="F1258" s="253" t="s">
        <v>3410</v>
      </c>
      <c r="G1258" s="253" t="s">
        <v>20</v>
      </c>
      <c r="H1258" s="253" t="s">
        <v>55</v>
      </c>
      <c r="I1258" s="161">
        <v>2012</v>
      </c>
      <c r="J1258" s="259" t="s">
        <v>3405</v>
      </c>
      <c r="K1258" s="259" t="s">
        <v>3406</v>
      </c>
      <c r="L1258" s="259" t="s">
        <v>19</v>
      </c>
      <c r="M1258" s="455" t="s">
        <v>4320</v>
      </c>
      <c r="N1258" s="267" t="s">
        <v>20</v>
      </c>
      <c r="O1258" s="267" t="s">
        <v>15</v>
      </c>
      <c r="P1258" s="267" t="s">
        <v>15</v>
      </c>
      <c r="Q1258" s="267" t="s">
        <v>15</v>
      </c>
      <c r="R1258" s="267" t="s">
        <v>15</v>
      </c>
      <c r="S1258" s="267" t="s">
        <v>15</v>
      </c>
      <c r="T1258" s="267" t="s">
        <v>15</v>
      </c>
      <c r="U1258" s="267" t="s">
        <v>15</v>
      </c>
      <c r="V1258" s="267" t="s">
        <v>15</v>
      </c>
      <c r="W1258" s="267" t="s">
        <v>15</v>
      </c>
      <c r="X1258" s="267" t="s">
        <v>15</v>
      </c>
      <c r="Y1258" s="267" t="s">
        <v>15</v>
      </c>
      <c r="Z1258" s="267" t="s">
        <v>15</v>
      </c>
      <c r="AA1258" s="186"/>
      <c r="AB1258" s="267"/>
      <c r="AC1258" s="267" t="s">
        <v>20</v>
      </c>
      <c r="AD1258" s="274" t="s">
        <v>3407</v>
      </c>
      <c r="AE1258" s="274" t="s">
        <v>485</v>
      </c>
      <c r="AF1258" s="144" t="str">
        <f t="shared" si="102"/>
        <v/>
      </c>
      <c r="AG1258" s="144" t="str">
        <f t="shared" si="106"/>
        <v/>
      </c>
      <c r="AH1258" s="146">
        <f t="shared" si="103"/>
        <v>10.657</v>
      </c>
      <c r="AI1258" s="146" t="str">
        <f t="shared" si="104"/>
        <v/>
      </c>
      <c r="AJ1258" s="303"/>
      <c r="AK1258" s="303"/>
      <c r="AL1258" s="303"/>
      <c r="AM1258" s="303"/>
      <c r="AN1258" s="303"/>
      <c r="AO1258" s="303"/>
      <c r="AP1258" s="303"/>
      <c r="AQ1258" s="303"/>
      <c r="AR1258" s="318"/>
      <c r="AS1258" s="227"/>
      <c r="AT1258" s="233"/>
      <c r="AU1258" s="318"/>
      <c r="AV1258" s="343"/>
      <c r="AW1258" s="357">
        <v>10.657</v>
      </c>
      <c r="AX1258" s="294"/>
      <c r="AY1258" s="294"/>
      <c r="AZ1258" s="294"/>
      <c r="BA1258" s="294"/>
      <c r="BB1258" s="294"/>
      <c r="BC1258" s="294"/>
      <c r="BD1258" s="294"/>
      <c r="BE1258" s="294"/>
      <c r="BF1258" s="383">
        <f t="shared" si="107"/>
        <v>10.657</v>
      </c>
      <c r="BG1258" s="383"/>
      <c r="BH1258" s="375"/>
      <c r="BI1258" s="376"/>
      <c r="BJ1258" s="409"/>
    </row>
    <row r="1259" spans="1:62" ht="17" thickBot="1" x14ac:dyDescent="0.25">
      <c r="A1259" s="156">
        <v>1260</v>
      </c>
      <c r="B1259" s="247">
        <v>1</v>
      </c>
      <c r="C1259" s="148" t="s">
        <v>596</v>
      </c>
      <c r="D1259" s="253" t="s">
        <v>2020</v>
      </c>
      <c r="E1259" s="253" t="s">
        <v>13</v>
      </c>
      <c r="F1259" s="253" t="s">
        <v>3411</v>
      </c>
      <c r="G1259" s="253" t="s">
        <v>15</v>
      </c>
      <c r="H1259" s="253" t="s">
        <v>386</v>
      </c>
      <c r="I1259" s="161">
        <v>2012</v>
      </c>
      <c r="J1259" s="259" t="s">
        <v>3412</v>
      </c>
      <c r="K1259" s="259" t="s">
        <v>3413</v>
      </c>
      <c r="L1259" s="259" t="s">
        <v>19</v>
      </c>
      <c r="M1259" s="455" t="s">
        <v>4321</v>
      </c>
      <c r="N1259" s="267" t="s">
        <v>20</v>
      </c>
      <c r="O1259" s="267" t="s">
        <v>15</v>
      </c>
      <c r="P1259" s="267" t="s">
        <v>15</v>
      </c>
      <c r="Q1259" s="267" t="s">
        <v>15</v>
      </c>
      <c r="R1259" s="267" t="s">
        <v>20</v>
      </c>
      <c r="S1259" s="267" t="s">
        <v>15</v>
      </c>
      <c r="T1259" s="267" t="s">
        <v>20</v>
      </c>
      <c r="U1259" s="267" t="s">
        <v>15</v>
      </c>
      <c r="V1259" s="267" t="s">
        <v>15</v>
      </c>
      <c r="W1259" s="267" t="s">
        <v>15</v>
      </c>
      <c r="X1259" s="267" t="s">
        <v>15</v>
      </c>
      <c r="Y1259" s="267" t="s">
        <v>15</v>
      </c>
      <c r="Z1259" s="267" t="s">
        <v>15</v>
      </c>
      <c r="AA1259" s="186"/>
      <c r="AB1259" s="267"/>
      <c r="AC1259" s="267" t="s">
        <v>20</v>
      </c>
      <c r="AD1259" s="274" t="s">
        <v>3414</v>
      </c>
      <c r="AE1259" s="274" t="s">
        <v>628</v>
      </c>
      <c r="AF1259" s="144" t="str">
        <f t="shared" si="102"/>
        <v/>
      </c>
      <c r="AG1259" s="144" t="str">
        <f t="shared" si="106"/>
        <v/>
      </c>
      <c r="AH1259" s="146">
        <f t="shared" si="103"/>
        <v>0.5</v>
      </c>
      <c r="AI1259" s="146" t="str">
        <f t="shared" si="104"/>
        <v/>
      </c>
      <c r="AJ1259" s="303"/>
      <c r="AK1259" s="303"/>
      <c r="AL1259" s="303"/>
      <c r="AM1259" s="303"/>
      <c r="AN1259" s="303"/>
      <c r="AO1259" s="303"/>
      <c r="AP1259" s="303"/>
      <c r="AQ1259" s="303"/>
      <c r="AR1259" s="318"/>
      <c r="AS1259" s="227"/>
      <c r="AT1259" s="233"/>
      <c r="AU1259" s="318"/>
      <c r="AV1259" s="343"/>
      <c r="AW1259" s="357">
        <v>0.5</v>
      </c>
      <c r="AX1259" s="294"/>
      <c r="AY1259" s="294"/>
      <c r="AZ1259" s="294">
        <v>0.55000000000000004</v>
      </c>
      <c r="BA1259" s="294"/>
      <c r="BB1259" s="294">
        <v>0.45</v>
      </c>
      <c r="BC1259" s="294"/>
      <c r="BD1259" s="294"/>
      <c r="BE1259" s="294"/>
      <c r="BF1259" s="383">
        <f t="shared" si="107"/>
        <v>0.5</v>
      </c>
      <c r="BG1259" s="383">
        <f t="shared" ref="BG1259:BG1274" si="108">SUM(AW1259:BE1259)</f>
        <v>1.5</v>
      </c>
      <c r="BH1259" s="375"/>
      <c r="BI1259" s="377" t="s">
        <v>93</v>
      </c>
      <c r="BJ1259" s="409"/>
    </row>
    <row r="1260" spans="1:62" ht="17" thickBot="1" x14ac:dyDescent="0.25">
      <c r="A1260" s="156">
        <v>1261</v>
      </c>
      <c r="B1260" s="247">
        <v>1</v>
      </c>
      <c r="C1260" s="148" t="s">
        <v>596</v>
      </c>
      <c r="D1260" s="253" t="s">
        <v>1418</v>
      </c>
      <c r="E1260" s="253" t="s">
        <v>13</v>
      </c>
      <c r="F1260" s="253" t="s">
        <v>3415</v>
      </c>
      <c r="G1260" s="253" t="s">
        <v>15</v>
      </c>
      <c r="H1260" s="253" t="s">
        <v>386</v>
      </c>
      <c r="I1260" s="161">
        <v>2012</v>
      </c>
      <c r="J1260" s="259" t="s">
        <v>3412</v>
      </c>
      <c r="K1260" s="259" t="s">
        <v>3413</v>
      </c>
      <c r="L1260" s="259" t="s">
        <v>19</v>
      </c>
      <c r="M1260" s="455" t="s">
        <v>4321</v>
      </c>
      <c r="N1260" s="267" t="s">
        <v>20</v>
      </c>
      <c r="O1260" s="267" t="s">
        <v>15</v>
      </c>
      <c r="P1260" s="267" t="s">
        <v>15</v>
      </c>
      <c r="Q1260" s="267" t="s">
        <v>15</v>
      </c>
      <c r="R1260" s="267" t="s">
        <v>20</v>
      </c>
      <c r="S1260" s="267" t="s">
        <v>15</v>
      </c>
      <c r="T1260" s="267" t="s">
        <v>20</v>
      </c>
      <c r="U1260" s="267" t="s">
        <v>15</v>
      </c>
      <c r="V1260" s="267" t="s">
        <v>15</v>
      </c>
      <c r="W1260" s="267" t="s">
        <v>15</v>
      </c>
      <c r="X1260" s="267" t="s">
        <v>15</v>
      </c>
      <c r="Y1260" s="267" t="s">
        <v>15</v>
      </c>
      <c r="Z1260" s="267" t="s">
        <v>15</v>
      </c>
      <c r="AA1260" s="186"/>
      <c r="AB1260" s="267"/>
      <c r="AC1260" s="267" t="s">
        <v>20</v>
      </c>
      <c r="AD1260" s="274" t="s">
        <v>3414</v>
      </c>
      <c r="AE1260" s="274" t="s">
        <v>628</v>
      </c>
      <c r="AF1260" s="144" t="str">
        <f t="shared" si="102"/>
        <v/>
      </c>
      <c r="AG1260" s="144" t="str">
        <f t="shared" si="106"/>
        <v/>
      </c>
      <c r="AH1260" s="146">
        <f t="shared" si="103"/>
        <v>0.25</v>
      </c>
      <c r="AI1260" s="146" t="str">
        <f t="shared" si="104"/>
        <v/>
      </c>
      <c r="AJ1260" s="303"/>
      <c r="AK1260" s="303"/>
      <c r="AL1260" s="303"/>
      <c r="AM1260" s="303"/>
      <c r="AN1260" s="303"/>
      <c r="AO1260" s="303"/>
      <c r="AP1260" s="303"/>
      <c r="AQ1260" s="303"/>
      <c r="AR1260" s="318"/>
      <c r="AS1260" s="227"/>
      <c r="AT1260" s="233"/>
      <c r="AU1260" s="318"/>
      <c r="AV1260" s="343"/>
      <c r="AW1260" s="357">
        <v>0.25</v>
      </c>
      <c r="AX1260" s="294"/>
      <c r="AY1260" s="294"/>
      <c r="AZ1260" s="294">
        <v>0.67500000000000004</v>
      </c>
      <c r="BA1260" s="294"/>
      <c r="BB1260" s="294">
        <v>0.25</v>
      </c>
      <c r="BC1260" s="294"/>
      <c r="BD1260" s="294"/>
      <c r="BE1260" s="294"/>
      <c r="BF1260" s="383">
        <f t="shared" si="107"/>
        <v>0.25</v>
      </c>
      <c r="BG1260" s="383">
        <f t="shared" si="108"/>
        <v>1.175</v>
      </c>
      <c r="BH1260" s="375"/>
      <c r="BI1260" s="377" t="s">
        <v>93</v>
      </c>
      <c r="BJ1260" s="409"/>
    </row>
    <row r="1261" spans="1:62" ht="17" thickBot="1" x14ac:dyDescent="0.25">
      <c r="A1261" s="156">
        <v>1262</v>
      </c>
      <c r="B1261" s="247">
        <v>1</v>
      </c>
      <c r="C1261" s="148" t="s">
        <v>596</v>
      </c>
      <c r="D1261" s="253" t="s">
        <v>3416</v>
      </c>
      <c r="E1261" s="253" t="s">
        <v>13</v>
      </c>
      <c r="F1261" s="253" t="s">
        <v>3417</v>
      </c>
      <c r="G1261" s="253" t="s">
        <v>15</v>
      </c>
      <c r="H1261" s="253" t="s">
        <v>386</v>
      </c>
      <c r="I1261" s="161">
        <v>2012</v>
      </c>
      <c r="J1261" s="259" t="s">
        <v>3412</v>
      </c>
      <c r="K1261" s="259" t="s">
        <v>3413</v>
      </c>
      <c r="L1261" s="259" t="s">
        <v>19</v>
      </c>
      <c r="M1261" s="455" t="s">
        <v>4321</v>
      </c>
      <c r="N1261" s="267" t="s">
        <v>20</v>
      </c>
      <c r="O1261" s="267" t="s">
        <v>15</v>
      </c>
      <c r="P1261" s="267" t="s">
        <v>15</v>
      </c>
      <c r="Q1261" s="267" t="s">
        <v>15</v>
      </c>
      <c r="R1261" s="267" t="s">
        <v>20</v>
      </c>
      <c r="S1261" s="267" t="s">
        <v>20</v>
      </c>
      <c r="T1261" s="267" t="s">
        <v>20</v>
      </c>
      <c r="U1261" s="267" t="s">
        <v>15</v>
      </c>
      <c r="V1261" s="267" t="s">
        <v>15</v>
      </c>
      <c r="W1261" s="267" t="s">
        <v>15</v>
      </c>
      <c r="X1261" s="267" t="s">
        <v>15</v>
      </c>
      <c r="Y1261" s="267" t="s">
        <v>15</v>
      </c>
      <c r="Z1261" s="267" t="s">
        <v>15</v>
      </c>
      <c r="AA1261" s="186"/>
      <c r="AB1261" s="267"/>
      <c r="AC1261" s="267" t="s">
        <v>20</v>
      </c>
      <c r="AD1261" s="274" t="s">
        <v>3414</v>
      </c>
      <c r="AE1261" s="274" t="s">
        <v>628</v>
      </c>
      <c r="AF1261" s="144" t="str">
        <f t="shared" ref="AF1261:AF1324" si="109">IF(AS1261&lt;&gt;0,AS1261,"")</f>
        <v/>
      </c>
      <c r="AG1261" s="144" t="str">
        <f t="shared" si="106"/>
        <v/>
      </c>
      <c r="AH1261" s="146">
        <f t="shared" si="103"/>
        <v>0.67500000000000004</v>
      </c>
      <c r="AI1261" s="146" t="str">
        <f t="shared" si="104"/>
        <v/>
      </c>
      <c r="AJ1261" s="303"/>
      <c r="AK1261" s="303"/>
      <c r="AL1261" s="303"/>
      <c r="AM1261" s="303"/>
      <c r="AN1261" s="303"/>
      <c r="AO1261" s="303"/>
      <c r="AP1261" s="303"/>
      <c r="AQ1261" s="303"/>
      <c r="AR1261" s="318"/>
      <c r="AS1261" s="227"/>
      <c r="AT1261" s="233"/>
      <c r="AU1261" s="318"/>
      <c r="AV1261" s="343"/>
      <c r="AW1261" s="357">
        <v>0.67500000000000004</v>
      </c>
      <c r="AX1261" s="294"/>
      <c r="AY1261" s="294"/>
      <c r="AZ1261" s="294">
        <v>0.57999999999999996</v>
      </c>
      <c r="BA1261" s="294">
        <v>0.18</v>
      </c>
      <c r="BB1261" s="294">
        <v>0.81</v>
      </c>
      <c r="BC1261" s="294"/>
      <c r="BD1261" s="294"/>
      <c r="BE1261" s="294"/>
      <c r="BF1261" s="383">
        <f t="shared" si="107"/>
        <v>0.67500000000000004</v>
      </c>
      <c r="BG1261" s="383">
        <f t="shared" si="108"/>
        <v>2.2450000000000001</v>
      </c>
      <c r="BH1261" s="375"/>
      <c r="BI1261" s="377" t="s">
        <v>93</v>
      </c>
      <c r="BJ1261" s="409"/>
    </row>
    <row r="1262" spans="1:62" ht="17" thickBot="1" x14ac:dyDescent="0.25">
      <c r="A1262" s="156">
        <v>1263</v>
      </c>
      <c r="B1262" s="247">
        <v>1</v>
      </c>
      <c r="C1262" s="148" t="s">
        <v>162</v>
      </c>
      <c r="D1262" s="253" t="s">
        <v>2206</v>
      </c>
      <c r="E1262" s="253" t="s">
        <v>13</v>
      </c>
      <c r="F1262" s="253" t="s">
        <v>503</v>
      </c>
      <c r="G1262" s="253" t="s">
        <v>15</v>
      </c>
      <c r="H1262" s="253" t="s">
        <v>386</v>
      </c>
      <c r="I1262" s="161">
        <v>2012</v>
      </c>
      <c r="J1262" s="259" t="s">
        <v>3412</v>
      </c>
      <c r="K1262" s="259" t="s">
        <v>3413</v>
      </c>
      <c r="L1262" s="259" t="s">
        <v>19</v>
      </c>
      <c r="M1262" s="455" t="s">
        <v>4321</v>
      </c>
      <c r="N1262" s="267" t="s">
        <v>20</v>
      </c>
      <c r="O1262" s="267" t="s">
        <v>15</v>
      </c>
      <c r="P1262" s="267" t="s">
        <v>15</v>
      </c>
      <c r="Q1262" s="267" t="s">
        <v>15</v>
      </c>
      <c r="R1262" s="267" t="s">
        <v>20</v>
      </c>
      <c r="S1262" s="267" t="s">
        <v>20</v>
      </c>
      <c r="T1262" s="267" t="s">
        <v>20</v>
      </c>
      <c r="U1262" s="267" t="s">
        <v>15</v>
      </c>
      <c r="V1262" s="267" t="s">
        <v>15</v>
      </c>
      <c r="W1262" s="267" t="s">
        <v>15</v>
      </c>
      <c r="X1262" s="267" t="s">
        <v>15</v>
      </c>
      <c r="Y1262" s="267" t="s">
        <v>15</v>
      </c>
      <c r="Z1262" s="267" t="s">
        <v>15</v>
      </c>
      <c r="AA1262" s="186"/>
      <c r="AB1262" s="267"/>
      <c r="AC1262" s="267" t="s">
        <v>20</v>
      </c>
      <c r="AD1262" s="274" t="s">
        <v>3414</v>
      </c>
      <c r="AE1262" s="274" t="s">
        <v>628</v>
      </c>
      <c r="AF1262" s="144" t="str">
        <f t="shared" si="109"/>
        <v/>
      </c>
      <c r="AG1262" s="144" t="str">
        <f t="shared" si="106"/>
        <v/>
      </c>
      <c r="AH1262" s="146">
        <f t="shared" si="103"/>
        <v>0.21</v>
      </c>
      <c r="AI1262" s="146" t="str">
        <f t="shared" si="104"/>
        <v/>
      </c>
      <c r="AJ1262" s="303"/>
      <c r="AK1262" s="303"/>
      <c r="AL1262" s="303"/>
      <c r="AM1262" s="303"/>
      <c r="AN1262" s="303"/>
      <c r="AO1262" s="303"/>
      <c r="AP1262" s="303"/>
      <c r="AQ1262" s="303"/>
      <c r="AR1262" s="318"/>
      <c r="AS1262" s="227"/>
      <c r="AT1262" s="233"/>
      <c r="AU1262" s="318"/>
      <c r="AV1262" s="343"/>
      <c r="AW1262" s="357">
        <v>0.21</v>
      </c>
      <c r="AX1262" s="294"/>
      <c r="AY1262" s="294"/>
      <c r="AZ1262" s="294">
        <v>0.03</v>
      </c>
      <c r="BA1262" s="294">
        <v>0.08</v>
      </c>
      <c r="BB1262" s="294">
        <v>0.08</v>
      </c>
      <c r="BC1262" s="294"/>
      <c r="BD1262" s="294"/>
      <c r="BE1262" s="294"/>
      <c r="BF1262" s="383">
        <f t="shared" si="107"/>
        <v>0.21</v>
      </c>
      <c r="BG1262" s="383">
        <f t="shared" si="108"/>
        <v>0.4</v>
      </c>
      <c r="BH1262" s="375"/>
      <c r="BI1262" s="377" t="s">
        <v>93</v>
      </c>
      <c r="BJ1262" s="409"/>
    </row>
    <row r="1263" spans="1:62" ht="17" thickBot="1" x14ac:dyDescent="0.25">
      <c r="A1263" s="156">
        <v>1264</v>
      </c>
      <c r="B1263" s="247">
        <v>1</v>
      </c>
      <c r="C1263" s="148" t="s">
        <v>162</v>
      </c>
      <c r="D1263" s="253" t="s">
        <v>2311</v>
      </c>
      <c r="E1263" s="253" t="s">
        <v>13</v>
      </c>
      <c r="F1263" s="253" t="s">
        <v>163</v>
      </c>
      <c r="G1263" s="253" t="s">
        <v>15</v>
      </c>
      <c r="H1263" s="253" t="s">
        <v>386</v>
      </c>
      <c r="I1263" s="161">
        <v>2012</v>
      </c>
      <c r="J1263" s="259" t="s">
        <v>3412</v>
      </c>
      <c r="K1263" s="259" t="s">
        <v>3413</v>
      </c>
      <c r="L1263" s="259" t="s">
        <v>19</v>
      </c>
      <c r="M1263" s="455" t="s">
        <v>4321</v>
      </c>
      <c r="N1263" s="267" t="s">
        <v>20</v>
      </c>
      <c r="O1263" s="267" t="s">
        <v>15</v>
      </c>
      <c r="P1263" s="267" t="s">
        <v>15</v>
      </c>
      <c r="Q1263" s="267" t="s">
        <v>15</v>
      </c>
      <c r="R1263" s="267" t="s">
        <v>20</v>
      </c>
      <c r="S1263" s="267" t="s">
        <v>20</v>
      </c>
      <c r="T1263" s="267" t="s">
        <v>20</v>
      </c>
      <c r="U1263" s="267" t="s">
        <v>15</v>
      </c>
      <c r="V1263" s="267" t="s">
        <v>15</v>
      </c>
      <c r="W1263" s="267" t="s">
        <v>15</v>
      </c>
      <c r="X1263" s="267" t="s">
        <v>15</v>
      </c>
      <c r="Y1263" s="267" t="s">
        <v>15</v>
      </c>
      <c r="Z1263" s="267" t="s">
        <v>15</v>
      </c>
      <c r="AA1263" s="186"/>
      <c r="AB1263" s="267"/>
      <c r="AC1263" s="267" t="s">
        <v>20</v>
      </c>
      <c r="AD1263" s="274" t="s">
        <v>3414</v>
      </c>
      <c r="AE1263" s="274" t="s">
        <v>628</v>
      </c>
      <c r="AF1263" s="144" t="str">
        <f t="shared" si="109"/>
        <v/>
      </c>
      <c r="AG1263" s="144" t="str">
        <f t="shared" si="106"/>
        <v/>
      </c>
      <c r="AH1263" s="146">
        <f t="shared" si="103"/>
        <v>5.59</v>
      </c>
      <c r="AI1263" s="146" t="str">
        <f t="shared" si="104"/>
        <v/>
      </c>
      <c r="AJ1263" s="303"/>
      <c r="AK1263" s="303"/>
      <c r="AL1263" s="303"/>
      <c r="AM1263" s="303"/>
      <c r="AN1263" s="303"/>
      <c r="AO1263" s="303"/>
      <c r="AP1263" s="303"/>
      <c r="AQ1263" s="303"/>
      <c r="AR1263" s="318"/>
      <c r="AS1263" s="227"/>
      <c r="AT1263" s="233"/>
      <c r="AU1263" s="318"/>
      <c r="AV1263" s="343"/>
      <c r="AW1263" s="357">
        <v>5.59</v>
      </c>
      <c r="AX1263" s="294"/>
      <c r="AY1263" s="294"/>
      <c r="AZ1263" s="294">
        <v>0.22</v>
      </c>
      <c r="BA1263" s="294">
        <v>0.125</v>
      </c>
      <c r="BB1263" s="294">
        <v>0.22</v>
      </c>
      <c r="BC1263" s="294"/>
      <c r="BD1263" s="294"/>
      <c r="BE1263" s="294"/>
      <c r="BF1263" s="383">
        <f t="shared" si="107"/>
        <v>5.59</v>
      </c>
      <c r="BG1263" s="383">
        <f t="shared" si="108"/>
        <v>6.1549999999999994</v>
      </c>
      <c r="BH1263" s="375"/>
      <c r="BI1263" s="377" t="s">
        <v>93</v>
      </c>
      <c r="BJ1263" s="409"/>
    </row>
    <row r="1264" spans="1:62" ht="17" thickBot="1" x14ac:dyDescent="0.25">
      <c r="A1264" s="156">
        <v>1265</v>
      </c>
      <c r="B1264" s="247">
        <v>1</v>
      </c>
      <c r="C1264" s="148" t="s">
        <v>236</v>
      </c>
      <c r="D1264" s="253" t="s">
        <v>1739</v>
      </c>
      <c r="E1264" s="253" t="s">
        <v>13</v>
      </c>
      <c r="F1264" s="253" t="s">
        <v>688</v>
      </c>
      <c r="G1264" s="253" t="s">
        <v>15</v>
      </c>
      <c r="H1264" s="253" t="s">
        <v>386</v>
      </c>
      <c r="I1264" s="161">
        <v>2012</v>
      </c>
      <c r="J1264" s="259" t="s">
        <v>3412</v>
      </c>
      <c r="K1264" s="259" t="s">
        <v>3413</v>
      </c>
      <c r="L1264" s="259" t="s">
        <v>19</v>
      </c>
      <c r="M1264" s="455" t="s">
        <v>4321</v>
      </c>
      <c r="N1264" s="267" t="s">
        <v>20</v>
      </c>
      <c r="O1264" s="267" t="s">
        <v>15</v>
      </c>
      <c r="P1264" s="267" t="s">
        <v>15</v>
      </c>
      <c r="Q1264" s="267" t="s">
        <v>15</v>
      </c>
      <c r="R1264" s="267" t="s">
        <v>20</v>
      </c>
      <c r="S1264" s="267" t="s">
        <v>20</v>
      </c>
      <c r="T1264" s="267" t="s">
        <v>20</v>
      </c>
      <c r="U1264" s="267" t="s">
        <v>15</v>
      </c>
      <c r="V1264" s="267" t="s">
        <v>15</v>
      </c>
      <c r="W1264" s="267" t="s">
        <v>15</v>
      </c>
      <c r="X1264" s="267" t="s">
        <v>15</v>
      </c>
      <c r="Y1264" s="267" t="s">
        <v>15</v>
      </c>
      <c r="Z1264" s="267" t="s">
        <v>15</v>
      </c>
      <c r="AA1264" s="186"/>
      <c r="AB1264" s="267"/>
      <c r="AC1264" s="267" t="s">
        <v>20</v>
      </c>
      <c r="AD1264" s="274" t="s">
        <v>3414</v>
      </c>
      <c r="AE1264" s="274" t="s">
        <v>628</v>
      </c>
      <c r="AF1264" s="144" t="str">
        <f t="shared" si="109"/>
        <v/>
      </c>
      <c r="AG1264" s="144" t="str">
        <f t="shared" si="106"/>
        <v/>
      </c>
      <c r="AH1264" s="146">
        <f t="shared" si="103"/>
        <v>0.23</v>
      </c>
      <c r="AI1264" s="146" t="str">
        <f t="shared" si="104"/>
        <v/>
      </c>
      <c r="AJ1264" s="303"/>
      <c r="AK1264" s="303"/>
      <c r="AL1264" s="303"/>
      <c r="AM1264" s="303"/>
      <c r="AN1264" s="303"/>
      <c r="AO1264" s="303"/>
      <c r="AP1264" s="303"/>
      <c r="AQ1264" s="303"/>
      <c r="AR1264" s="318"/>
      <c r="AS1264" s="227"/>
      <c r="AT1264" s="233"/>
      <c r="AU1264" s="318"/>
      <c r="AV1264" s="343"/>
      <c r="AW1264" s="357">
        <v>0.23</v>
      </c>
      <c r="AX1264" s="294"/>
      <c r="AY1264" s="294"/>
      <c r="AZ1264" s="294">
        <v>0.02</v>
      </c>
      <c r="BA1264" s="294">
        <v>0.13500000000000001</v>
      </c>
      <c r="BB1264" s="294">
        <v>0.09</v>
      </c>
      <c r="BC1264" s="294"/>
      <c r="BD1264" s="294"/>
      <c r="BE1264" s="294"/>
      <c r="BF1264" s="383">
        <f t="shared" si="107"/>
        <v>0.23</v>
      </c>
      <c r="BG1264" s="383">
        <f t="shared" si="108"/>
        <v>0.47499999999999998</v>
      </c>
      <c r="BH1264" s="375"/>
      <c r="BI1264" s="377" t="s">
        <v>93</v>
      </c>
      <c r="BJ1264" s="409"/>
    </row>
    <row r="1265" spans="1:62" ht="17" thickBot="1" x14ac:dyDescent="0.25">
      <c r="A1265" s="156">
        <v>1266</v>
      </c>
      <c r="B1265" s="247">
        <v>1</v>
      </c>
      <c r="C1265" s="148" t="s">
        <v>236</v>
      </c>
      <c r="D1265" s="253" t="s">
        <v>1769</v>
      </c>
      <c r="E1265" s="253" t="s">
        <v>13</v>
      </c>
      <c r="F1265" s="253" t="s">
        <v>237</v>
      </c>
      <c r="G1265" s="253" t="s">
        <v>15</v>
      </c>
      <c r="H1265" s="253" t="s">
        <v>386</v>
      </c>
      <c r="I1265" s="161">
        <v>2012</v>
      </c>
      <c r="J1265" s="259" t="s">
        <v>3412</v>
      </c>
      <c r="K1265" s="259" t="s">
        <v>3413</v>
      </c>
      <c r="L1265" s="259" t="s">
        <v>19</v>
      </c>
      <c r="M1265" s="455" t="s">
        <v>4321</v>
      </c>
      <c r="N1265" s="267" t="s">
        <v>20</v>
      </c>
      <c r="O1265" s="267" t="s">
        <v>15</v>
      </c>
      <c r="P1265" s="267" t="s">
        <v>15</v>
      </c>
      <c r="Q1265" s="267" t="s">
        <v>15</v>
      </c>
      <c r="R1265" s="267" t="s">
        <v>20</v>
      </c>
      <c r="S1265" s="267" t="s">
        <v>20</v>
      </c>
      <c r="T1265" s="267" t="s">
        <v>20</v>
      </c>
      <c r="U1265" s="267" t="s">
        <v>15</v>
      </c>
      <c r="V1265" s="267" t="s">
        <v>15</v>
      </c>
      <c r="W1265" s="267" t="s">
        <v>15</v>
      </c>
      <c r="X1265" s="267" t="s">
        <v>15</v>
      </c>
      <c r="Y1265" s="267" t="s">
        <v>15</v>
      </c>
      <c r="Z1265" s="267" t="s">
        <v>15</v>
      </c>
      <c r="AA1265" s="186"/>
      <c r="AB1265" s="267"/>
      <c r="AC1265" s="267" t="s">
        <v>20</v>
      </c>
      <c r="AD1265" s="274" t="s">
        <v>3414</v>
      </c>
      <c r="AE1265" s="274" t="s">
        <v>628</v>
      </c>
      <c r="AF1265" s="144" t="str">
        <f t="shared" si="109"/>
        <v/>
      </c>
      <c r="AG1265" s="144" t="str">
        <f t="shared" si="106"/>
        <v/>
      </c>
      <c r="AH1265" s="146">
        <f t="shared" si="103"/>
        <v>0.31</v>
      </c>
      <c r="AI1265" s="146" t="str">
        <f t="shared" si="104"/>
        <v/>
      </c>
      <c r="AJ1265" s="303"/>
      <c r="AK1265" s="303"/>
      <c r="AL1265" s="303"/>
      <c r="AM1265" s="303"/>
      <c r="AN1265" s="303"/>
      <c r="AO1265" s="303"/>
      <c r="AP1265" s="303"/>
      <c r="AQ1265" s="303"/>
      <c r="AR1265" s="318"/>
      <c r="AS1265" s="227"/>
      <c r="AT1265" s="233"/>
      <c r="AU1265" s="318"/>
      <c r="AV1265" s="343"/>
      <c r="AW1265" s="357">
        <v>0.31</v>
      </c>
      <c r="AX1265" s="294"/>
      <c r="AY1265" s="294"/>
      <c r="AZ1265" s="294"/>
      <c r="BA1265" s="294">
        <v>0.09</v>
      </c>
      <c r="BB1265" s="294">
        <v>0.09</v>
      </c>
      <c r="BC1265" s="294"/>
      <c r="BD1265" s="294"/>
      <c r="BE1265" s="294"/>
      <c r="BF1265" s="383">
        <f t="shared" si="107"/>
        <v>0.31</v>
      </c>
      <c r="BG1265" s="383">
        <f t="shared" si="108"/>
        <v>0.49</v>
      </c>
      <c r="BH1265" s="375"/>
      <c r="BI1265" s="377" t="s">
        <v>93</v>
      </c>
      <c r="BJ1265" s="409"/>
    </row>
    <row r="1266" spans="1:62" ht="17" thickBot="1" x14ac:dyDescent="0.25">
      <c r="A1266" s="156">
        <v>1267</v>
      </c>
      <c r="B1266" s="247">
        <v>1</v>
      </c>
      <c r="C1266" s="148" t="s">
        <v>236</v>
      </c>
      <c r="D1266" s="253" t="s">
        <v>843</v>
      </c>
      <c r="E1266" s="253" t="s">
        <v>13</v>
      </c>
      <c r="F1266" s="253" t="s">
        <v>751</v>
      </c>
      <c r="G1266" s="253" t="s">
        <v>15</v>
      </c>
      <c r="H1266" s="253" t="s">
        <v>386</v>
      </c>
      <c r="I1266" s="161">
        <v>2012</v>
      </c>
      <c r="J1266" s="259" t="s">
        <v>3412</v>
      </c>
      <c r="K1266" s="259" t="s">
        <v>3413</v>
      </c>
      <c r="L1266" s="259" t="s">
        <v>19</v>
      </c>
      <c r="M1266" s="455" t="s">
        <v>4321</v>
      </c>
      <c r="N1266" s="267" t="s">
        <v>20</v>
      </c>
      <c r="O1266" s="267" t="s">
        <v>15</v>
      </c>
      <c r="P1266" s="267" t="s">
        <v>15</v>
      </c>
      <c r="Q1266" s="267" t="s">
        <v>15</v>
      </c>
      <c r="R1266" s="267" t="s">
        <v>20</v>
      </c>
      <c r="S1266" s="267" t="s">
        <v>20</v>
      </c>
      <c r="T1266" s="267" t="s">
        <v>20</v>
      </c>
      <c r="U1266" s="267" t="s">
        <v>15</v>
      </c>
      <c r="V1266" s="267" t="s">
        <v>15</v>
      </c>
      <c r="W1266" s="267" t="s">
        <v>15</v>
      </c>
      <c r="X1266" s="267" t="s">
        <v>15</v>
      </c>
      <c r="Y1266" s="267" t="s">
        <v>15</v>
      </c>
      <c r="Z1266" s="267" t="s">
        <v>15</v>
      </c>
      <c r="AA1266" s="186"/>
      <c r="AB1266" s="267"/>
      <c r="AC1266" s="267" t="s">
        <v>20</v>
      </c>
      <c r="AD1266" s="274" t="s">
        <v>3414</v>
      </c>
      <c r="AE1266" s="274" t="s">
        <v>628</v>
      </c>
      <c r="AF1266" s="144" t="str">
        <f t="shared" si="109"/>
        <v/>
      </c>
      <c r="AG1266" s="144" t="str">
        <f t="shared" si="106"/>
        <v/>
      </c>
      <c r="AH1266" s="146">
        <f t="shared" si="103"/>
        <v>0.11</v>
      </c>
      <c r="AI1266" s="146" t="str">
        <f t="shared" si="104"/>
        <v/>
      </c>
      <c r="AJ1266" s="303"/>
      <c r="AK1266" s="303"/>
      <c r="AL1266" s="303"/>
      <c r="AM1266" s="303"/>
      <c r="AN1266" s="303"/>
      <c r="AO1266" s="303"/>
      <c r="AP1266" s="303"/>
      <c r="AQ1266" s="303"/>
      <c r="AR1266" s="318"/>
      <c r="AS1266" s="227"/>
      <c r="AT1266" s="233"/>
      <c r="AU1266" s="318"/>
      <c r="AV1266" s="343"/>
      <c r="AW1266" s="357">
        <v>0.11</v>
      </c>
      <c r="AX1266" s="294"/>
      <c r="AY1266" s="294"/>
      <c r="AZ1266" s="294">
        <v>0.02</v>
      </c>
      <c r="BA1266" s="294">
        <v>0.17</v>
      </c>
      <c r="BB1266" s="294">
        <v>0.21</v>
      </c>
      <c r="BC1266" s="294"/>
      <c r="BD1266" s="294"/>
      <c r="BE1266" s="294"/>
      <c r="BF1266" s="383">
        <f t="shared" si="107"/>
        <v>0.11</v>
      </c>
      <c r="BG1266" s="383">
        <f t="shared" si="108"/>
        <v>0.51</v>
      </c>
      <c r="BH1266" s="375"/>
      <c r="BI1266" s="377" t="s">
        <v>93</v>
      </c>
      <c r="BJ1266" s="409"/>
    </row>
    <row r="1267" spans="1:62" ht="17" thickBot="1" x14ac:dyDescent="0.25">
      <c r="A1267" s="156">
        <v>1268</v>
      </c>
      <c r="B1267" s="247">
        <v>1</v>
      </c>
      <c r="C1267" s="148" t="s">
        <v>11</v>
      </c>
      <c r="D1267" s="253" t="s">
        <v>143</v>
      </c>
      <c r="E1267" s="253" t="s">
        <v>13</v>
      </c>
      <c r="F1267" s="253" t="s">
        <v>143</v>
      </c>
      <c r="G1267" s="253" t="s">
        <v>15</v>
      </c>
      <c r="H1267" s="253" t="s">
        <v>386</v>
      </c>
      <c r="I1267" s="161">
        <v>2012</v>
      </c>
      <c r="J1267" s="259" t="s">
        <v>3412</v>
      </c>
      <c r="K1267" s="259" t="s">
        <v>3413</v>
      </c>
      <c r="L1267" s="259" t="s">
        <v>19</v>
      </c>
      <c r="M1267" s="455" t="s">
        <v>4321</v>
      </c>
      <c r="N1267" s="267" t="s">
        <v>20</v>
      </c>
      <c r="O1267" s="267" t="s">
        <v>15</v>
      </c>
      <c r="P1267" s="267" t="s">
        <v>15</v>
      </c>
      <c r="Q1267" s="267" t="s">
        <v>15</v>
      </c>
      <c r="R1267" s="267" t="s">
        <v>20</v>
      </c>
      <c r="S1267" s="267" t="s">
        <v>20</v>
      </c>
      <c r="T1267" s="267" t="s">
        <v>20</v>
      </c>
      <c r="U1267" s="267" t="s">
        <v>15</v>
      </c>
      <c r="V1267" s="267" t="s">
        <v>15</v>
      </c>
      <c r="W1267" s="267" t="s">
        <v>15</v>
      </c>
      <c r="X1267" s="267" t="s">
        <v>15</v>
      </c>
      <c r="Y1267" s="267" t="s">
        <v>15</v>
      </c>
      <c r="Z1267" s="267" t="s">
        <v>15</v>
      </c>
      <c r="AA1267" s="186"/>
      <c r="AB1267" s="267"/>
      <c r="AC1267" s="267" t="s">
        <v>20</v>
      </c>
      <c r="AD1267" s="274" t="s">
        <v>3414</v>
      </c>
      <c r="AE1267" s="274" t="s">
        <v>628</v>
      </c>
      <c r="AF1267" s="144" t="str">
        <f t="shared" si="109"/>
        <v/>
      </c>
      <c r="AG1267" s="144" t="str">
        <f t="shared" si="106"/>
        <v/>
      </c>
      <c r="AH1267" s="146">
        <f t="shared" si="103"/>
        <v>2.2599999999999998</v>
      </c>
      <c r="AI1267" s="146">
        <f t="shared" si="104"/>
        <v>2.3499999999999996</v>
      </c>
      <c r="AJ1267" s="303"/>
      <c r="AK1267" s="303"/>
      <c r="AL1267" s="303"/>
      <c r="AM1267" s="303"/>
      <c r="AN1267" s="303"/>
      <c r="AO1267" s="303"/>
      <c r="AP1267" s="303"/>
      <c r="AQ1267" s="303"/>
      <c r="AR1267" s="318"/>
      <c r="AS1267" s="227"/>
      <c r="AT1267" s="233"/>
      <c r="AU1267" s="318"/>
      <c r="AV1267" s="343"/>
      <c r="AW1267" s="357">
        <v>2.2599999999999998</v>
      </c>
      <c r="AX1267" s="294"/>
      <c r="AY1267" s="294">
        <v>0.09</v>
      </c>
      <c r="AZ1267" s="294">
        <v>0.11</v>
      </c>
      <c r="BA1267" s="294">
        <v>0.19</v>
      </c>
      <c r="BB1267" s="294">
        <v>0.72</v>
      </c>
      <c r="BC1267" s="294"/>
      <c r="BD1267" s="294"/>
      <c r="BE1267" s="294"/>
      <c r="BF1267" s="383">
        <f t="shared" si="107"/>
        <v>2.2599999999999998</v>
      </c>
      <c r="BG1267" s="383">
        <f t="shared" si="108"/>
        <v>3.3699999999999992</v>
      </c>
      <c r="BH1267" s="375"/>
      <c r="BI1267" s="377" t="s">
        <v>93</v>
      </c>
      <c r="BJ1267" s="409"/>
    </row>
    <row r="1268" spans="1:62" ht="17" thickBot="1" x14ac:dyDescent="0.25">
      <c r="A1268" s="156">
        <v>1269</v>
      </c>
      <c r="B1268" s="247">
        <v>1</v>
      </c>
      <c r="C1268" s="148" t="s">
        <v>11</v>
      </c>
      <c r="D1268" s="253" t="s">
        <v>140</v>
      </c>
      <c r="E1268" s="253" t="s">
        <v>13</v>
      </c>
      <c r="F1268" s="253" t="s">
        <v>3418</v>
      </c>
      <c r="G1268" s="253" t="s">
        <v>15</v>
      </c>
      <c r="H1268" s="253" t="s">
        <v>386</v>
      </c>
      <c r="I1268" s="161">
        <v>2012</v>
      </c>
      <c r="J1268" s="259" t="s">
        <v>3412</v>
      </c>
      <c r="K1268" s="259" t="s">
        <v>3413</v>
      </c>
      <c r="L1268" s="259" t="s">
        <v>19</v>
      </c>
      <c r="M1268" s="455" t="s">
        <v>4321</v>
      </c>
      <c r="N1268" s="267" t="s">
        <v>20</v>
      </c>
      <c r="O1268" s="267" t="s">
        <v>15</v>
      </c>
      <c r="P1268" s="267" t="s">
        <v>15</v>
      </c>
      <c r="Q1268" s="267" t="s">
        <v>15</v>
      </c>
      <c r="R1268" s="267" t="s">
        <v>20</v>
      </c>
      <c r="S1268" s="267" t="s">
        <v>20</v>
      </c>
      <c r="T1268" s="267" t="s">
        <v>20</v>
      </c>
      <c r="U1268" s="267" t="s">
        <v>15</v>
      </c>
      <c r="V1268" s="267" t="s">
        <v>15</v>
      </c>
      <c r="W1268" s="267" t="s">
        <v>15</v>
      </c>
      <c r="X1268" s="267" t="s">
        <v>15</v>
      </c>
      <c r="Y1268" s="267" t="s">
        <v>15</v>
      </c>
      <c r="Z1268" s="267" t="s">
        <v>15</v>
      </c>
      <c r="AA1268" s="186"/>
      <c r="AB1268" s="267"/>
      <c r="AC1268" s="267" t="s">
        <v>20</v>
      </c>
      <c r="AD1268" s="274" t="s">
        <v>3414</v>
      </c>
      <c r="AE1268" s="274" t="s">
        <v>628</v>
      </c>
      <c r="AF1268" s="144" t="str">
        <f t="shared" si="109"/>
        <v/>
      </c>
      <c r="AG1268" s="144" t="str">
        <f t="shared" si="106"/>
        <v/>
      </c>
      <c r="AH1268" s="146">
        <f t="shared" si="103"/>
        <v>0.95</v>
      </c>
      <c r="AI1268" s="146">
        <f t="shared" si="104"/>
        <v>1.05</v>
      </c>
      <c r="AJ1268" s="303"/>
      <c r="AK1268" s="303"/>
      <c r="AL1268" s="303"/>
      <c r="AM1268" s="303"/>
      <c r="AN1268" s="303"/>
      <c r="AO1268" s="303"/>
      <c r="AP1268" s="303"/>
      <c r="AQ1268" s="303"/>
      <c r="AR1268" s="318"/>
      <c r="AS1268" s="228"/>
      <c r="AT1268" s="234"/>
      <c r="AU1268" s="318"/>
      <c r="AV1268" s="345"/>
      <c r="AW1268" s="357">
        <v>0.95</v>
      </c>
      <c r="AX1268" s="294"/>
      <c r="AY1268" s="294">
        <v>0.1</v>
      </c>
      <c r="AZ1268" s="294">
        <v>0.14000000000000001</v>
      </c>
      <c r="BA1268" s="294">
        <v>0.125</v>
      </c>
      <c r="BB1268" s="294">
        <v>0.67</v>
      </c>
      <c r="BC1268" s="294"/>
      <c r="BD1268" s="294"/>
      <c r="BE1268" s="294"/>
      <c r="BF1268" s="383">
        <f t="shared" si="107"/>
        <v>0.95</v>
      </c>
      <c r="BG1268" s="383">
        <f t="shared" si="108"/>
        <v>1.9849999999999999</v>
      </c>
      <c r="BH1268" s="375"/>
      <c r="BI1268" s="377" t="s">
        <v>93</v>
      </c>
      <c r="BJ1268" s="409"/>
    </row>
    <row r="1269" spans="1:62" ht="17" thickBot="1" x14ac:dyDescent="0.25">
      <c r="A1269" s="156">
        <v>1270</v>
      </c>
      <c r="B1269" s="247">
        <v>1</v>
      </c>
      <c r="C1269" s="148" t="s">
        <v>11</v>
      </c>
      <c r="D1269" s="253" t="s">
        <v>426</v>
      </c>
      <c r="E1269" s="253" t="s">
        <v>13</v>
      </c>
      <c r="F1269" s="253" t="s">
        <v>3384</v>
      </c>
      <c r="G1269" s="253" t="s">
        <v>15</v>
      </c>
      <c r="H1269" s="253" t="s">
        <v>386</v>
      </c>
      <c r="I1269" s="161">
        <v>2012</v>
      </c>
      <c r="J1269" s="259" t="s">
        <v>3412</v>
      </c>
      <c r="K1269" s="259" t="s">
        <v>3413</v>
      </c>
      <c r="L1269" s="259" t="s">
        <v>19</v>
      </c>
      <c r="M1269" s="455" t="s">
        <v>4321</v>
      </c>
      <c r="N1269" s="267" t="s">
        <v>20</v>
      </c>
      <c r="O1269" s="267" t="s">
        <v>15</v>
      </c>
      <c r="P1269" s="267" t="s">
        <v>15</v>
      </c>
      <c r="Q1269" s="267" t="s">
        <v>15</v>
      </c>
      <c r="R1269" s="267" t="s">
        <v>20</v>
      </c>
      <c r="S1269" s="267" t="s">
        <v>20</v>
      </c>
      <c r="T1269" s="267" t="s">
        <v>20</v>
      </c>
      <c r="U1269" s="267" t="s">
        <v>15</v>
      </c>
      <c r="V1269" s="267" t="s">
        <v>15</v>
      </c>
      <c r="W1269" s="267" t="s">
        <v>15</v>
      </c>
      <c r="X1269" s="267" t="s">
        <v>15</v>
      </c>
      <c r="Y1269" s="267" t="s">
        <v>15</v>
      </c>
      <c r="Z1269" s="267" t="s">
        <v>15</v>
      </c>
      <c r="AA1269" s="186"/>
      <c r="AB1269" s="267"/>
      <c r="AC1269" s="267" t="s">
        <v>20</v>
      </c>
      <c r="AD1269" s="274" t="s">
        <v>3414</v>
      </c>
      <c r="AE1269" s="274" t="s">
        <v>628</v>
      </c>
      <c r="AF1269" s="144" t="str">
        <f t="shared" si="109"/>
        <v/>
      </c>
      <c r="AG1269" s="144" t="str">
        <f t="shared" si="106"/>
        <v/>
      </c>
      <c r="AH1269" s="146">
        <f t="shared" si="103"/>
        <v>12.12</v>
      </c>
      <c r="AI1269" s="146">
        <f t="shared" si="104"/>
        <v>12.35</v>
      </c>
      <c r="AJ1269" s="303"/>
      <c r="AK1269" s="303"/>
      <c r="AL1269" s="303"/>
      <c r="AM1269" s="303"/>
      <c r="AN1269" s="303"/>
      <c r="AO1269" s="303"/>
      <c r="AP1269" s="303"/>
      <c r="AQ1269" s="303"/>
      <c r="AR1269" s="318"/>
      <c r="AS1269" s="228"/>
      <c r="AT1269" s="234"/>
      <c r="AU1269" s="318"/>
      <c r="AV1269" s="345"/>
      <c r="AW1269" s="357">
        <v>12.12</v>
      </c>
      <c r="AX1269" s="294"/>
      <c r="AY1269" s="294">
        <v>0.23</v>
      </c>
      <c r="AZ1269" s="294">
        <v>0.17</v>
      </c>
      <c r="BA1269" s="294">
        <v>0.15</v>
      </c>
      <c r="BB1269" s="294">
        <v>1.44</v>
      </c>
      <c r="BC1269" s="294"/>
      <c r="BD1269" s="294"/>
      <c r="BE1269" s="294"/>
      <c r="BF1269" s="383">
        <f t="shared" si="107"/>
        <v>12.12</v>
      </c>
      <c r="BG1269" s="383">
        <f t="shared" si="108"/>
        <v>14.11</v>
      </c>
      <c r="BH1269" s="375"/>
      <c r="BI1269" s="377" t="s">
        <v>93</v>
      </c>
      <c r="BJ1269" s="409"/>
    </row>
    <row r="1270" spans="1:62" ht="17" thickBot="1" x14ac:dyDescent="0.25">
      <c r="A1270" s="156">
        <v>1271</v>
      </c>
      <c r="B1270" s="247">
        <v>1</v>
      </c>
      <c r="C1270" s="148" t="s">
        <v>259</v>
      </c>
      <c r="D1270" s="253" t="s">
        <v>260</v>
      </c>
      <c r="E1270" s="253" t="s">
        <v>13</v>
      </c>
      <c r="F1270" s="253" t="s">
        <v>260</v>
      </c>
      <c r="G1270" s="253" t="s">
        <v>15</v>
      </c>
      <c r="H1270" s="253" t="s">
        <v>386</v>
      </c>
      <c r="I1270" s="161">
        <v>2012</v>
      </c>
      <c r="J1270" s="259" t="s">
        <v>3412</v>
      </c>
      <c r="K1270" s="259" t="s">
        <v>3413</v>
      </c>
      <c r="L1270" s="259" t="s">
        <v>19</v>
      </c>
      <c r="M1270" s="455" t="s">
        <v>4321</v>
      </c>
      <c r="N1270" s="267" t="s">
        <v>20</v>
      </c>
      <c r="O1270" s="267" t="s">
        <v>15</v>
      </c>
      <c r="P1270" s="267" t="s">
        <v>15</v>
      </c>
      <c r="Q1270" s="267" t="s">
        <v>15</v>
      </c>
      <c r="R1270" s="267" t="s">
        <v>20</v>
      </c>
      <c r="S1270" s="267" t="s">
        <v>20</v>
      </c>
      <c r="T1270" s="267" t="s">
        <v>20</v>
      </c>
      <c r="U1270" s="267" t="s">
        <v>15</v>
      </c>
      <c r="V1270" s="267" t="s">
        <v>15</v>
      </c>
      <c r="W1270" s="267" t="s">
        <v>15</v>
      </c>
      <c r="X1270" s="267" t="s">
        <v>15</v>
      </c>
      <c r="Y1270" s="267" t="s">
        <v>15</v>
      </c>
      <c r="Z1270" s="267" t="s">
        <v>15</v>
      </c>
      <c r="AA1270" s="186"/>
      <c r="AB1270" s="267"/>
      <c r="AC1270" s="267" t="s">
        <v>20</v>
      </c>
      <c r="AD1270" s="274" t="s">
        <v>3414</v>
      </c>
      <c r="AE1270" s="274" t="s">
        <v>628</v>
      </c>
      <c r="AF1270" s="144" t="str">
        <f t="shared" si="109"/>
        <v/>
      </c>
      <c r="AG1270" s="144" t="str">
        <f t="shared" si="106"/>
        <v/>
      </c>
      <c r="AH1270" s="146">
        <f t="shared" si="103"/>
        <v>0.72</v>
      </c>
      <c r="AI1270" s="146">
        <f t="shared" si="104"/>
        <v>0.91999999999999993</v>
      </c>
      <c r="AJ1270" s="303"/>
      <c r="AK1270" s="303"/>
      <c r="AL1270" s="303"/>
      <c r="AM1270" s="303"/>
      <c r="AN1270" s="303"/>
      <c r="AO1270" s="303"/>
      <c r="AP1270" s="303"/>
      <c r="AQ1270" s="303"/>
      <c r="AR1270" s="318"/>
      <c r="AS1270" s="228"/>
      <c r="AT1270" s="234"/>
      <c r="AU1270" s="318"/>
      <c r="AV1270" s="345"/>
      <c r="AW1270" s="357">
        <v>0.72</v>
      </c>
      <c r="AX1270" s="294"/>
      <c r="AY1270" s="294">
        <v>0.2</v>
      </c>
      <c r="AZ1270" s="294">
        <v>0.03</v>
      </c>
      <c r="BA1270" s="294">
        <v>0.16</v>
      </c>
      <c r="BB1270" s="294">
        <v>0.14000000000000001</v>
      </c>
      <c r="BC1270" s="294"/>
      <c r="BD1270" s="294"/>
      <c r="BE1270" s="294"/>
      <c r="BF1270" s="383">
        <f t="shared" si="107"/>
        <v>0.72</v>
      </c>
      <c r="BG1270" s="383">
        <f t="shared" si="108"/>
        <v>1.25</v>
      </c>
      <c r="BH1270" s="375"/>
      <c r="BI1270" s="377" t="s">
        <v>93</v>
      </c>
      <c r="BJ1270" s="409"/>
    </row>
    <row r="1271" spans="1:62" ht="17" thickBot="1" x14ac:dyDescent="0.25">
      <c r="A1271" s="156">
        <v>1272</v>
      </c>
      <c r="B1271" s="247">
        <v>1</v>
      </c>
      <c r="C1271" s="148" t="s">
        <v>1110</v>
      </c>
      <c r="D1271" s="253" t="s">
        <v>3419</v>
      </c>
      <c r="E1271" s="253" t="s">
        <v>13</v>
      </c>
      <c r="F1271" s="253" t="s">
        <v>3419</v>
      </c>
      <c r="G1271" s="253" t="s">
        <v>15</v>
      </c>
      <c r="H1271" s="253" t="s">
        <v>386</v>
      </c>
      <c r="I1271" s="161">
        <v>2012</v>
      </c>
      <c r="J1271" s="259" t="s">
        <v>3412</v>
      </c>
      <c r="K1271" s="259" t="s">
        <v>3413</v>
      </c>
      <c r="L1271" s="259" t="s">
        <v>19</v>
      </c>
      <c r="M1271" s="455" t="s">
        <v>4321</v>
      </c>
      <c r="N1271" s="267" t="s">
        <v>20</v>
      </c>
      <c r="O1271" s="267" t="s">
        <v>15</v>
      </c>
      <c r="P1271" s="267" t="s">
        <v>15</v>
      </c>
      <c r="Q1271" s="267" t="s">
        <v>15</v>
      </c>
      <c r="R1271" s="267" t="s">
        <v>20</v>
      </c>
      <c r="S1271" s="267" t="s">
        <v>15</v>
      </c>
      <c r="T1271" s="267" t="s">
        <v>20</v>
      </c>
      <c r="U1271" s="267" t="s">
        <v>15</v>
      </c>
      <c r="V1271" s="267" t="s">
        <v>15</v>
      </c>
      <c r="W1271" s="267" t="s">
        <v>15</v>
      </c>
      <c r="X1271" s="267" t="s">
        <v>15</v>
      </c>
      <c r="Y1271" s="267" t="s">
        <v>15</v>
      </c>
      <c r="Z1271" s="267" t="s">
        <v>15</v>
      </c>
      <c r="AA1271" s="186"/>
      <c r="AB1271" s="267"/>
      <c r="AC1271" s="267" t="s">
        <v>20</v>
      </c>
      <c r="AD1271" s="274" t="s">
        <v>3414</v>
      </c>
      <c r="AE1271" s="274" t="s">
        <v>628</v>
      </c>
      <c r="AF1271" s="144" t="str">
        <f t="shared" si="109"/>
        <v/>
      </c>
      <c r="AG1271" s="144" t="str">
        <f t="shared" si="106"/>
        <v/>
      </c>
      <c r="AH1271" s="146">
        <f t="shared" si="103"/>
        <v>0.375</v>
      </c>
      <c r="AI1271" s="146" t="str">
        <f t="shared" si="104"/>
        <v/>
      </c>
      <c r="AJ1271" s="303"/>
      <c r="AK1271" s="303"/>
      <c r="AL1271" s="303"/>
      <c r="AM1271" s="303"/>
      <c r="AN1271" s="303"/>
      <c r="AO1271" s="303"/>
      <c r="AP1271" s="303"/>
      <c r="AQ1271" s="303"/>
      <c r="AR1271" s="318"/>
      <c r="AS1271" s="228"/>
      <c r="AT1271" s="234"/>
      <c r="AU1271" s="318"/>
      <c r="AV1271" s="345"/>
      <c r="AW1271" s="357">
        <v>0.375</v>
      </c>
      <c r="AX1271" s="294"/>
      <c r="AY1271" s="294"/>
      <c r="AZ1271" s="294">
        <v>0.09</v>
      </c>
      <c r="BA1271" s="294"/>
      <c r="BB1271" s="294">
        <v>0.2</v>
      </c>
      <c r="BC1271" s="294"/>
      <c r="BD1271" s="294"/>
      <c r="BE1271" s="294"/>
      <c r="BF1271" s="383">
        <f t="shared" si="107"/>
        <v>0.375</v>
      </c>
      <c r="BG1271" s="383">
        <f t="shared" si="108"/>
        <v>0.66500000000000004</v>
      </c>
      <c r="BH1271" s="375"/>
      <c r="BI1271" s="377" t="s">
        <v>93</v>
      </c>
      <c r="BJ1271" s="409"/>
    </row>
    <row r="1272" spans="1:62" ht="17" thickBot="1" x14ac:dyDescent="0.25">
      <c r="A1272" s="156">
        <v>1273</v>
      </c>
      <c r="B1272" s="247">
        <v>1</v>
      </c>
      <c r="C1272" s="148" t="s">
        <v>259</v>
      </c>
      <c r="D1272" s="253" t="s">
        <v>2239</v>
      </c>
      <c r="E1272" s="253" t="s">
        <v>13</v>
      </c>
      <c r="F1272" s="253" t="s">
        <v>1228</v>
      </c>
      <c r="G1272" s="253" t="s">
        <v>15</v>
      </c>
      <c r="H1272" s="253" t="s">
        <v>386</v>
      </c>
      <c r="I1272" s="161">
        <v>2012</v>
      </c>
      <c r="J1272" s="259" t="s">
        <v>3412</v>
      </c>
      <c r="K1272" s="259" t="s">
        <v>3413</v>
      </c>
      <c r="L1272" s="259" t="s">
        <v>19</v>
      </c>
      <c r="M1272" s="455" t="s">
        <v>4321</v>
      </c>
      <c r="N1272" s="267" t="s">
        <v>20</v>
      </c>
      <c r="O1272" s="267" t="s">
        <v>15</v>
      </c>
      <c r="P1272" s="267" t="s">
        <v>15</v>
      </c>
      <c r="Q1272" s="267" t="s">
        <v>15</v>
      </c>
      <c r="R1272" s="267" t="s">
        <v>20</v>
      </c>
      <c r="S1272" s="267" t="s">
        <v>20</v>
      </c>
      <c r="T1272" s="267" t="s">
        <v>20</v>
      </c>
      <c r="U1272" s="267" t="s">
        <v>15</v>
      </c>
      <c r="V1272" s="267" t="s">
        <v>15</v>
      </c>
      <c r="W1272" s="267" t="s">
        <v>15</v>
      </c>
      <c r="X1272" s="267" t="s">
        <v>15</v>
      </c>
      <c r="Y1272" s="267" t="s">
        <v>15</v>
      </c>
      <c r="Z1272" s="267" t="s">
        <v>15</v>
      </c>
      <c r="AA1272" s="186"/>
      <c r="AB1272" s="267"/>
      <c r="AC1272" s="267" t="s">
        <v>20</v>
      </c>
      <c r="AD1272" s="274" t="s">
        <v>3414</v>
      </c>
      <c r="AE1272" s="268"/>
      <c r="AF1272" s="144" t="str">
        <f t="shared" si="109"/>
        <v/>
      </c>
      <c r="AG1272" s="144" t="str">
        <f t="shared" si="106"/>
        <v/>
      </c>
      <c r="AH1272" s="146">
        <f t="shared" si="103"/>
        <v>4.58</v>
      </c>
      <c r="AI1272" s="146">
        <f t="shared" si="104"/>
        <v>4.76</v>
      </c>
      <c r="AJ1272" s="303"/>
      <c r="AK1272" s="303"/>
      <c r="AL1272" s="303"/>
      <c r="AM1272" s="303"/>
      <c r="AN1272" s="303"/>
      <c r="AO1272" s="303"/>
      <c r="AP1272" s="303"/>
      <c r="AQ1272" s="303"/>
      <c r="AR1272" s="318"/>
      <c r="AS1272" s="228"/>
      <c r="AT1272" s="234"/>
      <c r="AU1272" s="318"/>
      <c r="AV1272" s="345"/>
      <c r="AW1272" s="357">
        <v>4.58</v>
      </c>
      <c r="AX1272" s="294"/>
      <c r="AY1272" s="294">
        <v>0.18</v>
      </c>
      <c r="AZ1272" s="294">
        <v>0.375</v>
      </c>
      <c r="BA1272" s="294">
        <v>1.23</v>
      </c>
      <c r="BB1272" s="294">
        <v>0.25</v>
      </c>
      <c r="BC1272" s="294"/>
      <c r="BD1272" s="294"/>
      <c r="BE1272" s="294"/>
      <c r="BF1272" s="383">
        <f t="shared" si="107"/>
        <v>4.58</v>
      </c>
      <c r="BG1272" s="383">
        <f t="shared" si="108"/>
        <v>6.6150000000000002</v>
      </c>
      <c r="BH1272" s="375"/>
      <c r="BI1272" s="377"/>
      <c r="BJ1272" s="409"/>
    </row>
    <row r="1273" spans="1:62" ht="17" thickBot="1" x14ac:dyDescent="0.25">
      <c r="A1273" s="156">
        <v>1274</v>
      </c>
      <c r="B1273" s="247">
        <v>1</v>
      </c>
      <c r="C1273" s="148" t="s">
        <v>39</v>
      </c>
      <c r="D1273" s="253" t="s">
        <v>40</v>
      </c>
      <c r="E1273" s="253" t="s">
        <v>13</v>
      </c>
      <c r="F1273" s="253" t="s">
        <v>39</v>
      </c>
      <c r="G1273" s="253" t="s">
        <v>15</v>
      </c>
      <c r="H1273" s="253" t="s">
        <v>386</v>
      </c>
      <c r="I1273" s="161">
        <v>2012</v>
      </c>
      <c r="J1273" s="259" t="s">
        <v>3412</v>
      </c>
      <c r="K1273" s="259" t="s">
        <v>3413</v>
      </c>
      <c r="L1273" s="259" t="s">
        <v>19</v>
      </c>
      <c r="M1273" s="455" t="s">
        <v>4321</v>
      </c>
      <c r="N1273" s="267" t="s">
        <v>20</v>
      </c>
      <c r="O1273" s="267" t="s">
        <v>15</v>
      </c>
      <c r="P1273" s="267" t="s">
        <v>15</v>
      </c>
      <c r="Q1273" s="267" t="s">
        <v>15</v>
      </c>
      <c r="R1273" s="267" t="s">
        <v>20</v>
      </c>
      <c r="S1273" s="267" t="s">
        <v>20</v>
      </c>
      <c r="T1273" s="267" t="s">
        <v>20</v>
      </c>
      <c r="U1273" s="267" t="s">
        <v>15</v>
      </c>
      <c r="V1273" s="267" t="s">
        <v>15</v>
      </c>
      <c r="W1273" s="267" t="s">
        <v>15</v>
      </c>
      <c r="X1273" s="267" t="s">
        <v>15</v>
      </c>
      <c r="Y1273" s="267" t="s">
        <v>15</v>
      </c>
      <c r="Z1273" s="267" t="s">
        <v>15</v>
      </c>
      <c r="AA1273" s="186"/>
      <c r="AB1273" s="267"/>
      <c r="AC1273" s="267" t="s">
        <v>20</v>
      </c>
      <c r="AD1273" s="274" t="s">
        <v>3414</v>
      </c>
      <c r="AE1273" s="268"/>
      <c r="AF1273" s="144" t="str">
        <f t="shared" si="109"/>
        <v/>
      </c>
      <c r="AG1273" s="144" t="str">
        <f t="shared" si="106"/>
        <v/>
      </c>
      <c r="AH1273" s="146">
        <f t="shared" si="103"/>
        <v>4.25</v>
      </c>
      <c r="AI1273" s="146" t="str">
        <f t="shared" si="104"/>
        <v/>
      </c>
      <c r="AJ1273" s="303"/>
      <c r="AK1273" s="303"/>
      <c r="AL1273" s="303"/>
      <c r="AM1273" s="303"/>
      <c r="AN1273" s="303"/>
      <c r="AO1273" s="303"/>
      <c r="AP1273" s="303"/>
      <c r="AQ1273" s="303"/>
      <c r="AR1273" s="318"/>
      <c r="AS1273" s="228"/>
      <c r="AT1273" s="234"/>
      <c r="AU1273" s="318"/>
      <c r="AV1273" s="345"/>
      <c r="AW1273" s="357">
        <v>4.25</v>
      </c>
      <c r="AX1273" s="294"/>
      <c r="AY1273" s="294"/>
      <c r="AZ1273" s="294">
        <v>0.23</v>
      </c>
      <c r="BA1273" s="294">
        <v>0.04</v>
      </c>
      <c r="BB1273" s="294">
        <v>0.21</v>
      </c>
      <c r="BC1273" s="294"/>
      <c r="BD1273" s="294"/>
      <c r="BE1273" s="294"/>
      <c r="BF1273" s="383">
        <f t="shared" si="107"/>
        <v>4.25</v>
      </c>
      <c r="BG1273" s="383">
        <f t="shared" si="108"/>
        <v>4.7300000000000004</v>
      </c>
      <c r="BH1273" s="375"/>
      <c r="BI1273" s="376"/>
      <c r="BJ1273" s="409"/>
    </row>
    <row r="1274" spans="1:62" ht="17" thickBot="1" x14ac:dyDescent="0.25">
      <c r="A1274" s="156">
        <v>1275</v>
      </c>
      <c r="B1274" s="247">
        <v>1</v>
      </c>
      <c r="C1274" s="148" t="s">
        <v>11</v>
      </c>
      <c r="D1274" s="253" t="s">
        <v>426</v>
      </c>
      <c r="E1274" s="253" t="s">
        <v>13</v>
      </c>
      <c r="F1274" s="253" t="s">
        <v>3420</v>
      </c>
      <c r="G1274" s="253" t="s">
        <v>15</v>
      </c>
      <c r="H1274" s="253" t="s">
        <v>3421</v>
      </c>
      <c r="I1274" s="161">
        <v>2011</v>
      </c>
      <c r="J1274" s="259" t="s">
        <v>3422</v>
      </c>
      <c r="K1274" s="259" t="s">
        <v>3423</v>
      </c>
      <c r="L1274" s="259" t="s">
        <v>9</v>
      </c>
      <c r="M1274" s="455" t="s">
        <v>4322</v>
      </c>
      <c r="N1274" s="267" t="s">
        <v>20</v>
      </c>
      <c r="O1274" s="267" t="s">
        <v>15</v>
      </c>
      <c r="P1274" s="267" t="s">
        <v>20</v>
      </c>
      <c r="Q1274" s="267" t="s">
        <v>20</v>
      </c>
      <c r="R1274" s="267" t="s">
        <v>15</v>
      </c>
      <c r="S1274" s="267" t="s">
        <v>20</v>
      </c>
      <c r="T1274" s="267" t="s">
        <v>15</v>
      </c>
      <c r="U1274" s="267" t="s">
        <v>15</v>
      </c>
      <c r="V1274" s="267" t="s">
        <v>15</v>
      </c>
      <c r="W1274" s="267" t="s">
        <v>15</v>
      </c>
      <c r="X1274" s="267" t="s">
        <v>15</v>
      </c>
      <c r="Y1274" s="267" t="s">
        <v>15</v>
      </c>
      <c r="Z1274" s="267" t="s">
        <v>15</v>
      </c>
      <c r="AA1274" s="186"/>
      <c r="AB1274" s="186"/>
      <c r="AC1274" s="267" t="s">
        <v>20</v>
      </c>
      <c r="AD1274" s="274" t="s">
        <v>3424</v>
      </c>
      <c r="AE1274" s="268"/>
      <c r="AF1274" s="144" t="str">
        <f t="shared" si="109"/>
        <v/>
      </c>
      <c r="AG1274" s="144" t="str">
        <f t="shared" si="106"/>
        <v/>
      </c>
      <c r="AH1274" s="146">
        <f t="shared" si="103"/>
        <v>1.2</v>
      </c>
      <c r="AI1274" s="146">
        <f t="shared" si="104"/>
        <v>8.3000000000000007</v>
      </c>
      <c r="AJ1274" s="303"/>
      <c r="AK1274" s="303"/>
      <c r="AL1274" s="303"/>
      <c r="AM1274" s="303"/>
      <c r="AN1274" s="303"/>
      <c r="AO1274" s="303"/>
      <c r="AP1274" s="303"/>
      <c r="AQ1274" s="303"/>
      <c r="AR1274" s="318"/>
      <c r="AS1274" s="228"/>
      <c r="AT1274" s="234"/>
      <c r="AU1274" s="318"/>
      <c r="AV1274" s="345"/>
      <c r="AW1274" s="357">
        <v>1.2</v>
      </c>
      <c r="AX1274" s="294">
        <v>3.0000000000000001E-3</v>
      </c>
      <c r="AY1274" s="294">
        <f>8.3-AX1274-AW1274</f>
        <v>7.0970000000000004</v>
      </c>
      <c r="AZ1274" s="294"/>
      <c r="BA1274" s="294">
        <v>7.6999999999999999E-2</v>
      </c>
      <c r="BB1274" s="294"/>
      <c r="BC1274" s="294"/>
      <c r="BD1274" s="294"/>
      <c r="BE1274" s="294"/>
      <c r="BF1274" s="383">
        <f t="shared" si="107"/>
        <v>1.2</v>
      </c>
      <c r="BG1274" s="383">
        <f t="shared" si="108"/>
        <v>8.3770000000000007</v>
      </c>
      <c r="BH1274" s="375"/>
      <c r="BI1274" s="376"/>
      <c r="BJ1274" s="409"/>
    </row>
    <row r="1275" spans="1:62" ht="17" thickBot="1" x14ac:dyDescent="0.25">
      <c r="A1275" s="156">
        <v>1276</v>
      </c>
      <c r="B1275" s="247">
        <v>1</v>
      </c>
      <c r="C1275" s="253" t="s">
        <v>11</v>
      </c>
      <c r="D1275" s="253" t="s">
        <v>12</v>
      </c>
      <c r="E1275" s="253" t="s">
        <v>13</v>
      </c>
      <c r="F1275" s="253" t="s">
        <v>3425</v>
      </c>
      <c r="G1275" s="253" t="s">
        <v>15</v>
      </c>
      <c r="H1275" s="253" t="s">
        <v>1406</v>
      </c>
      <c r="I1275" s="161">
        <v>2011</v>
      </c>
      <c r="J1275" s="259" t="s">
        <v>3426</v>
      </c>
      <c r="K1275" s="259" t="s">
        <v>3427</v>
      </c>
      <c r="L1275" s="259" t="s">
        <v>19</v>
      </c>
      <c r="M1275" s="455" t="s">
        <v>4323</v>
      </c>
      <c r="N1275" s="267" t="s">
        <v>20</v>
      </c>
      <c r="O1275" s="267" t="s">
        <v>15</v>
      </c>
      <c r="P1275" s="267" t="s">
        <v>15</v>
      </c>
      <c r="Q1275" s="267" t="s">
        <v>15</v>
      </c>
      <c r="R1275" s="267" t="s">
        <v>15</v>
      </c>
      <c r="S1275" s="267" t="s">
        <v>15</v>
      </c>
      <c r="T1275" s="267" t="s">
        <v>15</v>
      </c>
      <c r="U1275" s="267" t="s">
        <v>15</v>
      </c>
      <c r="V1275" s="267" t="s">
        <v>15</v>
      </c>
      <c r="W1275" s="267" t="s">
        <v>15</v>
      </c>
      <c r="X1275" s="267" t="s">
        <v>15</v>
      </c>
      <c r="Y1275" s="267" t="s">
        <v>15</v>
      </c>
      <c r="Z1275" s="267" t="s">
        <v>15</v>
      </c>
      <c r="AA1275" s="186"/>
      <c r="AB1275" s="186"/>
      <c r="AC1275" s="267" t="s">
        <v>15</v>
      </c>
      <c r="AD1275" s="274" t="s">
        <v>3428</v>
      </c>
      <c r="AE1275" s="268"/>
      <c r="AF1275" s="144" t="str">
        <f t="shared" si="109"/>
        <v/>
      </c>
      <c r="AG1275" s="144" t="str">
        <f t="shared" si="106"/>
        <v/>
      </c>
      <c r="AH1275" s="146">
        <f t="shared" si="103"/>
        <v>13.78</v>
      </c>
      <c r="AI1275" s="146" t="str">
        <f t="shared" si="104"/>
        <v/>
      </c>
      <c r="AJ1275" s="303"/>
      <c r="AK1275" s="303"/>
      <c r="AL1275" s="303"/>
      <c r="AM1275" s="303"/>
      <c r="AN1275" s="303"/>
      <c r="AO1275" s="303"/>
      <c r="AP1275" s="303"/>
      <c r="AQ1275" s="303"/>
      <c r="AR1275" s="318"/>
      <c r="AS1275" s="228"/>
      <c r="AT1275" s="234"/>
      <c r="AU1275" s="318"/>
      <c r="AV1275" s="345"/>
      <c r="AW1275" s="357">
        <f>13.78</f>
        <v>13.78</v>
      </c>
      <c r="AX1275" s="294"/>
      <c r="AY1275" s="294"/>
      <c r="AZ1275" s="294"/>
      <c r="BA1275" s="294"/>
      <c r="BB1275" s="294"/>
      <c r="BC1275" s="294"/>
      <c r="BD1275" s="294"/>
      <c r="BE1275" s="294"/>
      <c r="BF1275" s="383">
        <f t="shared" si="107"/>
        <v>13.78</v>
      </c>
      <c r="BG1275" s="383"/>
      <c r="BH1275" s="375"/>
      <c r="BI1275" s="376"/>
      <c r="BJ1275" s="409"/>
    </row>
    <row r="1276" spans="1:62" ht="17" thickBot="1" x14ac:dyDescent="0.25">
      <c r="A1276" s="156">
        <v>1277</v>
      </c>
      <c r="B1276" s="247">
        <v>1</v>
      </c>
      <c r="C1276" s="253" t="s">
        <v>11</v>
      </c>
      <c r="D1276" s="253" t="s">
        <v>12</v>
      </c>
      <c r="E1276" s="253" t="s">
        <v>13</v>
      </c>
      <c r="F1276" s="253" t="s">
        <v>3429</v>
      </c>
      <c r="G1276" s="253" t="s">
        <v>15</v>
      </c>
      <c r="H1276" s="253" t="s">
        <v>1406</v>
      </c>
      <c r="I1276" s="161">
        <v>2011</v>
      </c>
      <c r="J1276" s="259" t="s">
        <v>3426</v>
      </c>
      <c r="K1276" s="259" t="s">
        <v>3427</v>
      </c>
      <c r="L1276" s="259" t="s">
        <v>19</v>
      </c>
      <c r="M1276" s="455" t="s">
        <v>4323</v>
      </c>
      <c r="N1276" s="267" t="s">
        <v>20</v>
      </c>
      <c r="O1276" s="267" t="s">
        <v>15</v>
      </c>
      <c r="P1276" s="267" t="s">
        <v>15</v>
      </c>
      <c r="Q1276" s="267" t="s">
        <v>15</v>
      </c>
      <c r="R1276" s="267" t="s">
        <v>15</v>
      </c>
      <c r="S1276" s="267" t="s">
        <v>15</v>
      </c>
      <c r="T1276" s="267" t="s">
        <v>15</v>
      </c>
      <c r="U1276" s="267" t="s">
        <v>15</v>
      </c>
      <c r="V1276" s="267" t="s">
        <v>15</v>
      </c>
      <c r="W1276" s="267" t="s">
        <v>15</v>
      </c>
      <c r="X1276" s="267" t="s">
        <v>15</v>
      </c>
      <c r="Y1276" s="267" t="s">
        <v>15</v>
      </c>
      <c r="Z1276" s="267" t="s">
        <v>15</v>
      </c>
      <c r="AA1276" s="186"/>
      <c r="AB1276" s="186"/>
      <c r="AC1276" s="267" t="s">
        <v>15</v>
      </c>
      <c r="AD1276" s="274" t="s">
        <v>3428</v>
      </c>
      <c r="AE1276" s="268"/>
      <c r="AF1276" s="144" t="str">
        <f t="shared" si="109"/>
        <v/>
      </c>
      <c r="AG1276" s="144" t="str">
        <f t="shared" si="106"/>
        <v/>
      </c>
      <c r="AH1276" s="146">
        <f t="shared" si="103"/>
        <v>3.18</v>
      </c>
      <c r="AI1276" s="146" t="str">
        <f t="shared" si="104"/>
        <v/>
      </c>
      <c r="AJ1276" s="303"/>
      <c r="AK1276" s="303"/>
      <c r="AL1276" s="303"/>
      <c r="AM1276" s="303"/>
      <c r="AN1276" s="303"/>
      <c r="AO1276" s="303"/>
      <c r="AP1276" s="303"/>
      <c r="AQ1276" s="303"/>
      <c r="AR1276" s="318"/>
      <c r="AS1276" s="228"/>
      <c r="AT1276" s="234"/>
      <c r="AU1276" s="318"/>
      <c r="AV1276" s="345"/>
      <c r="AW1276" s="357">
        <v>3.18</v>
      </c>
      <c r="AX1276" s="294"/>
      <c r="AY1276" s="294"/>
      <c r="AZ1276" s="294"/>
      <c r="BA1276" s="294"/>
      <c r="BB1276" s="294"/>
      <c r="BC1276" s="294"/>
      <c r="BD1276" s="294"/>
      <c r="BE1276" s="294"/>
      <c r="BF1276" s="383">
        <f t="shared" si="107"/>
        <v>3.18</v>
      </c>
      <c r="BG1276" s="383"/>
      <c r="BH1276" s="375"/>
      <c r="BI1276" s="376"/>
      <c r="BJ1276" s="409"/>
    </row>
    <row r="1277" spans="1:62" ht="17" thickBot="1" x14ac:dyDescent="0.25">
      <c r="A1277" s="156">
        <v>1278</v>
      </c>
      <c r="B1277" s="247">
        <v>1</v>
      </c>
      <c r="C1277" s="148" t="s">
        <v>11</v>
      </c>
      <c r="D1277" s="148" t="s">
        <v>12</v>
      </c>
      <c r="E1277" s="148" t="s">
        <v>13</v>
      </c>
      <c r="F1277" s="148" t="s">
        <v>3430</v>
      </c>
      <c r="G1277" s="148" t="s">
        <v>15</v>
      </c>
      <c r="H1277" s="148" t="s">
        <v>700</v>
      </c>
      <c r="I1277" s="161">
        <v>2009</v>
      </c>
      <c r="J1277" s="161" t="s">
        <v>3431</v>
      </c>
      <c r="K1277" s="161" t="s">
        <v>3432</v>
      </c>
      <c r="L1277" s="161" t="s">
        <v>19</v>
      </c>
      <c r="M1277" s="455" t="s">
        <v>4324</v>
      </c>
      <c r="N1277" s="186" t="s">
        <v>20</v>
      </c>
      <c r="O1277" s="186" t="s">
        <v>15</v>
      </c>
      <c r="P1277" s="186" t="s">
        <v>15</v>
      </c>
      <c r="Q1277" s="186" t="s">
        <v>15</v>
      </c>
      <c r="R1277" s="186" t="s">
        <v>15</v>
      </c>
      <c r="S1277" s="186" t="s">
        <v>15</v>
      </c>
      <c r="T1277" s="186" t="s">
        <v>15</v>
      </c>
      <c r="U1277" s="186" t="s">
        <v>15</v>
      </c>
      <c r="V1277" s="186" t="s">
        <v>15</v>
      </c>
      <c r="W1277" s="186" t="s">
        <v>15</v>
      </c>
      <c r="X1277" s="186" t="s">
        <v>15</v>
      </c>
      <c r="Y1277" s="186" t="s">
        <v>15</v>
      </c>
      <c r="Z1277" s="186" t="s">
        <v>15</v>
      </c>
      <c r="AA1277" s="186"/>
      <c r="AB1277" s="186"/>
      <c r="AC1277" s="186" t="s">
        <v>15</v>
      </c>
      <c r="AD1277" s="268" t="s">
        <v>3433</v>
      </c>
      <c r="AE1277" s="268"/>
      <c r="AF1277" s="144">
        <f t="shared" si="109"/>
        <v>1.51</v>
      </c>
      <c r="AG1277" s="144" t="str">
        <f t="shared" si="106"/>
        <v/>
      </c>
      <c r="AH1277" s="146">
        <f t="shared" si="103"/>
        <v>0.93300000000000005</v>
      </c>
      <c r="AI1277" s="146" t="str">
        <f t="shared" si="104"/>
        <v/>
      </c>
      <c r="AJ1277" s="303">
        <v>1.51</v>
      </c>
      <c r="AK1277" s="303"/>
      <c r="AL1277" s="303"/>
      <c r="AM1277" s="303"/>
      <c r="AN1277" s="303"/>
      <c r="AO1277" s="303"/>
      <c r="AP1277" s="303"/>
      <c r="AQ1277" s="303"/>
      <c r="AR1277" s="318"/>
      <c r="AS1277" s="228">
        <f>AJ1277</f>
        <v>1.51</v>
      </c>
      <c r="AT1277" s="234"/>
      <c r="AU1277" s="318"/>
      <c r="AV1277" s="345"/>
      <c r="AW1277" s="357">
        <v>0.93300000000000005</v>
      </c>
      <c r="AX1277" s="294"/>
      <c r="AY1277" s="294"/>
      <c r="AZ1277" s="294"/>
      <c r="BA1277" s="294"/>
      <c r="BB1277" s="294"/>
      <c r="BC1277" s="294"/>
      <c r="BD1277" s="294"/>
      <c r="BE1277" s="294"/>
      <c r="BF1277" s="383">
        <f t="shared" si="107"/>
        <v>0.93300000000000005</v>
      </c>
      <c r="BG1277" s="383"/>
      <c r="BH1277" s="375"/>
      <c r="BI1277" s="376"/>
      <c r="BJ1277" s="409"/>
    </row>
    <row r="1278" spans="1:62" ht="17" thickBot="1" x14ac:dyDescent="0.25">
      <c r="A1278" s="156">
        <v>1279</v>
      </c>
      <c r="B1278" s="247">
        <v>1</v>
      </c>
      <c r="C1278" s="148" t="s">
        <v>11</v>
      </c>
      <c r="D1278" s="148" t="s">
        <v>12</v>
      </c>
      <c r="E1278" s="148" t="s">
        <v>13</v>
      </c>
      <c r="F1278" s="148" t="s">
        <v>3434</v>
      </c>
      <c r="G1278" s="148" t="s">
        <v>15</v>
      </c>
      <c r="H1278" s="148" t="s">
        <v>700</v>
      </c>
      <c r="I1278" s="161">
        <v>2009</v>
      </c>
      <c r="J1278" s="161" t="s">
        <v>3431</v>
      </c>
      <c r="K1278" s="161" t="s">
        <v>3432</v>
      </c>
      <c r="L1278" s="161" t="s">
        <v>19</v>
      </c>
      <c r="M1278" s="455" t="s">
        <v>4324</v>
      </c>
      <c r="N1278" s="186" t="s">
        <v>20</v>
      </c>
      <c r="O1278" s="186" t="s">
        <v>15</v>
      </c>
      <c r="P1278" s="186" t="s">
        <v>15</v>
      </c>
      <c r="Q1278" s="186" t="s">
        <v>15</v>
      </c>
      <c r="R1278" s="186" t="s">
        <v>15</v>
      </c>
      <c r="S1278" s="186" t="s">
        <v>15</v>
      </c>
      <c r="T1278" s="186" t="s">
        <v>15</v>
      </c>
      <c r="U1278" s="186" t="s">
        <v>15</v>
      </c>
      <c r="V1278" s="186" t="s">
        <v>15</v>
      </c>
      <c r="W1278" s="186" t="s">
        <v>15</v>
      </c>
      <c r="X1278" s="186" t="s">
        <v>15</v>
      </c>
      <c r="Y1278" s="186" t="s">
        <v>15</v>
      </c>
      <c r="Z1278" s="186" t="s">
        <v>15</v>
      </c>
      <c r="AA1278" s="186"/>
      <c r="AB1278" s="186"/>
      <c r="AC1278" s="186" t="s">
        <v>15</v>
      </c>
      <c r="AD1278" s="268" t="s">
        <v>3433</v>
      </c>
      <c r="AE1278" s="268"/>
      <c r="AF1278" s="144">
        <f t="shared" si="109"/>
        <v>0.55000000000000004</v>
      </c>
      <c r="AG1278" s="144" t="str">
        <f t="shared" si="106"/>
        <v/>
      </c>
      <c r="AH1278" s="146">
        <f t="shared" si="103"/>
        <v>0.64600000000000002</v>
      </c>
      <c r="AI1278" s="146" t="str">
        <f t="shared" si="104"/>
        <v/>
      </c>
      <c r="AJ1278" s="303">
        <v>0.55000000000000004</v>
      </c>
      <c r="AK1278" s="303"/>
      <c r="AL1278" s="303"/>
      <c r="AM1278" s="303"/>
      <c r="AN1278" s="303"/>
      <c r="AO1278" s="303"/>
      <c r="AP1278" s="303"/>
      <c r="AQ1278" s="303"/>
      <c r="AR1278" s="318"/>
      <c r="AS1278" s="228">
        <f>AJ1278</f>
        <v>0.55000000000000004</v>
      </c>
      <c r="AT1278" s="234"/>
      <c r="AU1278" s="318"/>
      <c r="AV1278" s="345"/>
      <c r="AW1278" s="357">
        <v>0.64600000000000002</v>
      </c>
      <c r="AX1278" s="294"/>
      <c r="AY1278" s="294"/>
      <c r="AZ1278" s="294"/>
      <c r="BA1278" s="294"/>
      <c r="BB1278" s="294"/>
      <c r="BC1278" s="294"/>
      <c r="BD1278" s="294"/>
      <c r="BE1278" s="294"/>
      <c r="BF1278" s="383">
        <f t="shared" si="107"/>
        <v>0.64600000000000002</v>
      </c>
      <c r="BG1278" s="383"/>
      <c r="BH1278" s="375"/>
      <c r="BI1278" s="376"/>
      <c r="BJ1278" s="409"/>
    </row>
    <row r="1279" spans="1:62" ht="17" thickBot="1" x14ac:dyDescent="0.25">
      <c r="A1279" s="156">
        <v>1280</v>
      </c>
      <c r="B1279" s="247">
        <v>1</v>
      </c>
      <c r="C1279" s="148" t="s">
        <v>11</v>
      </c>
      <c r="D1279" s="148" t="s">
        <v>12</v>
      </c>
      <c r="E1279" s="148" t="s">
        <v>13</v>
      </c>
      <c r="F1279" s="148" t="s">
        <v>3435</v>
      </c>
      <c r="G1279" s="148" t="s">
        <v>15</v>
      </c>
      <c r="H1279" s="148" t="s">
        <v>700</v>
      </c>
      <c r="I1279" s="161">
        <v>2009</v>
      </c>
      <c r="J1279" s="161" t="s">
        <v>3431</v>
      </c>
      <c r="K1279" s="161" t="s">
        <v>3432</v>
      </c>
      <c r="L1279" s="161" t="s">
        <v>19</v>
      </c>
      <c r="M1279" s="455" t="s">
        <v>4324</v>
      </c>
      <c r="N1279" s="186" t="s">
        <v>20</v>
      </c>
      <c r="O1279" s="186" t="s">
        <v>15</v>
      </c>
      <c r="P1279" s="186" t="s">
        <v>15</v>
      </c>
      <c r="Q1279" s="186" t="s">
        <v>15</v>
      </c>
      <c r="R1279" s="186" t="s">
        <v>15</v>
      </c>
      <c r="S1279" s="186" t="s">
        <v>15</v>
      </c>
      <c r="T1279" s="186" t="s">
        <v>15</v>
      </c>
      <c r="U1279" s="186" t="s">
        <v>15</v>
      </c>
      <c r="V1279" s="186" t="s">
        <v>15</v>
      </c>
      <c r="W1279" s="186" t="s">
        <v>15</v>
      </c>
      <c r="X1279" s="186" t="s">
        <v>15</v>
      </c>
      <c r="Y1279" s="186" t="s">
        <v>15</v>
      </c>
      <c r="Z1279" s="186" t="s">
        <v>15</v>
      </c>
      <c r="AA1279" s="186"/>
      <c r="AB1279" s="186"/>
      <c r="AC1279" s="186" t="s">
        <v>15</v>
      </c>
      <c r="AD1279" s="268" t="s">
        <v>3433</v>
      </c>
      <c r="AE1279" s="268"/>
      <c r="AF1279" s="144">
        <f t="shared" si="109"/>
        <v>1.1299999999999999</v>
      </c>
      <c r="AG1279" s="144" t="str">
        <f t="shared" si="106"/>
        <v/>
      </c>
      <c r="AH1279" s="146">
        <f t="shared" si="103"/>
        <v>0.76200000000000001</v>
      </c>
      <c r="AI1279" s="146" t="str">
        <f t="shared" si="104"/>
        <v/>
      </c>
      <c r="AJ1279" s="303">
        <v>1.1299999999999999</v>
      </c>
      <c r="AK1279" s="303"/>
      <c r="AL1279" s="303"/>
      <c r="AM1279" s="303"/>
      <c r="AN1279" s="303"/>
      <c r="AO1279" s="303"/>
      <c r="AP1279" s="303"/>
      <c r="AQ1279" s="303"/>
      <c r="AR1279" s="318"/>
      <c r="AS1279" s="228">
        <f>AJ1279</f>
        <v>1.1299999999999999</v>
      </c>
      <c r="AT1279" s="234"/>
      <c r="AU1279" s="318"/>
      <c r="AV1279" s="345"/>
      <c r="AW1279" s="357">
        <v>0.76200000000000001</v>
      </c>
      <c r="AX1279" s="294"/>
      <c r="AY1279" s="294"/>
      <c r="AZ1279" s="294"/>
      <c r="BA1279" s="294"/>
      <c r="BB1279" s="294"/>
      <c r="BC1279" s="294"/>
      <c r="BD1279" s="294"/>
      <c r="BE1279" s="294"/>
      <c r="BF1279" s="383">
        <f t="shared" si="107"/>
        <v>0.76200000000000001</v>
      </c>
      <c r="BG1279" s="383"/>
      <c r="BH1279" s="375"/>
      <c r="BI1279" s="376"/>
      <c r="BJ1279" s="409"/>
    </row>
    <row r="1280" spans="1:62" ht="17" thickBot="1" x14ac:dyDescent="0.25">
      <c r="A1280" s="156">
        <v>1281</v>
      </c>
      <c r="B1280" s="247">
        <v>1</v>
      </c>
      <c r="C1280" s="148" t="s">
        <v>11</v>
      </c>
      <c r="D1280" s="148" t="s">
        <v>12</v>
      </c>
      <c r="E1280" s="148" t="s">
        <v>13</v>
      </c>
      <c r="F1280" s="148" t="s">
        <v>3436</v>
      </c>
      <c r="G1280" s="148" t="s">
        <v>15</v>
      </c>
      <c r="H1280" s="148" t="s">
        <v>700</v>
      </c>
      <c r="I1280" s="161">
        <v>2009</v>
      </c>
      <c r="J1280" s="161" t="s">
        <v>3431</v>
      </c>
      <c r="K1280" s="161" t="s">
        <v>3432</v>
      </c>
      <c r="L1280" s="161" t="s">
        <v>19</v>
      </c>
      <c r="M1280" s="455" t="s">
        <v>4324</v>
      </c>
      <c r="N1280" s="186" t="s">
        <v>20</v>
      </c>
      <c r="O1280" s="186" t="s">
        <v>15</v>
      </c>
      <c r="P1280" s="186" t="s">
        <v>15</v>
      </c>
      <c r="Q1280" s="186" t="s">
        <v>15</v>
      </c>
      <c r="R1280" s="186" t="s">
        <v>15</v>
      </c>
      <c r="S1280" s="186" t="s">
        <v>15</v>
      </c>
      <c r="T1280" s="186" t="s">
        <v>15</v>
      </c>
      <c r="U1280" s="186" t="s">
        <v>15</v>
      </c>
      <c r="V1280" s="186" t="s">
        <v>15</v>
      </c>
      <c r="W1280" s="186" t="s">
        <v>15</v>
      </c>
      <c r="X1280" s="186" t="s">
        <v>15</v>
      </c>
      <c r="Y1280" s="186" t="s">
        <v>15</v>
      </c>
      <c r="Z1280" s="186" t="s">
        <v>15</v>
      </c>
      <c r="AA1280" s="186"/>
      <c r="AB1280" s="186"/>
      <c r="AC1280" s="186" t="s">
        <v>15</v>
      </c>
      <c r="AD1280" s="268" t="s">
        <v>3433</v>
      </c>
      <c r="AE1280" s="268"/>
      <c r="AF1280" s="144">
        <f t="shared" si="109"/>
        <v>1.55</v>
      </c>
      <c r="AG1280" s="144" t="str">
        <f t="shared" si="106"/>
        <v/>
      </c>
      <c r="AH1280" s="146">
        <f t="shared" si="103"/>
        <v>0.754</v>
      </c>
      <c r="AI1280" s="146" t="str">
        <f t="shared" si="104"/>
        <v/>
      </c>
      <c r="AJ1280" s="303">
        <v>1.55</v>
      </c>
      <c r="AK1280" s="303"/>
      <c r="AL1280" s="303"/>
      <c r="AM1280" s="303"/>
      <c r="AN1280" s="303"/>
      <c r="AO1280" s="303"/>
      <c r="AP1280" s="303"/>
      <c r="AQ1280" s="303"/>
      <c r="AR1280" s="318"/>
      <c r="AS1280" s="228">
        <f>AJ1280</f>
        <v>1.55</v>
      </c>
      <c r="AT1280" s="234"/>
      <c r="AU1280" s="318"/>
      <c r="AV1280" s="345"/>
      <c r="AW1280" s="357">
        <v>0.754</v>
      </c>
      <c r="AX1280" s="294"/>
      <c r="AY1280" s="294"/>
      <c r="AZ1280" s="294"/>
      <c r="BA1280" s="294"/>
      <c r="BB1280" s="294"/>
      <c r="BC1280" s="294"/>
      <c r="BD1280" s="294"/>
      <c r="BE1280" s="294"/>
      <c r="BF1280" s="383">
        <f t="shared" si="107"/>
        <v>0.754</v>
      </c>
      <c r="BG1280" s="383"/>
      <c r="BH1280" s="375"/>
      <c r="BI1280" s="376"/>
      <c r="BJ1280" s="409"/>
    </row>
    <row r="1281" spans="1:62" ht="17" thickBot="1" x14ac:dyDescent="0.25">
      <c r="A1281" s="156">
        <v>1282</v>
      </c>
      <c r="B1281" s="247">
        <v>1</v>
      </c>
      <c r="C1281" s="148" t="s">
        <v>162</v>
      </c>
      <c r="D1281" s="148" t="s">
        <v>2746</v>
      </c>
      <c r="E1281" s="148" t="s">
        <v>13</v>
      </c>
      <c r="F1281" s="148" t="s">
        <v>3438</v>
      </c>
      <c r="G1281" s="148" t="s">
        <v>122</v>
      </c>
      <c r="H1281" s="148" t="s">
        <v>258</v>
      </c>
      <c r="I1281" s="161">
        <v>2012</v>
      </c>
      <c r="J1281" s="161" t="s">
        <v>3439</v>
      </c>
      <c r="K1281" s="161" t="s">
        <v>3440</v>
      </c>
      <c r="L1281" s="161" t="s">
        <v>168</v>
      </c>
      <c r="M1281" s="453" t="s">
        <v>4325</v>
      </c>
      <c r="N1281" s="186" t="s">
        <v>122</v>
      </c>
      <c r="O1281" s="186" t="s">
        <v>122</v>
      </c>
      <c r="P1281" s="186" t="s">
        <v>292</v>
      </c>
      <c r="Q1281" s="186" t="s">
        <v>292</v>
      </c>
      <c r="R1281" s="186" t="s">
        <v>292</v>
      </c>
      <c r="S1281" s="186" t="s">
        <v>122</v>
      </c>
      <c r="T1281" s="186" t="s">
        <v>122</v>
      </c>
      <c r="U1281" s="186" t="s">
        <v>122</v>
      </c>
      <c r="V1281" s="186" t="s">
        <v>292</v>
      </c>
      <c r="W1281" s="186" t="s">
        <v>292</v>
      </c>
      <c r="X1281" s="186" t="s">
        <v>292</v>
      </c>
      <c r="Y1281" s="186" t="s">
        <v>292</v>
      </c>
      <c r="Z1281" s="186"/>
      <c r="AA1281" s="186"/>
      <c r="AB1281" s="186" t="s">
        <v>292</v>
      </c>
      <c r="AC1281" s="186" t="s">
        <v>292</v>
      </c>
      <c r="AD1281" s="268" t="s">
        <v>3441</v>
      </c>
      <c r="AE1281" s="268"/>
      <c r="AF1281" s="144" t="str">
        <f t="shared" si="109"/>
        <v/>
      </c>
      <c r="AG1281" s="144" t="str">
        <f t="shared" si="106"/>
        <v/>
      </c>
      <c r="AH1281" s="146">
        <f t="shared" si="103"/>
        <v>3.5799999999999998E-2</v>
      </c>
      <c r="AI1281" s="146" t="str">
        <f t="shared" si="104"/>
        <v/>
      </c>
      <c r="AJ1281" s="303"/>
      <c r="AK1281" s="303"/>
      <c r="AL1281" s="303"/>
      <c r="AM1281" s="303"/>
      <c r="AN1281" s="303"/>
      <c r="AO1281" s="303"/>
      <c r="AP1281" s="303"/>
      <c r="AQ1281" s="303"/>
      <c r="AR1281" s="318"/>
      <c r="AS1281" s="236"/>
      <c r="AT1281" s="233"/>
      <c r="AU1281" s="318"/>
      <c r="AV1281" s="343"/>
      <c r="AW1281" s="357">
        <v>3.5799999999999998E-2</v>
      </c>
      <c r="AX1281" s="294"/>
      <c r="AY1281" s="294"/>
      <c r="AZ1281" s="294"/>
      <c r="BA1281" s="294"/>
      <c r="BB1281" s="294"/>
      <c r="BC1281" s="294"/>
      <c r="BD1281" s="294"/>
      <c r="BE1281" s="294"/>
      <c r="BF1281" s="383">
        <f t="shared" si="107"/>
        <v>3.5799999999999998E-2</v>
      </c>
      <c r="BG1281" s="383">
        <v>0.68100000000000005</v>
      </c>
      <c r="BH1281" s="375"/>
      <c r="BI1281" s="376"/>
      <c r="BJ1281" s="409"/>
    </row>
    <row r="1282" spans="1:62" ht="15" customHeight="1" thickBot="1" x14ac:dyDescent="0.25">
      <c r="A1282" s="156">
        <v>1283</v>
      </c>
      <c r="B1282" s="247">
        <v>1</v>
      </c>
      <c r="C1282" s="148" t="s">
        <v>162</v>
      </c>
      <c r="D1282" s="148" t="s">
        <v>2746</v>
      </c>
      <c r="E1282" s="148" t="s">
        <v>13</v>
      </c>
      <c r="F1282" s="148" t="s">
        <v>3442</v>
      </c>
      <c r="G1282" s="148" t="s">
        <v>122</v>
      </c>
      <c r="H1282" s="148" t="s">
        <v>258</v>
      </c>
      <c r="I1282" s="161">
        <v>2012</v>
      </c>
      <c r="J1282" s="161" t="s">
        <v>3439</v>
      </c>
      <c r="K1282" s="161" t="s">
        <v>3440</v>
      </c>
      <c r="L1282" s="161" t="s">
        <v>168</v>
      </c>
      <c r="M1282" s="453" t="s">
        <v>4325</v>
      </c>
      <c r="N1282" s="186" t="s">
        <v>122</v>
      </c>
      <c r="O1282" s="186" t="s">
        <v>122</v>
      </c>
      <c r="P1282" s="186" t="s">
        <v>292</v>
      </c>
      <c r="Q1282" s="186" t="s">
        <v>292</v>
      </c>
      <c r="R1282" s="186" t="s">
        <v>292</v>
      </c>
      <c r="S1282" s="186" t="s">
        <v>122</v>
      </c>
      <c r="T1282" s="186" t="s">
        <v>122</v>
      </c>
      <c r="U1282" s="186" t="s">
        <v>122</v>
      </c>
      <c r="V1282" s="186" t="s">
        <v>292</v>
      </c>
      <c r="W1282" s="186" t="s">
        <v>292</v>
      </c>
      <c r="X1282" s="186" t="s">
        <v>292</v>
      </c>
      <c r="Y1282" s="186" t="s">
        <v>292</v>
      </c>
      <c r="Z1282" s="186"/>
      <c r="AA1282" s="186"/>
      <c r="AB1282" s="186" t="s">
        <v>292</v>
      </c>
      <c r="AC1282" s="186" t="s">
        <v>292</v>
      </c>
      <c r="AD1282" s="268" t="s">
        <v>3441</v>
      </c>
      <c r="AE1282" s="268"/>
      <c r="AF1282" s="144" t="str">
        <f t="shared" si="109"/>
        <v/>
      </c>
      <c r="AG1282" s="144" t="str">
        <f t="shared" si="106"/>
        <v/>
      </c>
      <c r="AH1282" s="146">
        <f t="shared" ref="AH1282:AH1345" si="110">IF(BF1282&lt;&gt;0,BF1282,"")</f>
        <v>4.1300000000000003E-2</v>
      </c>
      <c r="AI1282" s="146" t="str">
        <f t="shared" ref="AI1282:AI1345" si="111">IF(AND(SUM(AW1282:AY1282)&lt;&gt;0,SUM(AW1282:AY1282)&lt;&gt;AW1282),SUM(AW1282:AY1282),"")</f>
        <v/>
      </c>
      <c r="AJ1282" s="303"/>
      <c r="AK1282" s="303"/>
      <c r="AL1282" s="303"/>
      <c r="AM1282" s="303"/>
      <c r="AN1282" s="303"/>
      <c r="AO1282" s="303"/>
      <c r="AP1282" s="303"/>
      <c r="AQ1282" s="303"/>
      <c r="AR1282" s="318"/>
      <c r="AS1282" s="236"/>
      <c r="AT1282" s="233"/>
      <c r="AU1282" s="318"/>
      <c r="AV1282" s="343"/>
      <c r="AW1282" s="357">
        <v>4.1300000000000003E-2</v>
      </c>
      <c r="AX1282" s="294"/>
      <c r="AY1282" s="294"/>
      <c r="AZ1282" s="294"/>
      <c r="BA1282" s="294"/>
      <c r="BB1282" s="294"/>
      <c r="BC1282" s="294"/>
      <c r="BD1282" s="294"/>
      <c r="BE1282" s="294"/>
      <c r="BF1282" s="383">
        <f t="shared" si="107"/>
        <v>4.1300000000000003E-2</v>
      </c>
      <c r="BG1282" s="383">
        <v>0.68600000000000005</v>
      </c>
      <c r="BH1282" s="375"/>
      <c r="BI1282" s="376"/>
      <c r="BJ1282" s="409"/>
    </row>
    <row r="1283" spans="1:62" ht="15" customHeight="1" thickBot="1" x14ac:dyDescent="0.25">
      <c r="A1283" s="156">
        <v>1284</v>
      </c>
      <c r="B1283" s="247">
        <v>1</v>
      </c>
      <c r="C1283" s="148" t="s">
        <v>162</v>
      </c>
      <c r="D1283" s="148" t="s">
        <v>2746</v>
      </c>
      <c r="E1283" s="148" t="s">
        <v>13</v>
      </c>
      <c r="F1283" s="148" t="s">
        <v>3443</v>
      </c>
      <c r="G1283" s="148" t="s">
        <v>122</v>
      </c>
      <c r="H1283" s="148" t="s">
        <v>258</v>
      </c>
      <c r="I1283" s="161">
        <v>2012</v>
      </c>
      <c r="J1283" s="161" t="s">
        <v>3439</v>
      </c>
      <c r="K1283" s="161" t="s">
        <v>3440</v>
      </c>
      <c r="L1283" s="161" t="s">
        <v>168</v>
      </c>
      <c r="M1283" s="453" t="s">
        <v>4325</v>
      </c>
      <c r="N1283" s="186" t="s">
        <v>122</v>
      </c>
      <c r="O1283" s="186" t="s">
        <v>122</v>
      </c>
      <c r="P1283" s="186" t="s">
        <v>292</v>
      </c>
      <c r="Q1283" s="186" t="s">
        <v>292</v>
      </c>
      <c r="R1283" s="186" t="s">
        <v>292</v>
      </c>
      <c r="S1283" s="186" t="s">
        <v>122</v>
      </c>
      <c r="T1283" s="186" t="s">
        <v>122</v>
      </c>
      <c r="U1283" s="186" t="s">
        <v>122</v>
      </c>
      <c r="V1283" s="186" t="s">
        <v>292</v>
      </c>
      <c r="W1283" s="186" t="s">
        <v>292</v>
      </c>
      <c r="X1283" s="186" t="s">
        <v>292</v>
      </c>
      <c r="Y1283" s="186" t="s">
        <v>292</v>
      </c>
      <c r="Z1283" s="186"/>
      <c r="AA1283" s="186"/>
      <c r="AB1283" s="186" t="s">
        <v>292</v>
      </c>
      <c r="AC1283" s="186" t="s">
        <v>292</v>
      </c>
      <c r="AD1283" s="268" t="s">
        <v>3441</v>
      </c>
      <c r="AE1283" s="268"/>
      <c r="AF1283" s="144" t="str">
        <f t="shared" si="109"/>
        <v/>
      </c>
      <c r="AG1283" s="144" t="str">
        <f t="shared" si="106"/>
        <v/>
      </c>
      <c r="AH1283" s="146">
        <f t="shared" si="110"/>
        <v>1.46E-2</v>
      </c>
      <c r="AI1283" s="146" t="str">
        <f t="shared" si="111"/>
        <v/>
      </c>
      <c r="AJ1283" s="303"/>
      <c r="AK1283" s="303"/>
      <c r="AL1283" s="303"/>
      <c r="AM1283" s="303"/>
      <c r="AN1283" s="303"/>
      <c r="AO1283" s="303"/>
      <c r="AP1283" s="303"/>
      <c r="AQ1283" s="303"/>
      <c r="AR1283" s="318"/>
      <c r="AS1283" s="236"/>
      <c r="AT1283" s="233"/>
      <c r="AU1283" s="318"/>
      <c r="AV1283" s="343"/>
      <c r="AW1283" s="357">
        <v>1.46E-2</v>
      </c>
      <c r="AX1283" s="294"/>
      <c r="AY1283" s="294"/>
      <c r="AZ1283" s="294"/>
      <c r="BA1283" s="294"/>
      <c r="BB1283" s="294"/>
      <c r="BC1283" s="294"/>
      <c r="BD1283" s="294"/>
      <c r="BE1283" s="294"/>
      <c r="BF1283" s="383">
        <f t="shared" si="107"/>
        <v>1.46E-2</v>
      </c>
      <c r="BG1283" s="383">
        <v>0.104</v>
      </c>
      <c r="BH1283" s="375"/>
      <c r="BI1283" s="376"/>
      <c r="BJ1283" s="409"/>
    </row>
    <row r="1284" spans="1:62" ht="15" customHeight="1" thickBot="1" x14ac:dyDescent="0.25">
      <c r="A1284" s="156">
        <v>1285</v>
      </c>
      <c r="B1284" s="247">
        <v>1</v>
      </c>
      <c r="C1284" s="148" t="s">
        <v>162</v>
      </c>
      <c r="D1284" s="148" t="s">
        <v>2746</v>
      </c>
      <c r="E1284" s="148" t="s">
        <v>13</v>
      </c>
      <c r="F1284" s="148" t="s">
        <v>3444</v>
      </c>
      <c r="G1284" s="148" t="s">
        <v>122</v>
      </c>
      <c r="H1284" s="148" t="s">
        <v>369</v>
      </c>
      <c r="I1284" s="161">
        <v>2012</v>
      </c>
      <c r="J1284" s="161" t="s">
        <v>3439</v>
      </c>
      <c r="K1284" s="161" t="s">
        <v>3440</v>
      </c>
      <c r="L1284" s="161" t="s">
        <v>168</v>
      </c>
      <c r="M1284" s="453" t="s">
        <v>4325</v>
      </c>
      <c r="N1284" s="186" t="s">
        <v>122</v>
      </c>
      <c r="O1284" s="186" t="s">
        <v>122</v>
      </c>
      <c r="P1284" s="186" t="s">
        <v>292</v>
      </c>
      <c r="Q1284" s="186" t="s">
        <v>292</v>
      </c>
      <c r="R1284" s="186" t="s">
        <v>292</v>
      </c>
      <c r="S1284" s="186" t="s">
        <v>122</v>
      </c>
      <c r="T1284" s="186" t="s">
        <v>122</v>
      </c>
      <c r="U1284" s="186" t="s">
        <v>122</v>
      </c>
      <c r="V1284" s="186" t="s">
        <v>292</v>
      </c>
      <c r="W1284" s="186" t="s">
        <v>292</v>
      </c>
      <c r="X1284" s="186" t="s">
        <v>292</v>
      </c>
      <c r="Y1284" s="186" t="s">
        <v>292</v>
      </c>
      <c r="Z1284" s="186"/>
      <c r="AA1284" s="186"/>
      <c r="AB1284" s="186" t="s">
        <v>292</v>
      </c>
      <c r="AC1284" s="186" t="s">
        <v>292</v>
      </c>
      <c r="AD1284" s="268" t="s">
        <v>3441</v>
      </c>
      <c r="AE1284" s="268"/>
      <c r="AF1284" s="144" t="str">
        <f t="shared" si="109"/>
        <v/>
      </c>
      <c r="AG1284" s="144" t="str">
        <f t="shared" si="106"/>
        <v/>
      </c>
      <c r="AH1284" s="146">
        <f t="shared" si="110"/>
        <v>4.1300000000000003E-2</v>
      </c>
      <c r="AI1284" s="146" t="str">
        <f t="shared" si="111"/>
        <v/>
      </c>
      <c r="AJ1284" s="303"/>
      <c r="AK1284" s="303"/>
      <c r="AL1284" s="303"/>
      <c r="AM1284" s="303"/>
      <c r="AN1284" s="303"/>
      <c r="AO1284" s="303"/>
      <c r="AP1284" s="303"/>
      <c r="AQ1284" s="303"/>
      <c r="AR1284" s="318"/>
      <c r="AS1284" s="236"/>
      <c r="AT1284" s="233"/>
      <c r="AU1284" s="318"/>
      <c r="AV1284" s="343"/>
      <c r="AW1284" s="357">
        <v>4.1300000000000003E-2</v>
      </c>
      <c r="AX1284" s="294"/>
      <c r="AY1284" s="294"/>
      <c r="AZ1284" s="294"/>
      <c r="BA1284" s="294"/>
      <c r="BB1284" s="294"/>
      <c r="BC1284" s="294"/>
      <c r="BD1284" s="294"/>
      <c r="BE1284" s="294"/>
      <c r="BF1284" s="383">
        <f t="shared" si="107"/>
        <v>4.1300000000000003E-2</v>
      </c>
      <c r="BG1284" s="383">
        <v>0.20499999999999999</v>
      </c>
      <c r="BH1284" s="375"/>
      <c r="BI1284" s="376"/>
      <c r="BJ1284" s="409"/>
    </row>
    <row r="1285" spans="1:62" ht="15" customHeight="1" thickBot="1" x14ac:dyDescent="0.25">
      <c r="A1285" s="156">
        <v>1286</v>
      </c>
      <c r="B1285" s="247">
        <v>1</v>
      </c>
      <c r="C1285" s="148" t="s">
        <v>162</v>
      </c>
      <c r="D1285" s="148" t="s">
        <v>828</v>
      </c>
      <c r="E1285" s="148" t="s">
        <v>13</v>
      </c>
      <c r="F1285" s="148"/>
      <c r="G1285" s="148"/>
      <c r="H1285" s="148" t="s">
        <v>3445</v>
      </c>
      <c r="I1285" s="161">
        <v>2012</v>
      </c>
      <c r="J1285" s="161" t="s">
        <v>3439</v>
      </c>
      <c r="K1285" s="161" t="s">
        <v>3440</v>
      </c>
      <c r="L1285" s="161" t="s">
        <v>168</v>
      </c>
      <c r="M1285" s="453" t="s">
        <v>4325</v>
      </c>
      <c r="N1285" s="186" t="s">
        <v>122</v>
      </c>
      <c r="O1285" s="186" t="s">
        <v>122</v>
      </c>
      <c r="P1285" s="186" t="s">
        <v>292</v>
      </c>
      <c r="Q1285" s="186" t="s">
        <v>292</v>
      </c>
      <c r="R1285" s="186" t="s">
        <v>292</v>
      </c>
      <c r="S1285" s="186" t="s">
        <v>122</v>
      </c>
      <c r="T1285" s="186" t="s">
        <v>122</v>
      </c>
      <c r="U1285" s="186" t="s">
        <v>122</v>
      </c>
      <c r="V1285" s="186" t="s">
        <v>292</v>
      </c>
      <c r="W1285" s="186" t="s">
        <v>292</v>
      </c>
      <c r="X1285" s="186" t="s">
        <v>292</v>
      </c>
      <c r="Y1285" s="186" t="s">
        <v>292</v>
      </c>
      <c r="Z1285" s="186"/>
      <c r="AA1285" s="186"/>
      <c r="AB1285" s="186" t="s">
        <v>292</v>
      </c>
      <c r="AC1285" s="186" t="s">
        <v>292</v>
      </c>
      <c r="AD1285" s="268" t="s">
        <v>3441</v>
      </c>
      <c r="AE1285" s="268"/>
      <c r="AF1285" s="144" t="str">
        <f t="shared" si="109"/>
        <v/>
      </c>
      <c r="AG1285" s="144" t="str">
        <f t="shared" si="106"/>
        <v/>
      </c>
      <c r="AH1285" s="146">
        <f t="shared" si="110"/>
        <v>0.315</v>
      </c>
      <c r="AI1285" s="146">
        <f t="shared" si="111"/>
        <v>0.40100000000000002</v>
      </c>
      <c r="AJ1285" s="303"/>
      <c r="AK1285" s="303"/>
      <c r="AL1285" s="303"/>
      <c r="AM1285" s="303"/>
      <c r="AN1285" s="303"/>
      <c r="AO1285" s="303"/>
      <c r="AP1285" s="303"/>
      <c r="AQ1285" s="303"/>
      <c r="AR1285" s="318"/>
      <c r="AS1285" s="236"/>
      <c r="AT1285" s="233"/>
      <c r="AU1285" s="318"/>
      <c r="AV1285" s="343"/>
      <c r="AW1285" s="357">
        <v>0.315</v>
      </c>
      <c r="AX1285" s="294"/>
      <c r="AY1285" s="294">
        <v>8.5999999999999993E-2</v>
      </c>
      <c r="AZ1285" s="294"/>
      <c r="BA1285" s="294">
        <v>9.6000000000000002E-2</v>
      </c>
      <c r="BB1285" s="294"/>
      <c r="BC1285" s="294">
        <v>0.30399999999999999</v>
      </c>
      <c r="BD1285" s="294"/>
      <c r="BE1285" s="294"/>
      <c r="BF1285" s="383">
        <f t="shared" si="107"/>
        <v>0.315</v>
      </c>
      <c r="BG1285" s="383">
        <f>SUM(AW1285:BC1285)</f>
        <v>0.80099999999999993</v>
      </c>
      <c r="BH1285" s="375"/>
      <c r="BI1285" s="376"/>
      <c r="BJ1285" s="409"/>
    </row>
    <row r="1286" spans="1:62" ht="15" customHeight="1" thickBot="1" x14ac:dyDescent="0.25">
      <c r="A1286" s="156">
        <v>1287</v>
      </c>
      <c r="B1286" s="247">
        <v>1</v>
      </c>
      <c r="C1286" s="148" t="s">
        <v>236</v>
      </c>
      <c r="D1286" s="148" t="s">
        <v>866</v>
      </c>
      <c r="E1286" s="148" t="s">
        <v>13</v>
      </c>
      <c r="F1286" s="148" t="s">
        <v>3446</v>
      </c>
      <c r="G1286" s="148"/>
      <c r="H1286" s="148" t="s">
        <v>73</v>
      </c>
      <c r="I1286" s="165">
        <v>2013</v>
      </c>
      <c r="J1286" s="165" t="s">
        <v>3184</v>
      </c>
      <c r="L1286" s="165" t="s">
        <v>19</v>
      </c>
      <c r="M1286" s="453" t="s">
        <v>4306</v>
      </c>
      <c r="N1286" s="186" t="s">
        <v>122</v>
      </c>
      <c r="O1286" s="186"/>
      <c r="P1286" s="186"/>
      <c r="Q1286" s="186" t="s">
        <v>122</v>
      </c>
      <c r="R1286" s="186" t="s">
        <v>122</v>
      </c>
      <c r="S1286" s="186" t="s">
        <v>122</v>
      </c>
      <c r="T1286" s="186"/>
      <c r="U1286" s="186"/>
      <c r="V1286" s="186"/>
      <c r="W1286" s="186"/>
      <c r="X1286" s="186"/>
      <c r="Y1286" s="186"/>
      <c r="Z1286" s="186"/>
      <c r="AA1286" s="186"/>
      <c r="AB1286" s="186"/>
      <c r="AC1286" s="186"/>
      <c r="AD1286" s="268" t="s">
        <v>3447</v>
      </c>
      <c r="AE1286" s="268"/>
      <c r="AF1286" s="144">
        <f t="shared" si="109"/>
        <v>8.3000000000000007</v>
      </c>
      <c r="AG1286" s="144" t="str">
        <f t="shared" si="106"/>
        <v/>
      </c>
      <c r="AH1286" s="146">
        <f t="shared" si="110"/>
        <v>0.3</v>
      </c>
      <c r="AI1286" s="146" t="str">
        <f t="shared" si="111"/>
        <v/>
      </c>
      <c r="AJ1286" s="303">
        <v>8.3000000000000007</v>
      </c>
      <c r="AK1286" s="303"/>
      <c r="AL1286" s="303"/>
      <c r="AM1286" s="303"/>
      <c r="AN1286" s="303">
        <v>3</v>
      </c>
      <c r="AO1286" s="303"/>
      <c r="AP1286" s="303"/>
      <c r="AQ1286" s="303"/>
      <c r="AR1286" s="318"/>
      <c r="AS1286" s="236">
        <f t="shared" ref="AS1286:AS1298" si="112">AJ1286</f>
        <v>8.3000000000000007</v>
      </c>
      <c r="AT1286" s="233">
        <v>13.3</v>
      </c>
      <c r="AU1286" s="318"/>
      <c r="AV1286" s="343"/>
      <c r="AW1286" s="357">
        <v>0.3</v>
      </c>
      <c r="AX1286" s="294"/>
      <c r="AY1286" s="294"/>
      <c r="AZ1286" s="294"/>
      <c r="BA1286" s="294">
        <v>0.3</v>
      </c>
      <c r="BB1286" s="294"/>
      <c r="BC1286" s="294"/>
      <c r="BD1286" s="294"/>
      <c r="BE1286" s="294"/>
      <c r="BF1286" s="383">
        <f t="shared" si="107"/>
        <v>0.3</v>
      </c>
      <c r="BG1286" s="383">
        <v>0.9</v>
      </c>
      <c r="BH1286" s="375"/>
      <c r="BI1286" s="376"/>
      <c r="BJ1286" s="409"/>
    </row>
    <row r="1287" spans="1:62" ht="15" customHeight="1" thickBot="1" x14ac:dyDescent="0.25">
      <c r="A1287" s="156">
        <v>1288</v>
      </c>
      <c r="B1287" s="247">
        <v>1</v>
      </c>
      <c r="C1287" s="148" t="s">
        <v>236</v>
      </c>
      <c r="D1287" s="148" t="s">
        <v>866</v>
      </c>
      <c r="E1287" s="148" t="s">
        <v>13</v>
      </c>
      <c r="F1287" s="148"/>
      <c r="G1287" s="148"/>
      <c r="H1287" s="148" t="s">
        <v>108</v>
      </c>
      <c r="I1287" s="165">
        <v>2013</v>
      </c>
      <c r="J1287" s="165" t="s">
        <v>3184</v>
      </c>
      <c r="L1287" s="165" t="s">
        <v>19</v>
      </c>
      <c r="M1287" s="453" t="s">
        <v>4306</v>
      </c>
      <c r="N1287" s="186"/>
      <c r="O1287" s="186"/>
      <c r="P1287" s="186"/>
      <c r="Q1287" s="186"/>
      <c r="R1287" s="186"/>
      <c r="S1287" s="186"/>
      <c r="T1287" s="186"/>
      <c r="U1287" s="186"/>
      <c r="V1287" s="186"/>
      <c r="W1287" s="186"/>
      <c r="X1287" s="186"/>
      <c r="Y1287" s="186"/>
      <c r="Z1287" s="186"/>
      <c r="AA1287" s="186"/>
      <c r="AB1287" s="186"/>
      <c r="AC1287" s="186"/>
      <c r="AD1287" s="268" t="s">
        <v>3447</v>
      </c>
      <c r="AE1287" s="268"/>
      <c r="AF1287" s="144">
        <f t="shared" si="109"/>
        <v>12.9</v>
      </c>
      <c r="AG1287" s="144" t="str">
        <f t="shared" si="106"/>
        <v/>
      </c>
      <c r="AH1287" s="146">
        <f t="shared" si="110"/>
        <v>0.8</v>
      </c>
      <c r="AI1287" s="146" t="str">
        <f t="shared" si="111"/>
        <v/>
      </c>
      <c r="AJ1287" s="303">
        <v>12.9</v>
      </c>
      <c r="AK1287" s="303"/>
      <c r="AL1287" s="303"/>
      <c r="AM1287" s="303"/>
      <c r="AN1287" s="303"/>
      <c r="AO1287" s="303"/>
      <c r="AP1287" s="303"/>
      <c r="AQ1287" s="303"/>
      <c r="AR1287" s="318"/>
      <c r="AS1287" s="236">
        <f t="shared" si="112"/>
        <v>12.9</v>
      </c>
      <c r="AT1287" s="233">
        <v>14.6</v>
      </c>
      <c r="AU1287" s="318"/>
      <c r="AV1287" s="343"/>
      <c r="AW1287" s="357">
        <v>0.8</v>
      </c>
      <c r="AX1287" s="294"/>
      <c r="AY1287" s="294"/>
      <c r="AZ1287" s="294"/>
      <c r="BA1287" s="294"/>
      <c r="BB1287" s="294"/>
      <c r="BC1287" s="294"/>
      <c r="BD1287" s="294"/>
      <c r="BE1287" s="294"/>
      <c r="BF1287" s="383">
        <f t="shared" si="107"/>
        <v>0.8</v>
      </c>
      <c r="BG1287" s="383">
        <v>1</v>
      </c>
      <c r="BH1287" s="375"/>
      <c r="BI1287" s="376"/>
      <c r="BJ1287" s="409"/>
    </row>
    <row r="1288" spans="1:62" ht="15" customHeight="1" thickBot="1" x14ac:dyDescent="0.25">
      <c r="A1288" s="156">
        <v>1289</v>
      </c>
      <c r="B1288" s="247">
        <v>1</v>
      </c>
      <c r="C1288" s="148" t="s">
        <v>162</v>
      </c>
      <c r="D1288" s="148" t="s">
        <v>2206</v>
      </c>
      <c r="E1288" s="148" t="s">
        <v>13</v>
      </c>
      <c r="F1288" s="148"/>
      <c r="G1288" s="148"/>
      <c r="H1288" s="148" t="s">
        <v>108</v>
      </c>
      <c r="I1288" s="165">
        <v>2013</v>
      </c>
      <c r="J1288" s="165" t="s">
        <v>3184</v>
      </c>
      <c r="L1288" s="165" t="s">
        <v>19</v>
      </c>
      <c r="M1288" s="453" t="s">
        <v>4306</v>
      </c>
      <c r="N1288" s="186" t="s">
        <v>122</v>
      </c>
      <c r="O1288" s="186"/>
      <c r="P1288" s="186"/>
      <c r="Q1288" s="186" t="s">
        <v>122</v>
      </c>
      <c r="R1288" s="186" t="s">
        <v>122</v>
      </c>
      <c r="S1288" s="186" t="s">
        <v>122</v>
      </c>
      <c r="T1288" s="186"/>
      <c r="U1288" s="186"/>
      <c r="V1288" s="186"/>
      <c r="W1288" s="186"/>
      <c r="X1288" s="186"/>
      <c r="Y1288" s="186"/>
      <c r="Z1288" s="186"/>
      <c r="AA1288" s="186"/>
      <c r="AB1288" s="186"/>
      <c r="AC1288" s="186"/>
      <c r="AD1288" s="268" t="s">
        <v>3447</v>
      </c>
      <c r="AE1288" s="268"/>
      <c r="AF1288" s="144">
        <f t="shared" si="109"/>
        <v>1.5</v>
      </c>
      <c r="AG1288" s="144" t="str">
        <f t="shared" si="106"/>
        <v/>
      </c>
      <c r="AH1288" s="146">
        <f t="shared" si="110"/>
        <v>0.2</v>
      </c>
      <c r="AI1288" s="146" t="str">
        <f t="shared" si="111"/>
        <v/>
      </c>
      <c r="AJ1288" s="303">
        <v>1.5</v>
      </c>
      <c r="AK1288" s="303"/>
      <c r="AL1288" s="303"/>
      <c r="AM1288" s="303"/>
      <c r="AN1288" s="303"/>
      <c r="AO1288" s="303"/>
      <c r="AP1288" s="303"/>
      <c r="AQ1288" s="303"/>
      <c r="AR1288" s="318"/>
      <c r="AS1288" s="236">
        <f t="shared" si="112"/>
        <v>1.5</v>
      </c>
      <c r="AT1288" s="233">
        <v>2.8</v>
      </c>
      <c r="AU1288" s="318"/>
      <c r="AV1288" s="343"/>
      <c r="AW1288" s="357">
        <v>0.2</v>
      </c>
      <c r="AX1288" s="294"/>
      <c r="AY1288" s="294"/>
      <c r="AZ1288" s="294"/>
      <c r="BA1288" s="294"/>
      <c r="BB1288" s="294"/>
      <c r="BC1288" s="294"/>
      <c r="BD1288" s="294"/>
      <c r="BE1288" s="294"/>
      <c r="BF1288" s="383">
        <f t="shared" si="107"/>
        <v>0.2</v>
      </c>
      <c r="BG1288" s="383">
        <v>0.3</v>
      </c>
      <c r="BH1288" s="375"/>
      <c r="BI1288" s="376"/>
      <c r="BJ1288" s="409"/>
    </row>
    <row r="1289" spans="1:62" ht="15" customHeight="1" thickBot="1" x14ac:dyDescent="0.25">
      <c r="A1289" s="156">
        <v>1290</v>
      </c>
      <c r="B1289" s="247">
        <v>1</v>
      </c>
      <c r="C1289" s="148" t="s">
        <v>162</v>
      </c>
      <c r="D1289" s="148" t="s">
        <v>2206</v>
      </c>
      <c r="E1289" s="148" t="s">
        <v>13</v>
      </c>
      <c r="F1289" s="148" t="s">
        <v>3448</v>
      </c>
      <c r="G1289" s="148"/>
      <c r="H1289" s="148" t="s">
        <v>3449</v>
      </c>
      <c r="I1289" s="165">
        <v>2013</v>
      </c>
      <c r="J1289" s="165" t="s">
        <v>3184</v>
      </c>
      <c r="L1289" s="165" t="s">
        <v>19</v>
      </c>
      <c r="M1289" s="453" t="s">
        <v>4306</v>
      </c>
      <c r="N1289" s="186" t="s">
        <v>122</v>
      </c>
      <c r="O1289" s="186"/>
      <c r="P1289" s="186"/>
      <c r="Q1289" s="186" t="s">
        <v>122</v>
      </c>
      <c r="R1289" s="186" t="s">
        <v>122</v>
      </c>
      <c r="S1289" s="186" t="s">
        <v>122</v>
      </c>
      <c r="T1289" s="186"/>
      <c r="U1289" s="186"/>
      <c r="V1289" s="186"/>
      <c r="W1289" s="186"/>
      <c r="X1289" s="186"/>
      <c r="Y1289" s="186"/>
      <c r="Z1289" s="186"/>
      <c r="AA1289" s="186"/>
      <c r="AB1289" s="186"/>
      <c r="AC1289" s="186"/>
      <c r="AD1289" s="268" t="s">
        <v>3447</v>
      </c>
      <c r="AE1289" s="268"/>
      <c r="AF1289" s="144">
        <f t="shared" si="109"/>
        <v>1.9</v>
      </c>
      <c r="AG1289" s="144" t="str">
        <f t="shared" si="106"/>
        <v/>
      </c>
      <c r="AH1289" s="146">
        <f t="shared" si="110"/>
        <v>0.2</v>
      </c>
      <c r="AI1289" s="146" t="str">
        <f t="shared" si="111"/>
        <v/>
      </c>
      <c r="AJ1289" s="303">
        <v>1.9</v>
      </c>
      <c r="AK1289" s="303"/>
      <c r="AL1289" s="303"/>
      <c r="AM1289" s="303"/>
      <c r="AN1289" s="303">
        <v>8.6</v>
      </c>
      <c r="AO1289" s="303"/>
      <c r="AP1289" s="303"/>
      <c r="AQ1289" s="303"/>
      <c r="AR1289" s="318"/>
      <c r="AS1289" s="236">
        <f t="shared" si="112"/>
        <v>1.9</v>
      </c>
      <c r="AT1289" s="233">
        <v>10.5</v>
      </c>
      <c r="AU1289" s="318"/>
      <c r="AV1289" s="343"/>
      <c r="AW1289" s="357">
        <v>0.2</v>
      </c>
      <c r="AX1289" s="294"/>
      <c r="AY1289" s="294"/>
      <c r="AZ1289" s="294"/>
      <c r="BA1289" s="294">
        <v>0.3</v>
      </c>
      <c r="BB1289" s="294"/>
      <c r="BC1289" s="294"/>
      <c r="BD1289" s="294"/>
      <c r="BE1289" s="294"/>
      <c r="BF1289" s="383">
        <f t="shared" si="107"/>
        <v>0.2</v>
      </c>
      <c r="BG1289" s="383">
        <v>0.5</v>
      </c>
      <c r="BH1289" s="375"/>
      <c r="BI1289" s="376"/>
      <c r="BJ1289" s="409"/>
    </row>
    <row r="1290" spans="1:62" ht="15" customHeight="1" thickBot="1" x14ac:dyDescent="0.25">
      <c r="A1290" s="156">
        <v>1291</v>
      </c>
      <c r="B1290" s="247">
        <v>1</v>
      </c>
      <c r="C1290" s="148" t="s">
        <v>3450</v>
      </c>
      <c r="D1290" s="148" t="s">
        <v>1739</v>
      </c>
      <c r="E1290" s="148" t="s">
        <v>13</v>
      </c>
      <c r="F1290" s="148"/>
      <c r="G1290" s="148"/>
      <c r="H1290" s="148" t="s">
        <v>108</v>
      </c>
      <c r="I1290" s="165">
        <v>2013</v>
      </c>
      <c r="J1290" s="165" t="s">
        <v>3184</v>
      </c>
      <c r="L1290" s="165" t="s">
        <v>19</v>
      </c>
      <c r="M1290" s="453" t="s">
        <v>4306</v>
      </c>
      <c r="N1290" s="186" t="s">
        <v>122</v>
      </c>
      <c r="O1290" s="186"/>
      <c r="P1290" s="186"/>
      <c r="Q1290" s="186" t="s">
        <v>122</v>
      </c>
      <c r="R1290" s="186" t="s">
        <v>122</v>
      </c>
      <c r="S1290" s="186" t="s">
        <v>122</v>
      </c>
      <c r="T1290" s="186"/>
      <c r="U1290" s="186"/>
      <c r="V1290" s="186"/>
      <c r="W1290" s="186"/>
      <c r="X1290" s="186"/>
      <c r="Y1290" s="186"/>
      <c r="Z1290" s="186"/>
      <c r="AA1290" s="186"/>
      <c r="AB1290" s="186"/>
      <c r="AC1290" s="186"/>
      <c r="AD1290" s="268" t="s">
        <v>3447</v>
      </c>
      <c r="AE1290" s="268"/>
      <c r="AF1290" s="144">
        <f t="shared" si="109"/>
        <v>2.1</v>
      </c>
      <c r="AG1290" s="144" t="str">
        <f t="shared" si="106"/>
        <v/>
      </c>
      <c r="AH1290" s="146">
        <f t="shared" si="110"/>
        <v>0.2</v>
      </c>
      <c r="AI1290" s="146" t="str">
        <f t="shared" si="111"/>
        <v/>
      </c>
      <c r="AJ1290" s="303">
        <v>2.1</v>
      </c>
      <c r="AK1290" s="303"/>
      <c r="AL1290" s="303"/>
      <c r="AM1290" s="303"/>
      <c r="AN1290" s="303"/>
      <c r="AO1290" s="303"/>
      <c r="AP1290" s="303"/>
      <c r="AQ1290" s="303"/>
      <c r="AR1290" s="318"/>
      <c r="AS1290" s="236">
        <f t="shared" si="112"/>
        <v>2.1</v>
      </c>
      <c r="AT1290" s="233">
        <v>5.0999999999999996</v>
      </c>
      <c r="AU1290" s="318"/>
      <c r="AV1290" s="343"/>
      <c r="AW1290" s="357">
        <v>0.2</v>
      </c>
      <c r="AX1290" s="294"/>
      <c r="AY1290" s="294"/>
      <c r="AZ1290" s="294"/>
      <c r="BA1290" s="294"/>
      <c r="BB1290" s="294"/>
      <c r="BC1290" s="294"/>
      <c r="BD1290" s="294"/>
      <c r="BE1290" s="294"/>
      <c r="BF1290" s="383">
        <f t="shared" si="107"/>
        <v>0.2</v>
      </c>
      <c r="BG1290" s="383">
        <v>0.4</v>
      </c>
      <c r="BH1290" s="375"/>
      <c r="BI1290" s="376"/>
      <c r="BJ1290" s="409"/>
    </row>
    <row r="1291" spans="1:62" ht="15" customHeight="1" thickBot="1" x14ac:dyDescent="0.25">
      <c r="A1291" s="156">
        <v>1292</v>
      </c>
      <c r="B1291" s="247">
        <v>1</v>
      </c>
      <c r="C1291" s="148" t="s">
        <v>3450</v>
      </c>
      <c r="D1291" s="148" t="s">
        <v>1739</v>
      </c>
      <c r="E1291" s="148" t="s">
        <v>13</v>
      </c>
      <c r="F1291" s="148" t="s">
        <v>3448</v>
      </c>
      <c r="G1291" s="148"/>
      <c r="H1291" s="148" t="s">
        <v>700</v>
      </c>
      <c r="I1291" s="165">
        <v>2013</v>
      </c>
      <c r="J1291" s="165" t="s">
        <v>3184</v>
      </c>
      <c r="L1291" s="165" t="s">
        <v>19</v>
      </c>
      <c r="M1291" s="453" t="s">
        <v>4306</v>
      </c>
      <c r="N1291" s="186" t="s">
        <v>122</v>
      </c>
      <c r="O1291" s="186"/>
      <c r="P1291" s="186"/>
      <c r="Q1291" s="186" t="s">
        <v>122</v>
      </c>
      <c r="R1291" s="186" t="s">
        <v>122</v>
      </c>
      <c r="S1291" s="186" t="s">
        <v>122</v>
      </c>
      <c r="T1291" s="186"/>
      <c r="U1291" s="186"/>
      <c r="V1291" s="186"/>
      <c r="W1291" s="186"/>
      <c r="X1291" s="186"/>
      <c r="Y1291" s="186"/>
      <c r="Z1291" s="186"/>
      <c r="AA1291" s="186"/>
      <c r="AB1291" s="186"/>
      <c r="AC1291" s="186"/>
      <c r="AD1291" s="268" t="s">
        <v>3447</v>
      </c>
      <c r="AE1291" s="268"/>
      <c r="AF1291" s="144">
        <f t="shared" si="109"/>
        <v>1.2</v>
      </c>
      <c r="AG1291" s="144" t="str">
        <f t="shared" si="106"/>
        <v/>
      </c>
      <c r="AH1291" s="146">
        <f t="shared" si="110"/>
        <v>0.1</v>
      </c>
      <c r="AI1291" s="146" t="str">
        <f t="shared" si="111"/>
        <v/>
      </c>
      <c r="AJ1291" s="303">
        <v>1.2</v>
      </c>
      <c r="AK1291" s="303"/>
      <c r="AL1291" s="303"/>
      <c r="AM1291" s="303"/>
      <c r="AN1291" s="303">
        <v>7.5</v>
      </c>
      <c r="AO1291" s="303"/>
      <c r="AP1291" s="303"/>
      <c r="AQ1291" s="303"/>
      <c r="AR1291" s="318"/>
      <c r="AS1291" s="236">
        <f t="shared" si="112"/>
        <v>1.2</v>
      </c>
      <c r="AT1291" s="233">
        <v>11.2</v>
      </c>
      <c r="AU1291" s="318"/>
      <c r="AV1291" s="343"/>
      <c r="AW1291" s="357">
        <v>0.1</v>
      </c>
      <c r="AX1291" s="294"/>
      <c r="AY1291" s="294"/>
      <c r="AZ1291" s="294"/>
      <c r="BA1291" s="294">
        <v>0.7</v>
      </c>
      <c r="BB1291" s="294"/>
      <c r="BC1291" s="294"/>
      <c r="BD1291" s="294"/>
      <c r="BE1291" s="294"/>
      <c r="BF1291" s="383">
        <f t="shared" si="107"/>
        <v>0.1</v>
      </c>
      <c r="BG1291" s="383">
        <v>0.9</v>
      </c>
      <c r="BH1291" s="375"/>
      <c r="BI1291" s="376"/>
      <c r="BJ1291" s="409"/>
    </row>
    <row r="1292" spans="1:62" ht="15" customHeight="1" thickBot="1" x14ac:dyDescent="0.25">
      <c r="A1292" s="156">
        <v>1293</v>
      </c>
      <c r="B1292" s="247">
        <v>1</v>
      </c>
      <c r="C1292" s="148" t="s">
        <v>24</v>
      </c>
      <c r="D1292" s="148" t="s">
        <v>3451</v>
      </c>
      <c r="E1292" s="148" t="s">
        <v>1068</v>
      </c>
      <c r="F1292" s="148"/>
      <c r="G1292" s="148"/>
      <c r="H1292" s="148" t="s">
        <v>108</v>
      </c>
      <c r="I1292" s="165">
        <v>2013</v>
      </c>
      <c r="J1292" s="165" t="s">
        <v>3184</v>
      </c>
      <c r="L1292" s="165" t="s">
        <v>19</v>
      </c>
      <c r="M1292" s="453" t="s">
        <v>4306</v>
      </c>
      <c r="N1292" s="186" t="s">
        <v>122</v>
      </c>
      <c r="O1292" s="186"/>
      <c r="P1292" s="186"/>
      <c r="Q1292" s="186" t="s">
        <v>122</v>
      </c>
      <c r="R1292" s="186" t="s">
        <v>122</v>
      </c>
      <c r="S1292" s="186" t="s">
        <v>122</v>
      </c>
      <c r="T1292" s="186"/>
      <c r="U1292" s="186"/>
      <c r="V1292" s="186"/>
      <c r="W1292" s="186"/>
      <c r="X1292" s="186"/>
      <c r="Y1292" s="186"/>
      <c r="Z1292" s="186"/>
      <c r="AA1292" s="186"/>
      <c r="AB1292" s="186"/>
      <c r="AC1292" s="186"/>
      <c r="AD1292" s="268" t="s">
        <v>3452</v>
      </c>
      <c r="AE1292" s="268"/>
      <c r="AF1292" s="144">
        <f t="shared" si="109"/>
        <v>17.899999999999999</v>
      </c>
      <c r="AG1292" s="144" t="str">
        <f t="shared" si="106"/>
        <v/>
      </c>
      <c r="AH1292" s="146">
        <f t="shared" si="110"/>
        <v>13.5</v>
      </c>
      <c r="AI1292" s="146" t="str">
        <f t="shared" si="111"/>
        <v/>
      </c>
      <c r="AJ1292" s="303">
        <v>17.899999999999999</v>
      </c>
      <c r="AK1292" s="303"/>
      <c r="AL1292" s="303"/>
      <c r="AM1292" s="303"/>
      <c r="AN1292" s="303"/>
      <c r="AO1292" s="303"/>
      <c r="AP1292" s="303"/>
      <c r="AQ1292" s="303"/>
      <c r="AR1292" s="318"/>
      <c r="AS1292" s="236">
        <f t="shared" si="112"/>
        <v>17.899999999999999</v>
      </c>
      <c r="AT1292" s="233">
        <v>30.7</v>
      </c>
      <c r="AU1292" s="318"/>
      <c r="AV1292" s="343"/>
      <c r="AW1292" s="357">
        <v>13.5</v>
      </c>
      <c r="AX1292" s="294"/>
      <c r="AY1292" s="294"/>
      <c r="AZ1292" s="294"/>
      <c r="BA1292" s="294"/>
      <c r="BB1292" s="294"/>
      <c r="BC1292" s="294"/>
      <c r="BD1292" s="294"/>
      <c r="BE1292" s="294"/>
      <c r="BF1292" s="383">
        <f t="shared" si="107"/>
        <v>13.5</v>
      </c>
      <c r="BG1292" s="383">
        <v>14.1</v>
      </c>
      <c r="BH1292" s="375"/>
      <c r="BI1292" s="376"/>
      <c r="BJ1292" s="409"/>
    </row>
    <row r="1293" spans="1:62" ht="15" customHeight="1" thickBot="1" x14ac:dyDescent="0.25">
      <c r="A1293" s="156">
        <v>1294</v>
      </c>
      <c r="B1293" s="247">
        <v>1</v>
      </c>
      <c r="C1293" s="148" t="s">
        <v>24</v>
      </c>
      <c r="D1293" s="148" t="s">
        <v>3451</v>
      </c>
      <c r="E1293" s="148" t="s">
        <v>1068</v>
      </c>
      <c r="F1293" s="148" t="s">
        <v>3448</v>
      </c>
      <c r="G1293" s="148"/>
      <c r="H1293" s="148" t="s">
        <v>700</v>
      </c>
      <c r="I1293" s="165">
        <v>2013</v>
      </c>
      <c r="J1293" s="165" t="s">
        <v>3184</v>
      </c>
      <c r="L1293" s="165" t="s">
        <v>19</v>
      </c>
      <c r="M1293" s="453" t="s">
        <v>4306</v>
      </c>
      <c r="N1293" s="186" t="s">
        <v>122</v>
      </c>
      <c r="O1293" s="186"/>
      <c r="P1293" s="186"/>
      <c r="Q1293" s="186" t="s">
        <v>122</v>
      </c>
      <c r="R1293" s="186" t="s">
        <v>122</v>
      </c>
      <c r="S1293" s="186" t="s">
        <v>122</v>
      </c>
      <c r="T1293" s="186"/>
      <c r="U1293" s="186"/>
      <c r="V1293" s="186"/>
      <c r="W1293" s="186"/>
      <c r="X1293" s="186"/>
      <c r="Y1293" s="186"/>
      <c r="Z1293" s="186"/>
      <c r="AA1293" s="186"/>
      <c r="AB1293" s="186"/>
      <c r="AC1293" s="186"/>
      <c r="AD1293" s="268" t="s">
        <v>3452</v>
      </c>
      <c r="AE1293" s="268"/>
      <c r="AF1293" s="144">
        <f t="shared" si="109"/>
        <v>12.2</v>
      </c>
      <c r="AG1293" s="144" t="str">
        <f t="shared" si="106"/>
        <v/>
      </c>
      <c r="AH1293" s="146">
        <f t="shared" si="110"/>
        <v>9.6999999999999993</v>
      </c>
      <c r="AI1293" s="146" t="str">
        <f t="shared" si="111"/>
        <v/>
      </c>
      <c r="AJ1293" s="303">
        <v>12.2</v>
      </c>
      <c r="AK1293" s="303"/>
      <c r="AL1293" s="303"/>
      <c r="AM1293" s="303"/>
      <c r="AN1293" s="303">
        <v>7.5</v>
      </c>
      <c r="AO1293" s="303"/>
      <c r="AP1293" s="303"/>
      <c r="AQ1293" s="303"/>
      <c r="AR1293" s="318"/>
      <c r="AS1293" s="236">
        <f t="shared" si="112"/>
        <v>12.2</v>
      </c>
      <c r="AT1293" s="233">
        <v>37</v>
      </c>
      <c r="AU1293" s="318"/>
      <c r="AV1293" s="343"/>
      <c r="AW1293" s="357">
        <v>9.6999999999999993</v>
      </c>
      <c r="AX1293" s="294"/>
      <c r="AY1293" s="294"/>
      <c r="AZ1293" s="294"/>
      <c r="BA1293" s="294">
        <v>0.6</v>
      </c>
      <c r="BB1293" s="294"/>
      <c r="BC1293" s="294"/>
      <c r="BD1293" s="294"/>
      <c r="BE1293" s="294"/>
      <c r="BF1293" s="383">
        <f t="shared" si="107"/>
        <v>9.6999999999999993</v>
      </c>
      <c r="BG1293" s="383">
        <v>11.6</v>
      </c>
      <c r="BH1293" s="375"/>
      <c r="BI1293" s="376"/>
      <c r="BJ1293" s="409"/>
    </row>
    <row r="1294" spans="1:62" ht="15" customHeight="1" thickBot="1" x14ac:dyDescent="0.25">
      <c r="A1294" s="156">
        <v>1295</v>
      </c>
      <c r="B1294" s="247">
        <v>1</v>
      </c>
      <c r="C1294" s="148" t="s">
        <v>24</v>
      </c>
      <c r="D1294" s="151" t="s">
        <v>4010</v>
      </c>
      <c r="E1294" s="148" t="s">
        <v>1068</v>
      </c>
      <c r="F1294" s="148"/>
      <c r="G1294" s="148"/>
      <c r="H1294" s="148" t="s">
        <v>108</v>
      </c>
      <c r="I1294" s="165">
        <v>2013</v>
      </c>
      <c r="J1294" s="165" t="s">
        <v>3184</v>
      </c>
      <c r="L1294" s="165" t="s">
        <v>19</v>
      </c>
      <c r="M1294" s="453" t="s">
        <v>4306</v>
      </c>
      <c r="N1294" s="186" t="s">
        <v>122</v>
      </c>
      <c r="O1294" s="186"/>
      <c r="P1294" s="186"/>
      <c r="Q1294" s="186" t="s">
        <v>122</v>
      </c>
      <c r="R1294" s="186" t="s">
        <v>122</v>
      </c>
      <c r="S1294" s="186" t="s">
        <v>122</v>
      </c>
      <c r="T1294" s="186"/>
      <c r="U1294" s="186"/>
      <c r="V1294" s="186"/>
      <c r="W1294" s="186"/>
      <c r="X1294" s="186"/>
      <c r="Y1294" s="186"/>
      <c r="Z1294" s="186"/>
      <c r="AA1294" s="186"/>
      <c r="AB1294" s="186"/>
      <c r="AC1294" s="186"/>
      <c r="AD1294" s="268" t="s">
        <v>3452</v>
      </c>
      <c r="AE1294" s="268"/>
      <c r="AF1294" s="144">
        <f t="shared" si="109"/>
        <v>15.9</v>
      </c>
      <c r="AG1294" s="144" t="str">
        <f t="shared" si="106"/>
        <v/>
      </c>
      <c r="AH1294" s="146">
        <f t="shared" si="110"/>
        <v>2.5</v>
      </c>
      <c r="AI1294" s="146" t="str">
        <f t="shared" si="111"/>
        <v/>
      </c>
      <c r="AJ1294" s="303">
        <v>15.9</v>
      </c>
      <c r="AK1294" s="303"/>
      <c r="AL1294" s="303"/>
      <c r="AM1294" s="303"/>
      <c r="AN1294" s="303"/>
      <c r="AO1294" s="303"/>
      <c r="AP1294" s="303"/>
      <c r="AQ1294" s="303"/>
      <c r="AR1294" s="318"/>
      <c r="AS1294" s="236">
        <f t="shared" si="112"/>
        <v>15.9</v>
      </c>
      <c r="AT1294" s="233">
        <v>21.1</v>
      </c>
      <c r="AU1294" s="318"/>
      <c r="AV1294" s="343"/>
      <c r="AW1294" s="357">
        <v>2.5</v>
      </c>
      <c r="AX1294" s="294"/>
      <c r="AY1294" s="294"/>
      <c r="AZ1294" s="294"/>
      <c r="BA1294" s="294"/>
      <c r="BB1294" s="294"/>
      <c r="BC1294" s="294"/>
      <c r="BD1294" s="294"/>
      <c r="BE1294" s="294"/>
      <c r="BF1294" s="383">
        <f t="shared" si="107"/>
        <v>2.5</v>
      </c>
      <c r="BG1294" s="383">
        <v>2.8</v>
      </c>
      <c r="BH1294" s="375"/>
      <c r="BI1294" s="376"/>
      <c r="BJ1294" s="409"/>
    </row>
    <row r="1295" spans="1:62" ht="15" customHeight="1" thickBot="1" x14ac:dyDescent="0.25">
      <c r="A1295" s="156">
        <v>1296</v>
      </c>
      <c r="B1295" s="247">
        <v>1</v>
      </c>
      <c r="C1295" s="148" t="s">
        <v>24</v>
      </c>
      <c r="D1295" s="151" t="s">
        <v>4010</v>
      </c>
      <c r="E1295" s="148" t="s">
        <v>1068</v>
      </c>
      <c r="F1295" s="148" t="s">
        <v>3448</v>
      </c>
      <c r="G1295" s="148"/>
      <c r="H1295" s="148" t="s">
        <v>375</v>
      </c>
      <c r="I1295" s="165">
        <v>2013</v>
      </c>
      <c r="J1295" s="165" t="s">
        <v>3184</v>
      </c>
      <c r="L1295" s="165" t="s">
        <v>19</v>
      </c>
      <c r="M1295" s="453" t="s">
        <v>4306</v>
      </c>
      <c r="N1295" s="186" t="s">
        <v>122</v>
      </c>
      <c r="O1295" s="186"/>
      <c r="P1295" s="186"/>
      <c r="Q1295" s="186" t="s">
        <v>122</v>
      </c>
      <c r="R1295" s="186" t="s">
        <v>122</v>
      </c>
      <c r="S1295" s="186" t="s">
        <v>122</v>
      </c>
      <c r="T1295" s="186"/>
      <c r="U1295" s="186"/>
      <c r="V1295" s="186"/>
      <c r="W1295" s="186"/>
      <c r="X1295" s="186"/>
      <c r="Y1295" s="186"/>
      <c r="Z1295" s="186"/>
      <c r="AA1295" s="186"/>
      <c r="AB1295" s="186"/>
      <c r="AC1295" s="186"/>
      <c r="AD1295" s="268" t="s">
        <v>3452</v>
      </c>
      <c r="AE1295" s="268"/>
      <c r="AF1295" s="144">
        <f t="shared" si="109"/>
        <v>12.2</v>
      </c>
      <c r="AG1295" s="144" t="str">
        <f t="shared" si="106"/>
        <v/>
      </c>
      <c r="AH1295" s="146">
        <f t="shared" si="110"/>
        <v>2.1</v>
      </c>
      <c r="AI1295" s="146" t="str">
        <f t="shared" si="111"/>
        <v/>
      </c>
      <c r="AJ1295" s="303">
        <v>12.2</v>
      </c>
      <c r="AK1295" s="303"/>
      <c r="AL1295" s="303"/>
      <c r="AM1295" s="303"/>
      <c r="AN1295" s="303">
        <v>4.0999999999999996</v>
      </c>
      <c r="AO1295" s="303"/>
      <c r="AP1295" s="303"/>
      <c r="AQ1295" s="303"/>
      <c r="AR1295" s="318"/>
      <c r="AS1295" s="227">
        <f t="shared" si="112"/>
        <v>12.2</v>
      </c>
      <c r="AT1295" s="233">
        <v>24.7</v>
      </c>
      <c r="AU1295" s="318"/>
      <c r="AV1295" s="343"/>
      <c r="AW1295" s="357">
        <v>2.1</v>
      </c>
      <c r="AX1295" s="294"/>
      <c r="AY1295" s="294"/>
      <c r="AZ1295" s="294"/>
      <c r="BA1295" s="294">
        <v>0.4</v>
      </c>
      <c r="BB1295" s="294"/>
      <c r="BC1295" s="294"/>
      <c r="BD1295" s="294"/>
      <c r="BE1295" s="294"/>
      <c r="BF1295" s="383">
        <f t="shared" si="107"/>
        <v>2.1</v>
      </c>
      <c r="BG1295" s="383">
        <v>2.6</v>
      </c>
      <c r="BH1295" s="375"/>
      <c r="BI1295" s="376"/>
      <c r="BJ1295" s="409"/>
    </row>
    <row r="1296" spans="1:62" ht="15" customHeight="1" thickBot="1" x14ac:dyDescent="0.25">
      <c r="A1296" s="156">
        <v>1297</v>
      </c>
      <c r="B1296" s="247">
        <v>1</v>
      </c>
      <c r="C1296" s="148" t="s">
        <v>24</v>
      </c>
      <c r="D1296" s="148" t="s">
        <v>2745</v>
      </c>
      <c r="E1296" s="148" t="s">
        <v>1068</v>
      </c>
      <c r="F1296" s="148"/>
      <c r="G1296" s="148"/>
      <c r="H1296" s="148" t="s">
        <v>108</v>
      </c>
      <c r="I1296" s="165">
        <v>2013</v>
      </c>
      <c r="J1296" s="165" t="s">
        <v>3184</v>
      </c>
      <c r="L1296" s="165" t="s">
        <v>19</v>
      </c>
      <c r="M1296" s="453" t="s">
        <v>4306</v>
      </c>
      <c r="N1296" s="186" t="s">
        <v>122</v>
      </c>
      <c r="O1296" s="186"/>
      <c r="P1296" s="186"/>
      <c r="Q1296" s="186" t="s">
        <v>122</v>
      </c>
      <c r="R1296" s="186" t="s">
        <v>122</v>
      </c>
      <c r="S1296" s="186" t="s">
        <v>122</v>
      </c>
      <c r="T1296" s="186"/>
      <c r="U1296" s="186"/>
      <c r="V1296" s="186"/>
      <c r="W1296" s="186"/>
      <c r="X1296" s="186"/>
      <c r="Y1296" s="186"/>
      <c r="Z1296" s="186"/>
      <c r="AA1296" s="186"/>
      <c r="AB1296" s="186"/>
      <c r="AC1296" s="186"/>
      <c r="AD1296" s="268" t="s">
        <v>3452</v>
      </c>
      <c r="AE1296" s="268"/>
      <c r="AF1296" s="144">
        <f t="shared" si="109"/>
        <v>41.3</v>
      </c>
      <c r="AG1296" s="144" t="str">
        <f t="shared" si="106"/>
        <v/>
      </c>
      <c r="AH1296" s="146">
        <f t="shared" si="110"/>
        <v>23.8</v>
      </c>
      <c r="AI1296" s="146" t="str">
        <f t="shared" si="111"/>
        <v/>
      </c>
      <c r="AJ1296" s="303">
        <v>41.3</v>
      </c>
      <c r="AK1296" s="303"/>
      <c r="AL1296" s="303"/>
      <c r="AM1296" s="303"/>
      <c r="AN1296" s="303"/>
      <c r="AO1296" s="303"/>
      <c r="AP1296" s="303"/>
      <c r="AQ1296" s="303"/>
      <c r="AR1296" s="318"/>
      <c r="AS1296" s="227">
        <f t="shared" si="112"/>
        <v>41.3</v>
      </c>
      <c r="AT1296" s="234">
        <v>44.4</v>
      </c>
      <c r="AU1296" s="318"/>
      <c r="AV1296" s="343"/>
      <c r="AW1296" s="357">
        <v>23.8</v>
      </c>
      <c r="AX1296" s="294"/>
      <c r="AY1296" s="294"/>
      <c r="AZ1296" s="294"/>
      <c r="BA1296" s="294"/>
      <c r="BB1296" s="294"/>
      <c r="BC1296" s="294"/>
      <c r="BD1296" s="294"/>
      <c r="BE1296" s="294"/>
      <c r="BF1296" s="383">
        <f t="shared" si="107"/>
        <v>23.8</v>
      </c>
      <c r="BG1296" s="383">
        <v>24</v>
      </c>
      <c r="BH1296" s="375"/>
      <c r="BI1296" s="376"/>
      <c r="BJ1296" s="409"/>
    </row>
    <row r="1297" spans="1:62" ht="15" customHeight="1" thickBot="1" x14ac:dyDescent="0.25">
      <c r="A1297" s="156">
        <v>1298</v>
      </c>
      <c r="B1297" s="247">
        <v>1</v>
      </c>
      <c r="C1297" s="148" t="s">
        <v>24</v>
      </c>
      <c r="D1297" s="148" t="s">
        <v>2745</v>
      </c>
      <c r="E1297" s="148" t="s">
        <v>1068</v>
      </c>
      <c r="F1297" s="148" t="s">
        <v>3448</v>
      </c>
      <c r="G1297" s="148"/>
      <c r="H1297" s="148" t="s">
        <v>375</v>
      </c>
      <c r="I1297" s="165">
        <v>2013</v>
      </c>
      <c r="J1297" s="165" t="s">
        <v>3184</v>
      </c>
      <c r="L1297" s="165" t="s">
        <v>19</v>
      </c>
      <c r="M1297" s="453" t="s">
        <v>4306</v>
      </c>
      <c r="N1297" s="186" t="s">
        <v>122</v>
      </c>
      <c r="O1297" s="186"/>
      <c r="P1297" s="186"/>
      <c r="Q1297" s="186" t="s">
        <v>122</v>
      </c>
      <c r="R1297" s="186" t="s">
        <v>122</v>
      </c>
      <c r="S1297" s="186" t="s">
        <v>122</v>
      </c>
      <c r="T1297" s="186"/>
      <c r="U1297" s="186"/>
      <c r="V1297" s="186"/>
      <c r="W1297" s="186"/>
      <c r="X1297" s="186"/>
      <c r="Y1297" s="186"/>
      <c r="Z1297" s="186"/>
      <c r="AA1297" s="186"/>
      <c r="AB1297" s="186"/>
      <c r="AC1297" s="186"/>
      <c r="AD1297" s="268" t="s">
        <v>3452</v>
      </c>
      <c r="AE1297" s="268"/>
      <c r="AF1297" s="144">
        <f t="shared" si="109"/>
        <v>7.8</v>
      </c>
      <c r="AG1297" s="144" t="str">
        <f t="shared" si="106"/>
        <v/>
      </c>
      <c r="AH1297" s="146">
        <f t="shared" si="110"/>
        <v>31.7</v>
      </c>
      <c r="AI1297" s="146" t="str">
        <f t="shared" si="111"/>
        <v/>
      </c>
      <c r="AJ1297" s="303">
        <v>7.8</v>
      </c>
      <c r="AK1297" s="303"/>
      <c r="AL1297" s="303"/>
      <c r="AM1297" s="303"/>
      <c r="AN1297" s="303">
        <v>4</v>
      </c>
      <c r="AO1297" s="303"/>
      <c r="AP1297" s="303"/>
      <c r="AQ1297" s="303"/>
      <c r="AR1297" s="318"/>
      <c r="AS1297" s="227">
        <f t="shared" si="112"/>
        <v>7.8</v>
      </c>
      <c r="AT1297" s="234">
        <v>17.100000000000001</v>
      </c>
      <c r="AU1297" s="318"/>
      <c r="AV1297" s="343"/>
      <c r="AW1297" s="357">
        <v>31.7</v>
      </c>
      <c r="AX1297" s="294"/>
      <c r="AY1297" s="294"/>
      <c r="AZ1297" s="294"/>
      <c r="BA1297" s="294">
        <v>0.3</v>
      </c>
      <c r="BB1297" s="294"/>
      <c r="BC1297" s="294"/>
      <c r="BD1297" s="294"/>
      <c r="BE1297" s="294"/>
      <c r="BF1297" s="383">
        <f t="shared" si="107"/>
        <v>31.7</v>
      </c>
      <c r="BG1297" s="383">
        <v>32.200000000000003</v>
      </c>
      <c r="BH1297" s="375"/>
      <c r="BI1297" s="376"/>
      <c r="BJ1297" s="409"/>
    </row>
    <row r="1298" spans="1:62" ht="15" customHeight="1" thickBot="1" x14ac:dyDescent="0.25">
      <c r="A1298" s="156">
        <v>1299</v>
      </c>
      <c r="B1298" s="247">
        <v>1</v>
      </c>
      <c r="C1298" s="148" t="s">
        <v>162</v>
      </c>
      <c r="D1298" s="148" t="s">
        <v>1755</v>
      </c>
      <c r="E1298" s="148" t="s">
        <v>13</v>
      </c>
      <c r="F1298" s="148"/>
      <c r="G1298" s="148"/>
      <c r="H1298" s="148" t="s">
        <v>566</v>
      </c>
      <c r="I1298" s="161">
        <v>2014</v>
      </c>
      <c r="J1298" s="161" t="s">
        <v>3453</v>
      </c>
      <c r="K1298" s="161"/>
      <c r="L1298" s="161" t="s">
        <v>19</v>
      </c>
      <c r="M1298" s="453" t="s">
        <v>4262</v>
      </c>
      <c r="N1298" s="186" t="s">
        <v>122</v>
      </c>
      <c r="O1298" s="186"/>
      <c r="P1298" s="186"/>
      <c r="Q1298" s="186"/>
      <c r="R1298" s="186"/>
      <c r="S1298" s="186"/>
      <c r="T1298" s="186"/>
      <c r="U1298" s="186"/>
      <c r="V1298" s="186"/>
      <c r="W1298" s="186"/>
      <c r="X1298" s="186"/>
      <c r="Y1298" s="186"/>
      <c r="Z1298" s="186"/>
      <c r="AA1298" s="186"/>
      <c r="AB1298" s="186"/>
      <c r="AC1298" s="186"/>
      <c r="AD1298" s="268" t="s">
        <v>3454</v>
      </c>
      <c r="AE1298" s="268"/>
      <c r="AF1298" s="144">
        <f t="shared" si="109"/>
        <v>6.77</v>
      </c>
      <c r="AG1298" s="144" t="str">
        <f t="shared" si="106"/>
        <v/>
      </c>
      <c r="AH1298" s="146">
        <f t="shared" si="110"/>
        <v>0.1968</v>
      </c>
      <c r="AI1298" s="146" t="str">
        <f t="shared" si="111"/>
        <v/>
      </c>
      <c r="AJ1298" s="303">
        <v>6.77</v>
      </c>
      <c r="AK1298" s="303"/>
      <c r="AL1298" s="303"/>
      <c r="AM1298" s="303"/>
      <c r="AN1298" s="303"/>
      <c r="AO1298" s="303"/>
      <c r="AP1298" s="303"/>
      <c r="AQ1298" s="303"/>
      <c r="AR1298" s="318"/>
      <c r="AS1298" s="227">
        <f t="shared" si="112"/>
        <v>6.77</v>
      </c>
      <c r="AT1298" s="234"/>
      <c r="AU1298" s="318"/>
      <c r="AV1298" s="343"/>
      <c r="AW1298" s="357">
        <v>0.1968</v>
      </c>
      <c r="AX1298" s="294"/>
      <c r="AY1298" s="294"/>
      <c r="AZ1298" s="294"/>
      <c r="BA1298" s="294"/>
      <c r="BB1298" s="294"/>
      <c r="BC1298" s="294"/>
      <c r="BD1298" s="294"/>
      <c r="BE1298" s="294"/>
      <c r="BF1298" s="383">
        <f t="shared" si="107"/>
        <v>0.1968</v>
      </c>
      <c r="BG1298" s="383"/>
      <c r="BH1298" s="375"/>
      <c r="BI1298" s="376"/>
      <c r="BJ1298" s="409"/>
    </row>
    <row r="1299" spans="1:62" ht="15" customHeight="1" thickBot="1" x14ac:dyDescent="0.25">
      <c r="A1299" s="156">
        <v>1300</v>
      </c>
      <c r="B1299" s="247">
        <v>1</v>
      </c>
      <c r="C1299" s="148" t="s">
        <v>162</v>
      </c>
      <c r="D1299" s="148" t="s">
        <v>868</v>
      </c>
      <c r="E1299" s="148" t="s">
        <v>13</v>
      </c>
      <c r="F1299" s="148" t="s">
        <v>3455</v>
      </c>
      <c r="G1299" s="148" t="s">
        <v>122</v>
      </c>
      <c r="H1299" s="148" t="s">
        <v>909</v>
      </c>
      <c r="I1299" s="161">
        <v>2009</v>
      </c>
      <c r="J1299" s="161" t="s">
        <v>3456</v>
      </c>
      <c r="K1299" s="161"/>
      <c r="L1299" s="161" t="s">
        <v>19</v>
      </c>
      <c r="M1299" s="453" t="s">
        <v>4326</v>
      </c>
      <c r="N1299" s="186" t="s">
        <v>122</v>
      </c>
      <c r="O1299" s="186"/>
      <c r="P1299" s="186"/>
      <c r="Q1299" s="186"/>
      <c r="R1299" s="186"/>
      <c r="S1299" s="186"/>
      <c r="T1299" s="186"/>
      <c r="U1299" s="186"/>
      <c r="V1299" s="186"/>
      <c r="W1299" s="186"/>
      <c r="X1299" s="186"/>
      <c r="Y1299" s="186"/>
      <c r="Z1299" s="186"/>
      <c r="AA1299" s="186"/>
      <c r="AB1299" s="186"/>
      <c r="AC1299" s="186"/>
      <c r="AD1299" s="268" t="s">
        <v>3457</v>
      </c>
      <c r="AE1299" s="268"/>
      <c r="AF1299" s="144" t="str">
        <f t="shared" si="109"/>
        <v/>
      </c>
      <c r="AG1299" s="144" t="str">
        <f t="shared" ref="AG1299:AG1362" si="113">IF(AND(SUM(AJ1299:AL1299)&lt;&gt;0,SUM(AJ1299:AL1299)&lt;&gt;AJ1299),SUM(AJ1299:AL1299),"")</f>
        <v/>
      </c>
      <c r="AH1299" s="146">
        <f t="shared" si="110"/>
        <v>9.4E-2</v>
      </c>
      <c r="AI1299" s="146" t="str">
        <f t="shared" si="111"/>
        <v/>
      </c>
      <c r="AJ1299" s="303"/>
      <c r="AK1299" s="303"/>
      <c r="AL1299" s="303"/>
      <c r="AM1299" s="303"/>
      <c r="AN1299" s="303"/>
      <c r="AO1299" s="303"/>
      <c r="AP1299" s="303"/>
      <c r="AQ1299" s="303"/>
      <c r="AR1299" s="318"/>
      <c r="AS1299" s="227"/>
      <c r="AT1299" s="234"/>
      <c r="AU1299" s="318"/>
      <c r="AV1299" s="343"/>
      <c r="AW1299" s="357">
        <v>9.4E-2</v>
      </c>
      <c r="AX1299" s="294"/>
      <c r="AY1299" s="294"/>
      <c r="AZ1299" s="294"/>
      <c r="BA1299" s="294"/>
      <c r="BB1299" s="294"/>
      <c r="BC1299" s="294"/>
      <c r="BD1299" s="294"/>
      <c r="BE1299" s="294"/>
      <c r="BF1299" s="383">
        <f t="shared" si="107"/>
        <v>9.4E-2</v>
      </c>
      <c r="BG1299" s="383"/>
      <c r="BH1299" s="375"/>
      <c r="BI1299" s="376"/>
      <c r="BJ1299" s="409"/>
    </row>
    <row r="1300" spans="1:62" ht="15" customHeight="1" thickBot="1" x14ac:dyDescent="0.25">
      <c r="A1300" s="156">
        <v>1301</v>
      </c>
      <c r="B1300" s="247">
        <v>1</v>
      </c>
      <c r="C1300" s="148" t="s">
        <v>162</v>
      </c>
      <c r="D1300" s="148" t="s">
        <v>868</v>
      </c>
      <c r="E1300" s="148" t="s">
        <v>13</v>
      </c>
      <c r="F1300" s="148" t="s">
        <v>3458</v>
      </c>
      <c r="G1300" s="148" t="s">
        <v>122</v>
      </c>
      <c r="H1300" s="148" t="s">
        <v>909</v>
      </c>
      <c r="I1300" s="161">
        <v>2009</v>
      </c>
      <c r="J1300" s="161" t="s">
        <v>3456</v>
      </c>
      <c r="K1300" s="161"/>
      <c r="L1300" s="161" t="s">
        <v>19</v>
      </c>
      <c r="M1300" s="453" t="s">
        <v>4326</v>
      </c>
      <c r="N1300" s="186" t="s">
        <v>122</v>
      </c>
      <c r="O1300" s="186"/>
      <c r="P1300" s="186"/>
      <c r="Q1300" s="186"/>
      <c r="R1300" s="186"/>
      <c r="S1300" s="186"/>
      <c r="T1300" s="186"/>
      <c r="U1300" s="186"/>
      <c r="V1300" s="186"/>
      <c r="W1300" s="186"/>
      <c r="X1300" s="186"/>
      <c r="Y1300" s="186"/>
      <c r="Z1300" s="186"/>
      <c r="AA1300" s="186"/>
      <c r="AB1300" s="186"/>
      <c r="AC1300" s="186"/>
      <c r="AD1300" s="268" t="s">
        <v>3457</v>
      </c>
      <c r="AE1300" s="268"/>
      <c r="AF1300" s="144" t="str">
        <f t="shared" si="109"/>
        <v/>
      </c>
      <c r="AG1300" s="144" t="str">
        <f t="shared" si="113"/>
        <v/>
      </c>
      <c r="AH1300" s="146">
        <f t="shared" si="110"/>
        <v>4.3999999999999997E-2</v>
      </c>
      <c r="AI1300" s="146" t="str">
        <f t="shared" si="111"/>
        <v/>
      </c>
      <c r="AJ1300" s="303"/>
      <c r="AK1300" s="303"/>
      <c r="AL1300" s="303"/>
      <c r="AM1300" s="303"/>
      <c r="AN1300" s="303"/>
      <c r="AO1300" s="303"/>
      <c r="AP1300" s="303"/>
      <c r="AQ1300" s="303"/>
      <c r="AR1300" s="318"/>
      <c r="AS1300" s="227"/>
      <c r="AT1300" s="234"/>
      <c r="AU1300" s="318"/>
      <c r="AV1300" s="343"/>
      <c r="AW1300" s="357">
        <v>4.3999999999999997E-2</v>
      </c>
      <c r="AX1300" s="294"/>
      <c r="AY1300" s="294"/>
      <c r="AZ1300" s="294"/>
      <c r="BA1300" s="294"/>
      <c r="BB1300" s="294"/>
      <c r="BC1300" s="294"/>
      <c r="BD1300" s="294"/>
      <c r="BE1300" s="294"/>
      <c r="BF1300" s="383">
        <f t="shared" si="107"/>
        <v>4.3999999999999997E-2</v>
      </c>
      <c r="BG1300" s="383"/>
      <c r="BH1300" s="375"/>
      <c r="BI1300" s="376"/>
      <c r="BJ1300" s="409"/>
    </row>
    <row r="1301" spans="1:62" ht="15" customHeight="1" thickBot="1" x14ac:dyDescent="0.25">
      <c r="A1301" s="156">
        <v>1302</v>
      </c>
      <c r="B1301" s="247">
        <v>1</v>
      </c>
      <c r="C1301" s="148" t="s">
        <v>162</v>
      </c>
      <c r="D1301" s="148" t="s">
        <v>1805</v>
      </c>
      <c r="E1301" s="148" t="s">
        <v>13</v>
      </c>
      <c r="F1301" s="148" t="s">
        <v>3459</v>
      </c>
      <c r="G1301" s="148"/>
      <c r="H1301" s="148" t="s">
        <v>73</v>
      </c>
      <c r="I1301" s="161">
        <v>2012</v>
      </c>
      <c r="J1301" s="161" t="s">
        <v>3460</v>
      </c>
      <c r="K1301" s="161"/>
      <c r="L1301" s="161" t="s">
        <v>19</v>
      </c>
      <c r="M1301" s="453" t="s">
        <v>4327</v>
      </c>
      <c r="N1301" s="186" t="s">
        <v>122</v>
      </c>
      <c r="O1301" s="186"/>
      <c r="P1301" s="186"/>
      <c r="Q1301" s="186"/>
      <c r="R1301" s="186"/>
      <c r="S1301" s="186"/>
      <c r="T1301" s="186"/>
      <c r="U1301" s="186"/>
      <c r="V1301" s="186"/>
      <c r="W1301" s="186"/>
      <c r="X1301" s="186"/>
      <c r="Y1301" s="186"/>
      <c r="Z1301" s="186"/>
      <c r="AA1301" s="186"/>
      <c r="AB1301" s="186"/>
      <c r="AC1301" s="186"/>
      <c r="AD1301" s="268" t="s">
        <v>3461</v>
      </c>
      <c r="AE1301" s="268"/>
      <c r="AF1301" s="144" t="str">
        <f t="shared" si="109"/>
        <v/>
      </c>
      <c r="AG1301" s="144" t="str">
        <f t="shared" si="113"/>
        <v/>
      </c>
      <c r="AH1301" s="146">
        <f t="shared" si="110"/>
        <v>0.13600000000000001</v>
      </c>
      <c r="AI1301" s="146" t="str">
        <f t="shared" si="111"/>
        <v/>
      </c>
      <c r="AJ1301" s="303"/>
      <c r="AK1301" s="303"/>
      <c r="AL1301" s="303"/>
      <c r="AM1301" s="303"/>
      <c r="AN1301" s="303"/>
      <c r="AO1301" s="303"/>
      <c r="AP1301" s="303"/>
      <c r="AQ1301" s="303"/>
      <c r="AR1301" s="318"/>
      <c r="AS1301" s="227"/>
      <c r="AT1301" s="234"/>
      <c r="AU1301" s="318"/>
      <c r="AV1301" s="343"/>
      <c r="AW1301" s="357">
        <v>0.13600000000000001</v>
      </c>
      <c r="AX1301" s="294"/>
      <c r="AY1301" s="294"/>
      <c r="AZ1301" s="294"/>
      <c r="BA1301" s="294"/>
      <c r="BB1301" s="294"/>
      <c r="BC1301" s="294"/>
      <c r="BD1301" s="294"/>
      <c r="BE1301" s="294"/>
      <c r="BF1301" s="383">
        <f t="shared" si="107"/>
        <v>0.13600000000000001</v>
      </c>
      <c r="BG1301" s="383"/>
      <c r="BH1301" s="375"/>
      <c r="BI1301" s="376"/>
      <c r="BJ1301" s="409"/>
    </row>
    <row r="1302" spans="1:62" ht="15" customHeight="1" thickBot="1" x14ac:dyDescent="0.25">
      <c r="A1302" s="156">
        <v>1303</v>
      </c>
      <c r="B1302" s="247">
        <v>1</v>
      </c>
      <c r="C1302" s="148" t="s">
        <v>162</v>
      </c>
      <c r="D1302" s="148" t="s">
        <v>1805</v>
      </c>
      <c r="E1302" s="148" t="s">
        <v>13</v>
      </c>
      <c r="F1302" s="148" t="s">
        <v>3462</v>
      </c>
      <c r="G1302" s="148"/>
      <c r="H1302" s="148" t="s">
        <v>73</v>
      </c>
      <c r="I1302" s="161">
        <v>2012</v>
      </c>
      <c r="J1302" s="161" t="s">
        <v>3460</v>
      </c>
      <c r="K1302" s="161"/>
      <c r="L1302" s="161" t="s">
        <v>19</v>
      </c>
      <c r="M1302" s="453" t="s">
        <v>4327</v>
      </c>
      <c r="N1302" s="186" t="s">
        <v>122</v>
      </c>
      <c r="O1302" s="186"/>
      <c r="P1302" s="186"/>
      <c r="Q1302" s="186"/>
      <c r="R1302" s="186"/>
      <c r="S1302" s="186"/>
      <c r="T1302" s="186"/>
      <c r="U1302" s="186"/>
      <c r="V1302" s="186"/>
      <c r="W1302" s="186"/>
      <c r="X1302" s="186"/>
      <c r="Y1302" s="186"/>
      <c r="Z1302" s="186"/>
      <c r="AA1302" s="186"/>
      <c r="AB1302" s="186"/>
      <c r="AC1302" s="186"/>
      <c r="AD1302" s="268" t="s">
        <v>3461</v>
      </c>
      <c r="AE1302" s="268"/>
      <c r="AF1302" s="144" t="str">
        <f t="shared" si="109"/>
        <v/>
      </c>
      <c r="AG1302" s="144" t="str">
        <f t="shared" si="113"/>
        <v/>
      </c>
      <c r="AH1302" s="146">
        <f t="shared" si="110"/>
        <v>0.35599999999999998</v>
      </c>
      <c r="AI1302" s="146" t="str">
        <f t="shared" si="111"/>
        <v/>
      </c>
      <c r="AJ1302" s="306"/>
      <c r="AK1302" s="306"/>
      <c r="AL1302" s="306"/>
      <c r="AM1302" s="306"/>
      <c r="AN1302" s="306"/>
      <c r="AO1302" s="306"/>
      <c r="AP1302" s="306"/>
      <c r="AQ1302" s="306"/>
      <c r="AR1302" s="425"/>
      <c r="AS1302" s="227"/>
      <c r="AT1302" s="233"/>
      <c r="AU1302" s="425"/>
      <c r="AV1302" s="343"/>
      <c r="AW1302" s="357">
        <v>0.35599999999999998</v>
      </c>
      <c r="AX1302" s="294"/>
      <c r="AY1302" s="294"/>
      <c r="AZ1302" s="294"/>
      <c r="BA1302" s="294"/>
      <c r="BB1302" s="294"/>
      <c r="BC1302" s="294"/>
      <c r="BD1302" s="294"/>
      <c r="BE1302" s="294"/>
      <c r="BF1302" s="383">
        <f t="shared" si="107"/>
        <v>0.35599999999999998</v>
      </c>
      <c r="BG1302" s="383"/>
      <c r="BH1302" s="375"/>
      <c r="BI1302" s="376"/>
      <c r="BJ1302" s="409"/>
    </row>
    <row r="1303" spans="1:62" ht="15" customHeight="1" thickBot="1" x14ac:dyDescent="0.25">
      <c r="A1303" s="156">
        <v>1304</v>
      </c>
      <c r="B1303" s="247">
        <v>1</v>
      </c>
      <c r="C1303" s="148" t="s">
        <v>162</v>
      </c>
      <c r="D1303" s="148" t="s">
        <v>1805</v>
      </c>
      <c r="E1303" s="148" t="s">
        <v>13</v>
      </c>
      <c r="F1303" s="148" t="s">
        <v>3463</v>
      </c>
      <c r="G1303" s="148"/>
      <c r="H1303" s="148" t="s">
        <v>73</v>
      </c>
      <c r="I1303" s="161">
        <v>2012</v>
      </c>
      <c r="J1303" s="161" t="s">
        <v>3460</v>
      </c>
      <c r="K1303" s="161"/>
      <c r="L1303" s="161" t="s">
        <v>19</v>
      </c>
      <c r="M1303" s="453" t="s">
        <v>4327</v>
      </c>
      <c r="N1303" s="186" t="s">
        <v>122</v>
      </c>
      <c r="O1303" s="186"/>
      <c r="P1303" s="186"/>
      <c r="Q1303" s="186"/>
      <c r="R1303" s="186"/>
      <c r="S1303" s="186"/>
      <c r="T1303" s="186"/>
      <c r="U1303" s="186"/>
      <c r="V1303" s="186"/>
      <c r="W1303" s="186"/>
      <c r="X1303" s="186"/>
      <c r="Y1303" s="186"/>
      <c r="Z1303" s="186"/>
      <c r="AA1303" s="186"/>
      <c r="AB1303" s="186"/>
      <c r="AC1303" s="186"/>
      <c r="AD1303" s="268" t="s">
        <v>3461</v>
      </c>
      <c r="AE1303" s="268"/>
      <c r="AF1303" s="144" t="str">
        <f t="shared" si="109"/>
        <v/>
      </c>
      <c r="AG1303" s="144" t="str">
        <f t="shared" si="113"/>
        <v/>
      </c>
      <c r="AH1303" s="146">
        <f t="shared" si="110"/>
        <v>0.10199999999999999</v>
      </c>
      <c r="AI1303" s="146" t="str">
        <f t="shared" si="111"/>
        <v/>
      </c>
      <c r="AJ1303" s="303"/>
      <c r="AK1303" s="303"/>
      <c r="AL1303" s="303"/>
      <c r="AM1303" s="303"/>
      <c r="AN1303" s="303"/>
      <c r="AO1303" s="303"/>
      <c r="AP1303" s="303"/>
      <c r="AQ1303" s="303"/>
      <c r="AR1303" s="318"/>
      <c r="AS1303" s="227"/>
      <c r="AT1303" s="233"/>
      <c r="AU1303" s="318"/>
      <c r="AV1303" s="343"/>
      <c r="AW1303" s="357">
        <v>0.10199999999999999</v>
      </c>
      <c r="AX1303" s="294"/>
      <c r="AY1303" s="294"/>
      <c r="AZ1303" s="294"/>
      <c r="BA1303" s="294"/>
      <c r="BB1303" s="294"/>
      <c r="BC1303" s="294"/>
      <c r="BD1303" s="294"/>
      <c r="BE1303" s="294"/>
      <c r="BF1303" s="383">
        <f t="shared" si="107"/>
        <v>0.10199999999999999</v>
      </c>
      <c r="BG1303" s="383"/>
      <c r="BH1303" s="375"/>
      <c r="BI1303" s="376"/>
      <c r="BJ1303" s="409"/>
    </row>
    <row r="1304" spans="1:62" ht="15" customHeight="1" thickBot="1" x14ac:dyDescent="0.25">
      <c r="A1304" s="156">
        <v>1305</v>
      </c>
      <c r="B1304" s="247">
        <v>1</v>
      </c>
      <c r="C1304" s="148" t="s">
        <v>162</v>
      </c>
      <c r="D1304" s="148" t="s">
        <v>1805</v>
      </c>
      <c r="E1304" s="148" t="s">
        <v>13</v>
      </c>
      <c r="F1304" s="148" t="s">
        <v>3464</v>
      </c>
      <c r="G1304" s="148"/>
      <c r="H1304" s="148" t="s">
        <v>73</v>
      </c>
      <c r="I1304" s="161">
        <v>2012</v>
      </c>
      <c r="J1304" s="161" t="s">
        <v>3460</v>
      </c>
      <c r="K1304" s="161"/>
      <c r="L1304" s="161" t="s">
        <v>19</v>
      </c>
      <c r="M1304" s="453" t="s">
        <v>4327</v>
      </c>
      <c r="N1304" s="186" t="s">
        <v>122</v>
      </c>
      <c r="O1304" s="186"/>
      <c r="P1304" s="186"/>
      <c r="Q1304" s="186"/>
      <c r="R1304" s="186"/>
      <c r="S1304" s="186"/>
      <c r="T1304" s="186"/>
      <c r="U1304" s="186"/>
      <c r="V1304" s="186"/>
      <c r="W1304" s="186"/>
      <c r="X1304" s="186"/>
      <c r="Y1304" s="186"/>
      <c r="Z1304" s="186"/>
      <c r="AA1304" s="186"/>
      <c r="AB1304" s="186"/>
      <c r="AC1304" s="186"/>
      <c r="AD1304" s="268" t="s">
        <v>3461</v>
      </c>
      <c r="AE1304" s="268"/>
      <c r="AF1304" s="144" t="str">
        <f t="shared" si="109"/>
        <v/>
      </c>
      <c r="AG1304" s="144" t="str">
        <f t="shared" si="113"/>
        <v/>
      </c>
      <c r="AH1304" s="146">
        <f t="shared" si="110"/>
        <v>0.16900000000000001</v>
      </c>
      <c r="AI1304" s="146" t="str">
        <f t="shared" si="111"/>
        <v/>
      </c>
      <c r="AJ1304" s="303"/>
      <c r="AK1304" s="303"/>
      <c r="AL1304" s="303"/>
      <c r="AM1304" s="303"/>
      <c r="AN1304" s="303"/>
      <c r="AO1304" s="303"/>
      <c r="AP1304" s="303"/>
      <c r="AQ1304" s="303"/>
      <c r="AR1304" s="318"/>
      <c r="AS1304" s="227"/>
      <c r="AT1304" s="233"/>
      <c r="AU1304" s="318"/>
      <c r="AV1304" s="343"/>
      <c r="AW1304" s="357">
        <v>0.16900000000000001</v>
      </c>
      <c r="AX1304" s="294"/>
      <c r="AY1304" s="294"/>
      <c r="AZ1304" s="294"/>
      <c r="BA1304" s="294"/>
      <c r="BB1304" s="294"/>
      <c r="BC1304" s="294"/>
      <c r="BD1304" s="294"/>
      <c r="BE1304" s="294"/>
      <c r="BF1304" s="383">
        <f t="shared" si="107"/>
        <v>0.16900000000000001</v>
      </c>
      <c r="BG1304" s="383"/>
      <c r="BH1304" s="375"/>
      <c r="BI1304" s="376"/>
      <c r="BJ1304" s="409"/>
    </row>
    <row r="1305" spans="1:62" ht="15" customHeight="1" thickBot="1" x14ac:dyDescent="0.25">
      <c r="A1305" s="156">
        <v>1306</v>
      </c>
      <c r="B1305" s="247">
        <v>1</v>
      </c>
      <c r="C1305" s="148" t="s">
        <v>162</v>
      </c>
      <c r="D1305" s="148" t="s">
        <v>1805</v>
      </c>
      <c r="E1305" s="148" t="s">
        <v>13</v>
      </c>
      <c r="F1305" s="148" t="s">
        <v>3465</v>
      </c>
      <c r="G1305" s="148"/>
      <c r="H1305" s="148" t="s">
        <v>73</v>
      </c>
      <c r="I1305" s="161">
        <v>2012</v>
      </c>
      <c r="J1305" s="161" t="s">
        <v>3460</v>
      </c>
      <c r="K1305" s="161"/>
      <c r="L1305" s="161" t="s">
        <v>19</v>
      </c>
      <c r="M1305" s="453" t="s">
        <v>4327</v>
      </c>
      <c r="N1305" s="186" t="s">
        <v>122</v>
      </c>
      <c r="O1305" s="186"/>
      <c r="P1305" s="186"/>
      <c r="Q1305" s="186"/>
      <c r="R1305" s="186"/>
      <c r="S1305" s="186"/>
      <c r="T1305" s="186"/>
      <c r="U1305" s="186"/>
      <c r="V1305" s="186"/>
      <c r="W1305" s="186"/>
      <c r="X1305" s="186"/>
      <c r="Y1305" s="186"/>
      <c r="Z1305" s="186"/>
      <c r="AA1305" s="186"/>
      <c r="AB1305" s="186"/>
      <c r="AC1305" s="186"/>
      <c r="AD1305" s="268" t="s">
        <v>3461</v>
      </c>
      <c r="AE1305" s="268"/>
      <c r="AF1305" s="144" t="str">
        <f t="shared" si="109"/>
        <v/>
      </c>
      <c r="AG1305" s="144" t="str">
        <f t="shared" si="113"/>
        <v/>
      </c>
      <c r="AH1305" s="146">
        <f t="shared" si="110"/>
        <v>0.10100000000000001</v>
      </c>
      <c r="AI1305" s="146" t="str">
        <f t="shared" si="111"/>
        <v/>
      </c>
      <c r="AJ1305" s="303"/>
      <c r="AK1305" s="303"/>
      <c r="AL1305" s="303"/>
      <c r="AM1305" s="303"/>
      <c r="AN1305" s="303"/>
      <c r="AO1305" s="303"/>
      <c r="AP1305" s="303"/>
      <c r="AQ1305" s="303"/>
      <c r="AR1305" s="318"/>
      <c r="AS1305" s="227"/>
      <c r="AT1305" s="233"/>
      <c r="AU1305" s="318"/>
      <c r="AV1305" s="343"/>
      <c r="AW1305" s="357">
        <v>0.10100000000000001</v>
      </c>
      <c r="AX1305" s="293"/>
      <c r="AY1305" s="294"/>
      <c r="AZ1305" s="294"/>
      <c r="BA1305" s="294"/>
      <c r="BB1305" s="294"/>
      <c r="BC1305" s="294"/>
      <c r="BD1305" s="294"/>
      <c r="BE1305" s="294"/>
      <c r="BF1305" s="383">
        <f t="shared" si="107"/>
        <v>0.10100000000000001</v>
      </c>
      <c r="BG1305" s="383"/>
      <c r="BH1305" s="375"/>
      <c r="BI1305" s="376"/>
      <c r="BJ1305" s="409"/>
    </row>
    <row r="1306" spans="1:62" ht="15" customHeight="1" thickBot="1" x14ac:dyDescent="0.25">
      <c r="A1306" s="156">
        <v>1307</v>
      </c>
      <c r="B1306" s="247">
        <v>1</v>
      </c>
      <c r="C1306" s="148" t="s">
        <v>162</v>
      </c>
      <c r="D1306" s="148" t="s">
        <v>1805</v>
      </c>
      <c r="E1306" s="148" t="s">
        <v>13</v>
      </c>
      <c r="F1306" s="148" t="s">
        <v>3466</v>
      </c>
      <c r="G1306" s="148"/>
      <c r="H1306" s="148" t="s">
        <v>73</v>
      </c>
      <c r="I1306" s="161">
        <v>2012</v>
      </c>
      <c r="J1306" s="161" t="s">
        <v>3460</v>
      </c>
      <c r="K1306" s="161"/>
      <c r="L1306" s="161" t="s">
        <v>19</v>
      </c>
      <c r="M1306" s="453" t="s">
        <v>4327</v>
      </c>
      <c r="N1306" s="186" t="s">
        <v>122</v>
      </c>
      <c r="O1306" s="186"/>
      <c r="P1306" s="186"/>
      <c r="Q1306" s="186"/>
      <c r="R1306" s="186"/>
      <c r="S1306" s="186"/>
      <c r="T1306" s="186"/>
      <c r="U1306" s="186"/>
      <c r="V1306" s="186"/>
      <c r="W1306" s="186"/>
      <c r="X1306" s="186"/>
      <c r="Y1306" s="186"/>
      <c r="Z1306" s="186"/>
      <c r="AA1306" s="186"/>
      <c r="AB1306" s="186"/>
      <c r="AC1306" s="186"/>
      <c r="AD1306" s="268" t="s">
        <v>3461</v>
      </c>
      <c r="AE1306" s="268"/>
      <c r="AF1306" s="144" t="str">
        <f t="shared" si="109"/>
        <v/>
      </c>
      <c r="AG1306" s="144" t="str">
        <f t="shared" si="113"/>
        <v/>
      </c>
      <c r="AH1306" s="146">
        <f t="shared" si="110"/>
        <v>2.89</v>
      </c>
      <c r="AI1306" s="146" t="str">
        <f t="shared" si="111"/>
        <v/>
      </c>
      <c r="AJ1306" s="303"/>
      <c r="AK1306" s="303"/>
      <c r="AL1306" s="303"/>
      <c r="AM1306" s="303"/>
      <c r="AN1306" s="303"/>
      <c r="AO1306" s="303"/>
      <c r="AP1306" s="303"/>
      <c r="AQ1306" s="303"/>
      <c r="AR1306" s="318"/>
      <c r="AS1306" s="227"/>
      <c r="AT1306" s="233"/>
      <c r="AU1306" s="318"/>
      <c r="AV1306" s="343"/>
      <c r="AW1306" s="359">
        <v>2.89</v>
      </c>
      <c r="AX1306" s="278"/>
      <c r="AY1306" s="357"/>
      <c r="AZ1306" s="294"/>
      <c r="BA1306" s="294"/>
      <c r="BB1306" s="294"/>
      <c r="BC1306" s="294"/>
      <c r="BD1306" s="294"/>
      <c r="BE1306" s="294"/>
      <c r="BF1306" s="383">
        <f t="shared" si="107"/>
        <v>2.89</v>
      </c>
      <c r="BG1306" s="383"/>
      <c r="BH1306" s="375"/>
      <c r="BI1306" s="376"/>
      <c r="BJ1306" s="409"/>
    </row>
    <row r="1307" spans="1:62" ht="15" customHeight="1" thickBot="1" x14ac:dyDescent="0.25">
      <c r="A1307" s="156">
        <v>1308</v>
      </c>
      <c r="B1307" s="247">
        <v>1</v>
      </c>
      <c r="C1307" s="148" t="s">
        <v>259</v>
      </c>
      <c r="D1307" s="148" t="s">
        <v>3832</v>
      </c>
      <c r="E1307" s="148" t="s">
        <v>13</v>
      </c>
      <c r="F1307" s="148"/>
      <c r="G1307" s="148"/>
      <c r="H1307" s="148" t="s">
        <v>351</v>
      </c>
      <c r="I1307" s="161">
        <v>2014</v>
      </c>
      <c r="J1307" s="161" t="s">
        <v>3467</v>
      </c>
      <c r="K1307" s="161"/>
      <c r="L1307" s="161" t="s">
        <v>19</v>
      </c>
      <c r="M1307" s="453" t="s">
        <v>4328</v>
      </c>
      <c r="N1307" s="186" t="s">
        <v>122</v>
      </c>
      <c r="O1307" s="186"/>
      <c r="P1307" s="186"/>
      <c r="Q1307" s="186" t="s">
        <v>122</v>
      </c>
      <c r="R1307" s="186" t="s">
        <v>122</v>
      </c>
      <c r="S1307" s="186" t="s">
        <v>122</v>
      </c>
      <c r="T1307" s="186" t="s">
        <v>122</v>
      </c>
      <c r="U1307" s="186" t="s">
        <v>122</v>
      </c>
      <c r="V1307" s="186" t="s">
        <v>122</v>
      </c>
      <c r="W1307" s="186" t="s">
        <v>122</v>
      </c>
      <c r="X1307" s="186" t="s">
        <v>292</v>
      </c>
      <c r="Y1307" s="186" t="s">
        <v>292</v>
      </c>
      <c r="Z1307" s="186"/>
      <c r="AA1307" s="186"/>
      <c r="AB1307" s="186"/>
      <c r="AC1307" s="186"/>
      <c r="AD1307" s="268"/>
      <c r="AE1307" s="268"/>
      <c r="AF1307" s="144" t="str">
        <f t="shared" si="109"/>
        <v/>
      </c>
      <c r="AG1307" s="144" t="str">
        <f t="shared" si="113"/>
        <v/>
      </c>
      <c r="AH1307" s="146">
        <f t="shared" si="110"/>
        <v>0.3</v>
      </c>
      <c r="AI1307" s="146">
        <f t="shared" si="111"/>
        <v>0.52</v>
      </c>
      <c r="AJ1307" s="303"/>
      <c r="AK1307" s="303"/>
      <c r="AL1307" s="303"/>
      <c r="AM1307" s="303"/>
      <c r="AN1307" s="303"/>
      <c r="AO1307" s="303"/>
      <c r="AP1307" s="303"/>
      <c r="AQ1307" s="303"/>
      <c r="AR1307" s="318"/>
      <c r="AS1307" s="227"/>
      <c r="AT1307" s="233"/>
      <c r="AU1307" s="318"/>
      <c r="AV1307" s="343"/>
      <c r="AW1307" s="360">
        <v>0.3</v>
      </c>
      <c r="AX1307" s="278"/>
      <c r="AY1307" s="357">
        <v>0.22</v>
      </c>
      <c r="AZ1307" s="294">
        <v>0.17</v>
      </c>
      <c r="BA1307" s="294">
        <v>4.2999999999999997E-2</v>
      </c>
      <c r="BB1307" s="294">
        <v>4.3999999999999997E-2</v>
      </c>
      <c r="BC1307" s="294">
        <f>0.23+0.054</f>
        <v>0.28400000000000003</v>
      </c>
      <c r="BD1307" s="294"/>
      <c r="BE1307" s="294"/>
      <c r="BF1307" s="383">
        <f t="shared" si="107"/>
        <v>0.3</v>
      </c>
      <c r="BG1307" s="383">
        <f>SUM(AW1307:BE1307)</f>
        <v>1.0610000000000002</v>
      </c>
      <c r="BH1307" s="378" t="s">
        <v>3468</v>
      </c>
      <c r="BI1307" s="376"/>
      <c r="BJ1307" s="409"/>
    </row>
    <row r="1308" spans="1:62" ht="15" customHeight="1" thickBot="1" x14ac:dyDescent="0.25">
      <c r="A1308" s="156">
        <v>1309</v>
      </c>
      <c r="B1308" s="247">
        <v>1</v>
      </c>
      <c r="C1308" s="148" t="s">
        <v>24</v>
      </c>
      <c r="D1308" s="148" t="s">
        <v>2745</v>
      </c>
      <c r="E1308" s="148" t="s">
        <v>13</v>
      </c>
      <c r="F1308" s="148"/>
      <c r="G1308" s="148"/>
      <c r="H1308" s="148" t="s">
        <v>351</v>
      </c>
      <c r="I1308" s="161">
        <v>2014</v>
      </c>
      <c r="J1308" s="161" t="s">
        <v>3467</v>
      </c>
      <c r="K1308" s="161"/>
      <c r="L1308" s="161" t="s">
        <v>19</v>
      </c>
      <c r="M1308" s="453" t="s">
        <v>4328</v>
      </c>
      <c r="N1308" s="186" t="s">
        <v>122</v>
      </c>
      <c r="O1308" s="186"/>
      <c r="P1308" s="186"/>
      <c r="Q1308" s="186" t="s">
        <v>122</v>
      </c>
      <c r="R1308" s="186" t="s">
        <v>122</v>
      </c>
      <c r="S1308" s="186" t="s">
        <v>122</v>
      </c>
      <c r="T1308" s="186" t="s">
        <v>122</v>
      </c>
      <c r="U1308" s="186" t="s">
        <v>122</v>
      </c>
      <c r="V1308" s="186" t="s">
        <v>122</v>
      </c>
      <c r="W1308" s="186" t="s">
        <v>122</v>
      </c>
      <c r="X1308" s="186" t="s">
        <v>292</v>
      </c>
      <c r="Y1308" s="186" t="s">
        <v>292</v>
      </c>
      <c r="Z1308" s="186"/>
      <c r="AA1308" s="186"/>
      <c r="AB1308" s="186"/>
      <c r="AC1308" s="186"/>
      <c r="AD1308" s="268" t="s">
        <v>3469</v>
      </c>
      <c r="AE1308" s="268" t="s">
        <v>276</v>
      </c>
      <c r="AF1308" s="144" t="str">
        <f t="shared" si="109"/>
        <v/>
      </c>
      <c r="AG1308" s="144" t="str">
        <f t="shared" si="113"/>
        <v/>
      </c>
      <c r="AH1308" s="146">
        <f t="shared" si="110"/>
        <v>37.037037037037038</v>
      </c>
      <c r="AI1308" s="146">
        <f t="shared" si="111"/>
        <v>37.338820301783265</v>
      </c>
      <c r="AJ1308" s="303"/>
      <c r="AK1308" s="303"/>
      <c r="AL1308" s="303"/>
      <c r="AM1308" s="303"/>
      <c r="AN1308" s="303"/>
      <c r="AO1308" s="303"/>
      <c r="AP1308" s="303"/>
      <c r="AQ1308" s="303"/>
      <c r="AR1308" s="318"/>
      <c r="AS1308" s="227"/>
      <c r="AT1308" s="233"/>
      <c r="AU1308" s="318"/>
      <c r="AV1308" s="343"/>
      <c r="AW1308" s="359">
        <f>27/0.729</f>
        <v>37.037037037037038</v>
      </c>
      <c r="AX1308" s="278"/>
      <c r="AY1308" s="357">
        <f>0.22/0.729</f>
        <v>0.30178326474622774</v>
      </c>
      <c r="AZ1308" s="294">
        <f>0.17/0.729</f>
        <v>0.23319615912208508</v>
      </c>
      <c r="BA1308" s="294">
        <f>0.93/0.729</f>
        <v>1.2757201646090537</v>
      </c>
      <c r="BB1308" s="294">
        <f>0.34/0.729</f>
        <v>0.46639231824417016</v>
      </c>
      <c r="BC1308" s="294">
        <f>(1.74+0.42)/0.729</f>
        <v>2.9629629629629632</v>
      </c>
      <c r="BD1308" s="294"/>
      <c r="BE1308" s="294"/>
      <c r="BF1308" s="383">
        <f t="shared" si="107"/>
        <v>37.037037037037038</v>
      </c>
      <c r="BG1308" s="383">
        <f>SUM(AW1308:BE1308)</f>
        <v>42.277091906721537</v>
      </c>
      <c r="BH1308" s="378" t="s">
        <v>3470</v>
      </c>
      <c r="BI1308" s="376"/>
      <c r="BJ1308" s="409"/>
    </row>
    <row r="1309" spans="1:62" ht="15" customHeight="1" thickBot="1" x14ac:dyDescent="0.25">
      <c r="A1309" s="156">
        <v>1310</v>
      </c>
      <c r="B1309" s="247">
        <v>1</v>
      </c>
      <c r="C1309" s="148" t="s">
        <v>760</v>
      </c>
      <c r="D1309" s="148" t="s">
        <v>3471</v>
      </c>
      <c r="E1309" s="148" t="s">
        <v>13</v>
      </c>
      <c r="F1309" s="148" t="s">
        <v>3472</v>
      </c>
      <c r="G1309" s="148"/>
      <c r="H1309" s="148" t="s">
        <v>1247</v>
      </c>
      <c r="I1309" s="161">
        <v>2015</v>
      </c>
      <c r="J1309" s="161" t="s">
        <v>3473</v>
      </c>
      <c r="K1309" s="161"/>
      <c r="L1309" s="161" t="s">
        <v>168</v>
      </c>
      <c r="M1309" s="453" t="s">
        <v>4329</v>
      </c>
      <c r="N1309" s="186" t="s">
        <v>122</v>
      </c>
      <c r="O1309" s="186" t="s">
        <v>292</v>
      </c>
      <c r="P1309" s="186" t="s">
        <v>122</v>
      </c>
      <c r="Q1309" s="186" t="s">
        <v>122</v>
      </c>
      <c r="R1309" s="186" t="s">
        <v>292</v>
      </c>
      <c r="S1309" s="186" t="s">
        <v>292</v>
      </c>
      <c r="T1309" s="186" t="s">
        <v>292</v>
      </c>
      <c r="U1309" s="186" t="s">
        <v>292</v>
      </c>
      <c r="V1309" s="186" t="s">
        <v>292</v>
      </c>
      <c r="W1309" s="186" t="s">
        <v>292</v>
      </c>
      <c r="X1309" s="186" t="s">
        <v>292</v>
      </c>
      <c r="Y1309" s="186" t="s">
        <v>292</v>
      </c>
      <c r="Z1309" s="186"/>
      <c r="AA1309" s="186"/>
      <c r="AB1309" s="186"/>
      <c r="AC1309" s="186"/>
      <c r="AD1309" s="268" t="s">
        <v>3474</v>
      </c>
      <c r="AE1309" s="268"/>
      <c r="AF1309" s="144" t="str">
        <f t="shared" si="109"/>
        <v/>
      </c>
      <c r="AG1309" s="144" t="str">
        <f t="shared" si="113"/>
        <v/>
      </c>
      <c r="AH1309" s="146">
        <f t="shared" si="110"/>
        <v>1.32</v>
      </c>
      <c r="AI1309" s="146">
        <f t="shared" si="111"/>
        <v>1.37</v>
      </c>
      <c r="AJ1309" s="303"/>
      <c r="AK1309" s="303"/>
      <c r="AL1309" s="303"/>
      <c r="AM1309" s="303"/>
      <c r="AN1309" s="303"/>
      <c r="AO1309" s="303"/>
      <c r="AP1309" s="303"/>
      <c r="AQ1309" s="303"/>
      <c r="AR1309" s="318"/>
      <c r="AS1309" s="227"/>
      <c r="AT1309" s="233"/>
      <c r="AU1309" s="318"/>
      <c r="AV1309" s="343"/>
      <c r="AW1309" s="359">
        <v>1.32</v>
      </c>
      <c r="AX1309" s="276"/>
      <c r="AY1309" s="357">
        <v>0.05</v>
      </c>
      <c r="AZ1309" s="294"/>
      <c r="BA1309" s="294"/>
      <c r="BB1309" s="294"/>
      <c r="BC1309" s="294"/>
      <c r="BD1309" s="294"/>
      <c r="BE1309" s="294"/>
      <c r="BF1309" s="383">
        <f t="shared" si="107"/>
        <v>1.32</v>
      </c>
      <c r="BG1309" s="383">
        <f>SUM(AW1309:BE1309)</f>
        <v>1.37</v>
      </c>
      <c r="BH1309" s="375"/>
      <c r="BI1309" s="376"/>
      <c r="BJ1309" s="409" t="s">
        <v>3475</v>
      </c>
    </row>
    <row r="1310" spans="1:62" ht="15" customHeight="1" thickBot="1" x14ac:dyDescent="0.25">
      <c r="A1310" s="156">
        <v>1311</v>
      </c>
      <c r="B1310" s="247">
        <v>1</v>
      </c>
      <c r="C1310" s="148" t="s">
        <v>760</v>
      </c>
      <c r="D1310" s="148" t="s">
        <v>3471</v>
      </c>
      <c r="E1310" s="148" t="s">
        <v>778</v>
      </c>
      <c r="F1310" s="148" t="s">
        <v>1068</v>
      </c>
      <c r="G1310" s="148"/>
      <c r="H1310" s="148" t="s">
        <v>1247</v>
      </c>
      <c r="I1310" s="161">
        <v>2015</v>
      </c>
      <c r="J1310" s="161" t="s">
        <v>3473</v>
      </c>
      <c r="K1310" s="161"/>
      <c r="L1310" s="161" t="s">
        <v>168</v>
      </c>
      <c r="M1310" s="453" t="s">
        <v>4329</v>
      </c>
      <c r="N1310" s="186" t="s">
        <v>122</v>
      </c>
      <c r="O1310" s="186" t="s">
        <v>292</v>
      </c>
      <c r="P1310" s="186" t="s">
        <v>122</v>
      </c>
      <c r="Q1310" s="186" t="s">
        <v>122</v>
      </c>
      <c r="R1310" s="186" t="s">
        <v>292</v>
      </c>
      <c r="S1310" s="186" t="s">
        <v>292</v>
      </c>
      <c r="T1310" s="186" t="s">
        <v>292</v>
      </c>
      <c r="U1310" s="186" t="s">
        <v>292</v>
      </c>
      <c r="V1310" s="186" t="s">
        <v>292</v>
      </c>
      <c r="W1310" s="186" t="s">
        <v>292</v>
      </c>
      <c r="X1310" s="186" t="s">
        <v>292</v>
      </c>
      <c r="Y1310" s="186" t="s">
        <v>292</v>
      </c>
      <c r="Z1310" s="186"/>
      <c r="AA1310" s="186"/>
      <c r="AB1310" s="186"/>
      <c r="AC1310" s="186"/>
      <c r="AD1310" s="268" t="s">
        <v>3474</v>
      </c>
      <c r="AE1310" s="268"/>
      <c r="AF1310" s="144" t="str">
        <f t="shared" si="109"/>
        <v/>
      </c>
      <c r="AG1310" s="144" t="str">
        <f t="shared" si="113"/>
        <v/>
      </c>
      <c r="AH1310" s="146">
        <f t="shared" si="110"/>
        <v>1.32</v>
      </c>
      <c r="AI1310" s="146">
        <f t="shared" si="111"/>
        <v>1.55</v>
      </c>
      <c r="AJ1310" s="303"/>
      <c r="AK1310" s="303"/>
      <c r="AL1310" s="303"/>
      <c r="AM1310" s="303"/>
      <c r="AN1310" s="303"/>
      <c r="AO1310" s="303"/>
      <c r="AP1310" s="303"/>
      <c r="AQ1310" s="303"/>
      <c r="AR1310" s="318"/>
      <c r="AS1310" s="227"/>
      <c r="AT1310" s="233"/>
      <c r="AU1310" s="318"/>
      <c r="AV1310" s="343"/>
      <c r="AW1310" s="360">
        <v>1.32</v>
      </c>
      <c r="AX1310" s="276"/>
      <c r="AY1310" s="357">
        <v>0.23</v>
      </c>
      <c r="AZ1310" s="294"/>
      <c r="BA1310" s="294"/>
      <c r="BB1310" s="294"/>
      <c r="BC1310" s="294"/>
      <c r="BD1310" s="294"/>
      <c r="BE1310" s="294"/>
      <c r="BF1310" s="383">
        <f t="shared" si="107"/>
        <v>1.32</v>
      </c>
      <c r="BG1310" s="383">
        <f>SUM(AW1310:BE1310)</f>
        <v>1.55</v>
      </c>
      <c r="BH1310" s="375"/>
      <c r="BI1310" s="376"/>
      <c r="BJ1310" s="409" t="s">
        <v>3475</v>
      </c>
    </row>
    <row r="1311" spans="1:62" ht="15" customHeight="1" thickBot="1" x14ac:dyDescent="0.25">
      <c r="A1311" s="156">
        <v>1312</v>
      </c>
      <c r="B1311" s="247">
        <v>1</v>
      </c>
      <c r="C1311" s="148" t="s">
        <v>3450</v>
      </c>
      <c r="D1311" s="148" t="s">
        <v>2769</v>
      </c>
      <c r="E1311" s="148" t="s">
        <v>13</v>
      </c>
      <c r="F1311" s="151" t="s">
        <v>3476</v>
      </c>
      <c r="G1311" s="148"/>
      <c r="H1311" s="148" t="s">
        <v>73</v>
      </c>
      <c r="I1311" s="161">
        <v>2005</v>
      </c>
      <c r="J1311" s="161" t="s">
        <v>3477</v>
      </c>
      <c r="K1311" s="161"/>
      <c r="L1311" s="161" t="s">
        <v>19</v>
      </c>
      <c r="M1311" s="453" t="s">
        <v>4330</v>
      </c>
      <c r="N1311" s="186" t="s">
        <v>122</v>
      </c>
      <c r="O1311" s="186"/>
      <c r="P1311" s="186"/>
      <c r="Q1311" s="186"/>
      <c r="R1311" s="186"/>
      <c r="S1311" s="186"/>
      <c r="T1311" s="186"/>
      <c r="U1311" s="186"/>
      <c r="V1311" s="186"/>
      <c r="W1311" s="186"/>
      <c r="X1311" s="186"/>
      <c r="Y1311" s="186"/>
      <c r="Z1311" s="186"/>
      <c r="AA1311" s="186"/>
      <c r="AB1311" s="186"/>
      <c r="AC1311" s="186"/>
      <c r="AD1311" s="268"/>
      <c r="AE1311" s="268"/>
      <c r="AF1311" s="144" t="str">
        <f t="shared" si="109"/>
        <v/>
      </c>
      <c r="AG1311" s="144" t="str">
        <f t="shared" si="113"/>
        <v/>
      </c>
      <c r="AH1311" s="146">
        <f t="shared" si="110"/>
        <v>0.22799310938845826</v>
      </c>
      <c r="AI1311" s="146" t="str">
        <f t="shared" si="111"/>
        <v/>
      </c>
      <c r="AJ1311" s="303"/>
      <c r="AK1311" s="303"/>
      <c r="AL1311" s="303"/>
      <c r="AM1311" s="303"/>
      <c r="AN1311" s="303"/>
      <c r="AO1311" s="303"/>
      <c r="AP1311" s="303"/>
      <c r="AQ1311" s="303"/>
      <c r="AR1311" s="318"/>
      <c r="AS1311" s="227"/>
      <c r="AT1311" s="233"/>
      <c r="AU1311" s="318"/>
      <c r="AV1311" s="343"/>
      <c r="AW1311" s="360">
        <v>0.22799310938845826</v>
      </c>
      <c r="AX1311" s="278"/>
      <c r="AY1311" s="357"/>
      <c r="AZ1311" s="294"/>
      <c r="BA1311" s="294"/>
      <c r="BB1311" s="294"/>
      <c r="BC1311" s="294"/>
      <c r="BD1311" s="294"/>
      <c r="BE1311" s="294"/>
      <c r="BF1311" s="383">
        <f t="shared" si="107"/>
        <v>0.22799310938845826</v>
      </c>
      <c r="BG1311" s="383"/>
      <c r="BH1311" s="375"/>
      <c r="BI1311" s="376"/>
      <c r="BJ1311" s="409"/>
    </row>
    <row r="1312" spans="1:62" ht="15" customHeight="1" thickBot="1" x14ac:dyDescent="0.25">
      <c r="A1312" s="156">
        <v>1313</v>
      </c>
      <c r="B1312" s="247">
        <v>1</v>
      </c>
      <c r="C1312" s="148" t="s">
        <v>3450</v>
      </c>
      <c r="D1312" s="148" t="s">
        <v>2769</v>
      </c>
      <c r="E1312" s="148" t="s">
        <v>13</v>
      </c>
      <c r="F1312" s="151" t="s">
        <v>3478</v>
      </c>
      <c r="G1312" s="148"/>
      <c r="H1312" s="148" t="s">
        <v>73</v>
      </c>
      <c r="I1312" s="161">
        <v>2005</v>
      </c>
      <c r="J1312" s="161" t="s">
        <v>3477</v>
      </c>
      <c r="K1312" s="161"/>
      <c r="L1312" s="161" t="s">
        <v>19</v>
      </c>
      <c r="M1312" s="453" t="s">
        <v>4330</v>
      </c>
      <c r="N1312" s="186" t="s">
        <v>122</v>
      </c>
      <c r="O1312" s="186"/>
      <c r="P1312" s="186"/>
      <c r="Q1312" s="186"/>
      <c r="R1312" s="186"/>
      <c r="S1312" s="186"/>
      <c r="T1312" s="186"/>
      <c r="U1312" s="186"/>
      <c r="V1312" s="186"/>
      <c r="W1312" s="186"/>
      <c r="X1312" s="186"/>
      <c r="Y1312" s="186"/>
      <c r="Z1312" s="186"/>
      <c r="AA1312" s="186"/>
      <c r="AB1312" s="186"/>
      <c r="AC1312" s="186"/>
      <c r="AD1312" s="268"/>
      <c r="AE1312" s="268"/>
      <c r="AF1312" s="144" t="str">
        <f t="shared" si="109"/>
        <v/>
      </c>
      <c r="AG1312" s="144" t="str">
        <f t="shared" si="113"/>
        <v/>
      </c>
      <c r="AH1312" s="146">
        <f t="shared" si="110"/>
        <v>0.27168389319552111</v>
      </c>
      <c r="AI1312" s="146" t="str">
        <f t="shared" si="111"/>
        <v/>
      </c>
      <c r="AJ1312" s="303"/>
      <c r="AK1312" s="303"/>
      <c r="AL1312" s="303"/>
      <c r="AM1312" s="303"/>
      <c r="AN1312" s="303"/>
      <c r="AO1312" s="303"/>
      <c r="AP1312" s="303"/>
      <c r="AQ1312" s="303"/>
      <c r="AR1312" s="318"/>
      <c r="AS1312" s="227"/>
      <c r="AT1312" s="233"/>
      <c r="AU1312" s="318"/>
      <c r="AV1312" s="343"/>
      <c r="AW1312" s="357">
        <v>0.27168389319552111</v>
      </c>
      <c r="AX1312" s="294"/>
      <c r="AY1312" s="294"/>
      <c r="AZ1312" s="294"/>
      <c r="BA1312" s="294"/>
      <c r="BB1312" s="294"/>
      <c r="BC1312" s="294"/>
      <c r="BD1312" s="294"/>
      <c r="BE1312" s="294"/>
      <c r="BF1312" s="383">
        <f t="shared" si="107"/>
        <v>0.27168389319552111</v>
      </c>
      <c r="BG1312" s="383"/>
      <c r="BH1312" s="375"/>
      <c r="BI1312" s="376"/>
      <c r="BJ1312" s="409"/>
    </row>
    <row r="1313" spans="1:62" ht="15" customHeight="1" thickBot="1" x14ac:dyDescent="0.25">
      <c r="A1313" s="156">
        <v>1314</v>
      </c>
      <c r="B1313" s="247">
        <v>1</v>
      </c>
      <c r="C1313" s="148" t="s">
        <v>3450</v>
      </c>
      <c r="D1313" s="148" t="s">
        <v>2769</v>
      </c>
      <c r="E1313" s="148" t="s">
        <v>13</v>
      </c>
      <c r="F1313" s="151" t="s">
        <v>3479</v>
      </c>
      <c r="G1313" s="148"/>
      <c r="H1313" s="148" t="s">
        <v>73</v>
      </c>
      <c r="I1313" s="161">
        <v>2005</v>
      </c>
      <c r="J1313" s="161" t="s">
        <v>3477</v>
      </c>
      <c r="K1313" s="161"/>
      <c r="L1313" s="161" t="s">
        <v>19</v>
      </c>
      <c r="M1313" s="453" t="s">
        <v>4330</v>
      </c>
      <c r="N1313" s="186" t="s">
        <v>122</v>
      </c>
      <c r="O1313" s="186"/>
      <c r="P1313" s="186"/>
      <c r="Q1313" s="186"/>
      <c r="R1313" s="186"/>
      <c r="S1313" s="186"/>
      <c r="T1313" s="186"/>
      <c r="U1313" s="186"/>
      <c r="V1313" s="186"/>
      <c r="W1313" s="186"/>
      <c r="X1313" s="186"/>
      <c r="Y1313" s="186"/>
      <c r="Z1313" s="186"/>
      <c r="AA1313" s="186"/>
      <c r="AB1313" s="186"/>
      <c r="AC1313" s="186"/>
      <c r="AD1313" s="268"/>
      <c r="AE1313" s="268"/>
      <c r="AF1313" s="144" t="str">
        <f t="shared" si="109"/>
        <v/>
      </c>
      <c r="AG1313" s="144" t="str">
        <f t="shared" si="113"/>
        <v/>
      </c>
      <c r="AH1313" s="146">
        <f t="shared" si="110"/>
        <v>0.22198535745047376</v>
      </c>
      <c r="AI1313" s="146" t="str">
        <f t="shared" si="111"/>
        <v/>
      </c>
      <c r="AJ1313" s="303"/>
      <c r="AK1313" s="303"/>
      <c r="AL1313" s="303"/>
      <c r="AM1313" s="303"/>
      <c r="AN1313" s="303"/>
      <c r="AO1313" s="303"/>
      <c r="AP1313" s="303"/>
      <c r="AQ1313" s="303"/>
      <c r="AR1313" s="318"/>
      <c r="AS1313" s="227"/>
      <c r="AT1313" s="233"/>
      <c r="AU1313" s="318"/>
      <c r="AV1313" s="343"/>
      <c r="AW1313" s="357">
        <v>0.22198535745047376</v>
      </c>
      <c r="AX1313" s="294"/>
      <c r="AY1313" s="294"/>
      <c r="AZ1313" s="294"/>
      <c r="BA1313" s="294"/>
      <c r="BB1313" s="294"/>
      <c r="BC1313" s="294"/>
      <c r="BD1313" s="294"/>
      <c r="BE1313" s="294"/>
      <c r="BF1313" s="383">
        <f t="shared" si="107"/>
        <v>0.22198535745047376</v>
      </c>
      <c r="BG1313" s="383"/>
      <c r="BH1313" s="375"/>
      <c r="BI1313" s="376"/>
      <c r="BJ1313" s="409"/>
    </row>
    <row r="1314" spans="1:62" ht="15" customHeight="1" thickBot="1" x14ac:dyDescent="0.25">
      <c r="A1314" s="156">
        <v>1315</v>
      </c>
      <c r="B1314" s="247">
        <v>1</v>
      </c>
      <c r="C1314" s="148" t="s">
        <v>3450</v>
      </c>
      <c r="D1314" s="148" t="s">
        <v>2769</v>
      </c>
      <c r="E1314" s="148" t="s">
        <v>13</v>
      </c>
      <c r="F1314" s="151" t="s">
        <v>3480</v>
      </c>
      <c r="G1314" s="148"/>
      <c r="H1314" s="148" t="s">
        <v>73</v>
      </c>
      <c r="I1314" s="161">
        <v>2005</v>
      </c>
      <c r="J1314" s="161" t="s">
        <v>3477</v>
      </c>
      <c r="K1314" s="161"/>
      <c r="L1314" s="161" t="s">
        <v>19</v>
      </c>
      <c r="M1314" s="453" t="s">
        <v>4330</v>
      </c>
      <c r="N1314" s="186" t="s">
        <v>122</v>
      </c>
      <c r="O1314" s="186"/>
      <c r="P1314" s="186"/>
      <c r="Q1314" s="186"/>
      <c r="R1314" s="186"/>
      <c r="S1314" s="186"/>
      <c r="T1314" s="186"/>
      <c r="U1314" s="186"/>
      <c r="V1314" s="186"/>
      <c r="W1314" s="186"/>
      <c r="X1314" s="186"/>
      <c r="Y1314" s="186"/>
      <c r="Z1314" s="186"/>
      <c r="AA1314" s="186"/>
      <c r="AB1314" s="186"/>
      <c r="AC1314" s="186"/>
      <c r="AD1314" s="268"/>
      <c r="AE1314" s="268"/>
      <c r="AF1314" s="144" t="str">
        <f t="shared" si="109"/>
        <v/>
      </c>
      <c r="AG1314" s="144" t="str">
        <f t="shared" si="113"/>
        <v/>
      </c>
      <c r="AH1314" s="146">
        <f t="shared" si="110"/>
        <v>0.26401808785529723</v>
      </c>
      <c r="AI1314" s="146" t="str">
        <f t="shared" si="111"/>
        <v/>
      </c>
      <c r="AJ1314" s="303"/>
      <c r="AK1314" s="303"/>
      <c r="AL1314" s="303"/>
      <c r="AM1314" s="303"/>
      <c r="AN1314" s="303"/>
      <c r="AO1314" s="303"/>
      <c r="AP1314" s="303"/>
      <c r="AQ1314" s="303"/>
      <c r="AR1314" s="318"/>
      <c r="AS1314" s="227"/>
      <c r="AT1314" s="233"/>
      <c r="AU1314" s="318"/>
      <c r="AV1314" s="343"/>
      <c r="AW1314" s="357">
        <v>0.26401808785529723</v>
      </c>
      <c r="AX1314" s="294"/>
      <c r="AY1314" s="294"/>
      <c r="AZ1314" s="294"/>
      <c r="BA1314" s="294"/>
      <c r="BB1314" s="294"/>
      <c r="BC1314" s="294"/>
      <c r="BD1314" s="294"/>
      <c r="BE1314" s="294"/>
      <c r="BF1314" s="383">
        <f t="shared" si="107"/>
        <v>0.26401808785529723</v>
      </c>
      <c r="BG1314" s="383"/>
      <c r="BH1314" s="375"/>
      <c r="BI1314" s="376"/>
      <c r="BJ1314" s="409"/>
    </row>
    <row r="1315" spans="1:62" ht="15" customHeight="1" thickBot="1" x14ac:dyDescent="0.25">
      <c r="A1315" s="156">
        <v>1316</v>
      </c>
      <c r="B1315" s="247">
        <v>1</v>
      </c>
      <c r="C1315" s="148" t="s">
        <v>3450</v>
      </c>
      <c r="D1315" s="148" t="s">
        <v>2769</v>
      </c>
      <c r="E1315" s="148" t="s">
        <v>13</v>
      </c>
      <c r="F1315" s="151" t="s">
        <v>3481</v>
      </c>
      <c r="G1315" s="148"/>
      <c r="H1315" s="148" t="s">
        <v>73</v>
      </c>
      <c r="I1315" s="161">
        <v>2005</v>
      </c>
      <c r="J1315" s="161" t="s">
        <v>3477</v>
      </c>
      <c r="K1315" s="161"/>
      <c r="L1315" s="161" t="s">
        <v>19</v>
      </c>
      <c r="M1315" s="453" t="s">
        <v>4330</v>
      </c>
      <c r="N1315" s="186" t="s">
        <v>122</v>
      </c>
      <c r="O1315" s="186"/>
      <c r="P1315" s="186"/>
      <c r="Q1315" s="186"/>
      <c r="R1315" s="186"/>
      <c r="S1315" s="186"/>
      <c r="T1315" s="186"/>
      <c r="U1315" s="186"/>
      <c r="V1315" s="186"/>
      <c r="W1315" s="186"/>
      <c r="X1315" s="186"/>
      <c r="Y1315" s="186"/>
      <c r="Z1315" s="186"/>
      <c r="AA1315" s="186"/>
      <c r="AB1315" s="186"/>
      <c r="AC1315" s="186"/>
      <c r="AD1315" s="268"/>
      <c r="AE1315" s="268"/>
      <c r="AF1315" s="144" t="str">
        <f t="shared" si="109"/>
        <v/>
      </c>
      <c r="AG1315" s="144" t="str">
        <f t="shared" si="113"/>
        <v/>
      </c>
      <c r="AH1315" s="146">
        <f t="shared" si="110"/>
        <v>0.24414298018949185</v>
      </c>
      <c r="AI1315" s="146" t="str">
        <f t="shared" si="111"/>
        <v/>
      </c>
      <c r="AJ1315" s="303"/>
      <c r="AK1315" s="303"/>
      <c r="AL1315" s="303"/>
      <c r="AM1315" s="303"/>
      <c r="AN1315" s="303"/>
      <c r="AO1315" s="303"/>
      <c r="AP1315" s="303"/>
      <c r="AQ1315" s="303"/>
      <c r="AR1315" s="318"/>
      <c r="AS1315" s="227"/>
      <c r="AT1315" s="233"/>
      <c r="AU1315" s="318"/>
      <c r="AV1315" s="343"/>
      <c r="AW1315" s="357">
        <v>0.24414298018949185</v>
      </c>
      <c r="AX1315" s="294"/>
      <c r="AY1315" s="294"/>
      <c r="AZ1315" s="294"/>
      <c r="BA1315" s="294"/>
      <c r="BB1315" s="294"/>
      <c r="BC1315" s="294"/>
      <c r="BD1315" s="294"/>
      <c r="BE1315" s="294"/>
      <c r="BF1315" s="383">
        <f t="shared" ref="BF1315:BF1378" si="114">AW1315</f>
        <v>0.24414298018949185</v>
      </c>
      <c r="BG1315" s="383"/>
      <c r="BH1315" s="375"/>
      <c r="BI1315" s="376"/>
      <c r="BJ1315" s="409"/>
    </row>
    <row r="1316" spans="1:62" ht="15" customHeight="1" thickBot="1" x14ac:dyDescent="0.25">
      <c r="A1316" s="156">
        <v>1317</v>
      </c>
      <c r="B1316" s="247">
        <v>1</v>
      </c>
      <c r="C1316" s="148" t="s">
        <v>3450</v>
      </c>
      <c r="D1316" s="148" t="s">
        <v>2769</v>
      </c>
      <c r="E1316" s="148" t="s">
        <v>13</v>
      </c>
      <c r="F1316" s="151" t="s">
        <v>3482</v>
      </c>
      <c r="G1316" s="148"/>
      <c r="H1316" s="148" t="s">
        <v>73</v>
      </c>
      <c r="I1316" s="161">
        <v>2005</v>
      </c>
      <c r="J1316" s="161" t="s">
        <v>3477</v>
      </c>
      <c r="K1316" s="161"/>
      <c r="L1316" s="161" t="s">
        <v>19</v>
      </c>
      <c r="M1316" s="453" t="s">
        <v>4330</v>
      </c>
      <c r="N1316" s="186" t="s">
        <v>122</v>
      </c>
      <c r="O1316" s="186"/>
      <c r="P1316" s="186"/>
      <c r="Q1316" s="186"/>
      <c r="R1316" s="186"/>
      <c r="S1316" s="186"/>
      <c r="T1316" s="186"/>
      <c r="U1316" s="186"/>
      <c r="V1316" s="186"/>
      <c r="W1316" s="186"/>
      <c r="X1316" s="186"/>
      <c r="Y1316" s="186"/>
      <c r="Z1316" s="186"/>
      <c r="AA1316" s="186"/>
      <c r="AB1316" s="186"/>
      <c r="AC1316" s="186"/>
      <c r="AD1316" s="268"/>
      <c r="AE1316" s="268"/>
      <c r="AF1316" s="144" t="str">
        <f t="shared" si="109"/>
        <v/>
      </c>
      <c r="AG1316" s="144" t="str">
        <f t="shared" si="113"/>
        <v/>
      </c>
      <c r="AH1316" s="146">
        <f t="shared" si="110"/>
        <v>0.28847975882859606</v>
      </c>
      <c r="AI1316" s="146" t="str">
        <f t="shared" si="111"/>
        <v/>
      </c>
      <c r="AJ1316" s="303"/>
      <c r="AK1316" s="303"/>
      <c r="AL1316" s="303"/>
      <c r="AM1316" s="303"/>
      <c r="AN1316" s="303"/>
      <c r="AO1316" s="303"/>
      <c r="AP1316" s="303"/>
      <c r="AQ1316" s="303"/>
      <c r="AR1316" s="318"/>
      <c r="AS1316" s="227"/>
      <c r="AT1316" s="233"/>
      <c r="AU1316" s="318"/>
      <c r="AV1316" s="343"/>
      <c r="AW1316" s="357">
        <v>0.28847975882859606</v>
      </c>
      <c r="AX1316" s="294"/>
      <c r="AY1316" s="294"/>
      <c r="AZ1316" s="294"/>
      <c r="BA1316" s="294"/>
      <c r="BB1316" s="294"/>
      <c r="BC1316" s="294"/>
      <c r="BD1316" s="294"/>
      <c r="BE1316" s="294"/>
      <c r="BF1316" s="383">
        <f t="shared" si="114"/>
        <v>0.28847975882859606</v>
      </c>
      <c r="BG1316" s="383"/>
      <c r="BH1316" s="375"/>
      <c r="BI1316" s="376"/>
      <c r="BJ1316" s="409"/>
    </row>
    <row r="1317" spans="1:62" ht="15" customHeight="1" thickBot="1" x14ac:dyDescent="0.25">
      <c r="A1317" s="156">
        <v>1318</v>
      </c>
      <c r="B1317" s="247">
        <v>1</v>
      </c>
      <c r="C1317" s="148" t="s">
        <v>3450</v>
      </c>
      <c r="D1317" s="148" t="s">
        <v>2769</v>
      </c>
      <c r="E1317" s="148" t="s">
        <v>13</v>
      </c>
      <c r="F1317" s="151" t="s">
        <v>3483</v>
      </c>
      <c r="G1317" s="148"/>
      <c r="H1317" s="148" t="s">
        <v>73</v>
      </c>
      <c r="I1317" s="161">
        <v>2005</v>
      </c>
      <c r="J1317" s="161" t="s">
        <v>3477</v>
      </c>
      <c r="K1317" s="161"/>
      <c r="L1317" s="161" t="s">
        <v>19</v>
      </c>
      <c r="M1317" s="453" t="s">
        <v>4330</v>
      </c>
      <c r="N1317" s="186" t="s">
        <v>122</v>
      </c>
      <c r="O1317" s="186"/>
      <c r="P1317" s="186"/>
      <c r="Q1317" s="186"/>
      <c r="R1317" s="186"/>
      <c r="S1317" s="186"/>
      <c r="T1317" s="186"/>
      <c r="U1317" s="186"/>
      <c r="V1317" s="186"/>
      <c r="W1317" s="186"/>
      <c r="X1317" s="186"/>
      <c r="Y1317" s="186"/>
      <c r="Z1317" s="186"/>
      <c r="AA1317" s="186"/>
      <c r="AB1317" s="186"/>
      <c r="AC1317" s="186"/>
      <c r="AD1317" s="268"/>
      <c r="AE1317" s="268"/>
      <c r="AF1317" s="144" t="str">
        <f t="shared" si="109"/>
        <v/>
      </c>
      <c r="AG1317" s="144" t="str">
        <f t="shared" si="113"/>
        <v/>
      </c>
      <c r="AH1317" s="146">
        <f t="shared" si="110"/>
        <v>0.23858742463393631</v>
      </c>
      <c r="AI1317" s="146" t="str">
        <f t="shared" si="111"/>
        <v/>
      </c>
      <c r="AJ1317" s="303"/>
      <c r="AK1317" s="303"/>
      <c r="AL1317" s="303"/>
      <c r="AM1317" s="303"/>
      <c r="AN1317" s="303"/>
      <c r="AO1317" s="303"/>
      <c r="AP1317" s="303"/>
      <c r="AQ1317" s="303"/>
      <c r="AR1317" s="318"/>
      <c r="AS1317" s="227"/>
      <c r="AT1317" s="233"/>
      <c r="AU1317" s="318"/>
      <c r="AV1317" s="343"/>
      <c r="AW1317" s="357">
        <v>0.23858742463393631</v>
      </c>
      <c r="AX1317" s="294"/>
      <c r="AY1317" s="294"/>
      <c r="AZ1317" s="294"/>
      <c r="BA1317" s="294"/>
      <c r="BB1317" s="294"/>
      <c r="BC1317" s="294"/>
      <c r="BD1317" s="294"/>
      <c r="BE1317" s="294"/>
      <c r="BF1317" s="383">
        <f t="shared" si="114"/>
        <v>0.23858742463393631</v>
      </c>
      <c r="BG1317" s="383"/>
      <c r="BH1317" s="375"/>
      <c r="BI1317" s="376"/>
      <c r="BJ1317" s="409"/>
    </row>
    <row r="1318" spans="1:62" ht="15" customHeight="1" thickBot="1" x14ac:dyDescent="0.25">
      <c r="A1318" s="156">
        <v>1319</v>
      </c>
      <c r="B1318" s="247">
        <v>1</v>
      </c>
      <c r="C1318" s="148" t="s">
        <v>3450</v>
      </c>
      <c r="D1318" s="148" t="s">
        <v>2769</v>
      </c>
      <c r="E1318" s="148" t="s">
        <v>13</v>
      </c>
      <c r="F1318" s="151" t="s">
        <v>3484</v>
      </c>
      <c r="G1318" s="148"/>
      <c r="H1318" s="148" t="s">
        <v>73</v>
      </c>
      <c r="I1318" s="161">
        <v>2005</v>
      </c>
      <c r="J1318" s="161" t="s">
        <v>3477</v>
      </c>
      <c r="K1318" s="161"/>
      <c r="L1318" s="161" t="s">
        <v>19</v>
      </c>
      <c r="M1318" s="453" t="s">
        <v>4330</v>
      </c>
      <c r="N1318" s="186" t="s">
        <v>122</v>
      </c>
      <c r="O1318" s="186"/>
      <c r="P1318" s="186"/>
      <c r="Q1318" s="186"/>
      <c r="R1318" s="186"/>
      <c r="S1318" s="186"/>
      <c r="T1318" s="186"/>
      <c r="U1318" s="186"/>
      <c r="V1318" s="186"/>
      <c r="W1318" s="186"/>
      <c r="X1318" s="186"/>
      <c r="Y1318" s="186"/>
      <c r="Z1318" s="186"/>
      <c r="AA1318" s="186"/>
      <c r="AB1318" s="186"/>
      <c r="AC1318" s="186"/>
      <c r="AD1318" s="268"/>
      <c r="AE1318" s="268"/>
      <c r="AF1318" s="144" t="str">
        <f t="shared" si="109"/>
        <v/>
      </c>
      <c r="AG1318" s="144" t="str">
        <f t="shared" si="113"/>
        <v/>
      </c>
      <c r="AH1318" s="146">
        <f t="shared" si="110"/>
        <v>0.28277347114556417</v>
      </c>
      <c r="AI1318" s="146" t="str">
        <f t="shared" si="111"/>
        <v/>
      </c>
      <c r="AJ1318" s="303"/>
      <c r="AK1318" s="303"/>
      <c r="AL1318" s="303"/>
      <c r="AM1318" s="303"/>
      <c r="AN1318" s="303"/>
      <c r="AO1318" s="303"/>
      <c r="AP1318" s="303"/>
      <c r="AQ1318" s="303"/>
      <c r="AR1318" s="318"/>
      <c r="AS1318" s="227"/>
      <c r="AT1318" s="233"/>
      <c r="AU1318" s="318"/>
      <c r="AV1318" s="343"/>
      <c r="AW1318" s="357">
        <v>0.28277347114556417</v>
      </c>
      <c r="AX1318" s="294"/>
      <c r="AY1318" s="294"/>
      <c r="AZ1318" s="294"/>
      <c r="BA1318" s="294"/>
      <c r="BB1318" s="294"/>
      <c r="BC1318" s="294"/>
      <c r="BD1318" s="294"/>
      <c r="BE1318" s="294"/>
      <c r="BF1318" s="383">
        <f t="shared" si="114"/>
        <v>0.28277347114556417</v>
      </c>
      <c r="BG1318" s="383"/>
      <c r="BH1318" s="375"/>
      <c r="BI1318" s="376"/>
      <c r="BJ1318" s="409"/>
    </row>
    <row r="1319" spans="1:62" ht="15" customHeight="1" thickBot="1" x14ac:dyDescent="0.25">
      <c r="A1319" s="156">
        <v>1320</v>
      </c>
      <c r="B1319" s="247">
        <v>1</v>
      </c>
      <c r="C1319" s="148" t="s">
        <v>2933</v>
      </c>
      <c r="D1319" s="148" t="s">
        <v>2745</v>
      </c>
      <c r="E1319" s="148"/>
      <c r="F1319" s="148" t="s">
        <v>3485</v>
      </c>
      <c r="G1319" s="148"/>
      <c r="H1319" s="151" t="s">
        <v>3156</v>
      </c>
      <c r="I1319" s="165">
        <v>2011</v>
      </c>
      <c r="J1319" s="165" t="s">
        <v>3173</v>
      </c>
      <c r="K1319" s="165" t="s">
        <v>3174</v>
      </c>
      <c r="L1319" s="165" t="s">
        <v>19</v>
      </c>
      <c r="M1319" s="453" t="s">
        <v>4303</v>
      </c>
      <c r="N1319" s="186" t="s">
        <v>122</v>
      </c>
      <c r="O1319" s="186" t="s">
        <v>292</v>
      </c>
      <c r="P1319" s="186"/>
      <c r="Q1319" s="186"/>
      <c r="R1319" s="186"/>
      <c r="S1319" s="186"/>
      <c r="T1319" s="186"/>
      <c r="U1319" s="186"/>
      <c r="V1319" s="186"/>
      <c r="W1319" s="186"/>
      <c r="X1319" s="186"/>
      <c r="Y1319" s="186"/>
      <c r="Z1319" s="186"/>
      <c r="AA1319" s="186" t="s">
        <v>3106</v>
      </c>
      <c r="AB1319" s="186"/>
      <c r="AC1319" s="186"/>
      <c r="AD1319" s="268" t="s">
        <v>3486</v>
      </c>
      <c r="AE1319" s="268"/>
      <c r="AF1319" s="144" t="str">
        <f t="shared" si="109"/>
        <v/>
      </c>
      <c r="AG1319" s="144" t="str">
        <f t="shared" si="113"/>
        <v/>
      </c>
      <c r="AH1319" s="146">
        <f t="shared" si="110"/>
        <v>22.6</v>
      </c>
      <c r="AI1319" s="146" t="str">
        <f t="shared" si="111"/>
        <v/>
      </c>
      <c r="AJ1319" s="303"/>
      <c r="AK1319" s="303"/>
      <c r="AL1319" s="303"/>
      <c r="AM1319" s="303"/>
      <c r="AN1319" s="303"/>
      <c r="AO1319" s="303"/>
      <c r="AP1319" s="303"/>
      <c r="AQ1319" s="303"/>
      <c r="AR1319" s="318"/>
      <c r="AS1319" s="227"/>
      <c r="AT1319" s="233"/>
      <c r="AU1319" s="318"/>
      <c r="AV1319" s="343"/>
      <c r="AW1319" s="357">
        <v>22.6</v>
      </c>
      <c r="AX1319" s="294"/>
      <c r="AY1319" s="294"/>
      <c r="AZ1319" s="294"/>
      <c r="BA1319" s="294"/>
      <c r="BB1319" s="294"/>
      <c r="BC1319" s="294"/>
      <c r="BD1319" s="294"/>
      <c r="BE1319" s="294"/>
      <c r="BF1319" s="383">
        <f t="shared" si="114"/>
        <v>22.6</v>
      </c>
      <c r="BG1319" s="383"/>
      <c r="BH1319" s="375"/>
      <c r="BI1319" s="376"/>
      <c r="BJ1319" s="409"/>
    </row>
    <row r="1320" spans="1:62" ht="15" customHeight="1" thickBot="1" x14ac:dyDescent="0.25">
      <c r="A1320" s="156">
        <v>1321</v>
      </c>
      <c r="B1320" s="247">
        <v>1</v>
      </c>
      <c r="C1320" s="148" t="s">
        <v>2933</v>
      </c>
      <c r="D1320" s="151" t="s">
        <v>4010</v>
      </c>
      <c r="E1320" s="148"/>
      <c r="F1320" s="148" t="s">
        <v>3485</v>
      </c>
      <c r="G1320" s="148"/>
      <c r="H1320" s="151" t="s">
        <v>3156</v>
      </c>
      <c r="I1320" s="165">
        <v>2011</v>
      </c>
      <c r="J1320" s="165" t="s">
        <v>3173</v>
      </c>
      <c r="K1320" s="165" t="s">
        <v>3174</v>
      </c>
      <c r="L1320" s="165" t="s">
        <v>19</v>
      </c>
      <c r="M1320" s="453" t="s">
        <v>4303</v>
      </c>
      <c r="N1320" s="186" t="s">
        <v>122</v>
      </c>
      <c r="O1320" s="186" t="s">
        <v>292</v>
      </c>
      <c r="P1320" s="186"/>
      <c r="Q1320" s="186"/>
      <c r="R1320" s="186"/>
      <c r="S1320" s="186"/>
      <c r="T1320" s="186"/>
      <c r="U1320" s="186"/>
      <c r="V1320" s="186"/>
      <c r="W1320" s="186"/>
      <c r="X1320" s="186"/>
      <c r="Y1320" s="186"/>
      <c r="Z1320" s="186"/>
      <c r="AA1320" s="186" t="s">
        <v>3106</v>
      </c>
      <c r="AB1320" s="186"/>
      <c r="AC1320" s="186"/>
      <c r="AD1320" s="268" t="s">
        <v>3486</v>
      </c>
      <c r="AE1320" s="268"/>
      <c r="AF1320" s="144" t="str">
        <f t="shared" si="109"/>
        <v/>
      </c>
      <c r="AG1320" s="144" t="str">
        <f t="shared" si="113"/>
        <v/>
      </c>
      <c r="AH1320" s="146">
        <f t="shared" si="110"/>
        <v>1.6</v>
      </c>
      <c r="AI1320" s="146" t="str">
        <f t="shared" si="111"/>
        <v/>
      </c>
      <c r="AJ1320" s="303"/>
      <c r="AK1320" s="303"/>
      <c r="AL1320" s="303"/>
      <c r="AM1320" s="303"/>
      <c r="AN1320" s="303"/>
      <c r="AO1320" s="303"/>
      <c r="AP1320" s="303"/>
      <c r="AQ1320" s="303"/>
      <c r="AR1320" s="318"/>
      <c r="AS1320" s="227"/>
      <c r="AT1320" s="233"/>
      <c r="AU1320" s="318"/>
      <c r="AV1320" s="343"/>
      <c r="AW1320" s="357">
        <v>1.6</v>
      </c>
      <c r="AX1320" s="294"/>
      <c r="AY1320" s="294"/>
      <c r="AZ1320" s="294"/>
      <c r="BA1320" s="294"/>
      <c r="BB1320" s="294"/>
      <c r="BC1320" s="294"/>
      <c r="BD1320" s="294"/>
      <c r="BE1320" s="294"/>
      <c r="BF1320" s="383">
        <f t="shared" si="114"/>
        <v>1.6</v>
      </c>
      <c r="BG1320" s="383"/>
      <c r="BH1320" s="375"/>
      <c r="BI1320" s="376"/>
      <c r="BJ1320" s="409"/>
    </row>
    <row r="1321" spans="1:62" ht="15" customHeight="1" thickBot="1" x14ac:dyDescent="0.25">
      <c r="A1321" s="156">
        <v>1322</v>
      </c>
      <c r="B1321" s="247">
        <v>1</v>
      </c>
      <c r="C1321" s="148" t="s">
        <v>39</v>
      </c>
      <c r="D1321" s="148" t="s">
        <v>40</v>
      </c>
      <c r="E1321" s="148"/>
      <c r="F1321" s="148" t="s">
        <v>3485</v>
      </c>
      <c r="G1321" s="148"/>
      <c r="H1321" s="151" t="s">
        <v>3156</v>
      </c>
      <c r="I1321" s="165">
        <v>2011</v>
      </c>
      <c r="J1321" s="165" t="s">
        <v>3173</v>
      </c>
      <c r="K1321" s="165" t="s">
        <v>3174</v>
      </c>
      <c r="L1321" s="165" t="s">
        <v>19</v>
      </c>
      <c r="M1321" s="453" t="s">
        <v>4303</v>
      </c>
      <c r="N1321" s="186" t="s">
        <v>122</v>
      </c>
      <c r="O1321" s="186" t="s">
        <v>292</v>
      </c>
      <c r="P1321" s="186"/>
      <c r="Q1321" s="186"/>
      <c r="R1321" s="186"/>
      <c r="S1321" s="186"/>
      <c r="T1321" s="186"/>
      <c r="U1321" s="186"/>
      <c r="V1321" s="186"/>
      <c r="W1321" s="186"/>
      <c r="X1321" s="186"/>
      <c r="Y1321" s="186"/>
      <c r="Z1321" s="186"/>
      <c r="AA1321" s="186" t="s">
        <v>3106</v>
      </c>
      <c r="AB1321" s="186"/>
      <c r="AC1321" s="186"/>
      <c r="AD1321" s="268" t="s">
        <v>3487</v>
      </c>
      <c r="AE1321" s="268"/>
      <c r="AF1321" s="144" t="str">
        <f t="shared" si="109"/>
        <v/>
      </c>
      <c r="AG1321" s="144" t="str">
        <f t="shared" si="113"/>
        <v/>
      </c>
      <c r="AH1321" s="146">
        <f t="shared" si="110"/>
        <v>1.7</v>
      </c>
      <c r="AI1321" s="146" t="str">
        <f t="shared" si="111"/>
        <v/>
      </c>
      <c r="AJ1321" s="303"/>
      <c r="AK1321" s="303"/>
      <c r="AL1321" s="303"/>
      <c r="AM1321" s="303"/>
      <c r="AN1321" s="303"/>
      <c r="AO1321" s="303"/>
      <c r="AP1321" s="303"/>
      <c r="AQ1321" s="303"/>
      <c r="AR1321" s="318"/>
      <c r="AS1321" s="227"/>
      <c r="AT1321" s="233"/>
      <c r="AU1321" s="318"/>
      <c r="AV1321" s="343"/>
      <c r="AW1321" s="357">
        <v>1.7</v>
      </c>
      <c r="AX1321" s="294"/>
      <c r="AY1321" s="294"/>
      <c r="AZ1321" s="294"/>
      <c r="BA1321" s="294"/>
      <c r="BB1321" s="294"/>
      <c r="BC1321" s="294"/>
      <c r="BD1321" s="294"/>
      <c r="BE1321" s="294"/>
      <c r="BF1321" s="383">
        <f t="shared" si="114"/>
        <v>1.7</v>
      </c>
      <c r="BG1321" s="383"/>
      <c r="BH1321" s="375"/>
      <c r="BI1321" s="376"/>
      <c r="BJ1321" s="409"/>
    </row>
    <row r="1322" spans="1:62" ht="15" customHeight="1" thickBot="1" x14ac:dyDescent="0.25">
      <c r="A1322" s="156">
        <v>1323</v>
      </c>
      <c r="B1322" s="247">
        <v>1</v>
      </c>
      <c r="C1322" s="148" t="s">
        <v>11</v>
      </c>
      <c r="D1322" s="148" t="s">
        <v>12</v>
      </c>
      <c r="E1322" s="148"/>
      <c r="F1322" s="148" t="s">
        <v>3485</v>
      </c>
      <c r="G1322" s="148"/>
      <c r="H1322" s="151" t="s">
        <v>3156</v>
      </c>
      <c r="I1322" s="165">
        <v>2011</v>
      </c>
      <c r="J1322" s="165" t="s">
        <v>3173</v>
      </c>
      <c r="K1322" s="165" t="s">
        <v>3174</v>
      </c>
      <c r="L1322" s="165" t="s">
        <v>19</v>
      </c>
      <c r="M1322" s="453" t="s">
        <v>4303</v>
      </c>
      <c r="N1322" s="186" t="s">
        <v>122</v>
      </c>
      <c r="O1322" s="186" t="s">
        <v>292</v>
      </c>
      <c r="P1322" s="186"/>
      <c r="Q1322" s="186"/>
      <c r="R1322" s="186"/>
      <c r="S1322" s="186"/>
      <c r="T1322" s="186"/>
      <c r="U1322" s="186"/>
      <c r="V1322" s="186"/>
      <c r="W1322" s="186"/>
      <c r="X1322" s="186"/>
      <c r="Y1322" s="186"/>
      <c r="Z1322" s="186"/>
      <c r="AA1322" s="186" t="s">
        <v>3106</v>
      </c>
      <c r="AB1322" s="186"/>
      <c r="AC1322" s="186"/>
      <c r="AD1322" s="268" t="s">
        <v>3488</v>
      </c>
      <c r="AE1322" s="268"/>
      <c r="AF1322" s="144" t="str">
        <f t="shared" si="109"/>
        <v/>
      </c>
      <c r="AG1322" s="144" t="str">
        <f t="shared" si="113"/>
        <v/>
      </c>
      <c r="AH1322" s="146">
        <f t="shared" si="110"/>
        <v>14.3</v>
      </c>
      <c r="AI1322" s="146" t="str">
        <f t="shared" si="111"/>
        <v/>
      </c>
      <c r="AJ1322" s="303"/>
      <c r="AK1322" s="303"/>
      <c r="AL1322" s="303"/>
      <c r="AM1322" s="303"/>
      <c r="AN1322" s="303"/>
      <c r="AO1322" s="303"/>
      <c r="AP1322" s="303"/>
      <c r="AQ1322" s="303"/>
      <c r="AR1322" s="318"/>
      <c r="AS1322" s="227"/>
      <c r="AT1322" s="233"/>
      <c r="AU1322" s="318"/>
      <c r="AV1322" s="343"/>
      <c r="AW1322" s="357">
        <v>14.3</v>
      </c>
      <c r="AX1322" s="294"/>
      <c r="AY1322" s="294"/>
      <c r="AZ1322" s="294"/>
      <c r="BA1322" s="294"/>
      <c r="BB1322" s="294"/>
      <c r="BC1322" s="294"/>
      <c r="BD1322" s="294"/>
      <c r="BE1322" s="294"/>
      <c r="BF1322" s="383">
        <f t="shared" si="114"/>
        <v>14.3</v>
      </c>
      <c r="BG1322" s="383"/>
      <c r="BH1322" s="375"/>
      <c r="BI1322" s="376"/>
      <c r="BJ1322" s="409"/>
    </row>
    <row r="1323" spans="1:62" ht="15" customHeight="1" thickBot="1" x14ac:dyDescent="0.25">
      <c r="A1323" s="156">
        <v>1324</v>
      </c>
      <c r="B1323" s="247">
        <v>1</v>
      </c>
      <c r="C1323" s="148" t="s">
        <v>11</v>
      </c>
      <c r="D1323" s="148" t="s">
        <v>12</v>
      </c>
      <c r="E1323" s="148"/>
      <c r="F1323" s="148" t="s">
        <v>3489</v>
      </c>
      <c r="G1323" s="148"/>
      <c r="H1323" s="148" t="s">
        <v>42</v>
      </c>
      <c r="I1323" s="161">
        <v>2005</v>
      </c>
      <c r="J1323" s="161" t="s">
        <v>3490</v>
      </c>
      <c r="K1323" s="161" t="s">
        <v>3491</v>
      </c>
      <c r="L1323" s="161" t="s">
        <v>19</v>
      </c>
      <c r="M1323" s="453" t="s">
        <v>4331</v>
      </c>
      <c r="N1323" s="186" t="s">
        <v>122</v>
      </c>
      <c r="O1323" s="186" t="s">
        <v>292</v>
      </c>
      <c r="P1323" s="186"/>
      <c r="Q1323" s="186"/>
      <c r="R1323" s="186"/>
      <c r="S1323" s="186"/>
      <c r="T1323" s="186"/>
      <c r="U1323" s="186"/>
      <c r="V1323" s="186"/>
      <c r="W1323" s="186"/>
      <c r="X1323" s="186"/>
      <c r="Y1323" s="186"/>
      <c r="Z1323" s="186"/>
      <c r="AA1323" s="186" t="s">
        <v>3106</v>
      </c>
      <c r="AB1323" s="186"/>
      <c r="AC1323" s="186"/>
      <c r="AD1323" s="268" t="s">
        <v>343</v>
      </c>
      <c r="AE1323" s="268"/>
      <c r="AF1323" s="144">
        <f t="shared" si="109"/>
        <v>2.48</v>
      </c>
      <c r="AG1323" s="144" t="str">
        <f t="shared" si="113"/>
        <v/>
      </c>
      <c r="AH1323" s="146">
        <f t="shared" si="110"/>
        <v>1.81</v>
      </c>
      <c r="AI1323" s="146" t="str">
        <f t="shared" si="111"/>
        <v/>
      </c>
      <c r="AJ1323" s="303">
        <v>2.48</v>
      </c>
      <c r="AK1323" s="303"/>
      <c r="AL1323" s="303"/>
      <c r="AM1323" s="303"/>
      <c r="AN1323" s="303"/>
      <c r="AO1323" s="303"/>
      <c r="AP1323" s="303"/>
      <c r="AQ1323" s="303"/>
      <c r="AR1323" s="318"/>
      <c r="AS1323" s="227">
        <f>AJ1323</f>
        <v>2.48</v>
      </c>
      <c r="AT1323" s="233"/>
      <c r="AU1323" s="318"/>
      <c r="AV1323" s="343" t="s">
        <v>3492</v>
      </c>
      <c r="AW1323" s="357">
        <v>1.81</v>
      </c>
      <c r="AX1323" s="294"/>
      <c r="AY1323" s="294"/>
      <c r="AZ1323" s="294"/>
      <c r="BA1323" s="294"/>
      <c r="BB1323" s="294"/>
      <c r="BC1323" s="294"/>
      <c r="BD1323" s="294"/>
      <c r="BE1323" s="294"/>
      <c r="BF1323" s="383">
        <f t="shared" si="114"/>
        <v>1.81</v>
      </c>
      <c r="BG1323" s="383"/>
      <c r="BH1323" s="375" t="s">
        <v>3493</v>
      </c>
      <c r="BI1323" s="376"/>
      <c r="BJ1323" s="409"/>
    </row>
    <row r="1324" spans="1:62" ht="15" customHeight="1" thickBot="1" x14ac:dyDescent="0.25">
      <c r="A1324" s="156">
        <v>1325</v>
      </c>
      <c r="B1324" s="247">
        <v>1</v>
      </c>
      <c r="C1324" s="148" t="s">
        <v>2933</v>
      </c>
      <c r="D1324" s="148" t="s">
        <v>2745</v>
      </c>
      <c r="E1324" s="148"/>
      <c r="F1324" s="148" t="s">
        <v>3494</v>
      </c>
      <c r="G1324" s="148"/>
      <c r="H1324" s="148" t="s">
        <v>376</v>
      </c>
      <c r="I1324" s="161">
        <v>2006</v>
      </c>
      <c r="J1324" s="161" t="s">
        <v>3495</v>
      </c>
      <c r="K1324" s="161" t="s">
        <v>3496</v>
      </c>
      <c r="L1324" s="161" t="s">
        <v>19</v>
      </c>
      <c r="M1324" s="453" t="s">
        <v>4332</v>
      </c>
      <c r="N1324" s="186" t="s">
        <v>122</v>
      </c>
      <c r="O1324" s="186" t="s">
        <v>292</v>
      </c>
      <c r="P1324" s="186"/>
      <c r="Q1324" s="186"/>
      <c r="R1324" s="186"/>
      <c r="S1324" s="186"/>
      <c r="T1324" s="186"/>
      <c r="U1324" s="186"/>
      <c r="V1324" s="186"/>
      <c r="W1324" s="186"/>
      <c r="X1324" s="186"/>
      <c r="Y1324" s="186"/>
      <c r="Z1324" s="186"/>
      <c r="AA1324" s="186" t="s">
        <v>3106</v>
      </c>
      <c r="AB1324" s="186"/>
      <c r="AC1324" s="186"/>
      <c r="AD1324" s="268" t="s">
        <v>3497</v>
      </c>
      <c r="AE1324" s="268" t="s">
        <v>305</v>
      </c>
      <c r="AF1324" s="144" t="str">
        <f t="shared" si="109"/>
        <v/>
      </c>
      <c r="AG1324" s="144" t="str">
        <f t="shared" si="113"/>
        <v/>
      </c>
      <c r="AH1324" s="146">
        <f t="shared" si="110"/>
        <v>28.04245717672725</v>
      </c>
      <c r="AI1324" s="146" t="str">
        <f t="shared" si="111"/>
        <v/>
      </c>
      <c r="AJ1324" s="304"/>
      <c r="AK1324" s="303"/>
      <c r="AL1324" s="304"/>
      <c r="AM1324" s="303"/>
      <c r="AN1324" s="303"/>
      <c r="AO1324" s="304"/>
      <c r="AP1324" s="304"/>
      <c r="AQ1324" s="303"/>
      <c r="AR1324" s="318"/>
      <c r="AS1324" s="228"/>
      <c r="AT1324" s="234"/>
      <c r="AU1324" s="318"/>
      <c r="AV1324" s="345"/>
      <c r="AW1324" s="357">
        <f>11.26/0.667/0.602</f>
        <v>28.04245717672725</v>
      </c>
      <c r="AX1324" s="294"/>
      <c r="AY1324" s="294"/>
      <c r="AZ1324" s="294"/>
      <c r="BA1324" s="294"/>
      <c r="BB1324" s="294"/>
      <c r="BC1324" s="294"/>
      <c r="BD1324" s="294"/>
      <c r="BE1324" s="294"/>
      <c r="BF1324" s="383">
        <f t="shared" si="114"/>
        <v>28.04245717672725</v>
      </c>
      <c r="BG1324" s="383"/>
      <c r="BH1324" s="375"/>
      <c r="BI1324" s="376"/>
      <c r="BJ1324" s="409"/>
    </row>
    <row r="1325" spans="1:62" ht="15" customHeight="1" thickBot="1" x14ac:dyDescent="0.25">
      <c r="A1325" s="156">
        <v>1326</v>
      </c>
      <c r="B1325" s="247">
        <v>1</v>
      </c>
      <c r="C1325" s="148" t="s">
        <v>2933</v>
      </c>
      <c r="D1325" s="148" t="s">
        <v>2745</v>
      </c>
      <c r="E1325" s="148"/>
      <c r="F1325" s="148" t="s">
        <v>3498</v>
      </c>
      <c r="G1325" s="148"/>
      <c r="H1325" s="148" t="s">
        <v>376</v>
      </c>
      <c r="I1325" s="161">
        <v>2006</v>
      </c>
      <c r="J1325" s="161" t="s">
        <v>3495</v>
      </c>
      <c r="K1325" s="161" t="s">
        <v>3496</v>
      </c>
      <c r="L1325" s="161" t="s">
        <v>19</v>
      </c>
      <c r="M1325" s="453" t="s">
        <v>4332</v>
      </c>
      <c r="N1325" s="186" t="s">
        <v>122</v>
      </c>
      <c r="O1325" s="186" t="s">
        <v>292</v>
      </c>
      <c r="P1325" s="186"/>
      <c r="Q1325" s="186"/>
      <c r="R1325" s="186"/>
      <c r="S1325" s="186"/>
      <c r="T1325" s="186"/>
      <c r="U1325" s="186"/>
      <c r="V1325" s="186"/>
      <c r="W1325" s="186"/>
      <c r="X1325" s="186"/>
      <c r="Y1325" s="186"/>
      <c r="Z1325" s="186"/>
      <c r="AA1325" s="186" t="s">
        <v>3106</v>
      </c>
      <c r="AB1325" s="186"/>
      <c r="AC1325" s="186"/>
      <c r="AD1325" s="268" t="s">
        <v>3497</v>
      </c>
      <c r="AE1325" s="268" t="s">
        <v>305</v>
      </c>
      <c r="AF1325" s="144" t="str">
        <f t="shared" ref="AF1325:AF1388" si="115">IF(AS1325&lt;&gt;0,AS1325,"")</f>
        <v/>
      </c>
      <c r="AG1325" s="144" t="str">
        <f t="shared" si="113"/>
        <v/>
      </c>
      <c r="AH1325" s="146">
        <f t="shared" si="110"/>
        <v>27.718698790139815</v>
      </c>
      <c r="AI1325" s="146" t="str">
        <f t="shared" si="111"/>
        <v/>
      </c>
      <c r="AJ1325" s="304"/>
      <c r="AK1325" s="303"/>
      <c r="AL1325" s="304"/>
      <c r="AM1325" s="303"/>
      <c r="AN1325" s="303"/>
      <c r="AO1325" s="304"/>
      <c r="AP1325" s="304"/>
      <c r="AQ1325" s="303"/>
      <c r="AR1325" s="318"/>
      <c r="AS1325" s="228"/>
      <c r="AT1325" s="234"/>
      <c r="AU1325" s="318"/>
      <c r="AV1325" s="343"/>
      <c r="AW1325" s="357">
        <f>11.13/0.667/0.602</f>
        <v>27.718698790139815</v>
      </c>
      <c r="AX1325" s="294"/>
      <c r="AY1325" s="294"/>
      <c r="AZ1325" s="294"/>
      <c r="BA1325" s="294"/>
      <c r="BB1325" s="294"/>
      <c r="BC1325" s="294"/>
      <c r="BD1325" s="294"/>
      <c r="BE1325" s="294"/>
      <c r="BF1325" s="383">
        <f t="shared" si="114"/>
        <v>27.718698790139815</v>
      </c>
      <c r="BG1325" s="383"/>
      <c r="BH1325" s="375"/>
      <c r="BI1325" s="376"/>
      <c r="BJ1325" s="409"/>
    </row>
    <row r="1326" spans="1:62" ht="15" customHeight="1" thickBot="1" x14ac:dyDescent="0.25">
      <c r="A1326" s="156">
        <v>1327</v>
      </c>
      <c r="B1326" s="247">
        <v>1</v>
      </c>
      <c r="C1326" s="148" t="s">
        <v>2933</v>
      </c>
      <c r="D1326" s="148" t="s">
        <v>2745</v>
      </c>
      <c r="E1326" s="148"/>
      <c r="F1326" s="148" t="s">
        <v>3499</v>
      </c>
      <c r="G1326" s="148"/>
      <c r="H1326" s="148" t="s">
        <v>376</v>
      </c>
      <c r="I1326" s="161">
        <v>2006</v>
      </c>
      <c r="J1326" s="161" t="s">
        <v>3495</v>
      </c>
      <c r="K1326" s="161" t="s">
        <v>3496</v>
      </c>
      <c r="L1326" s="161" t="s">
        <v>19</v>
      </c>
      <c r="M1326" s="453" t="s">
        <v>4332</v>
      </c>
      <c r="N1326" s="186" t="s">
        <v>122</v>
      </c>
      <c r="O1326" s="186" t="s">
        <v>292</v>
      </c>
      <c r="P1326" s="186"/>
      <c r="Q1326" s="186"/>
      <c r="R1326" s="186"/>
      <c r="S1326" s="186"/>
      <c r="T1326" s="186"/>
      <c r="U1326" s="186"/>
      <c r="V1326" s="186"/>
      <c r="W1326" s="186"/>
      <c r="X1326" s="186"/>
      <c r="Y1326" s="186"/>
      <c r="Z1326" s="186"/>
      <c r="AA1326" s="186" t="s">
        <v>3106</v>
      </c>
      <c r="AB1326" s="186"/>
      <c r="AC1326" s="186"/>
      <c r="AD1326" s="268" t="s">
        <v>3497</v>
      </c>
      <c r="AE1326" s="268" t="s">
        <v>305</v>
      </c>
      <c r="AF1326" s="144" t="str">
        <f t="shared" si="115"/>
        <v/>
      </c>
      <c r="AG1326" s="144" t="str">
        <f t="shared" si="113"/>
        <v/>
      </c>
      <c r="AH1326" s="146">
        <f t="shared" si="110"/>
        <v>27.4945583686562</v>
      </c>
      <c r="AI1326" s="146" t="str">
        <f t="shared" si="111"/>
        <v/>
      </c>
      <c r="AJ1326" s="304"/>
      <c r="AK1326" s="303"/>
      <c r="AL1326" s="304"/>
      <c r="AM1326" s="303"/>
      <c r="AN1326" s="303"/>
      <c r="AO1326" s="304"/>
      <c r="AP1326" s="304"/>
      <c r="AQ1326" s="303"/>
      <c r="AR1326" s="318"/>
      <c r="AS1326" s="228"/>
      <c r="AT1326" s="234"/>
      <c r="AU1326" s="318"/>
      <c r="AV1326" s="343"/>
      <c r="AW1326" s="357">
        <f>11.04/0.667/0.602</f>
        <v>27.4945583686562</v>
      </c>
      <c r="AX1326" s="294"/>
      <c r="AY1326" s="294"/>
      <c r="AZ1326" s="294"/>
      <c r="BA1326" s="294"/>
      <c r="BB1326" s="294"/>
      <c r="BC1326" s="294"/>
      <c r="BD1326" s="294"/>
      <c r="BE1326" s="294"/>
      <c r="BF1326" s="383">
        <f t="shared" si="114"/>
        <v>27.4945583686562</v>
      </c>
      <c r="BG1326" s="383"/>
      <c r="BH1326" s="375"/>
      <c r="BI1326" s="376"/>
      <c r="BJ1326" s="409"/>
    </row>
    <row r="1327" spans="1:62" ht="15" customHeight="1" thickBot="1" x14ac:dyDescent="0.25">
      <c r="A1327" s="156">
        <v>1328</v>
      </c>
      <c r="B1327" s="247">
        <v>1</v>
      </c>
      <c r="C1327" s="148" t="s">
        <v>2933</v>
      </c>
      <c r="D1327" s="148" t="s">
        <v>2745</v>
      </c>
      <c r="E1327" s="148"/>
      <c r="F1327" s="148" t="s">
        <v>3500</v>
      </c>
      <c r="G1327" s="148"/>
      <c r="H1327" s="148" t="s">
        <v>376</v>
      </c>
      <c r="I1327" s="161">
        <v>2006</v>
      </c>
      <c r="J1327" s="161" t="s">
        <v>3495</v>
      </c>
      <c r="K1327" s="161" t="s">
        <v>3496</v>
      </c>
      <c r="L1327" s="161" t="s">
        <v>19</v>
      </c>
      <c r="M1327" s="453" t="s">
        <v>4332</v>
      </c>
      <c r="N1327" s="186" t="s">
        <v>122</v>
      </c>
      <c r="O1327" s="186" t="s">
        <v>292</v>
      </c>
      <c r="P1327" s="186"/>
      <c r="Q1327" s="186"/>
      <c r="R1327" s="186"/>
      <c r="S1327" s="186"/>
      <c r="T1327" s="186"/>
      <c r="U1327" s="186"/>
      <c r="V1327" s="186"/>
      <c r="W1327" s="186"/>
      <c r="X1327" s="186"/>
      <c r="Y1327" s="186"/>
      <c r="Z1327" s="186"/>
      <c r="AA1327" s="186" t="s">
        <v>3106</v>
      </c>
      <c r="AB1327" s="186"/>
      <c r="AC1327" s="186"/>
      <c r="AD1327" s="268" t="s">
        <v>3497</v>
      </c>
      <c r="AE1327" s="268" t="s">
        <v>305</v>
      </c>
      <c r="AF1327" s="144" t="str">
        <f t="shared" si="115"/>
        <v/>
      </c>
      <c r="AG1327" s="144" t="str">
        <f t="shared" si="113"/>
        <v/>
      </c>
      <c r="AH1327" s="146">
        <f t="shared" si="110"/>
        <v>25.925575418270931</v>
      </c>
      <c r="AI1327" s="146" t="str">
        <f t="shared" si="111"/>
        <v/>
      </c>
      <c r="AJ1327" s="304"/>
      <c r="AK1327" s="303"/>
      <c r="AL1327" s="304"/>
      <c r="AM1327" s="303"/>
      <c r="AN1327" s="303"/>
      <c r="AO1327" s="304"/>
      <c r="AP1327" s="304"/>
      <c r="AQ1327" s="303"/>
      <c r="AR1327" s="318"/>
      <c r="AS1327" s="228"/>
      <c r="AT1327" s="234"/>
      <c r="AU1327" s="318"/>
      <c r="AV1327" s="343"/>
      <c r="AW1327" s="357">
        <f>10.41/0.667/0.602</f>
        <v>25.925575418270931</v>
      </c>
      <c r="AX1327" s="294"/>
      <c r="AY1327" s="294"/>
      <c r="AZ1327" s="294"/>
      <c r="BA1327" s="294"/>
      <c r="BB1327" s="294"/>
      <c r="BC1327" s="294"/>
      <c r="BD1327" s="294"/>
      <c r="BE1327" s="294"/>
      <c r="BF1327" s="383">
        <f t="shared" si="114"/>
        <v>25.925575418270931</v>
      </c>
      <c r="BG1327" s="383"/>
      <c r="BH1327" s="375"/>
      <c r="BI1327" s="376"/>
      <c r="BJ1327" s="409"/>
    </row>
    <row r="1328" spans="1:62" ht="15" customHeight="1" thickBot="1" x14ac:dyDescent="0.25">
      <c r="A1328" s="156">
        <v>1329</v>
      </c>
      <c r="B1328" s="247">
        <v>1</v>
      </c>
      <c r="C1328" s="148" t="s">
        <v>2933</v>
      </c>
      <c r="D1328" s="148" t="s">
        <v>2745</v>
      </c>
      <c r="E1328" s="148"/>
      <c r="F1328" s="148" t="s">
        <v>3501</v>
      </c>
      <c r="G1328" s="148"/>
      <c r="H1328" s="148" t="s">
        <v>376</v>
      </c>
      <c r="I1328" s="161">
        <v>2006</v>
      </c>
      <c r="J1328" s="161" t="s">
        <v>3495</v>
      </c>
      <c r="K1328" s="161" t="s">
        <v>3496</v>
      </c>
      <c r="L1328" s="161" t="s">
        <v>19</v>
      </c>
      <c r="M1328" s="453" t="s">
        <v>4332</v>
      </c>
      <c r="N1328" s="186" t="s">
        <v>122</v>
      </c>
      <c r="O1328" s="186" t="s">
        <v>292</v>
      </c>
      <c r="P1328" s="186"/>
      <c r="Q1328" s="186"/>
      <c r="R1328" s="186"/>
      <c r="S1328" s="186"/>
      <c r="T1328" s="186"/>
      <c r="U1328" s="186"/>
      <c r="V1328" s="186"/>
      <c r="W1328" s="186"/>
      <c r="X1328" s="186"/>
      <c r="Y1328" s="186"/>
      <c r="Z1328" s="186"/>
      <c r="AA1328" s="186" t="s">
        <v>3106</v>
      </c>
      <c r="AB1328" s="186"/>
      <c r="AC1328" s="186"/>
      <c r="AD1328" s="268" t="s">
        <v>3497</v>
      </c>
      <c r="AE1328" s="268" t="s">
        <v>305</v>
      </c>
      <c r="AF1328" s="144" t="str">
        <f t="shared" si="115"/>
        <v/>
      </c>
      <c r="AG1328" s="144" t="str">
        <f t="shared" si="113"/>
        <v/>
      </c>
      <c r="AH1328" s="146">
        <f t="shared" si="110"/>
        <v>26.99646854313707</v>
      </c>
      <c r="AI1328" s="146" t="str">
        <f t="shared" si="111"/>
        <v/>
      </c>
      <c r="AJ1328" s="303"/>
      <c r="AK1328" s="303"/>
      <c r="AL1328" s="303"/>
      <c r="AM1328" s="303"/>
      <c r="AN1328" s="303"/>
      <c r="AO1328" s="303"/>
      <c r="AP1328" s="303"/>
      <c r="AQ1328" s="303"/>
      <c r="AR1328" s="318"/>
      <c r="AS1328" s="227"/>
      <c r="AT1328" s="233"/>
      <c r="AU1328" s="318"/>
      <c r="AV1328" s="343"/>
      <c r="AW1328" s="357">
        <f>10.84/0.667/0.602</f>
        <v>26.99646854313707</v>
      </c>
      <c r="AX1328" s="294"/>
      <c r="AY1328" s="294"/>
      <c r="AZ1328" s="294"/>
      <c r="BA1328" s="294"/>
      <c r="BB1328" s="294"/>
      <c r="BC1328" s="294"/>
      <c r="BD1328" s="294"/>
      <c r="BE1328" s="294"/>
      <c r="BF1328" s="383">
        <f t="shared" si="114"/>
        <v>26.99646854313707</v>
      </c>
      <c r="BG1328" s="383"/>
      <c r="BH1328" s="375"/>
      <c r="BI1328" s="376"/>
      <c r="BJ1328" s="409"/>
    </row>
    <row r="1329" spans="1:62" ht="15" customHeight="1" thickBot="1" x14ac:dyDescent="0.25">
      <c r="A1329" s="156">
        <v>1330</v>
      </c>
      <c r="B1329" s="247">
        <v>1</v>
      </c>
      <c r="C1329" s="148" t="s">
        <v>2933</v>
      </c>
      <c r="D1329" s="148" t="s">
        <v>2745</v>
      </c>
      <c r="E1329" s="148"/>
      <c r="F1329" s="148" t="s">
        <v>3502</v>
      </c>
      <c r="G1329" s="148"/>
      <c r="H1329" s="148" t="s">
        <v>376</v>
      </c>
      <c r="I1329" s="161">
        <v>2006</v>
      </c>
      <c r="J1329" s="161" t="s">
        <v>3495</v>
      </c>
      <c r="K1329" s="161" t="s">
        <v>3496</v>
      </c>
      <c r="L1329" s="161" t="s">
        <v>19</v>
      </c>
      <c r="M1329" s="453" t="s">
        <v>4332</v>
      </c>
      <c r="N1329" s="186" t="s">
        <v>122</v>
      </c>
      <c r="O1329" s="186" t="s">
        <v>292</v>
      </c>
      <c r="P1329" s="186"/>
      <c r="Q1329" s="186"/>
      <c r="R1329" s="186"/>
      <c r="S1329" s="186"/>
      <c r="T1329" s="186"/>
      <c r="U1329" s="186"/>
      <c r="V1329" s="186"/>
      <c r="W1329" s="186"/>
      <c r="X1329" s="186"/>
      <c r="Y1329" s="186"/>
      <c r="Z1329" s="186"/>
      <c r="AA1329" s="186" t="s">
        <v>3106</v>
      </c>
      <c r="AB1329" s="186"/>
      <c r="AC1329" s="186"/>
      <c r="AD1329" s="268" t="s">
        <v>3497</v>
      </c>
      <c r="AE1329" s="268" t="s">
        <v>305</v>
      </c>
      <c r="AF1329" s="144" t="str">
        <f t="shared" si="115"/>
        <v/>
      </c>
      <c r="AG1329" s="144" t="str">
        <f t="shared" si="113"/>
        <v/>
      </c>
      <c r="AH1329" s="146">
        <f t="shared" si="110"/>
        <v>24.281878994057788</v>
      </c>
      <c r="AI1329" s="146" t="str">
        <f t="shared" si="111"/>
        <v/>
      </c>
      <c r="AJ1329" s="303"/>
      <c r="AK1329" s="303"/>
      <c r="AL1329" s="303"/>
      <c r="AM1329" s="303"/>
      <c r="AN1329" s="303"/>
      <c r="AO1329" s="303"/>
      <c r="AP1329" s="303"/>
      <c r="AQ1329" s="303"/>
      <c r="AR1329" s="318"/>
      <c r="AS1329" s="227"/>
      <c r="AT1329" s="233"/>
      <c r="AU1329" s="318"/>
      <c r="AV1329" s="343"/>
      <c r="AW1329" s="357">
        <f>9.75/0.667/0.602</f>
        <v>24.281878994057788</v>
      </c>
      <c r="AX1329" s="294"/>
      <c r="AY1329" s="294"/>
      <c r="AZ1329" s="294"/>
      <c r="BA1329" s="294"/>
      <c r="BB1329" s="294"/>
      <c r="BC1329" s="294"/>
      <c r="BD1329" s="294"/>
      <c r="BE1329" s="294"/>
      <c r="BF1329" s="383">
        <f t="shared" si="114"/>
        <v>24.281878994057788</v>
      </c>
      <c r="BG1329" s="383"/>
      <c r="BH1329" s="375"/>
      <c r="BI1329" s="376"/>
      <c r="BJ1329" s="409"/>
    </row>
    <row r="1330" spans="1:62" ht="15" customHeight="1" thickBot="1" x14ac:dyDescent="0.25">
      <c r="A1330" s="156">
        <v>1331</v>
      </c>
      <c r="B1330" s="247">
        <v>1</v>
      </c>
      <c r="C1330" s="148" t="s">
        <v>2933</v>
      </c>
      <c r="D1330" s="148" t="s">
        <v>2745</v>
      </c>
      <c r="E1330" s="148"/>
      <c r="F1330" s="148" t="s">
        <v>3503</v>
      </c>
      <c r="G1330" s="148"/>
      <c r="H1330" s="148" t="s">
        <v>376</v>
      </c>
      <c r="I1330" s="161">
        <v>2006</v>
      </c>
      <c r="J1330" s="161" t="s">
        <v>3495</v>
      </c>
      <c r="K1330" s="161" t="s">
        <v>3496</v>
      </c>
      <c r="L1330" s="161" t="s">
        <v>19</v>
      </c>
      <c r="M1330" s="453" t="s">
        <v>4332</v>
      </c>
      <c r="N1330" s="186" t="s">
        <v>122</v>
      </c>
      <c r="O1330" s="186" t="s">
        <v>292</v>
      </c>
      <c r="P1330" s="186"/>
      <c r="Q1330" s="186"/>
      <c r="R1330" s="186"/>
      <c r="S1330" s="186"/>
      <c r="T1330" s="186"/>
      <c r="U1330" s="186"/>
      <c r="V1330" s="186"/>
      <c r="W1330" s="186"/>
      <c r="X1330" s="186"/>
      <c r="Y1330" s="186"/>
      <c r="Z1330" s="186"/>
      <c r="AA1330" s="186" t="s">
        <v>3106</v>
      </c>
      <c r="AB1330" s="186"/>
      <c r="AC1330" s="186"/>
      <c r="AD1330" s="268" t="s">
        <v>3497</v>
      </c>
      <c r="AE1330" s="268" t="s">
        <v>305</v>
      </c>
      <c r="AF1330" s="144" t="str">
        <f t="shared" si="115"/>
        <v/>
      </c>
      <c r="AG1330" s="144" t="str">
        <f t="shared" si="113"/>
        <v/>
      </c>
      <c r="AH1330" s="146">
        <f t="shared" si="110"/>
        <v>22.787609517500389</v>
      </c>
      <c r="AI1330" s="146" t="str">
        <f t="shared" si="111"/>
        <v/>
      </c>
      <c r="AJ1330" s="303"/>
      <c r="AK1330" s="303"/>
      <c r="AL1330" s="303"/>
      <c r="AM1330" s="303"/>
      <c r="AN1330" s="303"/>
      <c r="AO1330" s="303"/>
      <c r="AP1330" s="303"/>
      <c r="AQ1330" s="303"/>
      <c r="AR1330" s="318"/>
      <c r="AS1330" s="227"/>
      <c r="AT1330" s="233"/>
      <c r="AU1330" s="318"/>
      <c r="AV1330" s="343"/>
      <c r="AW1330" s="357">
        <f>9.15/0.667/0.602</f>
        <v>22.787609517500389</v>
      </c>
      <c r="AX1330" s="294"/>
      <c r="AY1330" s="294"/>
      <c r="AZ1330" s="294"/>
      <c r="BA1330" s="294"/>
      <c r="BB1330" s="294"/>
      <c r="BC1330" s="294"/>
      <c r="BD1330" s="294"/>
      <c r="BE1330" s="294"/>
      <c r="BF1330" s="383">
        <f t="shared" si="114"/>
        <v>22.787609517500389</v>
      </c>
      <c r="BG1330" s="383"/>
      <c r="BH1330" s="375"/>
      <c r="BI1330" s="376"/>
      <c r="BJ1330" s="409"/>
    </row>
    <row r="1331" spans="1:62" ht="15" customHeight="1" thickBot="1" x14ac:dyDescent="0.25">
      <c r="A1331" s="156">
        <v>1332</v>
      </c>
      <c r="B1331" s="247">
        <v>1</v>
      </c>
      <c r="C1331" s="148" t="s">
        <v>2933</v>
      </c>
      <c r="D1331" s="148" t="s">
        <v>2745</v>
      </c>
      <c r="E1331" s="148"/>
      <c r="F1331" s="148" t="s">
        <v>3504</v>
      </c>
      <c r="G1331" s="148"/>
      <c r="H1331" s="148" t="s">
        <v>376</v>
      </c>
      <c r="I1331" s="161">
        <v>2006</v>
      </c>
      <c r="J1331" s="161" t="s">
        <v>3495</v>
      </c>
      <c r="K1331" s="161" t="s">
        <v>3496</v>
      </c>
      <c r="L1331" s="161" t="s">
        <v>19</v>
      </c>
      <c r="M1331" s="453" t="s">
        <v>4332</v>
      </c>
      <c r="N1331" s="186" t="s">
        <v>122</v>
      </c>
      <c r="O1331" s="186" t="s">
        <v>292</v>
      </c>
      <c r="P1331" s="186"/>
      <c r="Q1331" s="186"/>
      <c r="R1331" s="186"/>
      <c r="S1331" s="186"/>
      <c r="T1331" s="186"/>
      <c r="U1331" s="186"/>
      <c r="V1331" s="186"/>
      <c r="W1331" s="186"/>
      <c r="X1331" s="186"/>
      <c r="Y1331" s="186"/>
      <c r="Z1331" s="186"/>
      <c r="AA1331" s="186" t="s">
        <v>3106</v>
      </c>
      <c r="AB1331" s="186"/>
      <c r="AC1331" s="186"/>
      <c r="AD1331" s="268" t="s">
        <v>3497</v>
      </c>
      <c r="AE1331" s="268" t="s">
        <v>305</v>
      </c>
      <c r="AF1331" s="144" t="str">
        <f t="shared" si="115"/>
        <v/>
      </c>
      <c r="AG1331" s="144" t="str">
        <f t="shared" si="113"/>
        <v/>
      </c>
      <c r="AH1331" s="146">
        <f t="shared" si="110"/>
        <v>22.563469096016778</v>
      </c>
      <c r="AI1331" s="146" t="str">
        <f t="shared" si="111"/>
        <v/>
      </c>
      <c r="AJ1331" s="303"/>
      <c r="AK1331" s="303"/>
      <c r="AL1331" s="303"/>
      <c r="AM1331" s="303"/>
      <c r="AN1331" s="303"/>
      <c r="AO1331" s="303"/>
      <c r="AP1331" s="303"/>
      <c r="AQ1331" s="303"/>
      <c r="AR1331" s="318"/>
      <c r="AS1331" s="227"/>
      <c r="AT1331" s="233"/>
      <c r="AU1331" s="318"/>
      <c r="AV1331" s="343"/>
      <c r="AW1331" s="357">
        <f>9.06/0.667/0.602</f>
        <v>22.563469096016778</v>
      </c>
      <c r="AX1331" s="294"/>
      <c r="AY1331" s="294"/>
      <c r="AZ1331" s="294"/>
      <c r="BA1331" s="294"/>
      <c r="BB1331" s="294"/>
      <c r="BC1331" s="294"/>
      <c r="BD1331" s="294"/>
      <c r="BE1331" s="294"/>
      <c r="BF1331" s="383">
        <f t="shared" si="114"/>
        <v>22.563469096016778</v>
      </c>
      <c r="BG1331" s="383"/>
      <c r="BH1331" s="375"/>
      <c r="BI1331" s="376"/>
      <c r="BJ1331" s="409"/>
    </row>
    <row r="1332" spans="1:62" ht="15" customHeight="1" thickBot="1" x14ac:dyDescent="0.25">
      <c r="A1332" s="156">
        <v>1333</v>
      </c>
      <c r="B1332" s="247">
        <v>1</v>
      </c>
      <c r="C1332" s="148" t="s">
        <v>2933</v>
      </c>
      <c r="D1332" s="148" t="s">
        <v>2745</v>
      </c>
      <c r="E1332" s="148"/>
      <c r="F1332" s="148" t="s">
        <v>3505</v>
      </c>
      <c r="G1332" s="148"/>
      <c r="H1332" s="148" t="s">
        <v>376</v>
      </c>
      <c r="I1332" s="161">
        <v>2006</v>
      </c>
      <c r="J1332" s="161" t="s">
        <v>3495</v>
      </c>
      <c r="K1332" s="161" t="s">
        <v>3496</v>
      </c>
      <c r="L1332" s="161" t="s">
        <v>19</v>
      </c>
      <c r="M1332" s="453" t="s">
        <v>4332</v>
      </c>
      <c r="N1332" s="186" t="s">
        <v>122</v>
      </c>
      <c r="O1332" s="186" t="s">
        <v>292</v>
      </c>
      <c r="P1332" s="186"/>
      <c r="Q1332" s="186"/>
      <c r="R1332" s="186"/>
      <c r="S1332" s="186"/>
      <c r="T1332" s="186"/>
      <c r="U1332" s="186"/>
      <c r="V1332" s="186"/>
      <c r="W1332" s="186"/>
      <c r="X1332" s="186"/>
      <c r="Y1332" s="186"/>
      <c r="Z1332" s="186"/>
      <c r="AA1332" s="186" t="s">
        <v>3106</v>
      </c>
      <c r="AB1332" s="186"/>
      <c r="AC1332" s="186"/>
      <c r="AD1332" s="268" t="s">
        <v>3497</v>
      </c>
      <c r="AE1332" s="268" t="s">
        <v>305</v>
      </c>
      <c r="AF1332" s="144" t="str">
        <f t="shared" si="115"/>
        <v/>
      </c>
      <c r="AG1332" s="144" t="str">
        <f t="shared" si="113"/>
        <v/>
      </c>
      <c r="AH1332" s="146">
        <f t="shared" si="110"/>
        <v>17.85652024486096</v>
      </c>
      <c r="AI1332" s="146" t="str">
        <f t="shared" si="111"/>
        <v/>
      </c>
      <c r="AJ1332" s="303"/>
      <c r="AK1332" s="303"/>
      <c r="AL1332" s="303"/>
      <c r="AM1332" s="303"/>
      <c r="AN1332" s="303"/>
      <c r="AO1332" s="303"/>
      <c r="AP1332" s="303"/>
      <c r="AQ1332" s="303"/>
      <c r="AR1332" s="318"/>
      <c r="AS1332" s="227"/>
      <c r="AT1332" s="233"/>
      <c r="AU1332" s="318"/>
      <c r="AV1332" s="343"/>
      <c r="AW1332" s="357">
        <f>7.17/0.667/0.602</f>
        <v>17.85652024486096</v>
      </c>
      <c r="AX1332" s="294"/>
      <c r="AY1332" s="294"/>
      <c r="AZ1332" s="294"/>
      <c r="BA1332" s="294"/>
      <c r="BB1332" s="294"/>
      <c r="BC1332" s="294"/>
      <c r="BD1332" s="294"/>
      <c r="BE1332" s="294"/>
      <c r="BF1332" s="383">
        <f t="shared" si="114"/>
        <v>17.85652024486096</v>
      </c>
      <c r="BG1332" s="383"/>
      <c r="BH1332" s="375"/>
      <c r="BI1332" s="376"/>
      <c r="BJ1332" s="409"/>
    </row>
    <row r="1333" spans="1:62" ht="15" customHeight="1" thickBot="1" x14ac:dyDescent="0.25">
      <c r="A1333" s="156">
        <v>1334</v>
      </c>
      <c r="B1333" s="247">
        <v>1</v>
      </c>
      <c r="C1333" s="148" t="s">
        <v>2933</v>
      </c>
      <c r="D1333" s="148" t="s">
        <v>2745</v>
      </c>
      <c r="E1333" s="148"/>
      <c r="F1333" s="148" t="s">
        <v>3506</v>
      </c>
      <c r="G1333" s="148"/>
      <c r="H1333" s="148" t="s">
        <v>376</v>
      </c>
      <c r="I1333" s="161">
        <v>2006</v>
      </c>
      <c r="J1333" s="161" t="s">
        <v>3495</v>
      </c>
      <c r="K1333" s="161" t="s">
        <v>3496</v>
      </c>
      <c r="L1333" s="161" t="s">
        <v>19</v>
      </c>
      <c r="M1333" s="453" t="s">
        <v>4332</v>
      </c>
      <c r="N1333" s="186" t="s">
        <v>122</v>
      </c>
      <c r="O1333" s="186" t="s">
        <v>292</v>
      </c>
      <c r="P1333" s="186"/>
      <c r="Q1333" s="186"/>
      <c r="R1333" s="186"/>
      <c r="S1333" s="186"/>
      <c r="T1333" s="186"/>
      <c r="U1333" s="186"/>
      <c r="V1333" s="186"/>
      <c r="W1333" s="186"/>
      <c r="X1333" s="186"/>
      <c r="Y1333" s="186"/>
      <c r="Z1333" s="186"/>
      <c r="AA1333" s="186" t="s">
        <v>3106</v>
      </c>
      <c r="AB1333" s="186"/>
      <c r="AC1333" s="186"/>
      <c r="AD1333" s="268" t="s">
        <v>3497</v>
      </c>
      <c r="AE1333" s="268" t="s">
        <v>305</v>
      </c>
      <c r="AF1333" s="144" t="str">
        <f t="shared" si="115"/>
        <v/>
      </c>
      <c r="AG1333" s="144" t="str">
        <f t="shared" si="113"/>
        <v/>
      </c>
      <c r="AH1333" s="146">
        <f t="shared" si="110"/>
        <v>18.82779540462327</v>
      </c>
      <c r="AI1333" s="146" t="str">
        <f t="shared" si="111"/>
        <v/>
      </c>
      <c r="AJ1333" s="303"/>
      <c r="AK1333" s="303"/>
      <c r="AL1333" s="303"/>
      <c r="AM1333" s="303"/>
      <c r="AN1333" s="303"/>
      <c r="AO1333" s="303"/>
      <c r="AP1333" s="303"/>
      <c r="AQ1333" s="303"/>
      <c r="AR1333" s="318"/>
      <c r="AS1333" s="227"/>
      <c r="AT1333" s="233"/>
      <c r="AU1333" s="318"/>
      <c r="AV1333" s="343"/>
      <c r="AW1333" s="357">
        <f>7.56/0.667/0.602</f>
        <v>18.82779540462327</v>
      </c>
      <c r="AX1333" s="294"/>
      <c r="AY1333" s="294"/>
      <c r="AZ1333" s="294"/>
      <c r="BA1333" s="294"/>
      <c r="BB1333" s="294"/>
      <c r="BC1333" s="294"/>
      <c r="BD1333" s="294"/>
      <c r="BE1333" s="294"/>
      <c r="BF1333" s="383">
        <f t="shared" si="114"/>
        <v>18.82779540462327</v>
      </c>
      <c r="BG1333" s="383"/>
      <c r="BH1333" s="375"/>
      <c r="BI1333" s="376"/>
      <c r="BJ1333" s="409"/>
    </row>
    <row r="1334" spans="1:62" ht="15" customHeight="1" thickBot="1" x14ac:dyDescent="0.25">
      <c r="A1334" s="156">
        <v>1335</v>
      </c>
      <c r="B1334" s="247">
        <v>1</v>
      </c>
      <c r="C1334" s="148" t="s">
        <v>162</v>
      </c>
      <c r="D1334" s="148" t="s">
        <v>874</v>
      </c>
      <c r="E1334" s="148" t="s">
        <v>13</v>
      </c>
      <c r="F1334" s="148"/>
      <c r="G1334" s="148"/>
      <c r="H1334" s="148" t="s">
        <v>101</v>
      </c>
      <c r="I1334" s="161">
        <v>2006</v>
      </c>
      <c r="J1334" s="161" t="s">
        <v>3507</v>
      </c>
      <c r="K1334" s="161" t="s">
        <v>3508</v>
      </c>
      <c r="L1334" s="161" t="s">
        <v>83</v>
      </c>
      <c r="M1334" s="453" t="s">
        <v>4333</v>
      </c>
      <c r="N1334" s="186" t="s">
        <v>122</v>
      </c>
      <c r="O1334" s="186" t="s">
        <v>292</v>
      </c>
      <c r="P1334" s="186" t="s">
        <v>122</v>
      </c>
      <c r="Q1334" s="186" t="s">
        <v>122</v>
      </c>
      <c r="R1334" s="186" t="s">
        <v>122</v>
      </c>
      <c r="S1334" s="186" t="s">
        <v>122</v>
      </c>
      <c r="T1334" s="186" t="s">
        <v>292</v>
      </c>
      <c r="U1334" s="186" t="s">
        <v>292</v>
      </c>
      <c r="V1334" s="186" t="s">
        <v>292</v>
      </c>
      <c r="W1334" s="186" t="s">
        <v>292</v>
      </c>
      <c r="X1334" s="186" t="s">
        <v>292</v>
      </c>
      <c r="Y1334" s="186" t="s">
        <v>292</v>
      </c>
      <c r="Z1334" s="186"/>
      <c r="AA1334" s="186" t="s">
        <v>3509</v>
      </c>
      <c r="AB1334" s="186"/>
      <c r="AC1334" s="186"/>
      <c r="AD1334" s="268" t="s">
        <v>3510</v>
      </c>
      <c r="AE1334" s="268"/>
      <c r="AF1334" s="144">
        <f t="shared" si="115"/>
        <v>0.223</v>
      </c>
      <c r="AG1334" s="144" t="str">
        <f t="shared" si="113"/>
        <v/>
      </c>
      <c r="AH1334" s="146">
        <f t="shared" si="110"/>
        <v>1.7999999999999999E-2</v>
      </c>
      <c r="AI1334" s="146" t="str">
        <f t="shared" si="111"/>
        <v/>
      </c>
      <c r="AJ1334" s="303">
        <f>0.21+0.013</f>
        <v>0.223</v>
      </c>
      <c r="AK1334" s="303"/>
      <c r="AL1334" s="303"/>
      <c r="AM1334" s="303">
        <f>1.4+0.76</f>
        <v>2.16</v>
      </c>
      <c r="AN1334" s="303">
        <f>0.26</f>
        <v>0.26</v>
      </c>
      <c r="AO1334" s="303"/>
      <c r="AP1334" s="303"/>
      <c r="AQ1334" s="303"/>
      <c r="AR1334" s="318"/>
      <c r="AS1334" s="227">
        <f t="shared" ref="AS1334:AS1361" si="116">AJ1334</f>
        <v>0.223</v>
      </c>
      <c r="AT1334" s="233">
        <f t="shared" ref="AT1334:AT1349" si="117">SUM(AJ1334:AR1334)</f>
        <v>2.6429999999999998</v>
      </c>
      <c r="AU1334" s="318"/>
      <c r="AV1334" s="343"/>
      <c r="AW1334" s="357">
        <v>1.7999999999999999E-2</v>
      </c>
      <c r="AX1334" s="294"/>
      <c r="AY1334" s="294"/>
      <c r="AZ1334" s="294">
        <v>3.2000000000000001E-2</v>
      </c>
      <c r="BA1334" s="294">
        <v>1.9E-2</v>
      </c>
      <c r="BB1334" s="294"/>
      <c r="BC1334" s="294"/>
      <c r="BD1334" s="294"/>
      <c r="BE1334" s="294"/>
      <c r="BF1334" s="383">
        <f t="shared" si="114"/>
        <v>1.7999999999999999E-2</v>
      </c>
      <c r="BG1334" s="383">
        <f>SUM(AW1334:BA1334)</f>
        <v>6.9000000000000006E-2</v>
      </c>
      <c r="BH1334" s="375"/>
      <c r="BI1334" s="376"/>
      <c r="BJ1334" s="409"/>
    </row>
    <row r="1335" spans="1:62" ht="15" customHeight="1" thickBot="1" x14ac:dyDescent="0.25">
      <c r="A1335" s="156">
        <v>1336</v>
      </c>
      <c r="B1335" s="247">
        <v>1</v>
      </c>
      <c r="C1335" s="148" t="s">
        <v>162</v>
      </c>
      <c r="D1335" s="148" t="s">
        <v>3511</v>
      </c>
      <c r="E1335" s="148" t="s">
        <v>1068</v>
      </c>
      <c r="F1335" s="148" t="s">
        <v>3512</v>
      </c>
      <c r="G1335" s="148"/>
      <c r="H1335" s="148" t="s">
        <v>101</v>
      </c>
      <c r="I1335" s="161">
        <v>2006</v>
      </c>
      <c r="J1335" s="161" t="s">
        <v>3507</v>
      </c>
      <c r="K1335" s="161" t="s">
        <v>3508</v>
      </c>
      <c r="L1335" s="161" t="s">
        <v>83</v>
      </c>
      <c r="M1335" s="453" t="s">
        <v>4333</v>
      </c>
      <c r="N1335" s="186" t="s">
        <v>122</v>
      </c>
      <c r="O1335" s="186" t="s">
        <v>292</v>
      </c>
      <c r="P1335" s="186" t="s">
        <v>122</v>
      </c>
      <c r="Q1335" s="186" t="s">
        <v>122</v>
      </c>
      <c r="R1335" s="186" t="s">
        <v>122</v>
      </c>
      <c r="S1335" s="186" t="s">
        <v>122</v>
      </c>
      <c r="T1335" s="186" t="s">
        <v>292</v>
      </c>
      <c r="U1335" s="186" t="s">
        <v>292</v>
      </c>
      <c r="V1335" s="186" t="s">
        <v>292</v>
      </c>
      <c r="W1335" s="186" t="s">
        <v>292</v>
      </c>
      <c r="X1335" s="186" t="s">
        <v>292</v>
      </c>
      <c r="Y1335" s="186" t="s">
        <v>292</v>
      </c>
      <c r="Z1335" s="186"/>
      <c r="AA1335" s="186" t="s">
        <v>3509</v>
      </c>
      <c r="AB1335" s="186"/>
      <c r="AC1335" s="186"/>
      <c r="AD1335" s="268" t="s">
        <v>3510</v>
      </c>
      <c r="AE1335" s="268"/>
      <c r="AF1335" s="144">
        <f t="shared" si="115"/>
        <v>0.59000000000000008</v>
      </c>
      <c r="AG1335" s="144">
        <f t="shared" si="113"/>
        <v>6.8900000000000006</v>
      </c>
      <c r="AH1335" s="146">
        <f t="shared" si="110"/>
        <v>2.3E-2</v>
      </c>
      <c r="AI1335" s="146">
        <f t="shared" si="111"/>
        <v>0.218</v>
      </c>
      <c r="AJ1335" s="303">
        <f>0.25+0.34</f>
        <v>0.59000000000000008</v>
      </c>
      <c r="AK1335" s="303"/>
      <c r="AL1335" s="303">
        <f>3.58+2.72</f>
        <v>6.3000000000000007</v>
      </c>
      <c r="AM1335" s="303"/>
      <c r="AN1335" s="303">
        <v>0.67</v>
      </c>
      <c r="AO1335" s="303"/>
      <c r="AP1335" s="303"/>
      <c r="AQ1335" s="303"/>
      <c r="AR1335" s="318"/>
      <c r="AS1335" s="227">
        <f t="shared" si="116"/>
        <v>0.59000000000000008</v>
      </c>
      <c r="AT1335" s="233">
        <f t="shared" si="117"/>
        <v>7.5600000000000005</v>
      </c>
      <c r="AU1335" s="318"/>
      <c r="AV1335" s="343"/>
      <c r="AW1335" s="357">
        <v>2.3E-2</v>
      </c>
      <c r="AX1335" s="294"/>
      <c r="AY1335" s="294">
        <v>0.19500000000000001</v>
      </c>
      <c r="AZ1335" s="294"/>
      <c r="BA1335" s="294">
        <v>4.9000000000000002E-2</v>
      </c>
      <c r="BB1335" s="294"/>
      <c r="BC1335" s="294"/>
      <c r="BD1335" s="294"/>
      <c r="BE1335" s="294"/>
      <c r="BF1335" s="383">
        <f t="shared" si="114"/>
        <v>2.3E-2</v>
      </c>
      <c r="BG1335" s="383">
        <f>SUM(AW1335:BA1335)</f>
        <v>0.26700000000000002</v>
      </c>
      <c r="BH1335" s="375"/>
      <c r="BI1335" s="376"/>
      <c r="BJ1335" s="409"/>
    </row>
    <row r="1336" spans="1:62" ht="15" customHeight="1" thickBot="1" x14ac:dyDescent="0.25">
      <c r="A1336" s="156">
        <v>1337</v>
      </c>
      <c r="B1336" s="247">
        <v>1</v>
      </c>
      <c r="C1336" s="148" t="s">
        <v>162</v>
      </c>
      <c r="D1336" s="148" t="s">
        <v>874</v>
      </c>
      <c r="E1336" s="148" t="s">
        <v>13</v>
      </c>
      <c r="F1336" s="148"/>
      <c r="G1336" s="148"/>
      <c r="H1336" s="148" t="s">
        <v>42</v>
      </c>
      <c r="I1336" s="161">
        <v>2006</v>
      </c>
      <c r="J1336" s="161" t="s">
        <v>3507</v>
      </c>
      <c r="K1336" s="161" t="s">
        <v>3508</v>
      </c>
      <c r="L1336" s="161" t="s">
        <v>83</v>
      </c>
      <c r="M1336" s="453" t="s">
        <v>4333</v>
      </c>
      <c r="N1336" s="186" t="s">
        <v>122</v>
      </c>
      <c r="O1336" s="186" t="s">
        <v>292</v>
      </c>
      <c r="P1336" s="186" t="s">
        <v>122</v>
      </c>
      <c r="Q1336" s="186" t="s">
        <v>122</v>
      </c>
      <c r="R1336" s="186" t="s">
        <v>122</v>
      </c>
      <c r="S1336" s="186" t="s">
        <v>122</v>
      </c>
      <c r="T1336" s="186" t="s">
        <v>292</v>
      </c>
      <c r="U1336" s="186" t="s">
        <v>292</v>
      </c>
      <c r="V1336" s="186" t="s">
        <v>292</v>
      </c>
      <c r="W1336" s="186" t="s">
        <v>292</v>
      </c>
      <c r="X1336" s="186" t="s">
        <v>292</v>
      </c>
      <c r="Y1336" s="186" t="s">
        <v>292</v>
      </c>
      <c r="Z1336" s="186"/>
      <c r="AA1336" s="186" t="s">
        <v>3509</v>
      </c>
      <c r="AB1336" s="186"/>
      <c r="AC1336" s="186"/>
      <c r="AD1336" s="268" t="s">
        <v>3510</v>
      </c>
      <c r="AE1336" s="268"/>
      <c r="AF1336" s="144">
        <f t="shared" si="115"/>
        <v>1.216</v>
      </c>
      <c r="AG1336" s="144" t="str">
        <f t="shared" si="113"/>
        <v/>
      </c>
      <c r="AH1336" s="146">
        <f t="shared" si="110"/>
        <v>0.04</v>
      </c>
      <c r="AI1336" s="146" t="str">
        <f t="shared" si="111"/>
        <v/>
      </c>
      <c r="AJ1336" s="303">
        <f>1.2+0.016</f>
        <v>1.216</v>
      </c>
      <c r="AK1336" s="303"/>
      <c r="AL1336" s="303"/>
      <c r="AM1336" s="303">
        <f>1.5+0.38</f>
        <v>1.88</v>
      </c>
      <c r="AN1336" s="303">
        <f>0.98</f>
        <v>0.98</v>
      </c>
      <c r="AO1336" s="303"/>
      <c r="AP1336" s="303"/>
      <c r="AQ1336" s="303"/>
      <c r="AR1336" s="318"/>
      <c r="AS1336" s="227">
        <f t="shared" si="116"/>
        <v>1.216</v>
      </c>
      <c r="AT1336" s="233">
        <f t="shared" si="117"/>
        <v>4.0760000000000005</v>
      </c>
      <c r="AU1336" s="318"/>
      <c r="AV1336" s="343"/>
      <c r="AW1336" s="357">
        <v>0.04</v>
      </c>
      <c r="AX1336" s="294"/>
      <c r="AY1336" s="294"/>
      <c r="AZ1336" s="294">
        <v>4.3999999999999997E-2</v>
      </c>
      <c r="BA1336" s="294">
        <v>7.0999999999999994E-2</v>
      </c>
      <c r="BB1336" s="294"/>
      <c r="BC1336" s="294"/>
      <c r="BD1336" s="294"/>
      <c r="BE1336" s="294"/>
      <c r="BF1336" s="383">
        <f t="shared" si="114"/>
        <v>0.04</v>
      </c>
      <c r="BG1336" s="383">
        <f t="shared" ref="BG1336:BG1349" si="118">SUM(AW1336:BE1336)</f>
        <v>0.15499999999999997</v>
      </c>
      <c r="BH1336" s="375"/>
      <c r="BI1336" s="376"/>
      <c r="BJ1336" s="409"/>
    </row>
    <row r="1337" spans="1:62" ht="15" customHeight="1" thickBot="1" x14ac:dyDescent="0.25">
      <c r="A1337" s="156">
        <v>1338</v>
      </c>
      <c r="B1337" s="247">
        <v>1</v>
      </c>
      <c r="C1337" s="148" t="s">
        <v>162</v>
      </c>
      <c r="D1337" s="148" t="s">
        <v>872</v>
      </c>
      <c r="E1337" s="148" t="s">
        <v>13</v>
      </c>
      <c r="F1337" s="148"/>
      <c r="G1337" s="148"/>
      <c r="H1337" s="148" t="s">
        <v>101</v>
      </c>
      <c r="I1337" s="161">
        <v>2006</v>
      </c>
      <c r="J1337" s="161" t="s">
        <v>3507</v>
      </c>
      <c r="K1337" s="161" t="s">
        <v>3508</v>
      </c>
      <c r="L1337" s="161" t="s">
        <v>83</v>
      </c>
      <c r="M1337" s="453" t="s">
        <v>4333</v>
      </c>
      <c r="N1337" s="186" t="s">
        <v>122</v>
      </c>
      <c r="O1337" s="186" t="s">
        <v>292</v>
      </c>
      <c r="P1337" s="186" t="s">
        <v>122</v>
      </c>
      <c r="Q1337" s="186" t="s">
        <v>122</v>
      </c>
      <c r="R1337" s="186" t="s">
        <v>122</v>
      </c>
      <c r="S1337" s="186" t="s">
        <v>122</v>
      </c>
      <c r="T1337" s="186" t="s">
        <v>292</v>
      </c>
      <c r="U1337" s="186" t="s">
        <v>292</v>
      </c>
      <c r="V1337" s="186" t="s">
        <v>292</v>
      </c>
      <c r="W1337" s="186" t="s">
        <v>292</v>
      </c>
      <c r="X1337" s="186" t="s">
        <v>292</v>
      </c>
      <c r="Y1337" s="186" t="s">
        <v>292</v>
      </c>
      <c r="Z1337" s="186"/>
      <c r="AA1337" s="186" t="s">
        <v>3509</v>
      </c>
      <c r="AB1337" s="186"/>
      <c r="AC1337" s="186"/>
      <c r="AD1337" s="268" t="s">
        <v>3510</v>
      </c>
      <c r="AE1337" s="268"/>
      <c r="AF1337" s="144">
        <f t="shared" si="115"/>
        <v>1.131</v>
      </c>
      <c r="AG1337" s="144" t="str">
        <f t="shared" si="113"/>
        <v/>
      </c>
      <c r="AH1337" s="146">
        <f t="shared" si="110"/>
        <v>3.9E-2</v>
      </c>
      <c r="AI1337" s="146" t="str">
        <f t="shared" si="111"/>
        <v/>
      </c>
      <c r="AJ1337" s="303">
        <f>1.1+0.031</f>
        <v>1.131</v>
      </c>
      <c r="AK1337" s="303"/>
      <c r="AL1337" s="303"/>
      <c r="AM1337" s="303">
        <f>0.24+0.28</f>
        <v>0.52</v>
      </c>
      <c r="AN1337" s="303">
        <v>0.26</v>
      </c>
      <c r="AO1337" s="303"/>
      <c r="AP1337" s="303"/>
      <c r="AQ1337" s="303"/>
      <c r="AR1337" s="318"/>
      <c r="AS1337" s="227">
        <f t="shared" si="116"/>
        <v>1.131</v>
      </c>
      <c r="AT1337" s="233">
        <f t="shared" si="117"/>
        <v>1.911</v>
      </c>
      <c r="AU1337" s="318"/>
      <c r="AV1337" s="343"/>
      <c r="AW1337" s="357">
        <v>3.9E-2</v>
      </c>
      <c r="AX1337" s="294"/>
      <c r="AY1337" s="294"/>
      <c r="AZ1337" s="294">
        <v>1.0999999999999999E-2</v>
      </c>
      <c r="BA1337" s="294">
        <v>1.9E-2</v>
      </c>
      <c r="BB1337" s="294"/>
      <c r="BC1337" s="294"/>
      <c r="BD1337" s="294"/>
      <c r="BE1337" s="294"/>
      <c r="BF1337" s="383">
        <f t="shared" si="114"/>
        <v>3.9E-2</v>
      </c>
      <c r="BG1337" s="383">
        <f t="shared" si="118"/>
        <v>6.9000000000000006E-2</v>
      </c>
      <c r="BH1337" s="375"/>
      <c r="BI1337" s="376"/>
      <c r="BJ1337" s="409"/>
    </row>
    <row r="1338" spans="1:62" ht="15" customHeight="1" thickBot="1" x14ac:dyDescent="0.25">
      <c r="A1338" s="156">
        <v>1339</v>
      </c>
      <c r="B1338" s="247">
        <v>1</v>
      </c>
      <c r="C1338" s="148" t="s">
        <v>162</v>
      </c>
      <c r="D1338" s="148" t="s">
        <v>872</v>
      </c>
      <c r="E1338" s="148" t="s">
        <v>13</v>
      </c>
      <c r="F1338" s="148"/>
      <c r="G1338" s="148"/>
      <c r="H1338" s="148" t="s">
        <v>80</v>
      </c>
      <c r="I1338" s="161">
        <v>2006</v>
      </c>
      <c r="J1338" s="161" t="s">
        <v>3507</v>
      </c>
      <c r="K1338" s="161" t="s">
        <v>3508</v>
      </c>
      <c r="L1338" s="161" t="s">
        <v>83</v>
      </c>
      <c r="M1338" s="453" t="s">
        <v>4333</v>
      </c>
      <c r="N1338" s="186" t="s">
        <v>122</v>
      </c>
      <c r="O1338" s="186" t="s">
        <v>292</v>
      </c>
      <c r="P1338" s="186" t="s">
        <v>122</v>
      </c>
      <c r="Q1338" s="186" t="s">
        <v>122</v>
      </c>
      <c r="R1338" s="186" t="s">
        <v>122</v>
      </c>
      <c r="S1338" s="186" t="s">
        <v>122</v>
      </c>
      <c r="T1338" s="186" t="s">
        <v>292</v>
      </c>
      <c r="U1338" s="186" t="s">
        <v>292</v>
      </c>
      <c r="V1338" s="186" t="s">
        <v>292</v>
      </c>
      <c r="W1338" s="186" t="s">
        <v>292</v>
      </c>
      <c r="X1338" s="186" t="s">
        <v>292</v>
      </c>
      <c r="Y1338" s="186" t="s">
        <v>292</v>
      </c>
      <c r="Z1338" s="186"/>
      <c r="AA1338" s="186" t="s">
        <v>3509</v>
      </c>
      <c r="AB1338" s="186"/>
      <c r="AC1338" s="186"/>
      <c r="AD1338" s="268" t="s">
        <v>3510</v>
      </c>
      <c r="AE1338" s="268"/>
      <c r="AF1338" s="144">
        <f t="shared" si="115"/>
        <v>1.49</v>
      </c>
      <c r="AG1338" s="144" t="str">
        <f t="shared" si="113"/>
        <v/>
      </c>
      <c r="AH1338" s="146">
        <f t="shared" si="110"/>
        <v>4.5999999999999999E-2</v>
      </c>
      <c r="AI1338" s="146" t="str">
        <f t="shared" si="111"/>
        <v/>
      </c>
      <c r="AJ1338" s="303">
        <f>1.47+0.02</f>
        <v>1.49</v>
      </c>
      <c r="AK1338" s="303"/>
      <c r="AL1338" s="303"/>
      <c r="AM1338" s="303">
        <f>0.79+0.19</f>
        <v>0.98</v>
      </c>
      <c r="AN1338" s="303">
        <v>0.55000000000000004</v>
      </c>
      <c r="AO1338" s="303"/>
      <c r="AP1338" s="303"/>
      <c r="AQ1338" s="303"/>
      <c r="AR1338" s="318"/>
      <c r="AS1338" s="227">
        <f t="shared" si="116"/>
        <v>1.49</v>
      </c>
      <c r="AT1338" s="233">
        <f t="shared" si="117"/>
        <v>3.0199999999999996</v>
      </c>
      <c r="AU1338" s="318"/>
      <c r="AV1338" s="343"/>
      <c r="AW1338" s="357">
        <v>4.5999999999999999E-2</v>
      </c>
      <c r="AX1338" s="294"/>
      <c r="AY1338" s="294"/>
      <c r="AZ1338" s="294">
        <v>5.8999999999999997E-2</v>
      </c>
      <c r="BA1338" s="294">
        <v>0.04</v>
      </c>
      <c r="BB1338" s="294"/>
      <c r="BC1338" s="294"/>
      <c r="BD1338" s="294"/>
      <c r="BE1338" s="294"/>
      <c r="BF1338" s="383">
        <f t="shared" si="114"/>
        <v>4.5999999999999999E-2</v>
      </c>
      <c r="BG1338" s="383">
        <f t="shared" si="118"/>
        <v>0.14499999999999999</v>
      </c>
      <c r="BH1338" s="375"/>
      <c r="BI1338" s="376"/>
      <c r="BJ1338" s="409"/>
    </row>
    <row r="1339" spans="1:62" ht="15" customHeight="1" thickBot="1" x14ac:dyDescent="0.25">
      <c r="A1339" s="156">
        <v>1340</v>
      </c>
      <c r="B1339" s="247">
        <v>1</v>
      </c>
      <c r="C1339" s="148" t="s">
        <v>162</v>
      </c>
      <c r="D1339" s="148" t="s">
        <v>3513</v>
      </c>
      <c r="E1339" s="148" t="s">
        <v>13</v>
      </c>
      <c r="F1339" s="148"/>
      <c r="G1339" s="148"/>
      <c r="H1339" s="148" t="s">
        <v>101</v>
      </c>
      <c r="I1339" s="161">
        <v>2006</v>
      </c>
      <c r="J1339" s="161" t="s">
        <v>3507</v>
      </c>
      <c r="K1339" s="161" t="s">
        <v>3508</v>
      </c>
      <c r="L1339" s="161" t="s">
        <v>83</v>
      </c>
      <c r="M1339" s="453" t="s">
        <v>4333</v>
      </c>
      <c r="N1339" s="186" t="s">
        <v>122</v>
      </c>
      <c r="O1339" s="186" t="s">
        <v>292</v>
      </c>
      <c r="P1339" s="186" t="s">
        <v>122</v>
      </c>
      <c r="Q1339" s="186" t="s">
        <v>122</v>
      </c>
      <c r="R1339" s="186" t="s">
        <v>122</v>
      </c>
      <c r="S1339" s="186" t="s">
        <v>122</v>
      </c>
      <c r="T1339" s="186" t="s">
        <v>292</v>
      </c>
      <c r="U1339" s="186" t="s">
        <v>292</v>
      </c>
      <c r="V1339" s="186" t="s">
        <v>292</v>
      </c>
      <c r="W1339" s="186" t="s">
        <v>292</v>
      </c>
      <c r="X1339" s="186" t="s">
        <v>292</v>
      </c>
      <c r="Y1339" s="186" t="s">
        <v>292</v>
      </c>
      <c r="Z1339" s="186"/>
      <c r="AA1339" s="186" t="s">
        <v>3509</v>
      </c>
      <c r="AB1339" s="186"/>
      <c r="AC1339" s="186"/>
      <c r="AD1339" s="268" t="s">
        <v>3510</v>
      </c>
      <c r="AE1339" s="268"/>
      <c r="AF1339" s="144">
        <f t="shared" si="115"/>
        <v>51</v>
      </c>
      <c r="AG1339" s="144" t="str">
        <f t="shared" si="113"/>
        <v/>
      </c>
      <c r="AH1339" s="146">
        <f t="shared" si="110"/>
        <v>2.694</v>
      </c>
      <c r="AI1339" s="146" t="str">
        <f t="shared" si="111"/>
        <v/>
      </c>
      <c r="AJ1339" s="303">
        <f>49+2</f>
        <v>51</v>
      </c>
      <c r="AK1339" s="303"/>
      <c r="AL1339" s="303"/>
      <c r="AM1339" s="303"/>
      <c r="AN1339" s="303">
        <v>0.41</v>
      </c>
      <c r="AO1339" s="303"/>
      <c r="AP1339" s="303"/>
      <c r="AQ1339" s="303"/>
      <c r="AR1339" s="318"/>
      <c r="AS1339" s="227">
        <f t="shared" si="116"/>
        <v>51</v>
      </c>
      <c r="AT1339" s="233">
        <f t="shared" si="117"/>
        <v>51.41</v>
      </c>
      <c r="AU1339" s="318"/>
      <c r="AV1339" s="343"/>
      <c r="AW1339" s="357">
        <v>2.694</v>
      </c>
      <c r="AX1339" s="294"/>
      <c r="AY1339" s="294"/>
      <c r="AZ1339" s="294"/>
      <c r="BA1339" s="294">
        <v>0.03</v>
      </c>
      <c r="BB1339" s="294"/>
      <c r="BC1339" s="294"/>
      <c r="BD1339" s="294"/>
      <c r="BE1339" s="294"/>
      <c r="BF1339" s="383">
        <f t="shared" si="114"/>
        <v>2.694</v>
      </c>
      <c r="BG1339" s="383">
        <f t="shared" si="118"/>
        <v>2.7239999999999998</v>
      </c>
      <c r="BH1339" s="375"/>
      <c r="BI1339" s="376"/>
      <c r="BJ1339" s="409"/>
    </row>
    <row r="1340" spans="1:62" ht="15" customHeight="1" thickBot="1" x14ac:dyDescent="0.25">
      <c r="A1340" s="156">
        <v>1341</v>
      </c>
      <c r="B1340" s="247">
        <v>1</v>
      </c>
      <c r="C1340" s="148" t="s">
        <v>162</v>
      </c>
      <c r="D1340" s="148" t="s">
        <v>3513</v>
      </c>
      <c r="E1340" s="148" t="s">
        <v>13</v>
      </c>
      <c r="F1340" s="148"/>
      <c r="G1340" s="148"/>
      <c r="H1340" s="148" t="s">
        <v>42</v>
      </c>
      <c r="I1340" s="161">
        <v>2006</v>
      </c>
      <c r="J1340" s="161" t="s">
        <v>3507</v>
      </c>
      <c r="K1340" s="161" t="s">
        <v>3508</v>
      </c>
      <c r="L1340" s="161" t="s">
        <v>83</v>
      </c>
      <c r="M1340" s="453" t="s">
        <v>4333</v>
      </c>
      <c r="N1340" s="186" t="s">
        <v>122</v>
      </c>
      <c r="O1340" s="186" t="s">
        <v>292</v>
      </c>
      <c r="P1340" s="186" t="s">
        <v>122</v>
      </c>
      <c r="Q1340" s="186" t="s">
        <v>122</v>
      </c>
      <c r="R1340" s="186" t="s">
        <v>122</v>
      </c>
      <c r="S1340" s="186" t="s">
        <v>122</v>
      </c>
      <c r="T1340" s="186" t="s">
        <v>292</v>
      </c>
      <c r="U1340" s="186" t="s">
        <v>292</v>
      </c>
      <c r="V1340" s="186" t="s">
        <v>292</v>
      </c>
      <c r="W1340" s="186" t="s">
        <v>292</v>
      </c>
      <c r="X1340" s="186" t="s">
        <v>292</v>
      </c>
      <c r="Y1340" s="186" t="s">
        <v>292</v>
      </c>
      <c r="Z1340" s="186"/>
      <c r="AA1340" s="186" t="s">
        <v>3509</v>
      </c>
      <c r="AB1340" s="186"/>
      <c r="AC1340" s="186"/>
      <c r="AD1340" s="268" t="s">
        <v>3510</v>
      </c>
      <c r="AE1340" s="268"/>
      <c r="AF1340" s="144">
        <f t="shared" si="115"/>
        <v>52.4</v>
      </c>
      <c r="AG1340" s="144" t="str">
        <f t="shared" si="113"/>
        <v/>
      </c>
      <c r="AH1340" s="146">
        <f t="shared" si="110"/>
        <v>2.8330000000000002</v>
      </c>
      <c r="AI1340" s="146" t="str">
        <f t="shared" si="111"/>
        <v/>
      </c>
      <c r="AJ1340" s="303">
        <f>51+1.4</f>
        <v>52.4</v>
      </c>
      <c r="AK1340" s="303"/>
      <c r="AL1340" s="303"/>
      <c r="AM1340" s="303"/>
      <c r="AN1340" s="303">
        <v>1.1000000000000001</v>
      </c>
      <c r="AO1340" s="303"/>
      <c r="AP1340" s="303"/>
      <c r="AQ1340" s="303"/>
      <c r="AR1340" s="318"/>
      <c r="AS1340" s="227">
        <f t="shared" si="116"/>
        <v>52.4</v>
      </c>
      <c r="AT1340" s="233">
        <f t="shared" si="117"/>
        <v>53.5</v>
      </c>
      <c r="AU1340" s="318"/>
      <c r="AV1340" s="343"/>
      <c r="AW1340" s="357">
        <v>2.8330000000000002</v>
      </c>
      <c r="AX1340" s="294"/>
      <c r="AY1340" s="294"/>
      <c r="AZ1340" s="294"/>
      <c r="BA1340" s="294">
        <v>7.3999999999999996E-2</v>
      </c>
      <c r="BB1340" s="294"/>
      <c r="BC1340" s="294"/>
      <c r="BD1340" s="294"/>
      <c r="BE1340" s="294"/>
      <c r="BF1340" s="383">
        <f t="shared" si="114"/>
        <v>2.8330000000000002</v>
      </c>
      <c r="BG1340" s="383">
        <f t="shared" si="118"/>
        <v>2.907</v>
      </c>
      <c r="BH1340" s="375"/>
      <c r="BI1340" s="376"/>
      <c r="BJ1340" s="409"/>
    </row>
    <row r="1341" spans="1:62" ht="15" customHeight="1" thickBot="1" x14ac:dyDescent="0.25">
      <c r="A1341" s="156">
        <v>1342</v>
      </c>
      <c r="B1341" s="247">
        <v>1</v>
      </c>
      <c r="C1341" s="148" t="s">
        <v>162</v>
      </c>
      <c r="D1341" s="148" t="s">
        <v>3513</v>
      </c>
      <c r="E1341" s="148" t="s">
        <v>13</v>
      </c>
      <c r="F1341" s="148"/>
      <c r="G1341" s="148"/>
      <c r="H1341" s="148" t="s">
        <v>80</v>
      </c>
      <c r="I1341" s="161">
        <v>2006</v>
      </c>
      <c r="J1341" s="161" t="s">
        <v>3507</v>
      </c>
      <c r="K1341" s="161" t="s">
        <v>3508</v>
      </c>
      <c r="L1341" s="161" t="s">
        <v>83</v>
      </c>
      <c r="M1341" s="453" t="s">
        <v>4333</v>
      </c>
      <c r="N1341" s="186" t="s">
        <v>122</v>
      </c>
      <c r="O1341" s="186" t="s">
        <v>292</v>
      </c>
      <c r="P1341" s="186" t="s">
        <v>122</v>
      </c>
      <c r="Q1341" s="186" t="s">
        <v>122</v>
      </c>
      <c r="R1341" s="186" t="s">
        <v>122</v>
      </c>
      <c r="S1341" s="186" t="s">
        <v>122</v>
      </c>
      <c r="T1341" s="186" t="s">
        <v>292</v>
      </c>
      <c r="U1341" s="186" t="s">
        <v>292</v>
      </c>
      <c r="V1341" s="186" t="s">
        <v>292</v>
      </c>
      <c r="W1341" s="186" t="s">
        <v>292</v>
      </c>
      <c r="X1341" s="186" t="s">
        <v>292</v>
      </c>
      <c r="Y1341" s="186" t="s">
        <v>292</v>
      </c>
      <c r="Z1341" s="186"/>
      <c r="AA1341" s="186" t="s">
        <v>3509</v>
      </c>
      <c r="AB1341" s="186"/>
      <c r="AC1341" s="186"/>
      <c r="AD1341" s="268" t="s">
        <v>3510</v>
      </c>
      <c r="AE1341" s="268"/>
      <c r="AF1341" s="144">
        <f t="shared" si="115"/>
        <v>60.91</v>
      </c>
      <c r="AG1341" s="144" t="str">
        <f t="shared" si="113"/>
        <v/>
      </c>
      <c r="AH1341" s="146">
        <f t="shared" si="110"/>
        <v>3.62</v>
      </c>
      <c r="AI1341" s="146" t="str">
        <f t="shared" si="111"/>
        <v/>
      </c>
      <c r="AJ1341" s="303">
        <v>60.91</v>
      </c>
      <c r="AK1341" s="303"/>
      <c r="AL1341" s="303"/>
      <c r="AM1341" s="303"/>
      <c r="AN1341" s="303">
        <v>0.55000000000000004</v>
      </c>
      <c r="AO1341" s="303"/>
      <c r="AP1341" s="303"/>
      <c r="AQ1341" s="303"/>
      <c r="AR1341" s="318"/>
      <c r="AS1341" s="227">
        <f t="shared" si="116"/>
        <v>60.91</v>
      </c>
      <c r="AT1341" s="233">
        <f t="shared" si="117"/>
        <v>61.459999999999994</v>
      </c>
      <c r="AU1341" s="318"/>
      <c r="AV1341" s="343"/>
      <c r="AW1341" s="357">
        <v>3.62</v>
      </c>
      <c r="AX1341" s="294"/>
      <c r="AY1341" s="294"/>
      <c r="AZ1341" s="294"/>
      <c r="BA1341" s="294">
        <v>3.7999999999999999E-2</v>
      </c>
      <c r="BB1341" s="294"/>
      <c r="BC1341" s="294"/>
      <c r="BD1341" s="294"/>
      <c r="BE1341" s="294"/>
      <c r="BF1341" s="383">
        <f t="shared" si="114"/>
        <v>3.62</v>
      </c>
      <c r="BG1341" s="383">
        <f t="shared" si="118"/>
        <v>3.6579999999999999</v>
      </c>
      <c r="BH1341" s="375"/>
      <c r="BI1341" s="376"/>
      <c r="BJ1341" s="409"/>
    </row>
    <row r="1342" spans="1:62" ht="15" customHeight="1" thickBot="1" x14ac:dyDescent="0.25">
      <c r="A1342" s="156">
        <v>1343</v>
      </c>
      <c r="B1342" s="247">
        <v>1</v>
      </c>
      <c r="C1342" s="148" t="s">
        <v>162</v>
      </c>
      <c r="D1342" s="148" t="s">
        <v>882</v>
      </c>
      <c r="E1342" s="148" t="s">
        <v>1068</v>
      </c>
      <c r="F1342" s="148" t="s">
        <v>3514</v>
      </c>
      <c r="G1342" s="148"/>
      <c r="H1342" s="151" t="s">
        <v>101</v>
      </c>
      <c r="I1342" s="161">
        <v>2006</v>
      </c>
      <c r="J1342" s="161" t="s">
        <v>3507</v>
      </c>
      <c r="K1342" s="161" t="s">
        <v>3508</v>
      </c>
      <c r="L1342" s="161" t="s">
        <v>83</v>
      </c>
      <c r="M1342" s="453" t="s">
        <v>4333</v>
      </c>
      <c r="N1342" s="186" t="s">
        <v>122</v>
      </c>
      <c r="O1342" s="186" t="s">
        <v>292</v>
      </c>
      <c r="P1342" s="186" t="s">
        <v>122</v>
      </c>
      <c r="Q1342" s="186" t="s">
        <v>122</v>
      </c>
      <c r="R1342" s="186" t="s">
        <v>122</v>
      </c>
      <c r="S1342" s="186" t="s">
        <v>122</v>
      </c>
      <c r="T1342" s="186" t="s">
        <v>292</v>
      </c>
      <c r="U1342" s="186" t="s">
        <v>122</v>
      </c>
      <c r="V1342" s="186" t="s">
        <v>122</v>
      </c>
      <c r="W1342" s="186" t="s">
        <v>122</v>
      </c>
      <c r="X1342" s="186" t="s">
        <v>292</v>
      </c>
      <c r="Y1342" s="186" t="s">
        <v>292</v>
      </c>
      <c r="Z1342" s="186"/>
      <c r="AA1342" s="186"/>
      <c r="AB1342" s="186"/>
      <c r="AC1342" s="186"/>
      <c r="AD1342" s="268" t="s">
        <v>3515</v>
      </c>
      <c r="AE1342" s="268" t="s">
        <v>3516</v>
      </c>
      <c r="AF1342" s="144">
        <f t="shared" si="115"/>
        <v>7.4509090909090903</v>
      </c>
      <c r="AG1342" s="144">
        <f t="shared" si="113"/>
        <v>12.212727272727271</v>
      </c>
      <c r="AH1342" s="146">
        <f t="shared" si="110"/>
        <v>0.61181818181818182</v>
      </c>
      <c r="AI1342" s="146">
        <f t="shared" si="111"/>
        <v>0.66723636363636363</v>
      </c>
      <c r="AJ1342" s="303">
        <f>8.196/1.1</f>
        <v>7.4509090909090903</v>
      </c>
      <c r="AK1342" s="305"/>
      <c r="AL1342" s="303">
        <f>5.238/1.1</f>
        <v>4.7618181818181817</v>
      </c>
      <c r="AM1342" s="303">
        <f>0.544/1.1</f>
        <v>0.49454545454545457</v>
      </c>
      <c r="AN1342" s="303">
        <f>8.31/1.1</f>
        <v>7.5545454545454547</v>
      </c>
      <c r="AO1342" s="303"/>
      <c r="AP1342" s="303">
        <f>7.75/1.1</f>
        <v>7.045454545454545</v>
      </c>
      <c r="AQ1342" s="303"/>
      <c r="AR1342" s="318"/>
      <c r="AS1342" s="227">
        <f t="shared" si="116"/>
        <v>7.4509090909090903</v>
      </c>
      <c r="AT1342" s="233">
        <f t="shared" si="117"/>
        <v>27.307272727272725</v>
      </c>
      <c r="AU1342" s="318"/>
      <c r="AV1342" s="343"/>
      <c r="AW1342" s="357">
        <f>0.673/1.1</f>
        <v>0.61181818181818182</v>
      </c>
      <c r="AX1342" s="294"/>
      <c r="AY1342" s="294">
        <f>0.06096/1.1</f>
        <v>5.5418181818181811E-2</v>
      </c>
      <c r="AZ1342" s="294">
        <f>0.0166/1.1</f>
        <v>1.5090909090909091E-2</v>
      </c>
      <c r="BA1342" s="294">
        <f>0.176/1.1</f>
        <v>0.15999999999999998</v>
      </c>
      <c r="BB1342" s="294"/>
      <c r="BC1342" s="294">
        <f>0.0487/1.1</f>
        <v>4.4272727272727269E-2</v>
      </c>
      <c r="BD1342" s="294"/>
      <c r="BE1342" s="294"/>
      <c r="BF1342" s="383">
        <f t="shared" si="114"/>
        <v>0.61181818181818182</v>
      </c>
      <c r="BG1342" s="383">
        <f t="shared" si="118"/>
        <v>0.88659999999999983</v>
      </c>
      <c r="BH1342" s="375"/>
      <c r="BI1342" s="376"/>
      <c r="BJ1342" s="409"/>
    </row>
    <row r="1343" spans="1:62" ht="15" customHeight="1" thickBot="1" x14ac:dyDescent="0.25">
      <c r="A1343" s="156">
        <v>1344</v>
      </c>
      <c r="B1343" s="247">
        <v>1</v>
      </c>
      <c r="C1343" s="148" t="s">
        <v>162</v>
      </c>
      <c r="D1343" s="148" t="s">
        <v>882</v>
      </c>
      <c r="E1343" s="148" t="s">
        <v>1068</v>
      </c>
      <c r="F1343" s="148" t="s">
        <v>3517</v>
      </c>
      <c r="G1343" s="148"/>
      <c r="H1343" s="148" t="s">
        <v>3518</v>
      </c>
      <c r="I1343" s="161">
        <v>2006</v>
      </c>
      <c r="J1343" s="161" t="s">
        <v>3507</v>
      </c>
      <c r="K1343" s="161" t="s">
        <v>3508</v>
      </c>
      <c r="L1343" s="161" t="s">
        <v>83</v>
      </c>
      <c r="M1343" s="453" t="s">
        <v>4333</v>
      </c>
      <c r="N1343" s="186" t="s">
        <v>122</v>
      </c>
      <c r="O1343" s="186" t="s">
        <v>292</v>
      </c>
      <c r="P1343" s="186" t="s">
        <v>122</v>
      </c>
      <c r="Q1343" s="186" t="s">
        <v>122</v>
      </c>
      <c r="R1343" s="186" t="s">
        <v>122</v>
      </c>
      <c r="S1343" s="186" t="s">
        <v>122</v>
      </c>
      <c r="T1343" s="186" t="s">
        <v>292</v>
      </c>
      <c r="U1343" s="186" t="s">
        <v>122</v>
      </c>
      <c r="V1343" s="186" t="s">
        <v>122</v>
      </c>
      <c r="W1343" s="186" t="s">
        <v>122</v>
      </c>
      <c r="X1343" s="186" t="s">
        <v>292</v>
      </c>
      <c r="Y1343" s="186" t="s">
        <v>292</v>
      </c>
      <c r="Z1343" s="186"/>
      <c r="AA1343" s="186"/>
      <c r="AB1343" s="186"/>
      <c r="AC1343" s="186"/>
      <c r="AD1343" s="268" t="s">
        <v>3515</v>
      </c>
      <c r="AE1343" s="268" t="s">
        <v>3516</v>
      </c>
      <c r="AF1343" s="144">
        <f t="shared" si="115"/>
        <v>3.6636363636363636</v>
      </c>
      <c r="AG1343" s="144">
        <f t="shared" si="113"/>
        <v>9.6818181818181817</v>
      </c>
      <c r="AH1343" s="146">
        <f t="shared" si="110"/>
        <v>0.36363636363636365</v>
      </c>
      <c r="AI1343" s="146">
        <f t="shared" si="111"/>
        <v>0.41905454545454546</v>
      </c>
      <c r="AJ1343" s="303">
        <f>4.03/1.1</f>
        <v>3.6636363636363636</v>
      </c>
      <c r="AK1343" s="423"/>
      <c r="AL1343" s="303">
        <f>6.62/1.1</f>
        <v>6.0181818181818176</v>
      </c>
      <c r="AM1343" s="303">
        <f>0.544/1.1</f>
        <v>0.49454545454545457</v>
      </c>
      <c r="AN1343" s="303">
        <f>10.89/1.1</f>
        <v>9.9</v>
      </c>
      <c r="AO1343" s="303"/>
      <c r="AP1343" s="303">
        <f>7.96/1.1</f>
        <v>7.2363636363636354</v>
      </c>
      <c r="AQ1343" s="303"/>
      <c r="AR1343" s="318"/>
      <c r="AS1343" s="227">
        <f t="shared" si="116"/>
        <v>3.6636363636363636</v>
      </c>
      <c r="AT1343" s="233">
        <f t="shared" si="117"/>
        <v>27.312727272727273</v>
      </c>
      <c r="AU1343" s="318"/>
      <c r="AV1343" s="343"/>
      <c r="AW1343" s="357">
        <f>0.4/1.1</f>
        <v>0.36363636363636365</v>
      </c>
      <c r="AX1343" s="294"/>
      <c r="AY1343" s="294">
        <f>0.06096/1.1</f>
        <v>5.5418181818181811E-2</v>
      </c>
      <c r="AZ1343" s="294">
        <f>0.0166/1.1</f>
        <v>1.5090909090909091E-2</v>
      </c>
      <c r="BA1343" s="294">
        <f>0.357/1.1</f>
        <v>0.32454545454545453</v>
      </c>
      <c r="BB1343" s="294"/>
      <c r="BC1343" s="294">
        <f>0.0487/1.1</f>
        <v>4.4272727272727269E-2</v>
      </c>
      <c r="BD1343" s="294"/>
      <c r="BE1343" s="294"/>
      <c r="BF1343" s="383">
        <f t="shared" si="114"/>
        <v>0.36363636363636365</v>
      </c>
      <c r="BG1343" s="383">
        <f t="shared" si="118"/>
        <v>0.80296363636363632</v>
      </c>
      <c r="BH1343" s="375"/>
      <c r="BI1343" s="376"/>
      <c r="BJ1343" s="409"/>
    </row>
    <row r="1344" spans="1:62" ht="15" customHeight="1" thickBot="1" x14ac:dyDescent="0.25">
      <c r="A1344" s="156">
        <v>1345</v>
      </c>
      <c r="B1344" s="247">
        <v>1</v>
      </c>
      <c r="C1344" s="148" t="s">
        <v>162</v>
      </c>
      <c r="D1344" s="148" t="s">
        <v>882</v>
      </c>
      <c r="E1344" s="148" t="s">
        <v>1068</v>
      </c>
      <c r="F1344" s="148" t="s">
        <v>3519</v>
      </c>
      <c r="G1344" s="148"/>
      <c r="H1344" s="148" t="s">
        <v>3518</v>
      </c>
      <c r="I1344" s="161">
        <v>2006</v>
      </c>
      <c r="J1344" s="161" t="s">
        <v>3507</v>
      </c>
      <c r="K1344" s="161" t="s">
        <v>3508</v>
      </c>
      <c r="L1344" s="161" t="s">
        <v>83</v>
      </c>
      <c r="M1344" s="453" t="s">
        <v>4333</v>
      </c>
      <c r="N1344" s="186" t="s">
        <v>122</v>
      </c>
      <c r="O1344" s="186" t="s">
        <v>292</v>
      </c>
      <c r="P1344" s="186" t="s">
        <v>122</v>
      </c>
      <c r="Q1344" s="186" t="s">
        <v>122</v>
      </c>
      <c r="R1344" s="186" t="s">
        <v>122</v>
      </c>
      <c r="S1344" s="186" t="s">
        <v>122</v>
      </c>
      <c r="T1344" s="186" t="s">
        <v>292</v>
      </c>
      <c r="U1344" s="186" t="s">
        <v>122</v>
      </c>
      <c r="V1344" s="186" t="s">
        <v>122</v>
      </c>
      <c r="W1344" s="186" t="s">
        <v>122</v>
      </c>
      <c r="X1344" s="186" t="s">
        <v>292</v>
      </c>
      <c r="Y1344" s="186" t="s">
        <v>292</v>
      </c>
      <c r="Z1344" s="186"/>
      <c r="AA1344" s="186"/>
      <c r="AB1344" s="186"/>
      <c r="AC1344" s="186"/>
      <c r="AD1344" s="268" t="s">
        <v>3515</v>
      </c>
      <c r="AE1344" s="268" t="s">
        <v>3516</v>
      </c>
      <c r="AF1344" s="144">
        <f t="shared" si="115"/>
        <v>3.3626363636363634</v>
      </c>
      <c r="AG1344" s="144">
        <f t="shared" si="113"/>
        <v>9.5899090909090905</v>
      </c>
      <c r="AH1344" s="146">
        <f t="shared" si="110"/>
        <v>0.33909090909090905</v>
      </c>
      <c r="AI1344" s="146">
        <f t="shared" si="111"/>
        <v>0.70045454545454544</v>
      </c>
      <c r="AJ1344" s="303">
        <f>3.6989/1.1</f>
        <v>3.3626363636363634</v>
      </c>
      <c r="AK1344" s="422"/>
      <c r="AL1344" s="303">
        <f>6.85/1.1</f>
        <v>6.2272727272727266</v>
      </c>
      <c r="AM1344" s="303">
        <f>0.544/1.1</f>
        <v>0.49454545454545457</v>
      </c>
      <c r="AN1344" s="303">
        <f>7.195/1.1</f>
        <v>6.540909090909091</v>
      </c>
      <c r="AO1344" s="303"/>
      <c r="AP1344" s="303">
        <f>7.75/1.1</f>
        <v>7.045454545454545</v>
      </c>
      <c r="AQ1344" s="303"/>
      <c r="AR1344" s="318"/>
      <c r="AS1344" s="227">
        <f t="shared" si="116"/>
        <v>3.3626363636363634</v>
      </c>
      <c r="AT1344" s="233">
        <f t="shared" si="117"/>
        <v>23.670818181818184</v>
      </c>
      <c r="AU1344" s="318"/>
      <c r="AV1344" s="343"/>
      <c r="AW1344" s="357">
        <f>0.373/1.1</f>
        <v>0.33909090909090905</v>
      </c>
      <c r="AX1344" s="294"/>
      <c r="AY1344" s="294">
        <f>0.3975/1.1</f>
        <v>0.36136363636363633</v>
      </c>
      <c r="AZ1344" s="294">
        <f>0.0166/1.1</f>
        <v>1.5090909090909091E-2</v>
      </c>
      <c r="BA1344" s="294">
        <f>0.2065/1.1</f>
        <v>0.18772727272727271</v>
      </c>
      <c r="BB1344" s="294"/>
      <c r="BC1344" s="294">
        <f>0.0487/1.1</f>
        <v>4.4272727272727269E-2</v>
      </c>
      <c r="BD1344" s="294"/>
      <c r="BE1344" s="294"/>
      <c r="BF1344" s="383">
        <f t="shared" si="114"/>
        <v>0.33909090909090905</v>
      </c>
      <c r="BG1344" s="383">
        <f t="shared" si="118"/>
        <v>0.94754545454545447</v>
      </c>
      <c r="BH1344" s="375"/>
      <c r="BI1344" s="376"/>
      <c r="BJ1344" s="409"/>
    </row>
    <row r="1345" spans="1:62" ht="15" customHeight="1" thickBot="1" x14ac:dyDescent="0.25">
      <c r="A1345" s="156">
        <v>1346</v>
      </c>
      <c r="B1345" s="247">
        <v>1</v>
      </c>
      <c r="C1345" s="148" t="s">
        <v>162</v>
      </c>
      <c r="D1345" s="148" t="s">
        <v>882</v>
      </c>
      <c r="E1345" s="148" t="s">
        <v>1068</v>
      </c>
      <c r="F1345" s="148" t="s">
        <v>3520</v>
      </c>
      <c r="G1345" s="148"/>
      <c r="H1345" s="148" t="s">
        <v>3521</v>
      </c>
      <c r="I1345" s="161">
        <v>2006</v>
      </c>
      <c r="J1345" s="161" t="s">
        <v>3507</v>
      </c>
      <c r="K1345" s="161" t="s">
        <v>3508</v>
      </c>
      <c r="L1345" s="161" t="s">
        <v>83</v>
      </c>
      <c r="M1345" s="453" t="s">
        <v>4333</v>
      </c>
      <c r="N1345" s="186" t="s">
        <v>122</v>
      </c>
      <c r="O1345" s="186" t="s">
        <v>292</v>
      </c>
      <c r="P1345" s="186" t="s">
        <v>122</v>
      </c>
      <c r="Q1345" s="186" t="s">
        <v>122</v>
      </c>
      <c r="R1345" s="186" t="s">
        <v>122</v>
      </c>
      <c r="S1345" s="186" t="s">
        <v>122</v>
      </c>
      <c r="T1345" s="186" t="s">
        <v>292</v>
      </c>
      <c r="U1345" s="186" t="s">
        <v>122</v>
      </c>
      <c r="V1345" s="186" t="s">
        <v>122</v>
      </c>
      <c r="W1345" s="186" t="s">
        <v>122</v>
      </c>
      <c r="X1345" s="186" t="s">
        <v>292</v>
      </c>
      <c r="Y1345" s="186" t="s">
        <v>292</v>
      </c>
      <c r="Z1345" s="186"/>
      <c r="AA1345" s="186"/>
      <c r="AB1345" s="186"/>
      <c r="AC1345" s="186"/>
      <c r="AD1345" s="268" t="s">
        <v>3515</v>
      </c>
      <c r="AE1345" s="268" t="s">
        <v>3516</v>
      </c>
      <c r="AF1345" s="144">
        <f t="shared" si="115"/>
        <v>3.0909090909090904</v>
      </c>
      <c r="AG1345" s="144">
        <f t="shared" si="113"/>
        <v>7.3818181818181809</v>
      </c>
      <c r="AH1345" s="146">
        <f t="shared" si="110"/>
        <v>0.57390909090909081</v>
      </c>
      <c r="AI1345" s="146">
        <f t="shared" si="111"/>
        <v>0.7827272727272726</v>
      </c>
      <c r="AJ1345" s="303">
        <f>3.4/1.1</f>
        <v>3.0909090909090904</v>
      </c>
      <c r="AK1345" s="422"/>
      <c r="AL1345" s="303">
        <f>4.72/1.1</f>
        <v>4.2909090909090901</v>
      </c>
      <c r="AM1345" s="303">
        <f>0.544/1.1</f>
        <v>0.49454545454545457</v>
      </c>
      <c r="AN1345" s="303">
        <f>8.83/1.1</f>
        <v>8.0272727272727273</v>
      </c>
      <c r="AO1345" s="303"/>
      <c r="AP1345" s="303">
        <f>7.96/1.1</f>
        <v>7.2363636363636354</v>
      </c>
      <c r="AQ1345" s="303"/>
      <c r="AR1345" s="318"/>
      <c r="AS1345" s="227">
        <f t="shared" si="116"/>
        <v>3.0909090909090904</v>
      </c>
      <c r="AT1345" s="233">
        <f t="shared" si="117"/>
        <v>23.139999999999997</v>
      </c>
      <c r="AU1345" s="318"/>
      <c r="AV1345" s="343"/>
      <c r="AW1345" s="357">
        <f>0.6313/1.1</f>
        <v>0.57390909090909081</v>
      </c>
      <c r="AX1345" s="294"/>
      <c r="AY1345" s="294">
        <f>0.2297/1.1</f>
        <v>0.20881818181818179</v>
      </c>
      <c r="AZ1345" s="294">
        <f>0.0166/1.1</f>
        <v>1.5090909090909091E-2</v>
      </c>
      <c r="BA1345" s="294">
        <f>0.384/1.1</f>
        <v>0.34909090909090906</v>
      </c>
      <c r="BB1345" s="294"/>
      <c r="BC1345" s="294">
        <f>0.0487/1.1</f>
        <v>4.4272727272727269E-2</v>
      </c>
      <c r="BD1345" s="294"/>
      <c r="BE1345" s="294"/>
      <c r="BF1345" s="383">
        <f t="shared" si="114"/>
        <v>0.57390909090909081</v>
      </c>
      <c r="BG1345" s="383">
        <f t="shared" si="118"/>
        <v>1.1911818181818179</v>
      </c>
      <c r="BH1345" s="375"/>
      <c r="BI1345" s="376"/>
      <c r="BJ1345" s="409"/>
    </row>
    <row r="1346" spans="1:62" ht="15" customHeight="1" thickBot="1" x14ac:dyDescent="0.25">
      <c r="A1346" s="156">
        <v>1347</v>
      </c>
      <c r="B1346" s="247">
        <v>1</v>
      </c>
      <c r="C1346" s="148" t="s">
        <v>162</v>
      </c>
      <c r="D1346" s="148" t="s">
        <v>882</v>
      </c>
      <c r="E1346" s="148" t="s">
        <v>1068</v>
      </c>
      <c r="F1346" s="148" t="s">
        <v>3522</v>
      </c>
      <c r="G1346" s="148"/>
      <c r="H1346" s="148" t="s">
        <v>3521</v>
      </c>
      <c r="I1346" s="161">
        <v>2006</v>
      </c>
      <c r="J1346" s="161" t="s">
        <v>3507</v>
      </c>
      <c r="K1346" s="161" t="s">
        <v>3508</v>
      </c>
      <c r="L1346" s="161" t="s">
        <v>83</v>
      </c>
      <c r="M1346" s="453" t="s">
        <v>4333</v>
      </c>
      <c r="N1346" s="186" t="s">
        <v>122</v>
      </c>
      <c r="O1346" s="186" t="s">
        <v>292</v>
      </c>
      <c r="P1346" s="186" t="s">
        <v>122</v>
      </c>
      <c r="Q1346" s="186" t="s">
        <v>122</v>
      </c>
      <c r="R1346" s="186" t="s">
        <v>122</v>
      </c>
      <c r="S1346" s="186" t="s">
        <v>122</v>
      </c>
      <c r="T1346" s="186" t="s">
        <v>292</v>
      </c>
      <c r="U1346" s="186" t="s">
        <v>122</v>
      </c>
      <c r="V1346" s="186" t="s">
        <v>122</v>
      </c>
      <c r="W1346" s="186" t="s">
        <v>122</v>
      </c>
      <c r="X1346" s="186" t="s">
        <v>292</v>
      </c>
      <c r="Y1346" s="186" t="s">
        <v>292</v>
      </c>
      <c r="Z1346" s="186"/>
      <c r="AA1346" s="186"/>
      <c r="AB1346" s="186"/>
      <c r="AC1346" s="186"/>
      <c r="AD1346" s="268" t="s">
        <v>3515</v>
      </c>
      <c r="AE1346" s="268" t="s">
        <v>3516</v>
      </c>
      <c r="AF1346" s="144" t="str">
        <f t="shared" si="115"/>
        <v/>
      </c>
      <c r="AG1346" s="144">
        <f t="shared" si="113"/>
        <v>5.1090909090909085</v>
      </c>
      <c r="AH1346" s="146">
        <f t="shared" ref="AH1346:AH1409" si="119">IF(BF1346&lt;&gt;0,BF1346,"")</f>
        <v>0.21636363636363634</v>
      </c>
      <c r="AI1346" s="146">
        <f t="shared" ref="AI1346:AI1409" si="120">IF(AND(SUM(AW1346:AY1346)&lt;&gt;0,SUM(AW1346:AY1346)&lt;&gt;AW1346),SUM(AW1346:AY1346),"")</f>
        <v>0.53818181818181809</v>
      </c>
      <c r="AJ1346" s="303">
        <v>0</v>
      </c>
      <c r="AK1346" s="422"/>
      <c r="AL1346" s="303">
        <f>5.62/1.1</f>
        <v>5.1090909090909085</v>
      </c>
      <c r="AM1346" s="303">
        <f>0.544/1.1</f>
        <v>0.49454545454545457</v>
      </c>
      <c r="AN1346" s="303">
        <f>8.59/1.1</f>
        <v>7.8090909090909086</v>
      </c>
      <c r="AO1346" s="303"/>
      <c r="AP1346" s="303">
        <f>7.75/1.1</f>
        <v>7.045454545454545</v>
      </c>
      <c r="AQ1346" s="303"/>
      <c r="AR1346" s="318"/>
      <c r="AS1346" s="227">
        <f t="shared" si="116"/>
        <v>0</v>
      </c>
      <c r="AT1346" s="233">
        <f t="shared" si="117"/>
        <v>20.458181818181814</v>
      </c>
      <c r="AU1346" s="318"/>
      <c r="AV1346" s="343"/>
      <c r="AW1346" s="357">
        <f>0.238/1.1</f>
        <v>0.21636363636363634</v>
      </c>
      <c r="AX1346" s="294"/>
      <c r="AY1346" s="294">
        <f>0.354/1.1</f>
        <v>0.32181818181818178</v>
      </c>
      <c r="AZ1346" s="294">
        <f>0.0166/1.1</f>
        <v>1.5090909090909091E-2</v>
      </c>
      <c r="BA1346" s="294">
        <f>0.338/1.1</f>
        <v>0.30727272727272725</v>
      </c>
      <c r="BB1346" s="294"/>
      <c r="BC1346" s="294">
        <f>0.0487/1.1</f>
        <v>4.4272727272727269E-2</v>
      </c>
      <c r="BD1346" s="294"/>
      <c r="BE1346" s="294"/>
      <c r="BF1346" s="383">
        <f t="shared" si="114"/>
        <v>0.21636363636363634</v>
      </c>
      <c r="BG1346" s="383">
        <f t="shared" si="118"/>
        <v>0.90481818181818163</v>
      </c>
      <c r="BH1346" s="375"/>
      <c r="BI1346" s="376"/>
      <c r="BJ1346" s="409"/>
    </row>
    <row r="1347" spans="1:62" ht="15" customHeight="1" thickBot="1" x14ac:dyDescent="0.25">
      <c r="A1347" s="156">
        <v>1348</v>
      </c>
      <c r="B1347" s="247">
        <v>1</v>
      </c>
      <c r="C1347" s="148" t="s">
        <v>162</v>
      </c>
      <c r="D1347" s="148" t="s">
        <v>882</v>
      </c>
      <c r="E1347" s="148" t="s">
        <v>13</v>
      </c>
      <c r="F1347" s="148" t="s">
        <v>3523</v>
      </c>
      <c r="G1347" s="148"/>
      <c r="H1347" s="151" t="s">
        <v>101</v>
      </c>
      <c r="I1347" s="161">
        <v>2006</v>
      </c>
      <c r="J1347" s="161" t="s">
        <v>3507</v>
      </c>
      <c r="K1347" s="161" t="s">
        <v>3508</v>
      </c>
      <c r="L1347" s="161" t="s">
        <v>83</v>
      </c>
      <c r="M1347" s="453" t="s">
        <v>4333</v>
      </c>
      <c r="N1347" s="186" t="s">
        <v>122</v>
      </c>
      <c r="O1347" s="186" t="s">
        <v>292</v>
      </c>
      <c r="P1347" s="186" t="s">
        <v>122</v>
      </c>
      <c r="Q1347" s="186" t="s">
        <v>122</v>
      </c>
      <c r="R1347" s="186" t="s">
        <v>122</v>
      </c>
      <c r="S1347" s="186" t="s">
        <v>122</v>
      </c>
      <c r="T1347" s="186" t="s">
        <v>292</v>
      </c>
      <c r="U1347" s="186" t="s">
        <v>122</v>
      </c>
      <c r="V1347" s="186" t="s">
        <v>122</v>
      </c>
      <c r="W1347" s="186" t="s">
        <v>122</v>
      </c>
      <c r="X1347" s="186" t="s">
        <v>292</v>
      </c>
      <c r="Y1347" s="186" t="s">
        <v>292</v>
      </c>
      <c r="Z1347" s="186"/>
      <c r="AA1347" s="186"/>
      <c r="AB1347" s="186"/>
      <c r="AC1347" s="186"/>
      <c r="AD1347" s="268" t="s">
        <v>3510</v>
      </c>
      <c r="AE1347" s="268"/>
      <c r="AF1347" s="144">
        <f t="shared" si="115"/>
        <v>7.5</v>
      </c>
      <c r="AG1347" s="144">
        <f t="shared" si="113"/>
        <v>8.11</v>
      </c>
      <c r="AH1347" s="146">
        <f t="shared" si="119"/>
        <v>0.629</v>
      </c>
      <c r="AI1347" s="146">
        <f t="shared" si="120"/>
        <v>0.64370000000000005</v>
      </c>
      <c r="AJ1347" s="303">
        <f>7.5</f>
        <v>7.5</v>
      </c>
      <c r="AK1347" s="422"/>
      <c r="AL1347" s="303">
        <v>0.61</v>
      </c>
      <c r="AM1347" s="303">
        <v>0.90500000000000003</v>
      </c>
      <c r="AN1347" s="303">
        <v>2.79</v>
      </c>
      <c r="AO1347" s="303"/>
      <c r="AP1347" s="303">
        <v>6.61</v>
      </c>
      <c r="AQ1347" s="303"/>
      <c r="AR1347" s="318"/>
      <c r="AS1347" s="227">
        <f t="shared" si="116"/>
        <v>7.5</v>
      </c>
      <c r="AT1347" s="233">
        <f t="shared" si="117"/>
        <v>18.414999999999999</v>
      </c>
      <c r="AU1347" s="318"/>
      <c r="AV1347" s="343"/>
      <c r="AW1347" s="357">
        <v>0.629</v>
      </c>
      <c r="AX1347" s="294"/>
      <c r="AY1347" s="294">
        <v>1.47E-2</v>
      </c>
      <c r="AZ1347" s="294">
        <f>0.0166</f>
        <v>1.66E-2</v>
      </c>
      <c r="BA1347" s="294">
        <v>0.17499999999999999</v>
      </c>
      <c r="BB1347" s="294"/>
      <c r="BC1347" s="294">
        <v>0.159</v>
      </c>
      <c r="BD1347" s="294"/>
      <c r="BE1347" s="294"/>
      <c r="BF1347" s="383">
        <f t="shared" si="114"/>
        <v>0.629</v>
      </c>
      <c r="BG1347" s="383">
        <f t="shared" si="118"/>
        <v>0.99429999999999996</v>
      </c>
      <c r="BH1347" s="375"/>
      <c r="BI1347" s="376"/>
      <c r="BJ1347" s="409"/>
    </row>
    <row r="1348" spans="1:62" ht="15" customHeight="1" thickBot="1" x14ac:dyDescent="0.25">
      <c r="A1348" s="156">
        <v>1349</v>
      </c>
      <c r="B1348" s="247">
        <v>1</v>
      </c>
      <c r="C1348" s="148" t="s">
        <v>162</v>
      </c>
      <c r="D1348" s="148" t="s">
        <v>882</v>
      </c>
      <c r="E1348" s="148" t="s">
        <v>13</v>
      </c>
      <c r="F1348" s="148" t="s">
        <v>3524</v>
      </c>
      <c r="G1348" s="148"/>
      <c r="H1348" s="148" t="s">
        <v>3518</v>
      </c>
      <c r="I1348" s="161">
        <v>2006</v>
      </c>
      <c r="J1348" s="161" t="s">
        <v>3507</v>
      </c>
      <c r="K1348" s="161" t="s">
        <v>3508</v>
      </c>
      <c r="L1348" s="161" t="s">
        <v>83</v>
      </c>
      <c r="M1348" s="453" t="s">
        <v>4333</v>
      </c>
      <c r="N1348" s="186" t="s">
        <v>122</v>
      </c>
      <c r="O1348" s="186" t="s">
        <v>292</v>
      </c>
      <c r="P1348" s="186" t="s">
        <v>122</v>
      </c>
      <c r="Q1348" s="186" t="s">
        <v>122</v>
      </c>
      <c r="R1348" s="186" t="s">
        <v>122</v>
      </c>
      <c r="S1348" s="186" t="s">
        <v>122</v>
      </c>
      <c r="T1348" s="186" t="s">
        <v>292</v>
      </c>
      <c r="U1348" s="186" t="s">
        <v>122</v>
      </c>
      <c r="V1348" s="186" t="s">
        <v>122</v>
      </c>
      <c r="W1348" s="186" t="s">
        <v>122</v>
      </c>
      <c r="X1348" s="186" t="s">
        <v>292</v>
      </c>
      <c r="Y1348" s="186" t="s">
        <v>292</v>
      </c>
      <c r="Z1348" s="186"/>
      <c r="AA1348" s="186"/>
      <c r="AB1348" s="186"/>
      <c r="AC1348" s="186"/>
      <c r="AD1348" s="268" t="s">
        <v>3510</v>
      </c>
      <c r="AE1348" s="268"/>
      <c r="AF1348" s="144">
        <f t="shared" si="115"/>
        <v>3.95</v>
      </c>
      <c r="AG1348" s="144">
        <f t="shared" si="113"/>
        <v>4.452</v>
      </c>
      <c r="AH1348" s="146">
        <f t="shared" si="119"/>
        <v>0.39700000000000002</v>
      </c>
      <c r="AI1348" s="146">
        <f t="shared" si="120"/>
        <v>0.41170000000000001</v>
      </c>
      <c r="AJ1348" s="303">
        <v>3.95</v>
      </c>
      <c r="AK1348" s="422"/>
      <c r="AL1348" s="303">
        <v>0.502</v>
      </c>
      <c r="AM1348" s="303">
        <v>1.1200000000000001</v>
      </c>
      <c r="AN1348" s="303">
        <v>4.95</v>
      </c>
      <c r="AO1348" s="303"/>
      <c r="AP1348" s="303">
        <v>6.3440000000000003</v>
      </c>
      <c r="AQ1348" s="303"/>
      <c r="AR1348" s="318"/>
      <c r="AS1348" s="227">
        <f t="shared" si="116"/>
        <v>3.95</v>
      </c>
      <c r="AT1348" s="233">
        <f t="shared" si="117"/>
        <v>16.866</v>
      </c>
      <c r="AU1348" s="318"/>
      <c r="AV1348" s="343"/>
      <c r="AW1348" s="357">
        <v>0.39700000000000002</v>
      </c>
      <c r="AX1348" s="294"/>
      <c r="AY1348" s="294">
        <v>1.47E-2</v>
      </c>
      <c r="AZ1348" s="294">
        <f>0.0166</f>
        <v>1.66E-2</v>
      </c>
      <c r="BA1348" s="294">
        <v>0.246</v>
      </c>
      <c r="BB1348" s="294"/>
      <c r="BC1348" s="294">
        <v>0.16400000000000001</v>
      </c>
      <c r="BD1348" s="294"/>
      <c r="BE1348" s="294"/>
      <c r="BF1348" s="383">
        <f t="shared" si="114"/>
        <v>0.39700000000000002</v>
      </c>
      <c r="BG1348" s="383">
        <f t="shared" si="118"/>
        <v>0.83830000000000005</v>
      </c>
      <c r="BH1348" s="375"/>
      <c r="BI1348" s="376"/>
      <c r="BJ1348" s="409"/>
    </row>
    <row r="1349" spans="1:62" ht="15" customHeight="1" thickBot="1" x14ac:dyDescent="0.25">
      <c r="A1349" s="156">
        <v>1350</v>
      </c>
      <c r="B1349" s="247">
        <v>1</v>
      </c>
      <c r="C1349" s="148" t="s">
        <v>162</v>
      </c>
      <c r="D1349" s="148" t="s">
        <v>882</v>
      </c>
      <c r="E1349" s="148" t="s">
        <v>13</v>
      </c>
      <c r="F1349" s="148" t="s">
        <v>3525</v>
      </c>
      <c r="G1349" s="148"/>
      <c r="H1349" s="148" t="s">
        <v>3518</v>
      </c>
      <c r="I1349" s="161">
        <v>2006</v>
      </c>
      <c r="J1349" s="161" t="s">
        <v>3507</v>
      </c>
      <c r="K1349" s="161" t="s">
        <v>3508</v>
      </c>
      <c r="L1349" s="161" t="s">
        <v>83</v>
      </c>
      <c r="M1349" s="453" t="s">
        <v>4333</v>
      </c>
      <c r="N1349" s="186" t="s">
        <v>122</v>
      </c>
      <c r="O1349" s="186" t="s">
        <v>292</v>
      </c>
      <c r="P1349" s="186" t="s">
        <v>122</v>
      </c>
      <c r="Q1349" s="186" t="s">
        <v>122</v>
      </c>
      <c r="R1349" s="186" t="s">
        <v>122</v>
      </c>
      <c r="S1349" s="186" t="s">
        <v>122</v>
      </c>
      <c r="T1349" s="186" t="s">
        <v>292</v>
      </c>
      <c r="U1349" s="186" t="s">
        <v>122</v>
      </c>
      <c r="V1349" s="186" t="s">
        <v>122</v>
      </c>
      <c r="W1349" s="186" t="s">
        <v>122</v>
      </c>
      <c r="X1349" s="186" t="s">
        <v>292</v>
      </c>
      <c r="Y1349" s="186" t="s">
        <v>292</v>
      </c>
      <c r="Z1349" s="186"/>
      <c r="AA1349" s="186"/>
      <c r="AB1349" s="186"/>
      <c r="AC1349" s="186"/>
      <c r="AD1349" s="268" t="s">
        <v>3510</v>
      </c>
      <c r="AE1349" s="268"/>
      <c r="AF1349" s="144">
        <f t="shared" si="115"/>
        <v>3.99</v>
      </c>
      <c r="AG1349" s="144">
        <f t="shared" si="113"/>
        <v>4.492</v>
      </c>
      <c r="AH1349" s="146">
        <f t="shared" si="119"/>
        <v>0.42699999999999999</v>
      </c>
      <c r="AI1349" s="146">
        <f t="shared" si="120"/>
        <v>0.46179999999999999</v>
      </c>
      <c r="AJ1349" s="303">
        <v>3.99</v>
      </c>
      <c r="AK1349" s="422"/>
      <c r="AL1349" s="303">
        <v>0.502</v>
      </c>
      <c r="AM1349" s="303">
        <v>1.1200000000000001</v>
      </c>
      <c r="AN1349" s="303">
        <v>5.22</v>
      </c>
      <c r="AO1349" s="303"/>
      <c r="AP1349" s="303">
        <v>6.3440000000000003</v>
      </c>
      <c r="AQ1349" s="303"/>
      <c r="AR1349" s="318"/>
      <c r="AS1349" s="227">
        <f t="shared" si="116"/>
        <v>3.99</v>
      </c>
      <c r="AT1349" s="233">
        <f t="shared" si="117"/>
        <v>17.176000000000002</v>
      </c>
      <c r="AU1349" s="318"/>
      <c r="AV1349" s="343"/>
      <c r="AW1349" s="357">
        <v>0.42699999999999999</v>
      </c>
      <c r="AX1349" s="294"/>
      <c r="AY1349" s="294">
        <v>3.4799999999999998E-2</v>
      </c>
      <c r="AZ1349" s="294">
        <v>3.6600000000000001E-2</v>
      </c>
      <c r="BA1349" s="294">
        <v>0.27600000000000002</v>
      </c>
      <c r="BB1349" s="294"/>
      <c r="BC1349" s="294">
        <v>0.14899999999999999</v>
      </c>
      <c r="BD1349" s="294"/>
      <c r="BE1349" s="294"/>
      <c r="BF1349" s="383">
        <f t="shared" si="114"/>
        <v>0.42699999999999999</v>
      </c>
      <c r="BG1349" s="383">
        <f t="shared" si="118"/>
        <v>0.9234</v>
      </c>
      <c r="BH1349" s="375"/>
      <c r="BI1349" s="376"/>
      <c r="BJ1349" s="409" t="s">
        <v>3526</v>
      </c>
    </row>
    <row r="1350" spans="1:62" ht="15" customHeight="1" thickBot="1" x14ac:dyDescent="0.25">
      <c r="A1350" s="156">
        <v>1351</v>
      </c>
      <c r="B1350" s="247">
        <v>1</v>
      </c>
      <c r="C1350" s="148" t="s">
        <v>975</v>
      </c>
      <c r="D1350" s="148" t="s">
        <v>3527</v>
      </c>
      <c r="E1350" s="148" t="s">
        <v>13</v>
      </c>
      <c r="F1350" s="148" t="s">
        <v>3528</v>
      </c>
      <c r="G1350" s="148"/>
      <c r="H1350" s="148" t="s">
        <v>3529</v>
      </c>
      <c r="I1350" s="161">
        <v>2015</v>
      </c>
      <c r="J1350" s="161" t="s">
        <v>3530</v>
      </c>
      <c r="K1350" s="161"/>
      <c r="L1350" s="161" t="s">
        <v>19</v>
      </c>
      <c r="M1350" s="453" t="s">
        <v>4334</v>
      </c>
      <c r="N1350" s="186" t="s">
        <v>122</v>
      </c>
      <c r="O1350" s="186"/>
      <c r="P1350" s="186"/>
      <c r="Q1350" s="186"/>
      <c r="R1350" s="186"/>
      <c r="S1350" s="186"/>
      <c r="T1350" s="186"/>
      <c r="U1350" s="186"/>
      <c r="V1350" s="186"/>
      <c r="W1350" s="186"/>
      <c r="X1350" s="186"/>
      <c r="Y1350" s="186"/>
      <c r="Z1350" s="186"/>
      <c r="AA1350" s="186"/>
      <c r="AB1350" s="186"/>
      <c r="AC1350" s="186"/>
      <c r="AD1350" s="268" t="s">
        <v>3531</v>
      </c>
      <c r="AE1350" s="268" t="s">
        <v>3532</v>
      </c>
      <c r="AF1350" s="144">
        <f t="shared" si="115"/>
        <v>27.388303448275867</v>
      </c>
      <c r="AG1350" s="144" t="str">
        <f t="shared" si="113"/>
        <v/>
      </c>
      <c r="AH1350" s="146">
        <f t="shared" si="119"/>
        <v>1.8279310344827588</v>
      </c>
      <c r="AI1350" s="146" t="str">
        <f t="shared" si="120"/>
        <v/>
      </c>
      <c r="AJ1350" s="303">
        <f>0.342*46.448/0.58</f>
        <v>27.388303448275867</v>
      </c>
      <c r="AK1350" s="319"/>
      <c r="AL1350" s="303"/>
      <c r="AM1350" s="303"/>
      <c r="AN1350" s="303"/>
      <c r="AO1350" s="303"/>
      <c r="AP1350" s="303"/>
      <c r="AQ1350" s="303"/>
      <c r="AR1350" s="318"/>
      <c r="AS1350" s="227">
        <f t="shared" si="116"/>
        <v>27.388303448275867</v>
      </c>
      <c r="AT1350" s="233"/>
      <c r="AU1350" s="318"/>
      <c r="AV1350" s="343"/>
      <c r="AW1350" s="439">
        <f>0.342*3.1/0.58</f>
        <v>1.8279310344827588</v>
      </c>
      <c r="AX1350" s="294"/>
      <c r="AY1350" s="294"/>
      <c r="AZ1350" s="294"/>
      <c r="BA1350" s="294"/>
      <c r="BB1350" s="294"/>
      <c r="BC1350" s="294"/>
      <c r="BD1350" s="294"/>
      <c r="BE1350" s="294"/>
      <c r="BF1350" s="383">
        <f t="shared" si="114"/>
        <v>1.8279310344827588</v>
      </c>
      <c r="BG1350" s="383"/>
      <c r="BH1350" s="375"/>
      <c r="BI1350" s="376"/>
      <c r="BJ1350" s="409" t="s">
        <v>3533</v>
      </c>
    </row>
    <row r="1351" spans="1:62" ht="15" customHeight="1" thickBot="1" x14ac:dyDescent="0.25">
      <c r="A1351" s="156">
        <v>1352</v>
      </c>
      <c r="B1351" s="247">
        <v>1</v>
      </c>
      <c r="C1351" s="148" t="s">
        <v>975</v>
      </c>
      <c r="D1351" s="148" t="s">
        <v>3527</v>
      </c>
      <c r="E1351" s="148" t="s">
        <v>13</v>
      </c>
      <c r="F1351" s="148" t="s">
        <v>3534</v>
      </c>
      <c r="G1351" s="148"/>
      <c r="H1351" s="148" t="s">
        <v>3529</v>
      </c>
      <c r="I1351" s="161">
        <v>2015</v>
      </c>
      <c r="J1351" s="161" t="s">
        <v>3530</v>
      </c>
      <c r="K1351" s="161"/>
      <c r="L1351" s="161" t="s">
        <v>19</v>
      </c>
      <c r="M1351" s="453" t="s">
        <v>4334</v>
      </c>
      <c r="N1351" s="186" t="s">
        <v>122</v>
      </c>
      <c r="O1351" s="186"/>
      <c r="P1351" s="186"/>
      <c r="Q1351" s="186"/>
      <c r="R1351" s="186"/>
      <c r="S1351" s="186"/>
      <c r="T1351" s="186"/>
      <c r="U1351" s="186"/>
      <c r="V1351" s="186"/>
      <c r="W1351" s="186"/>
      <c r="X1351" s="186"/>
      <c r="Y1351" s="186"/>
      <c r="Z1351" s="186"/>
      <c r="AA1351" s="186"/>
      <c r="AB1351" s="186"/>
      <c r="AC1351" s="186"/>
      <c r="AD1351" s="268" t="s">
        <v>3531</v>
      </c>
      <c r="AE1351" s="268" t="s">
        <v>3532</v>
      </c>
      <c r="AF1351" s="144">
        <f t="shared" si="115"/>
        <v>35.156331034482761</v>
      </c>
      <c r="AG1351" s="144" t="str">
        <f t="shared" si="113"/>
        <v/>
      </c>
      <c r="AH1351" s="146">
        <f t="shared" si="119"/>
        <v>2.3463793103448278</v>
      </c>
      <c r="AI1351" s="146" t="str">
        <f t="shared" si="120"/>
        <v/>
      </c>
      <c r="AJ1351" s="303">
        <f>0.439*46.448/0.58</f>
        <v>35.156331034482761</v>
      </c>
      <c r="AK1351" s="303"/>
      <c r="AL1351" s="303"/>
      <c r="AM1351" s="303"/>
      <c r="AN1351" s="303"/>
      <c r="AO1351" s="303"/>
      <c r="AP1351" s="303"/>
      <c r="AQ1351" s="303"/>
      <c r="AR1351" s="318"/>
      <c r="AS1351" s="227">
        <f t="shared" si="116"/>
        <v>35.156331034482761</v>
      </c>
      <c r="AT1351" s="233"/>
      <c r="AU1351" s="318"/>
      <c r="AV1351" s="343"/>
      <c r="AW1351" s="277">
        <f>0.439*3.1/0.58</f>
        <v>2.3463793103448278</v>
      </c>
      <c r="AX1351" s="294"/>
      <c r="AY1351" s="294"/>
      <c r="AZ1351" s="294"/>
      <c r="BA1351" s="294"/>
      <c r="BB1351" s="294"/>
      <c r="BC1351" s="294"/>
      <c r="BD1351" s="294"/>
      <c r="BE1351" s="294"/>
      <c r="BF1351" s="383">
        <f t="shared" si="114"/>
        <v>2.3463793103448278</v>
      </c>
      <c r="BG1351" s="383"/>
      <c r="BH1351" s="375"/>
      <c r="BI1351" s="376"/>
      <c r="BJ1351" s="409" t="s">
        <v>3533</v>
      </c>
    </row>
    <row r="1352" spans="1:62" ht="15" customHeight="1" thickBot="1" x14ac:dyDescent="0.25">
      <c r="A1352" s="156">
        <v>1353</v>
      </c>
      <c r="B1352" s="247">
        <v>1</v>
      </c>
      <c r="C1352" s="148" t="s">
        <v>975</v>
      </c>
      <c r="D1352" s="148" t="s">
        <v>3527</v>
      </c>
      <c r="E1352" s="148" t="s">
        <v>13</v>
      </c>
      <c r="F1352" s="148" t="s">
        <v>3535</v>
      </c>
      <c r="G1352" s="148"/>
      <c r="H1352" s="148" t="s">
        <v>3529</v>
      </c>
      <c r="I1352" s="161">
        <v>2015</v>
      </c>
      <c r="J1352" s="161" t="s">
        <v>3530</v>
      </c>
      <c r="K1352" s="161"/>
      <c r="L1352" s="161" t="s">
        <v>19</v>
      </c>
      <c r="M1352" s="453" t="s">
        <v>4334</v>
      </c>
      <c r="N1352" s="186" t="s">
        <v>122</v>
      </c>
      <c r="O1352" s="186"/>
      <c r="P1352" s="186"/>
      <c r="Q1352" s="186"/>
      <c r="R1352" s="186"/>
      <c r="S1352" s="186"/>
      <c r="T1352" s="186"/>
      <c r="U1352" s="186"/>
      <c r="V1352" s="186"/>
      <c r="W1352" s="186"/>
      <c r="X1352" s="186"/>
      <c r="Y1352" s="186"/>
      <c r="Z1352" s="186"/>
      <c r="AA1352" s="186"/>
      <c r="AB1352" s="186"/>
      <c r="AC1352" s="186"/>
      <c r="AD1352" s="268" t="s">
        <v>3531</v>
      </c>
      <c r="AE1352" s="268" t="s">
        <v>3532</v>
      </c>
      <c r="AF1352" s="144">
        <f t="shared" si="115"/>
        <v>35.636827586206898</v>
      </c>
      <c r="AG1352" s="144" t="str">
        <f t="shared" si="113"/>
        <v/>
      </c>
      <c r="AH1352" s="146">
        <f t="shared" si="119"/>
        <v>2.3784482758620693</v>
      </c>
      <c r="AI1352" s="146" t="str">
        <f t="shared" si="120"/>
        <v/>
      </c>
      <c r="AJ1352" s="303">
        <f>0.445*46.448/0.58</f>
        <v>35.636827586206898</v>
      </c>
      <c r="AK1352" s="303"/>
      <c r="AL1352" s="303"/>
      <c r="AM1352" s="303"/>
      <c r="AN1352" s="303"/>
      <c r="AO1352" s="303"/>
      <c r="AP1352" s="303"/>
      <c r="AQ1352" s="303"/>
      <c r="AR1352" s="318"/>
      <c r="AS1352" s="227">
        <f t="shared" si="116"/>
        <v>35.636827586206898</v>
      </c>
      <c r="AT1352" s="233"/>
      <c r="AU1352" s="318"/>
      <c r="AV1352" s="343"/>
      <c r="AW1352" s="277">
        <f>0.445*3.1/0.58</f>
        <v>2.3784482758620693</v>
      </c>
      <c r="AX1352" s="294"/>
      <c r="AY1352" s="294"/>
      <c r="AZ1352" s="294"/>
      <c r="BA1352" s="294"/>
      <c r="BB1352" s="294"/>
      <c r="BC1352" s="294"/>
      <c r="BD1352" s="294"/>
      <c r="BE1352" s="294"/>
      <c r="BF1352" s="383">
        <f t="shared" si="114"/>
        <v>2.3784482758620693</v>
      </c>
      <c r="BG1352" s="383"/>
      <c r="BH1352" s="375"/>
      <c r="BI1352" s="376"/>
      <c r="BJ1352" s="409" t="s">
        <v>3533</v>
      </c>
    </row>
    <row r="1353" spans="1:62" ht="15" customHeight="1" thickBot="1" x14ac:dyDescent="0.25">
      <c r="A1353" s="156">
        <v>1354</v>
      </c>
      <c r="B1353" s="247">
        <v>1</v>
      </c>
      <c r="C1353" s="148" t="s">
        <v>975</v>
      </c>
      <c r="D1353" s="148" t="s">
        <v>3527</v>
      </c>
      <c r="E1353" s="148" t="s">
        <v>13</v>
      </c>
      <c r="F1353" s="148" t="s">
        <v>3536</v>
      </c>
      <c r="G1353" s="148"/>
      <c r="H1353" s="148" t="s">
        <v>3529</v>
      </c>
      <c r="I1353" s="161">
        <v>2015</v>
      </c>
      <c r="J1353" s="161" t="s">
        <v>3530</v>
      </c>
      <c r="K1353" s="161"/>
      <c r="L1353" s="161" t="s">
        <v>19</v>
      </c>
      <c r="M1353" s="453" t="s">
        <v>4334</v>
      </c>
      <c r="N1353" s="186" t="s">
        <v>122</v>
      </c>
      <c r="O1353" s="186"/>
      <c r="P1353" s="186"/>
      <c r="Q1353" s="186"/>
      <c r="R1353" s="186"/>
      <c r="S1353" s="186"/>
      <c r="T1353" s="186"/>
      <c r="U1353" s="186"/>
      <c r="V1353" s="186"/>
      <c r="W1353" s="186"/>
      <c r="X1353" s="186"/>
      <c r="Y1353" s="186"/>
      <c r="Z1353" s="186"/>
      <c r="AA1353" s="186"/>
      <c r="AB1353" s="186"/>
      <c r="AC1353" s="186"/>
      <c r="AD1353" s="268" t="s">
        <v>3531</v>
      </c>
      <c r="AE1353" s="268" t="s">
        <v>3532</v>
      </c>
      <c r="AF1353" s="144">
        <f t="shared" si="115"/>
        <v>33.875006896551724</v>
      </c>
      <c r="AG1353" s="144" t="str">
        <f t="shared" si="113"/>
        <v/>
      </c>
      <c r="AH1353" s="146">
        <f t="shared" si="119"/>
        <v>2.2608620689655172</v>
      </c>
      <c r="AI1353" s="146" t="str">
        <f t="shared" si="120"/>
        <v/>
      </c>
      <c r="AJ1353" s="303">
        <f>0.423*46.448/0.58</f>
        <v>33.875006896551724</v>
      </c>
      <c r="AK1353" s="303"/>
      <c r="AL1353" s="303"/>
      <c r="AM1353" s="303"/>
      <c r="AN1353" s="303"/>
      <c r="AO1353" s="303"/>
      <c r="AP1353" s="303"/>
      <c r="AQ1353" s="303"/>
      <c r="AR1353" s="318"/>
      <c r="AS1353" s="227">
        <f t="shared" si="116"/>
        <v>33.875006896551724</v>
      </c>
      <c r="AT1353" s="233"/>
      <c r="AU1353" s="318"/>
      <c r="AV1353" s="343"/>
      <c r="AW1353" s="277">
        <f>0.423*3.1/0.58</f>
        <v>2.2608620689655172</v>
      </c>
      <c r="AX1353" s="294"/>
      <c r="AY1353" s="294"/>
      <c r="AZ1353" s="294"/>
      <c r="BA1353" s="294"/>
      <c r="BB1353" s="294"/>
      <c r="BC1353" s="294"/>
      <c r="BD1353" s="294"/>
      <c r="BE1353" s="294"/>
      <c r="BF1353" s="383">
        <f t="shared" si="114"/>
        <v>2.2608620689655172</v>
      </c>
      <c r="BG1353" s="383"/>
      <c r="BH1353" s="375"/>
      <c r="BI1353" s="376"/>
      <c r="BJ1353" s="409" t="s">
        <v>3533</v>
      </c>
    </row>
    <row r="1354" spans="1:62" ht="15" customHeight="1" thickBot="1" x14ac:dyDescent="0.25">
      <c r="A1354" s="156">
        <v>1355</v>
      </c>
      <c r="B1354" s="247">
        <v>1</v>
      </c>
      <c r="C1354" s="148" t="s">
        <v>975</v>
      </c>
      <c r="D1354" s="148" t="s">
        <v>3527</v>
      </c>
      <c r="E1354" s="148" t="s">
        <v>13</v>
      </c>
      <c r="F1354" s="148" t="s">
        <v>3537</v>
      </c>
      <c r="G1354" s="148"/>
      <c r="H1354" s="148" t="s">
        <v>3538</v>
      </c>
      <c r="I1354" s="161">
        <v>2015</v>
      </c>
      <c r="J1354" s="161" t="s">
        <v>3530</v>
      </c>
      <c r="K1354" s="161"/>
      <c r="L1354" s="161" t="s">
        <v>19</v>
      </c>
      <c r="M1354" s="453" t="s">
        <v>4334</v>
      </c>
      <c r="N1354" s="186" t="s">
        <v>122</v>
      </c>
      <c r="O1354" s="186"/>
      <c r="P1354" s="186"/>
      <c r="Q1354" s="186"/>
      <c r="R1354" s="186"/>
      <c r="S1354" s="186"/>
      <c r="T1354" s="186"/>
      <c r="U1354" s="186"/>
      <c r="V1354" s="186"/>
      <c r="W1354" s="186"/>
      <c r="X1354" s="186"/>
      <c r="Y1354" s="186"/>
      <c r="Z1354" s="186"/>
      <c r="AA1354" s="186"/>
      <c r="AB1354" s="186"/>
      <c r="AC1354" s="186"/>
      <c r="AD1354" s="268" t="s">
        <v>3531</v>
      </c>
      <c r="AE1354" s="268" t="s">
        <v>3532</v>
      </c>
      <c r="AF1354" s="144">
        <f t="shared" si="115"/>
        <v>24.104910344827587</v>
      </c>
      <c r="AG1354" s="144" t="str">
        <f t="shared" si="113"/>
        <v/>
      </c>
      <c r="AH1354" s="146">
        <f t="shared" si="119"/>
        <v>1.6087931034482761</v>
      </c>
      <c r="AI1354" s="146" t="str">
        <f t="shared" si="120"/>
        <v/>
      </c>
      <c r="AJ1354" s="303">
        <f>0.301*46.448/0.58</f>
        <v>24.104910344827587</v>
      </c>
      <c r="AK1354" s="303"/>
      <c r="AL1354" s="303"/>
      <c r="AM1354" s="303"/>
      <c r="AN1354" s="303"/>
      <c r="AO1354" s="303"/>
      <c r="AP1354" s="303"/>
      <c r="AQ1354" s="303"/>
      <c r="AR1354" s="318"/>
      <c r="AS1354" s="227">
        <f t="shared" si="116"/>
        <v>24.104910344827587</v>
      </c>
      <c r="AT1354" s="233"/>
      <c r="AU1354" s="318"/>
      <c r="AV1354" s="343"/>
      <c r="AW1354" s="277">
        <f>0.301*3.1/0.58</f>
        <v>1.6087931034482761</v>
      </c>
      <c r="AX1354" s="294"/>
      <c r="AY1354" s="294"/>
      <c r="AZ1354" s="294"/>
      <c r="BA1354" s="294"/>
      <c r="BB1354" s="294"/>
      <c r="BC1354" s="294"/>
      <c r="BD1354" s="294"/>
      <c r="BE1354" s="294"/>
      <c r="BF1354" s="383">
        <f t="shared" si="114"/>
        <v>1.6087931034482761</v>
      </c>
      <c r="BG1354" s="383"/>
      <c r="BH1354" s="375"/>
      <c r="BI1354" s="376"/>
      <c r="BJ1354" s="409" t="s">
        <v>3533</v>
      </c>
    </row>
    <row r="1355" spans="1:62" ht="15" customHeight="1" thickBot="1" x14ac:dyDescent="0.25">
      <c r="A1355" s="156">
        <v>1356</v>
      </c>
      <c r="B1355" s="247">
        <v>1</v>
      </c>
      <c r="C1355" s="148" t="s">
        <v>975</v>
      </c>
      <c r="D1355" s="148" t="s">
        <v>3527</v>
      </c>
      <c r="E1355" s="148" t="s">
        <v>13</v>
      </c>
      <c r="F1355" s="148" t="s">
        <v>3539</v>
      </c>
      <c r="G1355" s="148"/>
      <c r="H1355" s="148" t="s">
        <v>3538</v>
      </c>
      <c r="I1355" s="161">
        <v>2015</v>
      </c>
      <c r="J1355" s="161" t="s">
        <v>3530</v>
      </c>
      <c r="K1355" s="161"/>
      <c r="L1355" s="161" t="s">
        <v>19</v>
      </c>
      <c r="M1355" s="453" t="s">
        <v>4334</v>
      </c>
      <c r="N1355" s="186" t="s">
        <v>122</v>
      </c>
      <c r="O1355" s="186"/>
      <c r="P1355" s="186"/>
      <c r="Q1355" s="186"/>
      <c r="R1355" s="186"/>
      <c r="S1355" s="186"/>
      <c r="T1355" s="186"/>
      <c r="U1355" s="186"/>
      <c r="V1355" s="186"/>
      <c r="W1355" s="186"/>
      <c r="X1355" s="186"/>
      <c r="Y1355" s="186"/>
      <c r="Z1355" s="186"/>
      <c r="AA1355" s="186"/>
      <c r="AB1355" s="186"/>
      <c r="AC1355" s="186"/>
      <c r="AD1355" s="268" t="s">
        <v>3531</v>
      </c>
      <c r="AE1355" s="268" t="s">
        <v>3532</v>
      </c>
      <c r="AF1355" s="144">
        <f t="shared" si="115"/>
        <v>37.318565517241389</v>
      </c>
      <c r="AG1355" s="144" t="str">
        <f t="shared" si="113"/>
        <v/>
      </c>
      <c r="AH1355" s="146">
        <f t="shared" si="119"/>
        <v>2.4906896551724143</v>
      </c>
      <c r="AI1355" s="146" t="str">
        <f t="shared" si="120"/>
        <v/>
      </c>
      <c r="AJ1355" s="303">
        <f>0.466*46.448/0.58</f>
        <v>37.318565517241389</v>
      </c>
      <c r="AK1355" s="303"/>
      <c r="AL1355" s="303"/>
      <c r="AM1355" s="303"/>
      <c r="AN1355" s="303"/>
      <c r="AO1355" s="303"/>
      <c r="AP1355" s="303"/>
      <c r="AQ1355" s="303"/>
      <c r="AR1355" s="318"/>
      <c r="AS1355" s="227">
        <f t="shared" si="116"/>
        <v>37.318565517241389</v>
      </c>
      <c r="AT1355" s="233"/>
      <c r="AU1355" s="318"/>
      <c r="AV1355" s="343"/>
      <c r="AW1355" s="277">
        <f>0.466*3.1/0.58</f>
        <v>2.4906896551724143</v>
      </c>
      <c r="AX1355" s="294"/>
      <c r="AY1355" s="294"/>
      <c r="AZ1355" s="294"/>
      <c r="BA1355" s="294"/>
      <c r="BB1355" s="294"/>
      <c r="BC1355" s="294"/>
      <c r="BD1355" s="294"/>
      <c r="BE1355" s="294"/>
      <c r="BF1355" s="383">
        <f t="shared" si="114"/>
        <v>2.4906896551724143</v>
      </c>
      <c r="BG1355" s="383"/>
      <c r="BH1355" s="375"/>
      <c r="BI1355" s="376"/>
      <c r="BJ1355" s="409" t="s">
        <v>3533</v>
      </c>
    </row>
    <row r="1356" spans="1:62" ht="15" customHeight="1" thickBot="1" x14ac:dyDescent="0.25">
      <c r="A1356" s="156">
        <v>1357</v>
      </c>
      <c r="B1356" s="247">
        <v>1</v>
      </c>
      <c r="C1356" s="148" t="s">
        <v>975</v>
      </c>
      <c r="D1356" s="148" t="s">
        <v>3527</v>
      </c>
      <c r="E1356" s="148" t="s">
        <v>13</v>
      </c>
      <c r="F1356" s="148" t="s">
        <v>3540</v>
      </c>
      <c r="G1356" s="148"/>
      <c r="H1356" s="148" t="s">
        <v>3538</v>
      </c>
      <c r="I1356" s="161">
        <v>2015</v>
      </c>
      <c r="J1356" s="161" t="s">
        <v>3530</v>
      </c>
      <c r="K1356" s="161"/>
      <c r="L1356" s="161" t="s">
        <v>19</v>
      </c>
      <c r="M1356" s="453" t="s">
        <v>4334</v>
      </c>
      <c r="N1356" s="186" t="s">
        <v>122</v>
      </c>
      <c r="O1356" s="186"/>
      <c r="P1356" s="186"/>
      <c r="Q1356" s="186"/>
      <c r="R1356" s="186"/>
      <c r="S1356" s="186"/>
      <c r="T1356" s="186"/>
      <c r="U1356" s="186"/>
      <c r="V1356" s="186"/>
      <c r="W1356" s="186"/>
      <c r="X1356" s="186"/>
      <c r="Y1356" s="186"/>
      <c r="Z1356" s="186"/>
      <c r="AA1356" s="186"/>
      <c r="AB1356" s="186"/>
      <c r="AC1356" s="186"/>
      <c r="AD1356" s="268" t="s">
        <v>3531</v>
      </c>
      <c r="AE1356" s="268" t="s">
        <v>3532</v>
      </c>
      <c r="AF1356" s="144">
        <f t="shared" si="115"/>
        <v>36.757986206896561</v>
      </c>
      <c r="AG1356" s="144" t="str">
        <f t="shared" si="113"/>
        <v/>
      </c>
      <c r="AH1356" s="146">
        <f t="shared" si="119"/>
        <v>2.4532758620689656</v>
      </c>
      <c r="AI1356" s="146" t="str">
        <f t="shared" si="120"/>
        <v/>
      </c>
      <c r="AJ1356" s="303">
        <f>0.459*46.448/0.58</f>
        <v>36.757986206896561</v>
      </c>
      <c r="AK1356" s="303"/>
      <c r="AL1356" s="303"/>
      <c r="AM1356" s="303"/>
      <c r="AN1356" s="303"/>
      <c r="AO1356" s="303"/>
      <c r="AP1356" s="303"/>
      <c r="AQ1356" s="303"/>
      <c r="AR1356" s="318"/>
      <c r="AS1356" s="227">
        <f t="shared" si="116"/>
        <v>36.757986206896561</v>
      </c>
      <c r="AT1356" s="233"/>
      <c r="AU1356" s="318"/>
      <c r="AV1356" s="343"/>
      <c r="AW1356" s="277">
        <f>0.459*3.1/0.58</f>
        <v>2.4532758620689656</v>
      </c>
      <c r="AX1356" s="294"/>
      <c r="AY1356" s="294"/>
      <c r="AZ1356" s="294"/>
      <c r="BA1356" s="294"/>
      <c r="BB1356" s="294"/>
      <c r="BC1356" s="294"/>
      <c r="BD1356" s="294"/>
      <c r="BE1356" s="294"/>
      <c r="BF1356" s="383">
        <f t="shared" si="114"/>
        <v>2.4532758620689656</v>
      </c>
      <c r="BG1356" s="383"/>
      <c r="BH1356" s="375"/>
      <c r="BI1356" s="376"/>
      <c r="BJ1356" s="409" t="s">
        <v>3533</v>
      </c>
    </row>
    <row r="1357" spans="1:62" ht="15" customHeight="1" thickBot="1" x14ac:dyDescent="0.25">
      <c r="A1357" s="156">
        <v>1358</v>
      </c>
      <c r="B1357" s="247">
        <v>1</v>
      </c>
      <c r="C1357" s="148" t="s">
        <v>975</v>
      </c>
      <c r="D1357" s="148" t="s">
        <v>3527</v>
      </c>
      <c r="E1357" s="148" t="s">
        <v>13</v>
      </c>
      <c r="F1357" s="148" t="s">
        <v>3541</v>
      </c>
      <c r="G1357" s="148"/>
      <c r="H1357" s="148" t="s">
        <v>3538</v>
      </c>
      <c r="I1357" s="161">
        <v>2015</v>
      </c>
      <c r="J1357" s="161" t="s">
        <v>3530</v>
      </c>
      <c r="K1357" s="161"/>
      <c r="L1357" s="161" t="s">
        <v>19</v>
      </c>
      <c r="M1357" s="453" t="s">
        <v>4334</v>
      </c>
      <c r="N1357" s="186" t="s">
        <v>122</v>
      </c>
      <c r="O1357" s="186"/>
      <c r="P1357" s="186"/>
      <c r="Q1357" s="186"/>
      <c r="R1357" s="186"/>
      <c r="S1357" s="186"/>
      <c r="T1357" s="186"/>
      <c r="U1357" s="186"/>
      <c r="V1357" s="186"/>
      <c r="W1357" s="186"/>
      <c r="X1357" s="186"/>
      <c r="Y1357" s="186"/>
      <c r="Z1357" s="186"/>
      <c r="AA1357" s="186"/>
      <c r="AB1357" s="186"/>
      <c r="AC1357" s="186"/>
      <c r="AD1357" s="268" t="s">
        <v>3531</v>
      </c>
      <c r="AE1357" s="268" t="s">
        <v>3532</v>
      </c>
      <c r="AF1357" s="144">
        <f t="shared" si="115"/>
        <v>35.396579310344826</v>
      </c>
      <c r="AG1357" s="144" t="str">
        <f t="shared" si="113"/>
        <v/>
      </c>
      <c r="AH1357" s="146">
        <f t="shared" si="119"/>
        <v>2.3624137931034488</v>
      </c>
      <c r="AI1357" s="146" t="str">
        <f t="shared" si="120"/>
        <v/>
      </c>
      <c r="AJ1357" s="303">
        <f>0.442*46.448/0.58</f>
        <v>35.396579310344826</v>
      </c>
      <c r="AK1357" s="303"/>
      <c r="AL1357" s="303"/>
      <c r="AM1357" s="303"/>
      <c r="AN1357" s="303"/>
      <c r="AO1357" s="303"/>
      <c r="AP1357" s="303"/>
      <c r="AQ1357" s="303"/>
      <c r="AR1357" s="318"/>
      <c r="AS1357" s="227">
        <f t="shared" si="116"/>
        <v>35.396579310344826</v>
      </c>
      <c r="AT1357" s="233"/>
      <c r="AU1357" s="318"/>
      <c r="AV1357" s="343"/>
      <c r="AW1357" s="277">
        <f>0.442*3.1/0.58</f>
        <v>2.3624137931034488</v>
      </c>
      <c r="AX1357" s="294"/>
      <c r="AY1357" s="294"/>
      <c r="AZ1357" s="294"/>
      <c r="BA1357" s="294"/>
      <c r="BB1357" s="294"/>
      <c r="BC1357" s="294"/>
      <c r="BD1357" s="294"/>
      <c r="BE1357" s="294"/>
      <c r="BF1357" s="383">
        <f t="shared" si="114"/>
        <v>2.3624137931034488</v>
      </c>
      <c r="BG1357" s="383"/>
      <c r="BH1357" s="375"/>
      <c r="BI1357" s="376"/>
      <c r="BJ1357" s="409" t="s">
        <v>3533</v>
      </c>
    </row>
    <row r="1358" spans="1:62" ht="15" customHeight="1" thickBot="1" x14ac:dyDescent="0.25">
      <c r="A1358" s="156">
        <v>1359</v>
      </c>
      <c r="B1358" s="247">
        <v>1</v>
      </c>
      <c r="C1358" s="148" t="s">
        <v>975</v>
      </c>
      <c r="D1358" s="148" t="s">
        <v>3527</v>
      </c>
      <c r="E1358" s="148" t="s">
        <v>13</v>
      </c>
      <c r="F1358" s="148" t="s">
        <v>3542</v>
      </c>
      <c r="G1358" s="148"/>
      <c r="H1358" s="148" t="s">
        <v>3543</v>
      </c>
      <c r="I1358" s="161">
        <v>2015</v>
      </c>
      <c r="J1358" s="161" t="s">
        <v>3530</v>
      </c>
      <c r="K1358" s="161"/>
      <c r="L1358" s="161" t="s">
        <v>19</v>
      </c>
      <c r="M1358" s="453" t="s">
        <v>4334</v>
      </c>
      <c r="N1358" s="186" t="s">
        <v>122</v>
      </c>
      <c r="O1358" s="186"/>
      <c r="P1358" s="186"/>
      <c r="Q1358" s="186"/>
      <c r="R1358" s="186"/>
      <c r="S1358" s="186"/>
      <c r="T1358" s="186"/>
      <c r="U1358" s="186"/>
      <c r="V1358" s="186"/>
      <c r="W1358" s="186"/>
      <c r="X1358" s="186"/>
      <c r="Y1358" s="186"/>
      <c r="Z1358" s="186"/>
      <c r="AA1358" s="186"/>
      <c r="AB1358" s="186"/>
      <c r="AC1358" s="186"/>
      <c r="AD1358" s="268" t="s">
        <v>3531</v>
      </c>
      <c r="AE1358" s="268" t="s">
        <v>3532</v>
      </c>
      <c r="AF1358" s="144">
        <f t="shared" si="115"/>
        <v>25.866731034482761</v>
      </c>
      <c r="AG1358" s="144" t="str">
        <f t="shared" si="113"/>
        <v/>
      </c>
      <c r="AH1358" s="146">
        <f t="shared" si="119"/>
        <v>1.7263793103448279</v>
      </c>
      <c r="AI1358" s="146" t="str">
        <f t="shared" si="120"/>
        <v/>
      </c>
      <c r="AJ1358" s="303">
        <f>0.323*46.448/0.58</f>
        <v>25.866731034482761</v>
      </c>
      <c r="AK1358" s="303"/>
      <c r="AL1358" s="303"/>
      <c r="AM1358" s="303"/>
      <c r="AN1358" s="303"/>
      <c r="AO1358" s="303"/>
      <c r="AP1358" s="303"/>
      <c r="AQ1358" s="303"/>
      <c r="AR1358" s="318"/>
      <c r="AS1358" s="227">
        <f t="shared" si="116"/>
        <v>25.866731034482761</v>
      </c>
      <c r="AT1358" s="233"/>
      <c r="AU1358" s="318"/>
      <c r="AV1358" s="343"/>
      <c r="AW1358" s="277">
        <f>0.323*3.1/0.58</f>
        <v>1.7263793103448279</v>
      </c>
      <c r="AX1358" s="294"/>
      <c r="AY1358" s="294"/>
      <c r="AZ1358" s="294"/>
      <c r="BA1358" s="294"/>
      <c r="BB1358" s="294"/>
      <c r="BC1358" s="294"/>
      <c r="BD1358" s="294"/>
      <c r="BE1358" s="294"/>
      <c r="BF1358" s="383">
        <f t="shared" si="114"/>
        <v>1.7263793103448279</v>
      </c>
      <c r="BG1358" s="383"/>
      <c r="BH1358" s="375"/>
      <c r="BI1358" s="376"/>
      <c r="BJ1358" s="409" t="s">
        <v>3533</v>
      </c>
    </row>
    <row r="1359" spans="1:62" ht="15" customHeight="1" thickBot="1" x14ac:dyDescent="0.25">
      <c r="A1359" s="156">
        <v>1360</v>
      </c>
      <c r="B1359" s="247">
        <v>1</v>
      </c>
      <c r="C1359" s="148" t="s">
        <v>975</v>
      </c>
      <c r="D1359" s="148" t="s">
        <v>3527</v>
      </c>
      <c r="E1359" s="148" t="s">
        <v>13</v>
      </c>
      <c r="F1359" s="148" t="s">
        <v>3544</v>
      </c>
      <c r="G1359" s="148"/>
      <c r="H1359" s="148" t="s">
        <v>3543</v>
      </c>
      <c r="I1359" s="161">
        <v>2015</v>
      </c>
      <c r="J1359" s="161" t="s">
        <v>3530</v>
      </c>
      <c r="K1359" s="161"/>
      <c r="L1359" s="161" t="s">
        <v>19</v>
      </c>
      <c r="M1359" s="453" t="s">
        <v>4334</v>
      </c>
      <c r="N1359" s="186" t="s">
        <v>122</v>
      </c>
      <c r="O1359" s="186"/>
      <c r="P1359" s="186"/>
      <c r="Q1359" s="186"/>
      <c r="R1359" s="186"/>
      <c r="S1359" s="186"/>
      <c r="T1359" s="186"/>
      <c r="U1359" s="186"/>
      <c r="V1359" s="186"/>
      <c r="W1359" s="186"/>
      <c r="X1359" s="186"/>
      <c r="Y1359" s="186"/>
      <c r="Z1359" s="186"/>
      <c r="AA1359" s="186"/>
      <c r="AB1359" s="186"/>
      <c r="AC1359" s="186"/>
      <c r="AD1359" s="268" t="s">
        <v>3531</v>
      </c>
      <c r="AE1359" s="268" t="s">
        <v>3532</v>
      </c>
      <c r="AF1359" s="144">
        <f t="shared" si="115"/>
        <v>37.718979310344828</v>
      </c>
      <c r="AG1359" s="144" t="str">
        <f t="shared" si="113"/>
        <v/>
      </c>
      <c r="AH1359" s="146">
        <f t="shared" si="119"/>
        <v>2.5174137931034481</v>
      </c>
      <c r="AI1359" s="146" t="str">
        <f t="shared" si="120"/>
        <v/>
      </c>
      <c r="AJ1359" s="303">
        <f>0.471*46.448/0.58</f>
        <v>37.718979310344828</v>
      </c>
      <c r="AK1359" s="303"/>
      <c r="AL1359" s="303"/>
      <c r="AM1359" s="303"/>
      <c r="AN1359" s="303"/>
      <c r="AO1359" s="303"/>
      <c r="AP1359" s="303"/>
      <c r="AQ1359" s="303"/>
      <c r="AR1359" s="318"/>
      <c r="AS1359" s="227">
        <f t="shared" si="116"/>
        <v>37.718979310344828</v>
      </c>
      <c r="AT1359" s="233"/>
      <c r="AU1359" s="318"/>
      <c r="AV1359" s="343"/>
      <c r="AW1359" s="277">
        <f>0.471*3.1/0.58</f>
        <v>2.5174137931034481</v>
      </c>
      <c r="AX1359" s="294"/>
      <c r="AY1359" s="294"/>
      <c r="AZ1359" s="294"/>
      <c r="BA1359" s="294"/>
      <c r="BB1359" s="294"/>
      <c r="BC1359" s="294"/>
      <c r="BD1359" s="294"/>
      <c r="BE1359" s="294"/>
      <c r="BF1359" s="383">
        <f t="shared" si="114"/>
        <v>2.5174137931034481</v>
      </c>
      <c r="BG1359" s="383"/>
      <c r="BH1359" s="375"/>
      <c r="BI1359" s="376"/>
      <c r="BJ1359" s="409" t="s">
        <v>3533</v>
      </c>
    </row>
    <row r="1360" spans="1:62" ht="15" customHeight="1" thickBot="1" x14ac:dyDescent="0.25">
      <c r="A1360" s="156">
        <v>1361</v>
      </c>
      <c r="B1360" s="247">
        <v>1</v>
      </c>
      <c r="C1360" s="148" t="s">
        <v>975</v>
      </c>
      <c r="D1360" s="148" t="s">
        <v>3527</v>
      </c>
      <c r="E1360" s="148" t="s">
        <v>13</v>
      </c>
      <c r="F1360" s="148" t="s">
        <v>3545</v>
      </c>
      <c r="G1360" s="148"/>
      <c r="H1360" s="148" t="s">
        <v>3543</v>
      </c>
      <c r="I1360" s="161">
        <v>2015</v>
      </c>
      <c r="J1360" s="161" t="s">
        <v>3530</v>
      </c>
      <c r="K1360" s="161"/>
      <c r="L1360" s="161" t="s">
        <v>19</v>
      </c>
      <c r="M1360" s="453" t="s">
        <v>4334</v>
      </c>
      <c r="N1360" s="186" t="s">
        <v>122</v>
      </c>
      <c r="O1360" s="186"/>
      <c r="P1360" s="186"/>
      <c r="Q1360" s="186"/>
      <c r="R1360" s="186"/>
      <c r="S1360" s="186"/>
      <c r="T1360" s="186"/>
      <c r="U1360" s="186"/>
      <c r="V1360" s="186"/>
      <c r="W1360" s="186"/>
      <c r="X1360" s="186"/>
      <c r="Y1360" s="186"/>
      <c r="Z1360" s="186"/>
      <c r="AA1360" s="186"/>
      <c r="AB1360" s="186"/>
      <c r="AC1360" s="186"/>
      <c r="AD1360" s="268" t="s">
        <v>3531</v>
      </c>
      <c r="AE1360" s="268" t="s">
        <v>3532</v>
      </c>
      <c r="AF1360" s="144">
        <f t="shared" si="115"/>
        <v>27.948882758620691</v>
      </c>
      <c r="AG1360" s="144" t="str">
        <f t="shared" si="113"/>
        <v/>
      </c>
      <c r="AH1360" s="146">
        <f t="shared" si="119"/>
        <v>1.8653448275862068</v>
      </c>
      <c r="AI1360" s="146" t="str">
        <f t="shared" si="120"/>
        <v/>
      </c>
      <c r="AJ1360" s="303">
        <f>0.349*46.448/0.58</f>
        <v>27.948882758620691</v>
      </c>
      <c r="AK1360" s="303"/>
      <c r="AL1360" s="303"/>
      <c r="AM1360" s="303"/>
      <c r="AN1360" s="303"/>
      <c r="AO1360" s="303"/>
      <c r="AP1360" s="303"/>
      <c r="AQ1360" s="303"/>
      <c r="AR1360" s="318"/>
      <c r="AS1360" s="227">
        <f t="shared" si="116"/>
        <v>27.948882758620691</v>
      </c>
      <c r="AT1360" s="233"/>
      <c r="AU1360" s="318"/>
      <c r="AV1360" s="343"/>
      <c r="AW1360" s="277">
        <f>0.349*3.1/0.58</f>
        <v>1.8653448275862068</v>
      </c>
      <c r="AX1360" s="294"/>
      <c r="AY1360" s="294"/>
      <c r="AZ1360" s="294"/>
      <c r="BA1360" s="294"/>
      <c r="BB1360" s="294"/>
      <c r="BC1360" s="294"/>
      <c r="BD1360" s="294"/>
      <c r="BE1360" s="294"/>
      <c r="BF1360" s="383">
        <f t="shared" si="114"/>
        <v>1.8653448275862068</v>
      </c>
      <c r="BG1360" s="383"/>
      <c r="BH1360" s="375"/>
      <c r="BI1360" s="376"/>
      <c r="BJ1360" s="409" t="s">
        <v>3533</v>
      </c>
    </row>
    <row r="1361" spans="1:62" ht="15" customHeight="1" thickBot="1" x14ac:dyDescent="0.25">
      <c r="A1361" s="156">
        <v>1362</v>
      </c>
      <c r="B1361" s="247">
        <v>1</v>
      </c>
      <c r="C1361" s="148" t="s">
        <v>975</v>
      </c>
      <c r="D1361" s="148" t="s">
        <v>3527</v>
      </c>
      <c r="E1361" s="148" t="s">
        <v>13</v>
      </c>
      <c r="F1361" s="148" t="s">
        <v>3546</v>
      </c>
      <c r="G1361" s="148"/>
      <c r="H1361" s="148" t="s">
        <v>3543</v>
      </c>
      <c r="I1361" s="161">
        <v>2015</v>
      </c>
      <c r="J1361" s="161" t="s">
        <v>3530</v>
      </c>
      <c r="K1361" s="161"/>
      <c r="L1361" s="161" t="s">
        <v>19</v>
      </c>
      <c r="M1361" s="453" t="s">
        <v>4334</v>
      </c>
      <c r="N1361" s="186" t="s">
        <v>122</v>
      </c>
      <c r="O1361" s="186"/>
      <c r="P1361" s="186"/>
      <c r="Q1361" s="186"/>
      <c r="R1361" s="186"/>
      <c r="S1361" s="186"/>
      <c r="T1361" s="186"/>
      <c r="U1361" s="186"/>
      <c r="V1361" s="186"/>
      <c r="W1361" s="186"/>
      <c r="X1361" s="186"/>
      <c r="Y1361" s="186"/>
      <c r="Z1361" s="186"/>
      <c r="AA1361" s="186"/>
      <c r="AB1361" s="186"/>
      <c r="AC1361" s="186"/>
      <c r="AD1361" s="268" t="s">
        <v>3531</v>
      </c>
      <c r="AE1361" s="268" t="s">
        <v>3532</v>
      </c>
      <c r="AF1361" s="144">
        <f t="shared" si="115"/>
        <v>28.989958620689656</v>
      </c>
      <c r="AG1361" s="144" t="str">
        <f t="shared" si="113"/>
        <v/>
      </c>
      <c r="AH1361" s="146">
        <f t="shared" si="119"/>
        <v>1.9348275862068969</v>
      </c>
      <c r="AI1361" s="146" t="str">
        <f t="shared" si="120"/>
        <v/>
      </c>
      <c r="AJ1361" s="303">
        <f>0.362*46.448/0.58</f>
        <v>28.989958620689656</v>
      </c>
      <c r="AK1361" s="303"/>
      <c r="AL1361" s="303"/>
      <c r="AM1361" s="303"/>
      <c r="AN1361" s="303"/>
      <c r="AO1361" s="303"/>
      <c r="AP1361" s="303"/>
      <c r="AQ1361" s="303"/>
      <c r="AR1361" s="318"/>
      <c r="AS1361" s="227">
        <f t="shared" si="116"/>
        <v>28.989958620689656</v>
      </c>
      <c r="AT1361" s="233"/>
      <c r="AU1361" s="318"/>
      <c r="AV1361" s="343"/>
      <c r="AW1361" s="277">
        <f>0.362*3.1/0.58</f>
        <v>1.9348275862068969</v>
      </c>
      <c r="AX1361" s="294"/>
      <c r="AY1361" s="294"/>
      <c r="AZ1361" s="294"/>
      <c r="BA1361" s="294"/>
      <c r="BB1361" s="294"/>
      <c r="BC1361" s="294"/>
      <c r="BD1361" s="294"/>
      <c r="BE1361" s="294"/>
      <c r="BF1361" s="383">
        <f t="shared" si="114"/>
        <v>1.9348275862068969</v>
      </c>
      <c r="BG1361" s="383"/>
      <c r="BH1361" s="375"/>
      <c r="BI1361" s="376"/>
      <c r="BJ1361" s="409" t="s">
        <v>3533</v>
      </c>
    </row>
    <row r="1362" spans="1:62" ht="15" customHeight="1" thickBot="1" x14ac:dyDescent="0.25">
      <c r="A1362" s="156">
        <v>1363</v>
      </c>
      <c r="B1362" s="247">
        <v>1</v>
      </c>
      <c r="C1362" s="148" t="s">
        <v>975</v>
      </c>
      <c r="D1362" s="148" t="s">
        <v>1987</v>
      </c>
      <c r="E1362" s="148" t="s">
        <v>13</v>
      </c>
      <c r="F1362" s="148" t="s">
        <v>3547</v>
      </c>
      <c r="G1362" s="148"/>
      <c r="H1362" s="148" t="s">
        <v>3548</v>
      </c>
      <c r="I1362" s="161">
        <v>2015</v>
      </c>
      <c r="J1362" s="161" t="s">
        <v>3549</v>
      </c>
      <c r="K1362" s="161"/>
      <c r="L1362" s="161" t="s">
        <v>19</v>
      </c>
      <c r="M1362" s="453" t="s">
        <v>4335</v>
      </c>
      <c r="N1362" s="186" t="s">
        <v>122</v>
      </c>
      <c r="O1362" s="186" t="s">
        <v>122</v>
      </c>
      <c r="P1362" s="186"/>
      <c r="Q1362" s="186"/>
      <c r="R1362" s="186"/>
      <c r="S1362" s="186"/>
      <c r="T1362" s="186"/>
      <c r="U1362" s="186"/>
      <c r="V1362" s="186"/>
      <c r="W1362" s="186"/>
      <c r="X1362" s="186"/>
      <c r="Y1362" s="186"/>
      <c r="Z1362" s="186"/>
      <c r="AA1362" s="186"/>
      <c r="AB1362" s="186"/>
      <c r="AC1362" s="186"/>
      <c r="AD1362" s="268" t="s">
        <v>3550</v>
      </c>
      <c r="AE1362" s="268" t="s">
        <v>3551</v>
      </c>
      <c r="AF1362" s="144" t="str">
        <f t="shared" si="115"/>
        <v/>
      </c>
      <c r="AG1362" s="144" t="str">
        <f t="shared" si="113"/>
        <v/>
      </c>
      <c r="AH1362" s="146">
        <f t="shared" si="119"/>
        <v>34.736842105263165</v>
      </c>
      <c r="AI1362" s="146" t="str">
        <f t="shared" si="120"/>
        <v/>
      </c>
      <c r="AJ1362" s="303"/>
      <c r="AK1362" s="303"/>
      <c r="AL1362" s="303"/>
      <c r="AM1362" s="303"/>
      <c r="AN1362" s="303"/>
      <c r="AO1362" s="303"/>
      <c r="AP1362" s="303"/>
      <c r="AQ1362" s="303"/>
      <c r="AR1362" s="318"/>
      <c r="AS1362" s="428"/>
      <c r="AT1362" s="233"/>
      <c r="AU1362" s="318"/>
      <c r="AV1362" s="343"/>
      <c r="AW1362" s="375">
        <f>19.8/0.57</f>
        <v>34.736842105263165</v>
      </c>
      <c r="AX1362" s="294"/>
      <c r="AY1362" s="294"/>
      <c r="AZ1362" s="294"/>
      <c r="BA1362" s="294"/>
      <c r="BB1362" s="294"/>
      <c r="BC1362" s="294"/>
      <c r="BD1362" s="294"/>
      <c r="BE1362" s="294"/>
      <c r="BF1362" s="383">
        <f t="shared" si="114"/>
        <v>34.736842105263165</v>
      </c>
      <c r="BG1362" s="383"/>
      <c r="BH1362" s="375"/>
      <c r="BI1362" s="376"/>
      <c r="BJ1362" s="409"/>
    </row>
    <row r="1363" spans="1:62" ht="15" customHeight="1" thickBot="1" x14ac:dyDescent="0.25">
      <c r="A1363" s="156">
        <v>1364</v>
      </c>
      <c r="B1363" s="247">
        <v>1</v>
      </c>
      <c r="C1363" s="148" t="s">
        <v>975</v>
      </c>
      <c r="D1363" s="148" t="s">
        <v>1987</v>
      </c>
      <c r="E1363" s="148" t="s">
        <v>13</v>
      </c>
      <c r="F1363" s="148" t="s">
        <v>3552</v>
      </c>
      <c r="G1363" s="148"/>
      <c r="H1363" s="148" t="s">
        <v>3548</v>
      </c>
      <c r="I1363" s="161">
        <v>2015</v>
      </c>
      <c r="J1363" s="161" t="s">
        <v>3549</v>
      </c>
      <c r="K1363" s="161"/>
      <c r="L1363" s="161" t="s">
        <v>19</v>
      </c>
      <c r="M1363" s="453" t="s">
        <v>4335</v>
      </c>
      <c r="N1363" s="186" t="s">
        <v>122</v>
      </c>
      <c r="O1363" s="186" t="s">
        <v>122</v>
      </c>
      <c r="P1363" s="186"/>
      <c r="Q1363" s="186"/>
      <c r="R1363" s="186"/>
      <c r="S1363" s="186"/>
      <c r="T1363" s="186"/>
      <c r="U1363" s="186"/>
      <c r="V1363" s="186"/>
      <c r="W1363" s="186"/>
      <c r="X1363" s="186"/>
      <c r="Y1363" s="186"/>
      <c r="Z1363" s="186"/>
      <c r="AA1363" s="186"/>
      <c r="AB1363" s="186"/>
      <c r="AC1363" s="186"/>
      <c r="AD1363" s="268" t="s">
        <v>3550</v>
      </c>
      <c r="AE1363" s="268" t="s">
        <v>3551</v>
      </c>
      <c r="AF1363" s="144" t="str">
        <f t="shared" si="115"/>
        <v/>
      </c>
      <c r="AG1363" s="144" t="str">
        <f t="shared" ref="AG1363:AG1426" si="121">IF(AND(SUM(AJ1363:AL1363)&lt;&gt;0,SUM(AJ1363:AL1363)&lt;&gt;AJ1363),SUM(AJ1363:AL1363),"")</f>
        <v/>
      </c>
      <c r="AH1363" s="146">
        <f t="shared" si="119"/>
        <v>54.736842105263165</v>
      </c>
      <c r="AI1363" s="146" t="str">
        <f t="shared" si="120"/>
        <v/>
      </c>
      <c r="AJ1363" s="303"/>
      <c r="AK1363" s="303"/>
      <c r="AL1363" s="303"/>
      <c r="AM1363" s="303"/>
      <c r="AN1363" s="303"/>
      <c r="AO1363" s="303"/>
      <c r="AP1363" s="303"/>
      <c r="AQ1363" s="303"/>
      <c r="AR1363" s="318"/>
      <c r="AS1363" s="429"/>
      <c r="AT1363" s="233"/>
      <c r="AU1363" s="318"/>
      <c r="AV1363" s="343"/>
      <c r="AW1363" s="357">
        <f>31.2/0.57</f>
        <v>54.736842105263165</v>
      </c>
      <c r="AX1363" s="294"/>
      <c r="AY1363" s="294"/>
      <c r="AZ1363" s="294"/>
      <c r="BA1363" s="294"/>
      <c r="BB1363" s="294"/>
      <c r="BC1363" s="294"/>
      <c r="BD1363" s="294"/>
      <c r="BE1363" s="294"/>
      <c r="BF1363" s="383">
        <f t="shared" si="114"/>
        <v>54.736842105263165</v>
      </c>
      <c r="BG1363" s="383"/>
      <c r="BH1363" s="375"/>
      <c r="BI1363" s="376"/>
      <c r="BJ1363" s="409"/>
    </row>
    <row r="1364" spans="1:62" ht="15" customHeight="1" thickBot="1" x14ac:dyDescent="0.25">
      <c r="A1364" s="156">
        <v>1365</v>
      </c>
      <c r="B1364" s="247">
        <v>1</v>
      </c>
      <c r="C1364" s="148" t="s">
        <v>975</v>
      </c>
      <c r="D1364" s="148" t="s">
        <v>1987</v>
      </c>
      <c r="E1364" s="148" t="s">
        <v>13</v>
      </c>
      <c r="F1364" s="148" t="s">
        <v>3553</v>
      </c>
      <c r="G1364" s="148"/>
      <c r="H1364" s="148" t="s">
        <v>55</v>
      </c>
      <c r="I1364" s="161">
        <v>2015</v>
      </c>
      <c r="J1364" s="161" t="s">
        <v>3554</v>
      </c>
      <c r="K1364" s="161"/>
      <c r="L1364" s="161" t="s">
        <v>19</v>
      </c>
      <c r="M1364" s="453" t="s">
        <v>4336</v>
      </c>
      <c r="N1364" s="186" t="s">
        <v>20</v>
      </c>
      <c r="O1364" s="186"/>
      <c r="P1364" s="186" t="s">
        <v>122</v>
      </c>
      <c r="Q1364" s="186" t="s">
        <v>122</v>
      </c>
      <c r="R1364" s="186"/>
      <c r="S1364" s="186" t="s">
        <v>122</v>
      </c>
      <c r="T1364" s="186" t="s">
        <v>292</v>
      </c>
      <c r="U1364" s="186" t="s">
        <v>292</v>
      </c>
      <c r="V1364" s="186" t="s">
        <v>292</v>
      </c>
      <c r="W1364" s="186" t="s">
        <v>292</v>
      </c>
      <c r="X1364" s="186" t="s">
        <v>292</v>
      </c>
      <c r="Y1364" s="186" t="s">
        <v>292</v>
      </c>
      <c r="Z1364" s="186" t="s">
        <v>292</v>
      </c>
      <c r="AA1364" s="186"/>
      <c r="AB1364" s="186"/>
      <c r="AC1364" s="186"/>
      <c r="AD1364" s="268" t="s">
        <v>3555</v>
      </c>
      <c r="AE1364" s="268" t="s">
        <v>3556</v>
      </c>
      <c r="AF1364" s="144">
        <f t="shared" si="115"/>
        <v>114.6</v>
      </c>
      <c r="AG1364" s="144">
        <f t="shared" si="121"/>
        <v>182.6181818181818</v>
      </c>
      <c r="AH1364" s="146">
        <f t="shared" si="119"/>
        <v>7.8</v>
      </c>
      <c r="AI1364" s="146">
        <f t="shared" si="120"/>
        <v>12.6</v>
      </c>
      <c r="AJ1364" s="303">
        <f>63.03/0.55</f>
        <v>114.6</v>
      </c>
      <c r="AK1364" s="303"/>
      <c r="AL1364" s="303">
        <f>37.41/0.55</f>
        <v>68.018181818181802</v>
      </c>
      <c r="AM1364" s="303"/>
      <c r="AN1364" s="303">
        <f>3.96/0.55</f>
        <v>7.1999999999999993</v>
      </c>
      <c r="AO1364" s="303"/>
      <c r="AP1364" s="303"/>
      <c r="AQ1364" s="303"/>
      <c r="AR1364" s="318"/>
      <c r="AS1364" s="227">
        <f>AJ1364</f>
        <v>114.6</v>
      </c>
      <c r="AT1364" s="233">
        <f>SUM(AJ1364:AR1364)</f>
        <v>189.81818181818178</v>
      </c>
      <c r="AU1364" s="318"/>
      <c r="AV1364" s="343"/>
      <c r="AW1364" s="357">
        <f>4.29/0.55</f>
        <v>7.8</v>
      </c>
      <c r="AX1364" s="294"/>
      <c r="AY1364" s="294">
        <f>2.64/0.55</f>
        <v>4.8</v>
      </c>
      <c r="AZ1364" s="294"/>
      <c r="BA1364" s="294">
        <f>0.27/0.55</f>
        <v>0.49090909090909091</v>
      </c>
      <c r="BB1364" s="294"/>
      <c r="BC1364" s="294"/>
      <c r="BD1364" s="294"/>
      <c r="BE1364" s="294"/>
      <c r="BF1364" s="383">
        <f t="shared" si="114"/>
        <v>7.8</v>
      </c>
      <c r="BG1364" s="383">
        <f>SUM(AW1364:BE1364)</f>
        <v>13.09090909090909</v>
      </c>
      <c r="BH1364" s="375"/>
      <c r="BI1364" s="376"/>
      <c r="BJ1364" s="409"/>
    </row>
    <row r="1365" spans="1:62" ht="15" customHeight="1" thickBot="1" x14ac:dyDescent="0.25">
      <c r="A1365" s="156">
        <v>1366</v>
      </c>
      <c r="B1365" s="247">
        <v>1</v>
      </c>
      <c r="C1365" s="148" t="s">
        <v>975</v>
      </c>
      <c r="D1365" s="148" t="s">
        <v>1987</v>
      </c>
      <c r="E1365" s="148" t="s">
        <v>13</v>
      </c>
      <c r="F1365" s="148" t="s">
        <v>3557</v>
      </c>
      <c r="G1365" s="148"/>
      <c r="H1365" s="148" t="s">
        <v>55</v>
      </c>
      <c r="I1365" s="161">
        <v>2015</v>
      </c>
      <c r="J1365" s="161" t="s">
        <v>3554</v>
      </c>
      <c r="K1365" s="161"/>
      <c r="L1365" s="161" t="s">
        <v>19</v>
      </c>
      <c r="M1365" s="453" t="s">
        <v>4336</v>
      </c>
      <c r="N1365" s="186" t="s">
        <v>20</v>
      </c>
      <c r="O1365" s="186"/>
      <c r="P1365" s="186" t="s">
        <v>122</v>
      </c>
      <c r="Q1365" s="186" t="s">
        <v>122</v>
      </c>
      <c r="R1365" s="186"/>
      <c r="S1365" s="186" t="s">
        <v>122</v>
      </c>
      <c r="T1365" s="186" t="s">
        <v>292</v>
      </c>
      <c r="U1365" s="186" t="s">
        <v>292</v>
      </c>
      <c r="V1365" s="186" t="s">
        <v>292</v>
      </c>
      <c r="W1365" s="186" t="s">
        <v>292</v>
      </c>
      <c r="X1365" s="186" t="s">
        <v>292</v>
      </c>
      <c r="Y1365" s="186" t="s">
        <v>292</v>
      </c>
      <c r="Z1365" s="186" t="s">
        <v>292</v>
      </c>
      <c r="AA1365" s="186"/>
      <c r="AB1365" s="186"/>
      <c r="AC1365" s="186"/>
      <c r="AD1365" s="268" t="s">
        <v>3555</v>
      </c>
      <c r="AE1365" s="268" t="s">
        <v>3556</v>
      </c>
      <c r="AF1365" s="144" t="str">
        <f t="shared" si="115"/>
        <v/>
      </c>
      <c r="AG1365" s="144" t="str">
        <f t="shared" si="121"/>
        <v/>
      </c>
      <c r="AH1365" s="146">
        <f t="shared" si="119"/>
        <v>58.18181818181818</v>
      </c>
      <c r="AI1365" s="146" t="str">
        <f t="shared" si="120"/>
        <v/>
      </c>
      <c r="AJ1365" s="303"/>
      <c r="AK1365" s="303"/>
      <c r="AL1365" s="303"/>
      <c r="AM1365" s="303"/>
      <c r="AN1365" s="303"/>
      <c r="AO1365" s="303"/>
      <c r="AP1365" s="303"/>
      <c r="AQ1365" s="303"/>
      <c r="AR1365" s="318"/>
      <c r="AS1365" s="227"/>
      <c r="AT1365" s="233"/>
      <c r="AU1365" s="318"/>
      <c r="AV1365" s="343"/>
      <c r="AW1365" s="357">
        <f>32/0.55</f>
        <v>58.18181818181818</v>
      </c>
      <c r="AX1365" s="294"/>
      <c r="AY1365" s="294"/>
      <c r="AZ1365" s="294"/>
      <c r="BA1365" s="294"/>
      <c r="BB1365" s="294"/>
      <c r="BC1365" s="294"/>
      <c r="BD1365" s="293"/>
      <c r="BE1365" s="294"/>
      <c r="BF1365" s="383">
        <f t="shared" si="114"/>
        <v>58.18181818181818</v>
      </c>
      <c r="BG1365" s="383"/>
      <c r="BH1365" s="375"/>
      <c r="BI1365" s="376"/>
      <c r="BJ1365" s="409"/>
    </row>
    <row r="1366" spans="1:62" ht="15" customHeight="1" thickBot="1" x14ac:dyDescent="0.25">
      <c r="A1366" s="156">
        <v>1367</v>
      </c>
      <c r="B1366" s="247">
        <v>1</v>
      </c>
      <c r="C1366" s="148" t="s">
        <v>2933</v>
      </c>
      <c r="D1366" s="148" t="s">
        <v>2931</v>
      </c>
      <c r="E1366" s="148" t="s">
        <v>13</v>
      </c>
      <c r="F1366" s="148"/>
      <c r="G1366" s="148"/>
      <c r="H1366" s="148" t="s">
        <v>375</v>
      </c>
      <c r="I1366" s="161">
        <v>2015</v>
      </c>
      <c r="J1366" s="161" t="s">
        <v>3558</v>
      </c>
      <c r="K1366" s="161"/>
      <c r="L1366" s="161" t="s">
        <v>19</v>
      </c>
      <c r="M1366" s="453" t="s">
        <v>4337</v>
      </c>
      <c r="N1366" s="186" t="s">
        <v>122</v>
      </c>
      <c r="O1366" s="186" t="s">
        <v>122</v>
      </c>
      <c r="P1366" s="186" t="s">
        <v>122</v>
      </c>
      <c r="Q1366" s="186" t="s">
        <v>122</v>
      </c>
      <c r="R1366" s="186" t="s">
        <v>292</v>
      </c>
      <c r="S1366" s="186" t="s">
        <v>292</v>
      </c>
      <c r="T1366" s="186" t="s">
        <v>292</v>
      </c>
      <c r="U1366" s="186" t="s">
        <v>292</v>
      </c>
      <c r="V1366" s="186" t="s">
        <v>292</v>
      </c>
      <c r="W1366" s="186" t="s">
        <v>292</v>
      </c>
      <c r="X1366" s="186" t="s">
        <v>292</v>
      </c>
      <c r="Y1366" s="186" t="s">
        <v>292</v>
      </c>
      <c r="Z1366" s="186" t="s">
        <v>292</v>
      </c>
      <c r="AA1366" s="186"/>
      <c r="AB1366" s="186"/>
      <c r="AC1366" s="186"/>
      <c r="AD1366" s="268" t="s">
        <v>3559</v>
      </c>
      <c r="AE1366" s="268" t="s">
        <v>276</v>
      </c>
      <c r="AF1366" s="144">
        <f t="shared" si="115"/>
        <v>31.918106995884774</v>
      </c>
      <c r="AG1366" s="144">
        <f t="shared" si="121"/>
        <v>33.595061728395059</v>
      </c>
      <c r="AH1366" s="146">
        <f t="shared" si="119"/>
        <v>4.9883401920438954</v>
      </c>
      <c r="AI1366" s="146">
        <f t="shared" si="120"/>
        <v>5.0553635116598077</v>
      </c>
      <c r="AJ1366" s="303">
        <f>(4127.8+692.2+17217+1231.3)/1000/0.729</f>
        <v>31.918106995884774</v>
      </c>
      <c r="AK1366" s="303"/>
      <c r="AL1366" s="303">
        <f>1222.5/1000/0.729</f>
        <v>1.676954732510288</v>
      </c>
      <c r="AM1366" s="303"/>
      <c r="AN1366" s="303"/>
      <c r="AO1366" s="303"/>
      <c r="AP1366" s="303"/>
      <c r="AQ1366" s="303">
        <f>-2969.5/1000/0.729</f>
        <v>-4.0733882030178332</v>
      </c>
      <c r="AR1366" s="318"/>
      <c r="AS1366" s="227">
        <f t="shared" ref="AS1366:AS1374" si="122">AJ1366</f>
        <v>31.918106995884774</v>
      </c>
      <c r="AT1366" s="233">
        <f>SUM(AJ1366:AR1366)</f>
        <v>29.521673525377224</v>
      </c>
      <c r="AU1366" s="318"/>
      <c r="AV1366" s="343"/>
      <c r="AW1366" s="357">
        <f>(498.2+142.6+2268+727.7)/1000/0.729</f>
        <v>4.9883401920438954</v>
      </c>
      <c r="AX1366" s="294"/>
      <c r="AY1366" s="294">
        <f>48.86/1000/0.729</f>
        <v>6.7023319615912208E-2</v>
      </c>
      <c r="AZ1366" s="294"/>
      <c r="BA1366" s="294"/>
      <c r="BB1366" s="294"/>
      <c r="BC1366" s="294"/>
      <c r="BD1366" s="374">
        <f>-182/1000/0.729</f>
        <v>-0.2496570644718793</v>
      </c>
      <c r="BE1366" s="294"/>
      <c r="BF1366" s="383">
        <f t="shared" si="114"/>
        <v>4.9883401920438954</v>
      </c>
      <c r="BG1366" s="383">
        <f>SUM(AW1366:BE1366)</f>
        <v>4.8057064471879283</v>
      </c>
      <c r="BH1366" s="375"/>
      <c r="BI1366" s="376"/>
      <c r="BJ1366" s="409"/>
    </row>
    <row r="1367" spans="1:62" ht="15" customHeight="1" thickBot="1" x14ac:dyDescent="0.25">
      <c r="A1367" s="156">
        <v>1368</v>
      </c>
      <c r="B1367" s="247">
        <v>1</v>
      </c>
      <c r="C1367" s="148" t="s">
        <v>11</v>
      </c>
      <c r="D1367" s="148" t="s">
        <v>12</v>
      </c>
      <c r="E1367" s="148" t="s">
        <v>13</v>
      </c>
      <c r="F1367" s="148" t="s">
        <v>3560</v>
      </c>
      <c r="G1367" s="148"/>
      <c r="H1367" s="148" t="s">
        <v>3561</v>
      </c>
      <c r="I1367" s="161">
        <v>2015</v>
      </c>
      <c r="J1367" s="161" t="s">
        <v>3562</v>
      </c>
      <c r="K1367" s="161"/>
      <c r="L1367" s="161" t="s">
        <v>19</v>
      </c>
      <c r="M1367" s="453" t="s">
        <v>4338</v>
      </c>
      <c r="N1367" s="186" t="s">
        <v>122</v>
      </c>
      <c r="O1367" s="186" t="s">
        <v>292</v>
      </c>
      <c r="P1367" s="186" t="s">
        <v>292</v>
      </c>
      <c r="Q1367" s="186" t="s">
        <v>292</v>
      </c>
      <c r="R1367" s="186" t="s">
        <v>292</v>
      </c>
      <c r="S1367" s="186" t="s">
        <v>292</v>
      </c>
      <c r="T1367" s="186" t="s">
        <v>292</v>
      </c>
      <c r="U1367" s="186" t="s">
        <v>292</v>
      </c>
      <c r="V1367" s="186" t="s">
        <v>292</v>
      </c>
      <c r="W1367" s="186" t="s">
        <v>292</v>
      </c>
      <c r="X1367" s="186" t="s">
        <v>292</v>
      </c>
      <c r="Y1367" s="186" t="s">
        <v>292</v>
      </c>
      <c r="Z1367" s="186" t="s">
        <v>292</v>
      </c>
      <c r="AA1367" s="186" t="s">
        <v>3106</v>
      </c>
      <c r="AB1367" s="186"/>
      <c r="AC1367" s="186"/>
      <c r="AD1367" s="268" t="s">
        <v>343</v>
      </c>
      <c r="AE1367" s="268"/>
      <c r="AF1367" s="144">
        <f t="shared" si="115"/>
        <v>3.9</v>
      </c>
      <c r="AG1367" s="144" t="str">
        <f t="shared" si="121"/>
        <v/>
      </c>
      <c r="AH1367" s="146">
        <f t="shared" si="119"/>
        <v>1.03</v>
      </c>
      <c r="AI1367" s="146" t="str">
        <f t="shared" si="120"/>
        <v/>
      </c>
      <c r="AJ1367" s="303">
        <v>3.9</v>
      </c>
      <c r="AK1367" s="303"/>
      <c r="AL1367" s="303"/>
      <c r="AM1367" s="303"/>
      <c r="AN1367" s="303"/>
      <c r="AO1367" s="303"/>
      <c r="AP1367" s="303"/>
      <c r="AQ1367" s="303"/>
      <c r="AR1367" s="318"/>
      <c r="AS1367" s="227">
        <f t="shared" si="122"/>
        <v>3.9</v>
      </c>
      <c r="AT1367" s="233"/>
      <c r="AU1367" s="318"/>
      <c r="AV1367" s="343"/>
      <c r="AW1367" s="357">
        <f>1.03</f>
        <v>1.03</v>
      </c>
      <c r="AX1367" s="294"/>
      <c r="AY1367" s="294"/>
      <c r="AZ1367" s="294"/>
      <c r="BA1367" s="294"/>
      <c r="BB1367" s="294"/>
      <c r="BC1367" s="294"/>
      <c r="BD1367" s="294"/>
      <c r="BE1367" s="294"/>
      <c r="BF1367" s="383">
        <f t="shared" si="114"/>
        <v>1.03</v>
      </c>
      <c r="BG1367" s="383"/>
      <c r="BH1367" s="375"/>
      <c r="BI1367" s="376"/>
      <c r="BJ1367" s="409"/>
    </row>
    <row r="1368" spans="1:62" ht="15" customHeight="1" thickBot="1" x14ac:dyDescent="0.25">
      <c r="A1368" s="156">
        <v>1369</v>
      </c>
      <c r="B1368" s="247">
        <v>1</v>
      </c>
      <c r="C1368" s="148" t="s">
        <v>259</v>
      </c>
      <c r="D1368" s="148" t="s">
        <v>2747</v>
      </c>
      <c r="E1368" s="148" t="s">
        <v>1266</v>
      </c>
      <c r="F1368" s="148" t="s">
        <v>3563</v>
      </c>
      <c r="G1368" s="148" t="s">
        <v>122</v>
      </c>
      <c r="H1368" s="148" t="s">
        <v>1436</v>
      </c>
      <c r="I1368" s="161">
        <v>2014</v>
      </c>
      <c r="J1368" s="161" t="s">
        <v>3564</v>
      </c>
      <c r="K1368" s="161"/>
      <c r="L1368" s="161" t="s">
        <v>19</v>
      </c>
      <c r="M1368" s="453" t="s">
        <v>4339</v>
      </c>
      <c r="N1368" s="186" t="s">
        <v>122</v>
      </c>
      <c r="O1368" s="186" t="s">
        <v>292</v>
      </c>
      <c r="P1368" s="186" t="s">
        <v>292</v>
      </c>
      <c r="Q1368" s="186" t="s">
        <v>292</v>
      </c>
      <c r="R1368" s="186" t="s">
        <v>292</v>
      </c>
      <c r="S1368" s="186" t="s">
        <v>292</v>
      </c>
      <c r="T1368" s="186" t="s">
        <v>292</v>
      </c>
      <c r="U1368" s="186" t="s">
        <v>292</v>
      </c>
      <c r="V1368" s="186" t="s">
        <v>292</v>
      </c>
      <c r="W1368" s="186" t="s">
        <v>292</v>
      </c>
      <c r="X1368" s="186" t="s">
        <v>292</v>
      </c>
      <c r="Y1368" s="186" t="s">
        <v>292</v>
      </c>
      <c r="Z1368" s="186" t="s">
        <v>292</v>
      </c>
      <c r="AA1368" s="186" t="s">
        <v>3106</v>
      </c>
      <c r="AB1368" s="186" t="s">
        <v>292</v>
      </c>
      <c r="AC1368" s="186" t="s">
        <v>292</v>
      </c>
      <c r="AD1368" s="268" t="s">
        <v>3565</v>
      </c>
      <c r="AE1368" s="268"/>
      <c r="AF1368" s="144">
        <f t="shared" si="115"/>
        <v>7.25</v>
      </c>
      <c r="AG1368" s="144" t="str">
        <f t="shared" si="121"/>
        <v/>
      </c>
      <c r="AH1368" s="146">
        <f t="shared" si="119"/>
        <v>2.97</v>
      </c>
      <c r="AI1368" s="146" t="str">
        <f t="shared" si="120"/>
        <v/>
      </c>
      <c r="AJ1368" s="303">
        <v>7.25</v>
      </c>
      <c r="AK1368" s="303"/>
      <c r="AL1368" s="303"/>
      <c r="AM1368" s="303"/>
      <c r="AN1368" s="303"/>
      <c r="AO1368" s="303"/>
      <c r="AP1368" s="303"/>
      <c r="AQ1368" s="303"/>
      <c r="AR1368" s="318"/>
      <c r="AS1368" s="227">
        <f t="shared" si="122"/>
        <v>7.25</v>
      </c>
      <c r="AT1368" s="233"/>
      <c r="AU1368" s="318"/>
      <c r="AV1368" s="343"/>
      <c r="AW1368" s="357">
        <v>2.97</v>
      </c>
      <c r="AX1368" s="294"/>
      <c r="AY1368" s="294"/>
      <c r="AZ1368" s="294"/>
      <c r="BA1368" s="294"/>
      <c r="BB1368" s="294"/>
      <c r="BC1368" s="294"/>
      <c r="BD1368" s="294"/>
      <c r="BE1368" s="294"/>
      <c r="BF1368" s="383">
        <f t="shared" si="114"/>
        <v>2.97</v>
      </c>
      <c r="BG1368" s="383"/>
      <c r="BH1368" s="375" t="s">
        <v>3566</v>
      </c>
      <c r="BI1368" s="376"/>
      <c r="BJ1368" s="409"/>
    </row>
    <row r="1369" spans="1:62" ht="15" customHeight="1" thickBot="1" x14ac:dyDescent="0.25">
      <c r="A1369" s="156">
        <v>1370</v>
      </c>
      <c r="B1369" s="247">
        <v>1</v>
      </c>
      <c r="C1369" s="148" t="s">
        <v>259</v>
      </c>
      <c r="D1369" s="148" t="s">
        <v>2747</v>
      </c>
      <c r="E1369" s="148" t="s">
        <v>1266</v>
      </c>
      <c r="F1369" s="148" t="s">
        <v>3567</v>
      </c>
      <c r="G1369" s="148" t="s">
        <v>122</v>
      </c>
      <c r="H1369" s="148" t="s">
        <v>1436</v>
      </c>
      <c r="I1369" s="161">
        <v>2014</v>
      </c>
      <c r="J1369" s="161" t="s">
        <v>3564</v>
      </c>
      <c r="K1369" s="161"/>
      <c r="L1369" s="161" t="s">
        <v>19</v>
      </c>
      <c r="M1369" s="453" t="s">
        <v>4339</v>
      </c>
      <c r="N1369" s="186" t="s">
        <v>122</v>
      </c>
      <c r="O1369" s="186" t="s">
        <v>292</v>
      </c>
      <c r="P1369" s="186" t="s">
        <v>292</v>
      </c>
      <c r="Q1369" s="186" t="s">
        <v>292</v>
      </c>
      <c r="R1369" s="186" t="s">
        <v>292</v>
      </c>
      <c r="S1369" s="186" t="s">
        <v>292</v>
      </c>
      <c r="T1369" s="186" t="s">
        <v>292</v>
      </c>
      <c r="U1369" s="186" t="s">
        <v>292</v>
      </c>
      <c r="V1369" s="186" t="s">
        <v>292</v>
      </c>
      <c r="W1369" s="186" t="s">
        <v>292</v>
      </c>
      <c r="X1369" s="186" t="s">
        <v>292</v>
      </c>
      <c r="Y1369" s="186" t="s">
        <v>292</v>
      </c>
      <c r="Z1369" s="186" t="s">
        <v>292</v>
      </c>
      <c r="AA1369" s="186" t="s">
        <v>3106</v>
      </c>
      <c r="AB1369" s="186" t="s">
        <v>292</v>
      </c>
      <c r="AC1369" s="186" t="s">
        <v>292</v>
      </c>
      <c r="AD1369" s="268" t="s">
        <v>3565</v>
      </c>
      <c r="AE1369" s="268"/>
      <c r="AF1369" s="144">
        <f t="shared" si="115"/>
        <v>7.44</v>
      </c>
      <c r="AG1369" s="144" t="str">
        <f t="shared" si="121"/>
        <v/>
      </c>
      <c r="AH1369" s="146">
        <f t="shared" si="119"/>
        <v>4.87</v>
      </c>
      <c r="AI1369" s="146" t="str">
        <f t="shared" si="120"/>
        <v/>
      </c>
      <c r="AJ1369" s="303">
        <v>7.44</v>
      </c>
      <c r="AK1369" s="303"/>
      <c r="AL1369" s="303"/>
      <c r="AM1369" s="303"/>
      <c r="AN1369" s="303"/>
      <c r="AO1369" s="303"/>
      <c r="AP1369" s="303"/>
      <c r="AQ1369" s="303"/>
      <c r="AR1369" s="318"/>
      <c r="AS1369" s="227">
        <f t="shared" si="122"/>
        <v>7.44</v>
      </c>
      <c r="AT1369" s="233"/>
      <c r="AU1369" s="318"/>
      <c r="AV1369" s="343"/>
      <c r="AW1369" s="357">
        <v>4.87</v>
      </c>
      <c r="AX1369" s="294"/>
      <c r="AY1369" s="294"/>
      <c r="AZ1369" s="294"/>
      <c r="BA1369" s="294"/>
      <c r="BB1369" s="294"/>
      <c r="BC1369" s="294"/>
      <c r="BD1369" s="294"/>
      <c r="BE1369" s="294"/>
      <c r="BF1369" s="383">
        <f t="shared" si="114"/>
        <v>4.87</v>
      </c>
      <c r="BG1369" s="383"/>
      <c r="BH1369" s="375" t="s">
        <v>3568</v>
      </c>
      <c r="BI1369" s="376"/>
      <c r="BJ1369" s="409"/>
    </row>
    <row r="1370" spans="1:62" ht="15" customHeight="1" thickBot="1" x14ac:dyDescent="0.25">
      <c r="A1370" s="156">
        <v>1371</v>
      </c>
      <c r="B1370" s="247">
        <v>1</v>
      </c>
      <c r="C1370" s="148" t="s">
        <v>259</v>
      </c>
      <c r="D1370" s="148" t="s">
        <v>2747</v>
      </c>
      <c r="E1370" s="148" t="s">
        <v>1266</v>
      </c>
      <c r="F1370" s="148" t="s">
        <v>3569</v>
      </c>
      <c r="G1370" s="148" t="s">
        <v>122</v>
      </c>
      <c r="H1370" s="148" t="s">
        <v>1436</v>
      </c>
      <c r="I1370" s="161">
        <v>2014</v>
      </c>
      <c r="J1370" s="161" t="s">
        <v>3564</v>
      </c>
      <c r="K1370" s="161"/>
      <c r="L1370" s="161" t="s">
        <v>19</v>
      </c>
      <c r="M1370" s="453" t="s">
        <v>4339</v>
      </c>
      <c r="N1370" s="186" t="s">
        <v>122</v>
      </c>
      <c r="O1370" s="186" t="s">
        <v>292</v>
      </c>
      <c r="P1370" s="186" t="s">
        <v>292</v>
      </c>
      <c r="Q1370" s="186" t="s">
        <v>292</v>
      </c>
      <c r="R1370" s="186" t="s">
        <v>292</v>
      </c>
      <c r="S1370" s="186" t="s">
        <v>292</v>
      </c>
      <c r="T1370" s="186" t="s">
        <v>292</v>
      </c>
      <c r="U1370" s="186" t="s">
        <v>292</v>
      </c>
      <c r="V1370" s="186" t="s">
        <v>292</v>
      </c>
      <c r="W1370" s="186" t="s">
        <v>292</v>
      </c>
      <c r="X1370" s="186" t="s">
        <v>292</v>
      </c>
      <c r="Y1370" s="186" t="s">
        <v>292</v>
      </c>
      <c r="Z1370" s="186" t="s">
        <v>292</v>
      </c>
      <c r="AA1370" s="186" t="s">
        <v>3106</v>
      </c>
      <c r="AB1370" s="186" t="s">
        <v>292</v>
      </c>
      <c r="AC1370" s="186" t="s">
        <v>292</v>
      </c>
      <c r="AD1370" s="268" t="s">
        <v>3565</v>
      </c>
      <c r="AE1370" s="268"/>
      <c r="AF1370" s="144">
        <f t="shared" si="115"/>
        <v>9.5299999999999994</v>
      </c>
      <c r="AG1370" s="144" t="str">
        <f t="shared" si="121"/>
        <v/>
      </c>
      <c r="AH1370" s="146">
        <f t="shared" si="119"/>
        <v>5.55</v>
      </c>
      <c r="AI1370" s="146" t="str">
        <f t="shared" si="120"/>
        <v/>
      </c>
      <c r="AJ1370" s="303">
        <v>9.5299999999999994</v>
      </c>
      <c r="AK1370" s="303"/>
      <c r="AL1370" s="303"/>
      <c r="AM1370" s="303"/>
      <c r="AN1370" s="303"/>
      <c r="AO1370" s="303"/>
      <c r="AP1370" s="303"/>
      <c r="AQ1370" s="303"/>
      <c r="AR1370" s="318"/>
      <c r="AS1370" s="227">
        <f t="shared" si="122"/>
        <v>9.5299999999999994</v>
      </c>
      <c r="AT1370" s="233"/>
      <c r="AU1370" s="318"/>
      <c r="AV1370" s="343"/>
      <c r="AW1370" s="357">
        <v>5.55</v>
      </c>
      <c r="AX1370" s="294"/>
      <c r="AY1370" s="294"/>
      <c r="AZ1370" s="294"/>
      <c r="BA1370" s="294"/>
      <c r="BB1370" s="294"/>
      <c r="BC1370" s="294"/>
      <c r="BD1370" s="294"/>
      <c r="BE1370" s="294"/>
      <c r="BF1370" s="383">
        <f t="shared" si="114"/>
        <v>5.55</v>
      </c>
      <c r="BG1370" s="383"/>
      <c r="BH1370" s="375" t="s">
        <v>3570</v>
      </c>
      <c r="BI1370" s="376"/>
      <c r="BJ1370" s="409"/>
    </row>
    <row r="1371" spans="1:62" ht="15" customHeight="1" thickBot="1" x14ac:dyDescent="0.25">
      <c r="A1371" s="156">
        <v>1372</v>
      </c>
      <c r="B1371" s="247">
        <v>1</v>
      </c>
      <c r="C1371" s="148" t="s">
        <v>24</v>
      </c>
      <c r="D1371" s="148" t="s">
        <v>283</v>
      </c>
      <c r="E1371" s="148" t="s">
        <v>13</v>
      </c>
      <c r="F1371" s="148" t="s">
        <v>3571</v>
      </c>
      <c r="G1371" s="148"/>
      <c r="H1371" s="148" t="s">
        <v>165</v>
      </c>
      <c r="I1371" s="161">
        <v>2014</v>
      </c>
      <c r="J1371" s="161" t="s">
        <v>3572</v>
      </c>
      <c r="K1371" s="161"/>
      <c r="L1371" s="161" t="s">
        <v>19</v>
      </c>
      <c r="M1371" s="453" t="s">
        <v>4340</v>
      </c>
      <c r="N1371" s="186" t="s">
        <v>122</v>
      </c>
      <c r="O1371" s="186" t="s">
        <v>292</v>
      </c>
      <c r="P1371" s="186" t="s">
        <v>122</v>
      </c>
      <c r="Q1371" s="186" t="s">
        <v>122</v>
      </c>
      <c r="R1371" s="186" t="s">
        <v>122</v>
      </c>
      <c r="S1371" s="186" t="s">
        <v>292</v>
      </c>
      <c r="T1371" s="186" t="s">
        <v>292</v>
      </c>
      <c r="U1371" s="186" t="s">
        <v>292</v>
      </c>
      <c r="V1371" s="186" t="s">
        <v>292</v>
      </c>
      <c r="W1371" s="186" t="s">
        <v>292</v>
      </c>
      <c r="X1371" s="186" t="s">
        <v>292</v>
      </c>
      <c r="Y1371" s="186" t="s">
        <v>292</v>
      </c>
      <c r="Z1371" s="186"/>
      <c r="AA1371" s="186" t="s">
        <v>3573</v>
      </c>
      <c r="AB1371" s="186"/>
      <c r="AC1371" s="186"/>
      <c r="AD1371" s="268" t="s">
        <v>3574</v>
      </c>
      <c r="AE1371" s="268" t="s">
        <v>3575</v>
      </c>
      <c r="AF1371" s="144">
        <f t="shared" si="115"/>
        <v>34.753246753246749</v>
      </c>
      <c r="AG1371" s="144">
        <f t="shared" si="121"/>
        <v>38.961038961038959</v>
      </c>
      <c r="AH1371" s="146">
        <f t="shared" si="119"/>
        <v>4.0348831168831172</v>
      </c>
      <c r="AI1371" s="146">
        <f t="shared" si="120"/>
        <v>4.1298701298701301</v>
      </c>
      <c r="AJ1371" s="303">
        <f>30/0.77*(1-0.108)</f>
        <v>34.753246753246749</v>
      </c>
      <c r="AK1371" s="303"/>
      <c r="AL1371" s="303">
        <f>30/0.77*(0.108)</f>
        <v>4.2077922077922079</v>
      </c>
      <c r="AM1371" s="303"/>
      <c r="AN1371" s="303"/>
      <c r="AO1371" s="303"/>
      <c r="AP1371" s="303"/>
      <c r="AQ1371" s="303"/>
      <c r="AR1371" s="318"/>
      <c r="AS1371" s="227">
        <f t="shared" si="122"/>
        <v>34.753246753246749</v>
      </c>
      <c r="AT1371" s="233">
        <f>SUM(AJ1371:AR1371)</f>
        <v>38.961038961038959</v>
      </c>
      <c r="AU1371" s="318"/>
      <c r="AV1371" s="343"/>
      <c r="AW1371" s="357">
        <f>3.18/0.77*(1-0.023)</f>
        <v>4.0348831168831172</v>
      </c>
      <c r="AX1371" s="294"/>
      <c r="AY1371" s="294">
        <f>3.18/0.77*(0.023)</f>
        <v>9.4987012987012995E-2</v>
      </c>
      <c r="AZ1371" s="294"/>
      <c r="BA1371" s="294"/>
      <c r="BB1371" s="294"/>
      <c r="BC1371" s="294"/>
      <c r="BD1371" s="294"/>
      <c r="BE1371" s="294"/>
      <c r="BF1371" s="383">
        <f t="shared" si="114"/>
        <v>4.0348831168831172</v>
      </c>
      <c r="BG1371" s="383"/>
      <c r="BH1371" s="375"/>
      <c r="BI1371" s="376"/>
      <c r="BJ1371" s="409"/>
    </row>
    <row r="1372" spans="1:62" ht="15" customHeight="1" thickBot="1" x14ac:dyDescent="0.25">
      <c r="A1372" s="156">
        <v>1373</v>
      </c>
      <c r="B1372" s="247">
        <v>1</v>
      </c>
      <c r="C1372" s="148" t="s">
        <v>24</v>
      </c>
      <c r="D1372" s="148" t="s">
        <v>283</v>
      </c>
      <c r="E1372" s="148" t="s">
        <v>13</v>
      </c>
      <c r="F1372" s="148" t="s">
        <v>3576</v>
      </c>
      <c r="G1372" s="148"/>
      <c r="H1372" s="148" t="s">
        <v>165</v>
      </c>
      <c r="I1372" s="161">
        <v>2014</v>
      </c>
      <c r="J1372" s="161" t="s">
        <v>3572</v>
      </c>
      <c r="K1372" s="161"/>
      <c r="L1372" s="161" t="s">
        <v>19</v>
      </c>
      <c r="M1372" s="453" t="s">
        <v>4340</v>
      </c>
      <c r="N1372" s="186" t="s">
        <v>122</v>
      </c>
      <c r="O1372" s="186" t="s">
        <v>292</v>
      </c>
      <c r="P1372" s="186" t="s">
        <v>122</v>
      </c>
      <c r="Q1372" s="186" t="s">
        <v>122</v>
      </c>
      <c r="R1372" s="186" t="s">
        <v>122</v>
      </c>
      <c r="S1372" s="186" t="s">
        <v>292</v>
      </c>
      <c r="T1372" s="186" t="s">
        <v>292</v>
      </c>
      <c r="U1372" s="186" t="s">
        <v>292</v>
      </c>
      <c r="V1372" s="186" t="s">
        <v>292</v>
      </c>
      <c r="W1372" s="186" t="s">
        <v>292</v>
      </c>
      <c r="X1372" s="186" t="s">
        <v>292</v>
      </c>
      <c r="Y1372" s="186" t="s">
        <v>292</v>
      </c>
      <c r="Z1372" s="186"/>
      <c r="AA1372" s="186" t="s">
        <v>3573</v>
      </c>
      <c r="AB1372" s="186"/>
      <c r="AC1372" s="186"/>
      <c r="AD1372" s="268" t="s">
        <v>3574</v>
      </c>
      <c r="AE1372" s="268" t="s">
        <v>3575</v>
      </c>
      <c r="AF1372" s="144">
        <f t="shared" si="115"/>
        <v>56.041558441558436</v>
      </c>
      <c r="AG1372" s="144">
        <f t="shared" si="121"/>
        <v>60.259740259740255</v>
      </c>
      <c r="AH1372" s="146">
        <f t="shared" si="119"/>
        <v>5.1268051948051943</v>
      </c>
      <c r="AI1372" s="146">
        <f t="shared" si="120"/>
        <v>5.2207792207792201</v>
      </c>
      <c r="AJ1372" s="303">
        <f>46.4/0.77*(1-0.07)</f>
        <v>56.041558441558436</v>
      </c>
      <c r="AK1372" s="303"/>
      <c r="AL1372" s="303">
        <f>46.4/0.77*(0.07)</f>
        <v>4.2181818181818178</v>
      </c>
      <c r="AM1372" s="303"/>
      <c r="AN1372" s="303"/>
      <c r="AO1372" s="303"/>
      <c r="AP1372" s="303"/>
      <c r="AQ1372" s="303"/>
      <c r="AR1372" s="318"/>
      <c r="AS1372" s="227">
        <f t="shared" si="122"/>
        <v>56.041558441558436</v>
      </c>
      <c r="AT1372" s="233">
        <f>SUM(AJ1372:AR1372)</f>
        <v>60.259740259740255</v>
      </c>
      <c r="AU1372" s="318"/>
      <c r="AV1372" s="343"/>
      <c r="AW1372" s="357">
        <f>4.02/0.77*(1-0.018)</f>
        <v>5.1268051948051943</v>
      </c>
      <c r="AX1372" s="294"/>
      <c r="AY1372" s="357">
        <f>4.02/0.77*(0.018)</f>
        <v>9.397402597402596E-2</v>
      </c>
      <c r="AZ1372" s="294"/>
      <c r="BA1372" s="294"/>
      <c r="BB1372" s="294"/>
      <c r="BC1372" s="294"/>
      <c r="BD1372" s="294"/>
      <c r="BE1372" s="294"/>
      <c r="BF1372" s="383">
        <f t="shared" si="114"/>
        <v>5.1268051948051943</v>
      </c>
      <c r="BG1372" s="383"/>
      <c r="BH1372" s="375"/>
      <c r="BI1372" s="376"/>
      <c r="BJ1372" s="409"/>
    </row>
    <row r="1373" spans="1:62" ht="15" customHeight="1" thickBot="1" x14ac:dyDescent="0.25">
      <c r="A1373" s="156">
        <v>1374</v>
      </c>
      <c r="B1373" s="247">
        <v>1</v>
      </c>
      <c r="C1373" s="148" t="s">
        <v>24</v>
      </c>
      <c r="D1373" s="148" t="s">
        <v>283</v>
      </c>
      <c r="E1373" s="148" t="s">
        <v>13</v>
      </c>
      <c r="F1373" s="148" t="s">
        <v>3577</v>
      </c>
      <c r="G1373" s="148"/>
      <c r="H1373" s="148" t="s">
        <v>375</v>
      </c>
      <c r="I1373" s="161">
        <v>2014</v>
      </c>
      <c r="J1373" s="161" t="s">
        <v>3572</v>
      </c>
      <c r="K1373" s="161"/>
      <c r="L1373" s="161" t="s">
        <v>19</v>
      </c>
      <c r="M1373" s="453" t="s">
        <v>4340</v>
      </c>
      <c r="N1373" s="186" t="s">
        <v>122</v>
      </c>
      <c r="O1373" s="186" t="s">
        <v>122</v>
      </c>
      <c r="P1373" s="186" t="s">
        <v>122</v>
      </c>
      <c r="Q1373" s="186" t="s">
        <v>122</v>
      </c>
      <c r="R1373" s="186" t="s">
        <v>122</v>
      </c>
      <c r="S1373" s="186" t="s">
        <v>292</v>
      </c>
      <c r="T1373" s="186" t="s">
        <v>292</v>
      </c>
      <c r="U1373" s="186" t="s">
        <v>292</v>
      </c>
      <c r="V1373" s="186" t="s">
        <v>292</v>
      </c>
      <c r="W1373" s="186" t="s">
        <v>292</v>
      </c>
      <c r="X1373" s="186" t="s">
        <v>292</v>
      </c>
      <c r="Y1373" s="186" t="s">
        <v>292</v>
      </c>
      <c r="Z1373" s="186"/>
      <c r="AA1373" s="186" t="s">
        <v>3573</v>
      </c>
      <c r="AB1373" s="186"/>
      <c r="AC1373" s="186"/>
      <c r="AD1373" s="268" t="s">
        <v>3574</v>
      </c>
      <c r="AE1373" s="268" t="s">
        <v>3575</v>
      </c>
      <c r="AF1373" s="144">
        <f t="shared" si="115"/>
        <v>30.647272727272732</v>
      </c>
      <c r="AG1373" s="144">
        <f t="shared" si="121"/>
        <v>39.090909090909093</v>
      </c>
      <c r="AH1373" s="146">
        <f t="shared" si="119"/>
        <v>3.5142857142857138</v>
      </c>
      <c r="AI1373" s="146">
        <f t="shared" si="120"/>
        <v>3.5714285714285707</v>
      </c>
      <c r="AJ1373" s="303">
        <f>30.1/0.77*(1-0.216)</f>
        <v>30.647272727272732</v>
      </c>
      <c r="AK1373" s="303"/>
      <c r="AL1373" s="303">
        <f>30.1/0.77*(0.216)</f>
        <v>8.4436363636363634</v>
      </c>
      <c r="AM1373" s="303"/>
      <c r="AN1373" s="303"/>
      <c r="AO1373" s="303"/>
      <c r="AP1373" s="303"/>
      <c r="AQ1373" s="303"/>
      <c r="AR1373" s="318"/>
      <c r="AS1373" s="227">
        <f t="shared" si="122"/>
        <v>30.647272727272732</v>
      </c>
      <c r="AT1373" s="233">
        <f>SUM(AJ1373:AR1373)</f>
        <v>39.090909090909093</v>
      </c>
      <c r="AU1373" s="318"/>
      <c r="AV1373" s="343"/>
      <c r="AW1373" s="357">
        <f>2.75/0.77*(1-0.016)</f>
        <v>3.5142857142857138</v>
      </c>
      <c r="AX1373" s="294"/>
      <c r="AY1373" s="357">
        <f>2.75/0.77*(0.016)</f>
        <v>5.7142857142857141E-2</v>
      </c>
      <c r="AZ1373" s="294"/>
      <c r="BA1373" s="294"/>
      <c r="BB1373" s="294"/>
      <c r="BC1373" s="294"/>
      <c r="BD1373" s="294"/>
      <c r="BE1373" s="294"/>
      <c r="BF1373" s="383">
        <f t="shared" si="114"/>
        <v>3.5142857142857138</v>
      </c>
      <c r="BG1373" s="383"/>
      <c r="BH1373" s="375"/>
      <c r="BI1373" s="376"/>
      <c r="BJ1373" s="409"/>
    </row>
    <row r="1374" spans="1:62" ht="15" customHeight="1" thickBot="1" x14ac:dyDescent="0.25">
      <c r="A1374" s="156">
        <v>1375</v>
      </c>
      <c r="B1374" s="247">
        <v>1</v>
      </c>
      <c r="C1374" s="148" t="s">
        <v>24</v>
      </c>
      <c r="D1374" s="148" t="s">
        <v>283</v>
      </c>
      <c r="E1374" s="148" t="s">
        <v>13</v>
      </c>
      <c r="F1374" s="148" t="s">
        <v>3578</v>
      </c>
      <c r="G1374" s="148"/>
      <c r="H1374" s="148" t="s">
        <v>375</v>
      </c>
      <c r="I1374" s="161">
        <v>2014</v>
      </c>
      <c r="J1374" s="161" t="s">
        <v>3572</v>
      </c>
      <c r="K1374" s="161"/>
      <c r="L1374" s="161" t="s">
        <v>19</v>
      </c>
      <c r="M1374" s="453" t="s">
        <v>4340</v>
      </c>
      <c r="N1374" s="186" t="s">
        <v>122</v>
      </c>
      <c r="O1374" s="186" t="s">
        <v>292</v>
      </c>
      <c r="P1374" s="186" t="s">
        <v>122</v>
      </c>
      <c r="Q1374" s="186" t="s">
        <v>122</v>
      </c>
      <c r="R1374" s="186" t="s">
        <v>122</v>
      </c>
      <c r="S1374" s="186" t="s">
        <v>292</v>
      </c>
      <c r="T1374" s="186" t="s">
        <v>292</v>
      </c>
      <c r="U1374" s="186" t="s">
        <v>292</v>
      </c>
      <c r="V1374" s="186" t="s">
        <v>292</v>
      </c>
      <c r="W1374" s="186" t="s">
        <v>292</v>
      </c>
      <c r="X1374" s="186" t="s">
        <v>292</v>
      </c>
      <c r="Y1374" s="186" t="s">
        <v>292</v>
      </c>
      <c r="Z1374" s="186"/>
      <c r="AA1374" s="186" t="s">
        <v>3573</v>
      </c>
      <c r="AB1374" s="186"/>
      <c r="AC1374" s="186"/>
      <c r="AD1374" s="268" t="s">
        <v>3574</v>
      </c>
      <c r="AE1374" s="268" t="s">
        <v>3575</v>
      </c>
      <c r="AF1374" s="144">
        <f t="shared" si="115"/>
        <v>32.68805194805195</v>
      </c>
      <c r="AG1374" s="144">
        <f t="shared" si="121"/>
        <v>41.168831168831169</v>
      </c>
      <c r="AH1374" s="146">
        <f t="shared" si="119"/>
        <v>2.4742207792207789</v>
      </c>
      <c r="AI1374" s="146">
        <f t="shared" si="120"/>
        <v>2.5324675324675323</v>
      </c>
      <c r="AJ1374" s="303">
        <f>31.7/0.77*(1-0.206)</f>
        <v>32.68805194805195</v>
      </c>
      <c r="AK1374" s="303"/>
      <c r="AL1374" s="303">
        <f>31.7/0.77*(0.206)</f>
        <v>8.4807792207792208</v>
      </c>
      <c r="AM1374" s="303"/>
      <c r="AN1374" s="303"/>
      <c r="AO1374" s="303"/>
      <c r="AP1374" s="303"/>
      <c r="AQ1374" s="303"/>
      <c r="AR1374" s="318"/>
      <c r="AS1374" s="227">
        <f t="shared" si="122"/>
        <v>32.68805194805195</v>
      </c>
      <c r="AT1374" s="233">
        <f>SUM(AJ1374:AR1374)</f>
        <v>41.168831168831169</v>
      </c>
      <c r="AU1374" s="318"/>
      <c r="AV1374" s="343"/>
      <c r="AW1374" s="357">
        <f>1.95/0.77*(1-0.023)</f>
        <v>2.4742207792207789</v>
      </c>
      <c r="AX1374" s="294"/>
      <c r="AY1374" s="357">
        <f>1.95/0.77*(0.023)</f>
        <v>5.8246753246753241E-2</v>
      </c>
      <c r="AZ1374" s="294"/>
      <c r="BA1374" s="294"/>
      <c r="BB1374" s="294"/>
      <c r="BC1374" s="294"/>
      <c r="BD1374" s="294"/>
      <c r="BE1374" s="294"/>
      <c r="BF1374" s="383">
        <f t="shared" si="114"/>
        <v>2.4742207792207789</v>
      </c>
      <c r="BG1374" s="383"/>
      <c r="BH1374" s="375"/>
      <c r="BI1374" s="376"/>
      <c r="BJ1374" s="409"/>
    </row>
    <row r="1375" spans="1:62" ht="15" customHeight="1" thickBot="1" x14ac:dyDescent="0.25">
      <c r="A1375" s="156">
        <v>1376</v>
      </c>
      <c r="B1375" s="247">
        <v>1</v>
      </c>
      <c r="C1375" s="148" t="s">
        <v>259</v>
      </c>
      <c r="D1375" s="148" t="s">
        <v>3579</v>
      </c>
      <c r="E1375" s="148" t="s">
        <v>1266</v>
      </c>
      <c r="F1375" s="148" t="s">
        <v>3580</v>
      </c>
      <c r="G1375" s="148"/>
      <c r="H1375" s="148" t="s">
        <v>3581</v>
      </c>
      <c r="I1375" s="161">
        <v>2012</v>
      </c>
      <c r="J1375" s="161" t="s">
        <v>3582</v>
      </c>
      <c r="K1375" s="161"/>
      <c r="L1375" s="161" t="s">
        <v>104</v>
      </c>
      <c r="M1375" s="453" t="s">
        <v>4341</v>
      </c>
      <c r="N1375" s="186"/>
      <c r="O1375" s="186"/>
      <c r="P1375" s="186"/>
      <c r="Q1375" s="186"/>
      <c r="R1375" s="186"/>
      <c r="S1375" s="186"/>
      <c r="T1375" s="186"/>
      <c r="U1375" s="186"/>
      <c r="V1375" s="186"/>
      <c r="W1375" s="186"/>
      <c r="X1375" s="186"/>
      <c r="Y1375" s="186"/>
      <c r="Z1375" s="186"/>
      <c r="AA1375" s="186" t="s">
        <v>3583</v>
      </c>
      <c r="AB1375" s="186"/>
      <c r="AC1375" s="186"/>
      <c r="AD1375" s="268" t="s">
        <v>3584</v>
      </c>
      <c r="AE1375" s="268"/>
      <c r="AF1375" s="144" t="str">
        <f t="shared" si="115"/>
        <v/>
      </c>
      <c r="AG1375" s="144" t="str">
        <f t="shared" si="121"/>
        <v/>
      </c>
      <c r="AH1375" s="146">
        <f t="shared" si="119"/>
        <v>0.91971728887277993</v>
      </c>
      <c r="AI1375" s="146">
        <f t="shared" si="120"/>
        <v>1.134650235592606</v>
      </c>
      <c r="AJ1375" s="303"/>
      <c r="AK1375" s="303"/>
      <c r="AL1375" s="303"/>
      <c r="AM1375" s="303"/>
      <c r="AN1375" s="303"/>
      <c r="AO1375" s="303"/>
      <c r="AP1375" s="303"/>
      <c r="AQ1375" s="303"/>
      <c r="AR1375" s="318"/>
      <c r="AS1375" s="227"/>
      <c r="AT1375" s="233"/>
      <c r="AU1375" s="318"/>
      <c r="AV1375" s="343"/>
      <c r="AW1375" s="357">
        <f>4/220.72*50.75</f>
        <v>0.91971728887277993</v>
      </c>
      <c r="AX1375" s="294">
        <f>4/220.72*11.86</f>
        <v>0.21493294671982602</v>
      </c>
      <c r="AY1375" s="357"/>
      <c r="AZ1375" s="294">
        <f>4/220.72*1.7</f>
        <v>3.0808263863718738E-2</v>
      </c>
      <c r="BA1375" s="294">
        <f>4/220.72*2.54</f>
        <v>4.603117071402682E-2</v>
      </c>
      <c r="BB1375" s="294"/>
      <c r="BC1375" s="294">
        <f>4/220.72*3.65</f>
        <v>6.6147154766219643E-2</v>
      </c>
      <c r="BD1375" s="294"/>
      <c r="BE1375" s="294"/>
      <c r="BF1375" s="383">
        <f t="shared" si="114"/>
        <v>0.91971728887277993</v>
      </c>
      <c r="BG1375" s="383">
        <f>SUM(AW1375:BE1375)</f>
        <v>1.2776368249365713</v>
      </c>
      <c r="BH1375" s="375"/>
      <c r="BI1375" s="376"/>
      <c r="BJ1375" s="409"/>
    </row>
    <row r="1376" spans="1:62" ht="15" customHeight="1" thickBot="1" x14ac:dyDescent="0.25">
      <c r="A1376" s="156">
        <v>1377</v>
      </c>
      <c r="B1376" s="247">
        <v>1</v>
      </c>
      <c r="C1376" s="148" t="s">
        <v>11</v>
      </c>
      <c r="D1376" s="148" t="s">
        <v>3585</v>
      </c>
      <c r="E1376" s="148" t="s">
        <v>13</v>
      </c>
      <c r="F1376" s="148" t="s">
        <v>3586</v>
      </c>
      <c r="G1376" s="148"/>
      <c r="H1376" s="148" t="s">
        <v>87</v>
      </c>
      <c r="I1376" s="161">
        <v>2014</v>
      </c>
      <c r="J1376" s="161" t="s">
        <v>3587</v>
      </c>
      <c r="K1376" s="161" t="s">
        <v>3588</v>
      </c>
      <c r="L1376" s="161" t="s">
        <v>19</v>
      </c>
      <c r="M1376" s="453" t="s">
        <v>4342</v>
      </c>
      <c r="N1376" s="186" t="s">
        <v>122</v>
      </c>
      <c r="O1376" s="186" t="s">
        <v>292</v>
      </c>
      <c r="P1376" s="186" t="s">
        <v>292</v>
      </c>
      <c r="Q1376" s="186" t="s">
        <v>292</v>
      </c>
      <c r="R1376" s="186" t="s">
        <v>292</v>
      </c>
      <c r="S1376" s="186" t="s">
        <v>292</v>
      </c>
      <c r="T1376" s="186" t="s">
        <v>292</v>
      </c>
      <c r="U1376" s="186" t="s">
        <v>292</v>
      </c>
      <c r="V1376" s="186" t="s">
        <v>292</v>
      </c>
      <c r="W1376" s="186" t="s">
        <v>292</v>
      </c>
      <c r="X1376" s="186" t="s">
        <v>292</v>
      </c>
      <c r="Y1376" s="186" t="s">
        <v>292</v>
      </c>
      <c r="Z1376" s="186" t="s">
        <v>292</v>
      </c>
      <c r="AA1376" s="186"/>
      <c r="AB1376" s="186"/>
      <c r="AC1376" s="186"/>
      <c r="AD1376" s="268" t="s">
        <v>343</v>
      </c>
      <c r="AE1376" s="268"/>
      <c r="AF1376" s="144" t="str">
        <f t="shared" si="115"/>
        <v/>
      </c>
      <c r="AG1376" s="144" t="str">
        <f t="shared" si="121"/>
        <v/>
      </c>
      <c r="AH1376" s="146">
        <f t="shared" si="119"/>
        <v>3.75</v>
      </c>
      <c r="AI1376" s="146" t="str">
        <f t="shared" si="120"/>
        <v/>
      </c>
      <c r="AJ1376" s="303"/>
      <c r="AK1376" s="303"/>
      <c r="AL1376" s="303"/>
      <c r="AM1376" s="303"/>
      <c r="AN1376" s="303"/>
      <c r="AO1376" s="303"/>
      <c r="AP1376" s="303"/>
      <c r="AQ1376" s="303"/>
      <c r="AR1376" s="318"/>
      <c r="AS1376" s="227"/>
      <c r="AT1376" s="233"/>
      <c r="AU1376" s="318"/>
      <c r="AV1376" s="343"/>
      <c r="AW1376" s="357">
        <v>3.75</v>
      </c>
      <c r="AX1376" s="294"/>
      <c r="AY1376" s="294"/>
      <c r="AZ1376" s="294"/>
      <c r="BA1376" s="294"/>
      <c r="BB1376" s="294"/>
      <c r="BC1376" s="294"/>
      <c r="BD1376" s="294"/>
      <c r="BE1376" s="294"/>
      <c r="BF1376" s="383">
        <f t="shared" si="114"/>
        <v>3.75</v>
      </c>
      <c r="BG1376" s="383"/>
      <c r="BH1376" s="375"/>
      <c r="BI1376" s="376"/>
      <c r="BJ1376" s="409"/>
    </row>
    <row r="1377" spans="1:62" ht="15" customHeight="1" thickBot="1" x14ac:dyDescent="0.25">
      <c r="A1377" s="156">
        <v>1378</v>
      </c>
      <c r="B1377" s="247">
        <v>1</v>
      </c>
      <c r="C1377" s="148" t="s">
        <v>3589</v>
      </c>
      <c r="D1377" s="148" t="s">
        <v>12</v>
      </c>
      <c r="E1377" s="148" t="s">
        <v>13</v>
      </c>
      <c r="F1377" s="148" t="s">
        <v>3590</v>
      </c>
      <c r="G1377" s="148"/>
      <c r="H1377" s="148" t="s">
        <v>376</v>
      </c>
      <c r="I1377" s="161">
        <v>2014</v>
      </c>
      <c r="J1377" s="161" t="s">
        <v>3591</v>
      </c>
      <c r="K1377" s="161"/>
      <c r="L1377" s="161" t="s">
        <v>19</v>
      </c>
      <c r="M1377" s="453" t="s">
        <v>4343</v>
      </c>
      <c r="N1377" s="186" t="s">
        <v>122</v>
      </c>
      <c r="O1377" s="186" t="s">
        <v>292</v>
      </c>
      <c r="P1377" s="186" t="s">
        <v>292</v>
      </c>
      <c r="Q1377" s="186" t="s">
        <v>292</v>
      </c>
      <c r="R1377" s="186" t="s">
        <v>292</v>
      </c>
      <c r="S1377" s="186" t="s">
        <v>292</v>
      </c>
      <c r="T1377" s="186" t="s">
        <v>292</v>
      </c>
      <c r="U1377" s="186" t="s">
        <v>292</v>
      </c>
      <c r="V1377" s="186" t="s">
        <v>292</v>
      </c>
      <c r="W1377" s="186" t="s">
        <v>292</v>
      </c>
      <c r="X1377" s="186" t="s">
        <v>292</v>
      </c>
      <c r="Y1377" s="186" t="s">
        <v>292</v>
      </c>
      <c r="Z1377" s="186" t="s">
        <v>292</v>
      </c>
      <c r="AA1377" s="186" t="s">
        <v>3592</v>
      </c>
      <c r="AB1377" s="186"/>
      <c r="AC1377" s="186"/>
      <c r="AD1377" s="268" t="s">
        <v>3593</v>
      </c>
      <c r="AE1377" s="268"/>
      <c r="AF1377" s="144" t="str">
        <f t="shared" si="115"/>
        <v/>
      </c>
      <c r="AG1377" s="144" t="str">
        <f t="shared" si="121"/>
        <v/>
      </c>
      <c r="AH1377" s="146">
        <f t="shared" si="119"/>
        <v>0.91400000000000003</v>
      </c>
      <c r="AI1377" s="146" t="str">
        <f t="shared" si="120"/>
        <v/>
      </c>
      <c r="AJ1377" s="303"/>
      <c r="AK1377" s="303"/>
      <c r="AL1377" s="303"/>
      <c r="AM1377" s="303"/>
      <c r="AN1377" s="303"/>
      <c r="AO1377" s="303"/>
      <c r="AP1377" s="303"/>
      <c r="AQ1377" s="303"/>
      <c r="AR1377" s="318"/>
      <c r="AS1377" s="227"/>
      <c r="AT1377" s="233"/>
      <c r="AU1377" s="318"/>
      <c r="AV1377" s="343"/>
      <c r="AW1377" s="357">
        <v>0.91400000000000003</v>
      </c>
      <c r="AX1377" s="294"/>
      <c r="AY1377" s="294"/>
      <c r="AZ1377" s="294"/>
      <c r="BA1377" s="294"/>
      <c r="BB1377" s="294"/>
      <c r="BC1377" s="294"/>
      <c r="BD1377" s="294"/>
      <c r="BE1377" s="294"/>
      <c r="BF1377" s="383">
        <f t="shared" si="114"/>
        <v>0.91400000000000003</v>
      </c>
      <c r="BG1377" s="383"/>
      <c r="BH1377" s="375"/>
      <c r="BI1377" s="376"/>
      <c r="BJ1377" s="409"/>
    </row>
    <row r="1378" spans="1:62" ht="15" customHeight="1" thickBot="1" x14ac:dyDescent="0.25">
      <c r="A1378" s="156">
        <v>1379</v>
      </c>
      <c r="B1378" s="247">
        <v>1</v>
      </c>
      <c r="C1378" s="148" t="s">
        <v>3589</v>
      </c>
      <c r="D1378" s="148" t="s">
        <v>12</v>
      </c>
      <c r="E1378" s="148" t="s">
        <v>13</v>
      </c>
      <c r="F1378" s="148" t="s">
        <v>3594</v>
      </c>
      <c r="G1378" s="148"/>
      <c r="H1378" s="148" t="s">
        <v>108</v>
      </c>
      <c r="I1378" s="161">
        <v>2014</v>
      </c>
      <c r="J1378" s="161" t="s">
        <v>3591</v>
      </c>
      <c r="K1378" s="161"/>
      <c r="L1378" s="161" t="s">
        <v>19</v>
      </c>
      <c r="M1378" s="453" t="s">
        <v>4343</v>
      </c>
      <c r="N1378" s="186" t="s">
        <v>122</v>
      </c>
      <c r="O1378" s="186" t="s">
        <v>292</v>
      </c>
      <c r="P1378" s="186" t="s">
        <v>292</v>
      </c>
      <c r="Q1378" s="186" t="s">
        <v>292</v>
      </c>
      <c r="R1378" s="186" t="s">
        <v>292</v>
      </c>
      <c r="S1378" s="186" t="s">
        <v>292</v>
      </c>
      <c r="T1378" s="186" t="s">
        <v>292</v>
      </c>
      <c r="U1378" s="186" t="s">
        <v>292</v>
      </c>
      <c r="V1378" s="186" t="s">
        <v>292</v>
      </c>
      <c r="W1378" s="186" t="s">
        <v>292</v>
      </c>
      <c r="X1378" s="186" t="s">
        <v>292</v>
      </c>
      <c r="Y1378" s="186" t="s">
        <v>292</v>
      </c>
      <c r="Z1378" s="186" t="s">
        <v>292</v>
      </c>
      <c r="AA1378" s="186" t="s">
        <v>3592</v>
      </c>
      <c r="AB1378" s="186"/>
      <c r="AC1378" s="186"/>
      <c r="AD1378" s="268"/>
      <c r="AE1378" s="268"/>
      <c r="AF1378" s="144" t="str">
        <f t="shared" si="115"/>
        <v/>
      </c>
      <c r="AG1378" s="144" t="str">
        <f t="shared" si="121"/>
        <v/>
      </c>
      <c r="AH1378" s="146">
        <f t="shared" si="119"/>
        <v>0.89500000000000002</v>
      </c>
      <c r="AI1378" s="146" t="str">
        <f t="shared" si="120"/>
        <v/>
      </c>
      <c r="AJ1378" s="303"/>
      <c r="AK1378" s="303"/>
      <c r="AL1378" s="303"/>
      <c r="AM1378" s="303"/>
      <c r="AN1378" s="303"/>
      <c r="AO1378" s="303"/>
      <c r="AP1378" s="303"/>
      <c r="AQ1378" s="303"/>
      <c r="AR1378" s="318"/>
      <c r="AS1378" s="227"/>
      <c r="AT1378" s="233"/>
      <c r="AU1378" s="318"/>
      <c r="AV1378" s="343"/>
      <c r="AW1378" s="357">
        <v>0.89500000000000002</v>
      </c>
      <c r="AX1378" s="294"/>
      <c r="AY1378" s="294"/>
      <c r="AZ1378" s="294"/>
      <c r="BA1378" s="294"/>
      <c r="BB1378" s="294"/>
      <c r="BC1378" s="294"/>
      <c r="BD1378" s="294"/>
      <c r="BE1378" s="294"/>
      <c r="BF1378" s="383">
        <f t="shared" si="114"/>
        <v>0.89500000000000002</v>
      </c>
      <c r="BG1378" s="383"/>
      <c r="BH1378" s="375"/>
      <c r="BI1378" s="376"/>
      <c r="BJ1378" s="409"/>
    </row>
    <row r="1379" spans="1:62" ht="15" customHeight="1" thickBot="1" x14ac:dyDescent="0.25">
      <c r="A1379" s="156">
        <v>1380</v>
      </c>
      <c r="B1379" s="247">
        <v>1</v>
      </c>
      <c r="C1379" s="148" t="s">
        <v>3589</v>
      </c>
      <c r="D1379" s="148" t="s">
        <v>12</v>
      </c>
      <c r="E1379" s="148" t="s">
        <v>13</v>
      </c>
      <c r="F1379" s="148" t="s">
        <v>3595</v>
      </c>
      <c r="G1379" s="148"/>
      <c r="H1379" s="148" t="s">
        <v>16</v>
      </c>
      <c r="I1379" s="161">
        <v>2014</v>
      </c>
      <c r="J1379" s="161" t="s">
        <v>3591</v>
      </c>
      <c r="K1379" s="161"/>
      <c r="L1379" s="161" t="s">
        <v>19</v>
      </c>
      <c r="M1379" s="453" t="s">
        <v>4343</v>
      </c>
      <c r="N1379" s="186" t="s">
        <v>122</v>
      </c>
      <c r="O1379" s="186" t="s">
        <v>292</v>
      </c>
      <c r="P1379" s="186" t="s">
        <v>292</v>
      </c>
      <c r="Q1379" s="186" t="s">
        <v>292</v>
      </c>
      <c r="R1379" s="186" t="s">
        <v>292</v>
      </c>
      <c r="S1379" s="186" t="s">
        <v>292</v>
      </c>
      <c r="T1379" s="186" t="s">
        <v>292</v>
      </c>
      <c r="U1379" s="186" t="s">
        <v>292</v>
      </c>
      <c r="V1379" s="186" t="s">
        <v>292</v>
      </c>
      <c r="W1379" s="186" t="s">
        <v>292</v>
      </c>
      <c r="X1379" s="186" t="s">
        <v>292</v>
      </c>
      <c r="Y1379" s="186" t="s">
        <v>292</v>
      </c>
      <c r="Z1379" s="186" t="s">
        <v>292</v>
      </c>
      <c r="AA1379" s="186" t="s">
        <v>3592</v>
      </c>
      <c r="AB1379" s="186"/>
      <c r="AC1379" s="186"/>
      <c r="AD1379" s="268"/>
      <c r="AE1379" s="268"/>
      <c r="AF1379" s="144" t="str">
        <f t="shared" si="115"/>
        <v/>
      </c>
      <c r="AG1379" s="144" t="str">
        <f t="shared" si="121"/>
        <v/>
      </c>
      <c r="AH1379" s="146">
        <f t="shared" si="119"/>
        <v>0.89800000000000002</v>
      </c>
      <c r="AI1379" s="146" t="str">
        <f t="shared" si="120"/>
        <v/>
      </c>
      <c r="AJ1379" s="303"/>
      <c r="AK1379" s="303"/>
      <c r="AL1379" s="303"/>
      <c r="AM1379" s="303"/>
      <c r="AN1379" s="303"/>
      <c r="AO1379" s="303"/>
      <c r="AP1379" s="303"/>
      <c r="AQ1379" s="303"/>
      <c r="AR1379" s="318"/>
      <c r="AS1379" s="227"/>
      <c r="AT1379" s="233"/>
      <c r="AU1379" s="318"/>
      <c r="AV1379" s="343"/>
      <c r="AW1379" s="357">
        <v>0.89800000000000002</v>
      </c>
      <c r="AX1379" s="294"/>
      <c r="AY1379" s="294"/>
      <c r="AZ1379" s="294"/>
      <c r="BA1379" s="294"/>
      <c r="BB1379" s="294"/>
      <c r="BC1379" s="294"/>
      <c r="BD1379" s="294"/>
      <c r="BE1379" s="294"/>
      <c r="BF1379" s="383">
        <f t="shared" ref="BF1379:BF1442" si="123">AW1379</f>
        <v>0.89800000000000002</v>
      </c>
      <c r="BG1379" s="383"/>
      <c r="BH1379" s="375"/>
      <c r="BI1379" s="376"/>
      <c r="BJ1379" s="409"/>
    </row>
    <row r="1380" spans="1:62" ht="15" customHeight="1" thickBot="1" x14ac:dyDescent="0.25">
      <c r="A1380" s="156">
        <v>1381</v>
      </c>
      <c r="B1380" s="247">
        <v>1</v>
      </c>
      <c r="C1380" s="148" t="s">
        <v>3450</v>
      </c>
      <c r="D1380" s="148" t="s">
        <v>836</v>
      </c>
      <c r="E1380" s="148" t="s">
        <v>13</v>
      </c>
      <c r="F1380" s="148" t="s">
        <v>3596</v>
      </c>
      <c r="G1380" s="148"/>
      <c r="H1380" s="148" t="s">
        <v>239</v>
      </c>
      <c r="I1380" s="161">
        <v>2014</v>
      </c>
      <c r="J1380" s="161" t="s">
        <v>3597</v>
      </c>
      <c r="K1380" s="161"/>
      <c r="L1380" s="161" t="s">
        <v>19</v>
      </c>
      <c r="M1380" s="453" t="s">
        <v>4344</v>
      </c>
      <c r="N1380" s="186" t="s">
        <v>122</v>
      </c>
      <c r="O1380" s="186"/>
      <c r="P1380" s="186" t="s">
        <v>122</v>
      </c>
      <c r="Q1380" s="186" t="s">
        <v>122</v>
      </c>
      <c r="R1380" s="186" t="s">
        <v>122</v>
      </c>
      <c r="S1380" s="186" t="s">
        <v>122</v>
      </c>
      <c r="T1380" s="186" t="s">
        <v>292</v>
      </c>
      <c r="U1380" s="186" t="s">
        <v>292</v>
      </c>
      <c r="V1380" s="186" t="s">
        <v>292</v>
      </c>
      <c r="W1380" s="186" t="s">
        <v>292</v>
      </c>
      <c r="X1380" s="186" t="s">
        <v>292</v>
      </c>
      <c r="Y1380" s="186" t="s">
        <v>292</v>
      </c>
      <c r="Z1380" s="186"/>
      <c r="AA1380" s="186" t="s">
        <v>3598</v>
      </c>
      <c r="AB1380" s="186"/>
      <c r="AC1380" s="186"/>
      <c r="AD1380" s="268" t="s">
        <v>3599</v>
      </c>
      <c r="AE1380" s="268"/>
      <c r="AF1380" s="144" t="str">
        <f t="shared" si="115"/>
        <v/>
      </c>
      <c r="AG1380" s="144" t="str">
        <f t="shared" si="121"/>
        <v/>
      </c>
      <c r="AH1380" s="146">
        <f t="shared" si="119"/>
        <v>0.21</v>
      </c>
      <c r="AI1380" s="146">
        <f t="shared" si="120"/>
        <v>0.219</v>
      </c>
      <c r="AJ1380" s="303"/>
      <c r="AK1380" s="303"/>
      <c r="AL1380" s="303"/>
      <c r="AM1380" s="303"/>
      <c r="AN1380" s="303"/>
      <c r="AO1380" s="303"/>
      <c r="AP1380" s="303"/>
      <c r="AQ1380" s="303"/>
      <c r="AR1380" s="318"/>
      <c r="AS1380" s="227"/>
      <c r="AT1380" s="233"/>
      <c r="AU1380" s="318"/>
      <c r="AV1380" s="343"/>
      <c r="AW1380" s="357">
        <v>0.21</v>
      </c>
      <c r="AX1380" s="294">
        <v>8.0000000000000002E-3</v>
      </c>
      <c r="AY1380" s="294">
        <v>1E-3</v>
      </c>
      <c r="AZ1380" s="294">
        <v>0.08</v>
      </c>
      <c r="BA1380" s="294">
        <v>0.12</v>
      </c>
      <c r="BB1380" s="294"/>
      <c r="BC1380" s="294"/>
      <c r="BD1380" s="294"/>
      <c r="BE1380" s="294"/>
      <c r="BF1380" s="383">
        <f t="shared" si="123"/>
        <v>0.21</v>
      </c>
      <c r="BG1380" s="383">
        <f>SUM(AW1380:BE1380)</f>
        <v>0.41899999999999998</v>
      </c>
      <c r="BH1380" s="375"/>
      <c r="BI1380" s="376" t="s">
        <v>3600</v>
      </c>
      <c r="BJ1380" s="409"/>
    </row>
    <row r="1381" spans="1:62" ht="15" customHeight="1" thickBot="1" x14ac:dyDescent="0.25">
      <c r="A1381" s="156">
        <v>1382</v>
      </c>
      <c r="B1381" s="247">
        <v>1</v>
      </c>
      <c r="C1381" s="148" t="s">
        <v>3450</v>
      </c>
      <c r="D1381" s="148" t="s">
        <v>836</v>
      </c>
      <c r="E1381" s="148" t="s">
        <v>13</v>
      </c>
      <c r="F1381" s="148" t="s">
        <v>3601</v>
      </c>
      <c r="G1381" s="148"/>
      <c r="H1381" s="148" t="s">
        <v>239</v>
      </c>
      <c r="I1381" s="161">
        <v>2014</v>
      </c>
      <c r="J1381" s="161" t="s">
        <v>3597</v>
      </c>
      <c r="K1381" s="161"/>
      <c r="L1381" s="161" t="s">
        <v>19</v>
      </c>
      <c r="M1381" s="453" t="s">
        <v>4344</v>
      </c>
      <c r="N1381" s="186" t="s">
        <v>122</v>
      </c>
      <c r="O1381" s="186"/>
      <c r="P1381" s="186" t="s">
        <v>122</v>
      </c>
      <c r="Q1381" s="186" t="s">
        <v>122</v>
      </c>
      <c r="R1381" s="186" t="s">
        <v>122</v>
      </c>
      <c r="S1381" s="186" t="s">
        <v>122</v>
      </c>
      <c r="T1381" s="186" t="s">
        <v>292</v>
      </c>
      <c r="U1381" s="186" t="s">
        <v>292</v>
      </c>
      <c r="V1381" s="186" t="s">
        <v>292</v>
      </c>
      <c r="W1381" s="186" t="s">
        <v>292</v>
      </c>
      <c r="X1381" s="186" t="s">
        <v>292</v>
      </c>
      <c r="Y1381" s="186" t="s">
        <v>292</v>
      </c>
      <c r="Z1381" s="186"/>
      <c r="AA1381" s="186" t="s">
        <v>3598</v>
      </c>
      <c r="AB1381" s="186"/>
      <c r="AC1381" s="186"/>
      <c r="AD1381" s="268" t="s">
        <v>3599</v>
      </c>
      <c r="AE1381" s="268"/>
      <c r="AF1381" s="144" t="str">
        <f t="shared" si="115"/>
        <v/>
      </c>
      <c r="AG1381" s="144" t="str">
        <f t="shared" si="121"/>
        <v/>
      </c>
      <c r="AH1381" s="146">
        <f t="shared" si="119"/>
        <v>0.24</v>
      </c>
      <c r="AI1381" s="146">
        <f t="shared" si="120"/>
        <v>0.249</v>
      </c>
      <c r="AJ1381" s="303"/>
      <c r="AK1381" s="303"/>
      <c r="AL1381" s="303"/>
      <c r="AM1381" s="303"/>
      <c r="AN1381" s="303"/>
      <c r="AO1381" s="303"/>
      <c r="AP1381" s="303"/>
      <c r="AQ1381" s="303"/>
      <c r="AR1381" s="318"/>
      <c r="AS1381" s="227"/>
      <c r="AT1381" s="233"/>
      <c r="AU1381" s="318"/>
      <c r="AV1381" s="343"/>
      <c r="AW1381" s="357">
        <v>0.24</v>
      </c>
      <c r="AX1381" s="294">
        <v>8.0000000000000002E-3</v>
      </c>
      <c r="AY1381" s="294">
        <v>1E-3</v>
      </c>
      <c r="AZ1381" s="294">
        <v>0.09</v>
      </c>
      <c r="BA1381" s="294">
        <v>0.12</v>
      </c>
      <c r="BB1381" s="294"/>
      <c r="BC1381" s="294"/>
      <c r="BD1381" s="294"/>
      <c r="BE1381" s="294"/>
      <c r="BF1381" s="383">
        <f t="shared" si="123"/>
        <v>0.24</v>
      </c>
      <c r="BG1381" s="383">
        <f>SUM(AW1381:BE1381)</f>
        <v>0.45899999999999996</v>
      </c>
      <c r="BH1381" s="375"/>
      <c r="BI1381" s="376" t="s">
        <v>3602</v>
      </c>
      <c r="BJ1381" s="409"/>
    </row>
    <row r="1382" spans="1:62" ht="15" customHeight="1" thickBot="1" x14ac:dyDescent="0.25">
      <c r="A1382" s="156">
        <v>1383</v>
      </c>
      <c r="B1382" s="247">
        <v>1</v>
      </c>
      <c r="C1382" s="148" t="s">
        <v>3450</v>
      </c>
      <c r="D1382" s="148" t="s">
        <v>836</v>
      </c>
      <c r="E1382" s="148" t="s">
        <v>13</v>
      </c>
      <c r="F1382" s="148" t="s">
        <v>3603</v>
      </c>
      <c r="G1382" s="148"/>
      <c r="H1382" s="148" t="s">
        <v>239</v>
      </c>
      <c r="I1382" s="161">
        <v>2014</v>
      </c>
      <c r="J1382" s="161" t="s">
        <v>3597</v>
      </c>
      <c r="K1382" s="161"/>
      <c r="L1382" s="161" t="s">
        <v>19</v>
      </c>
      <c r="M1382" s="453" t="s">
        <v>4344</v>
      </c>
      <c r="N1382" s="186" t="s">
        <v>122</v>
      </c>
      <c r="O1382" s="186"/>
      <c r="P1382" s="186" t="s">
        <v>122</v>
      </c>
      <c r="Q1382" s="186" t="s">
        <v>122</v>
      </c>
      <c r="R1382" s="186" t="s">
        <v>122</v>
      </c>
      <c r="S1382" s="186" t="s">
        <v>122</v>
      </c>
      <c r="T1382" s="186" t="s">
        <v>292</v>
      </c>
      <c r="U1382" s="186" t="s">
        <v>292</v>
      </c>
      <c r="V1382" s="186" t="s">
        <v>292</v>
      </c>
      <c r="W1382" s="186" t="s">
        <v>292</v>
      </c>
      <c r="X1382" s="186" t="s">
        <v>292</v>
      </c>
      <c r="Y1382" s="186" t="s">
        <v>292</v>
      </c>
      <c r="Z1382" s="186"/>
      <c r="AA1382" s="186" t="s">
        <v>3598</v>
      </c>
      <c r="AB1382" s="186"/>
      <c r="AC1382" s="186"/>
      <c r="AD1382" s="268" t="s">
        <v>3599</v>
      </c>
      <c r="AE1382" s="268"/>
      <c r="AF1382" s="144" t="str">
        <f t="shared" si="115"/>
        <v/>
      </c>
      <c r="AG1382" s="144" t="str">
        <f t="shared" si="121"/>
        <v/>
      </c>
      <c r="AH1382" s="146">
        <f t="shared" si="119"/>
        <v>0.26</v>
      </c>
      <c r="AI1382" s="146">
        <f t="shared" si="120"/>
        <v>0.27300000000000002</v>
      </c>
      <c r="AJ1382" s="303"/>
      <c r="AK1382" s="303"/>
      <c r="AL1382" s="303"/>
      <c r="AM1382" s="303"/>
      <c r="AN1382" s="303"/>
      <c r="AO1382" s="303"/>
      <c r="AP1382" s="303"/>
      <c r="AQ1382" s="303"/>
      <c r="AR1382" s="318"/>
      <c r="AS1382" s="227"/>
      <c r="AT1382" s="233"/>
      <c r="AU1382" s="318"/>
      <c r="AV1382" s="343"/>
      <c r="AW1382" s="357">
        <v>0.26</v>
      </c>
      <c r="AX1382" s="294">
        <v>8.0000000000000002E-3</v>
      </c>
      <c r="AY1382" s="294">
        <v>5.0000000000000001E-3</v>
      </c>
      <c r="AZ1382" s="294">
        <v>0.09</v>
      </c>
      <c r="BA1382" s="294">
        <v>0.12</v>
      </c>
      <c r="BB1382" s="294"/>
      <c r="BC1382" s="294"/>
      <c r="BD1382" s="294"/>
      <c r="BE1382" s="294"/>
      <c r="BF1382" s="383">
        <f t="shared" si="123"/>
        <v>0.26</v>
      </c>
      <c r="BG1382" s="383">
        <f>SUM(AW1382:BE1382)</f>
        <v>0.48299999999999998</v>
      </c>
      <c r="BH1382" s="375"/>
      <c r="BI1382" s="376" t="s">
        <v>3602</v>
      </c>
      <c r="BJ1382" s="409"/>
    </row>
    <row r="1383" spans="1:62" ht="15" customHeight="1" thickBot="1" x14ac:dyDescent="0.25">
      <c r="A1383" s="156">
        <v>1384</v>
      </c>
      <c r="B1383" s="247">
        <v>1</v>
      </c>
      <c r="C1383" s="148" t="s">
        <v>2933</v>
      </c>
      <c r="D1383" s="148" t="s">
        <v>2745</v>
      </c>
      <c r="E1383" s="148" t="s">
        <v>13</v>
      </c>
      <c r="F1383" s="148" t="s">
        <v>3604</v>
      </c>
      <c r="G1383" s="148"/>
      <c r="H1383" s="148" t="s">
        <v>101</v>
      </c>
      <c r="I1383" s="161">
        <v>2014</v>
      </c>
      <c r="J1383" s="161" t="s">
        <v>3605</v>
      </c>
      <c r="K1383" s="161"/>
      <c r="L1383" s="161" t="s">
        <v>19</v>
      </c>
      <c r="M1383" s="453" t="s">
        <v>4345</v>
      </c>
      <c r="N1383" s="186" t="s">
        <v>122</v>
      </c>
      <c r="O1383" s="186" t="s">
        <v>292</v>
      </c>
      <c r="P1383" s="186" t="s">
        <v>292</v>
      </c>
      <c r="Q1383" s="186" t="s">
        <v>292</v>
      </c>
      <c r="R1383" s="186" t="s">
        <v>292</v>
      </c>
      <c r="S1383" s="186" t="s">
        <v>292</v>
      </c>
      <c r="T1383" s="186" t="s">
        <v>292</v>
      </c>
      <c r="U1383" s="186" t="s">
        <v>292</v>
      </c>
      <c r="V1383" s="186" t="s">
        <v>292</v>
      </c>
      <c r="W1383" s="186" t="s">
        <v>292</v>
      </c>
      <c r="X1383" s="186" t="s">
        <v>292</v>
      </c>
      <c r="Y1383" s="186" t="s">
        <v>292</v>
      </c>
      <c r="Z1383" s="186"/>
      <c r="AA1383" s="186"/>
      <c r="AB1383" s="186"/>
      <c r="AC1383" s="186"/>
      <c r="AD1383" s="268" t="s">
        <v>3606</v>
      </c>
      <c r="AE1383" s="268"/>
      <c r="AF1383" s="144" t="str">
        <f t="shared" si="115"/>
        <v/>
      </c>
      <c r="AG1383" s="144" t="str">
        <f t="shared" si="121"/>
        <v/>
      </c>
      <c r="AH1383" s="146">
        <f t="shared" si="119"/>
        <v>20</v>
      </c>
      <c r="AI1383" s="146" t="str">
        <f t="shared" si="120"/>
        <v/>
      </c>
      <c r="AJ1383" s="303"/>
      <c r="AK1383" s="303"/>
      <c r="AL1383" s="303"/>
      <c r="AM1383" s="303"/>
      <c r="AN1383" s="303"/>
      <c r="AO1383" s="303"/>
      <c r="AP1383" s="303"/>
      <c r="AQ1383" s="303"/>
      <c r="AR1383" s="318"/>
      <c r="AS1383" s="227"/>
      <c r="AT1383" s="233"/>
      <c r="AU1383" s="318"/>
      <c r="AV1383" s="343"/>
      <c r="AW1383" s="357">
        <v>20</v>
      </c>
      <c r="AX1383" s="294"/>
      <c r="AY1383" s="294"/>
      <c r="AZ1383" s="294"/>
      <c r="BA1383" s="294"/>
      <c r="BB1383" s="294"/>
      <c r="BC1383" s="294"/>
      <c r="BD1383" s="294"/>
      <c r="BE1383" s="294"/>
      <c r="BF1383" s="383">
        <f t="shared" si="123"/>
        <v>20</v>
      </c>
      <c r="BG1383" s="383"/>
      <c r="BH1383" s="375"/>
      <c r="BI1383" s="376"/>
      <c r="BJ1383" s="409"/>
    </row>
    <row r="1384" spans="1:62" ht="15" customHeight="1" thickBot="1" x14ac:dyDescent="0.25">
      <c r="A1384" s="156">
        <v>1385</v>
      </c>
      <c r="B1384" s="247">
        <v>1</v>
      </c>
      <c r="C1384" s="148" t="s">
        <v>2933</v>
      </c>
      <c r="D1384" s="148" t="s">
        <v>2745</v>
      </c>
      <c r="E1384" s="148" t="s">
        <v>13</v>
      </c>
      <c r="F1384" s="148" t="s">
        <v>3607</v>
      </c>
      <c r="G1384" s="148"/>
      <c r="H1384" s="148" t="s">
        <v>101</v>
      </c>
      <c r="I1384" s="161">
        <v>2014</v>
      </c>
      <c r="J1384" s="161" t="s">
        <v>3605</v>
      </c>
      <c r="K1384" s="161"/>
      <c r="L1384" s="161" t="s">
        <v>19</v>
      </c>
      <c r="M1384" s="453" t="s">
        <v>4345</v>
      </c>
      <c r="N1384" s="186" t="s">
        <v>122</v>
      </c>
      <c r="O1384" s="186" t="s">
        <v>292</v>
      </c>
      <c r="P1384" s="186" t="s">
        <v>292</v>
      </c>
      <c r="Q1384" s="186" t="s">
        <v>292</v>
      </c>
      <c r="R1384" s="186" t="s">
        <v>292</v>
      </c>
      <c r="S1384" s="186" t="s">
        <v>292</v>
      </c>
      <c r="T1384" s="186" t="s">
        <v>292</v>
      </c>
      <c r="U1384" s="186" t="s">
        <v>292</v>
      </c>
      <c r="V1384" s="186" t="s">
        <v>292</v>
      </c>
      <c r="W1384" s="186" t="s">
        <v>292</v>
      </c>
      <c r="X1384" s="186" t="s">
        <v>292</v>
      </c>
      <c r="Y1384" s="186" t="s">
        <v>292</v>
      </c>
      <c r="Z1384" s="186"/>
      <c r="AA1384" s="186"/>
      <c r="AB1384" s="186"/>
      <c r="AC1384" s="186"/>
      <c r="AD1384" s="268" t="s">
        <v>3606</v>
      </c>
      <c r="AE1384" s="268"/>
      <c r="AF1384" s="144" t="str">
        <f t="shared" si="115"/>
        <v/>
      </c>
      <c r="AG1384" s="144" t="str">
        <f t="shared" si="121"/>
        <v/>
      </c>
      <c r="AH1384" s="146">
        <f t="shared" si="119"/>
        <v>22</v>
      </c>
      <c r="AI1384" s="146" t="str">
        <f t="shared" si="120"/>
        <v/>
      </c>
      <c r="AJ1384" s="303"/>
      <c r="AK1384" s="303"/>
      <c r="AL1384" s="303"/>
      <c r="AM1384" s="303"/>
      <c r="AN1384" s="303"/>
      <c r="AO1384" s="303"/>
      <c r="AP1384" s="303"/>
      <c r="AQ1384" s="303"/>
      <c r="AR1384" s="318"/>
      <c r="AS1384" s="227"/>
      <c r="AT1384" s="233"/>
      <c r="AU1384" s="318"/>
      <c r="AV1384" s="343"/>
      <c r="AW1384" s="357">
        <v>22</v>
      </c>
      <c r="AX1384" s="294"/>
      <c r="AY1384" s="294"/>
      <c r="AZ1384" s="294"/>
      <c r="BA1384" s="294"/>
      <c r="BB1384" s="294"/>
      <c r="BC1384" s="294"/>
      <c r="BD1384" s="294"/>
      <c r="BE1384" s="294"/>
      <c r="BF1384" s="383">
        <f t="shared" si="123"/>
        <v>22</v>
      </c>
      <c r="BG1384" s="383"/>
      <c r="BH1384" s="375"/>
      <c r="BI1384" s="376"/>
      <c r="BJ1384" s="409"/>
    </row>
    <row r="1385" spans="1:62" ht="15" customHeight="1" thickBot="1" x14ac:dyDescent="0.25">
      <c r="A1385" s="156">
        <v>1386</v>
      </c>
      <c r="B1385" s="247">
        <v>1</v>
      </c>
      <c r="C1385" s="148" t="s">
        <v>2933</v>
      </c>
      <c r="D1385" s="148" t="s">
        <v>2745</v>
      </c>
      <c r="E1385" s="148" t="s">
        <v>13</v>
      </c>
      <c r="F1385" s="148" t="s">
        <v>3608</v>
      </c>
      <c r="G1385" s="148"/>
      <c r="H1385" s="148" t="s">
        <v>101</v>
      </c>
      <c r="I1385" s="161">
        <v>2014</v>
      </c>
      <c r="J1385" s="161" t="s">
        <v>3605</v>
      </c>
      <c r="K1385" s="161"/>
      <c r="L1385" s="161" t="s">
        <v>19</v>
      </c>
      <c r="M1385" s="453" t="s">
        <v>4345</v>
      </c>
      <c r="N1385" s="186" t="s">
        <v>122</v>
      </c>
      <c r="O1385" s="186" t="s">
        <v>292</v>
      </c>
      <c r="P1385" s="186" t="s">
        <v>292</v>
      </c>
      <c r="Q1385" s="186" t="s">
        <v>292</v>
      </c>
      <c r="R1385" s="186" t="s">
        <v>292</v>
      </c>
      <c r="S1385" s="186" t="s">
        <v>292</v>
      </c>
      <c r="T1385" s="186" t="s">
        <v>292</v>
      </c>
      <c r="U1385" s="186" t="s">
        <v>292</v>
      </c>
      <c r="V1385" s="186" t="s">
        <v>292</v>
      </c>
      <c r="W1385" s="186" t="s">
        <v>292</v>
      </c>
      <c r="X1385" s="186" t="s">
        <v>292</v>
      </c>
      <c r="Y1385" s="186" t="s">
        <v>292</v>
      </c>
      <c r="Z1385" s="186"/>
      <c r="AA1385" s="186"/>
      <c r="AB1385" s="186"/>
      <c r="AC1385" s="186"/>
      <c r="AD1385" s="268" t="s">
        <v>3606</v>
      </c>
      <c r="AE1385" s="268"/>
      <c r="AF1385" s="144" t="str">
        <f t="shared" si="115"/>
        <v/>
      </c>
      <c r="AG1385" s="144" t="str">
        <f t="shared" si="121"/>
        <v/>
      </c>
      <c r="AH1385" s="146">
        <f t="shared" si="119"/>
        <v>28</v>
      </c>
      <c r="AI1385" s="146" t="str">
        <f t="shared" si="120"/>
        <v/>
      </c>
      <c r="AJ1385" s="303"/>
      <c r="AK1385" s="303"/>
      <c r="AL1385" s="303"/>
      <c r="AM1385" s="303"/>
      <c r="AN1385" s="303"/>
      <c r="AO1385" s="303"/>
      <c r="AP1385" s="303"/>
      <c r="AQ1385" s="303"/>
      <c r="AR1385" s="318"/>
      <c r="AS1385" s="227"/>
      <c r="AT1385" s="233"/>
      <c r="AU1385" s="318"/>
      <c r="AV1385" s="343"/>
      <c r="AW1385" s="357">
        <v>28</v>
      </c>
      <c r="AX1385" s="294"/>
      <c r="AY1385" s="294"/>
      <c r="AZ1385" s="294"/>
      <c r="BA1385" s="294"/>
      <c r="BB1385" s="294"/>
      <c r="BC1385" s="294"/>
      <c r="BD1385" s="294"/>
      <c r="BE1385" s="294"/>
      <c r="BF1385" s="383">
        <f t="shared" si="123"/>
        <v>28</v>
      </c>
      <c r="BG1385" s="383"/>
      <c r="BH1385" s="375"/>
      <c r="BI1385" s="376"/>
      <c r="BJ1385" s="409"/>
    </row>
    <row r="1386" spans="1:62" ht="15" customHeight="1" thickBot="1" x14ac:dyDescent="0.25">
      <c r="A1386" s="156">
        <v>1387</v>
      </c>
      <c r="B1386" s="247">
        <v>1</v>
      </c>
      <c r="C1386" s="148" t="s">
        <v>2933</v>
      </c>
      <c r="D1386" s="148" t="s">
        <v>2745</v>
      </c>
      <c r="E1386" s="148" t="s">
        <v>13</v>
      </c>
      <c r="F1386" s="148" t="s">
        <v>3609</v>
      </c>
      <c r="G1386" s="148"/>
      <c r="H1386" s="148" t="s">
        <v>101</v>
      </c>
      <c r="I1386" s="161">
        <v>2014</v>
      </c>
      <c r="J1386" s="161" t="s">
        <v>3605</v>
      </c>
      <c r="K1386" s="161"/>
      <c r="L1386" s="161" t="s">
        <v>19</v>
      </c>
      <c r="M1386" s="453" t="s">
        <v>4345</v>
      </c>
      <c r="N1386" s="186" t="s">
        <v>122</v>
      </c>
      <c r="O1386" s="186" t="s">
        <v>292</v>
      </c>
      <c r="P1386" s="186" t="s">
        <v>292</v>
      </c>
      <c r="Q1386" s="186" t="s">
        <v>292</v>
      </c>
      <c r="R1386" s="186" t="s">
        <v>292</v>
      </c>
      <c r="S1386" s="186" t="s">
        <v>292</v>
      </c>
      <c r="T1386" s="186" t="s">
        <v>292</v>
      </c>
      <c r="U1386" s="186" t="s">
        <v>292</v>
      </c>
      <c r="V1386" s="186" t="s">
        <v>292</v>
      </c>
      <c r="W1386" s="186" t="s">
        <v>292</v>
      </c>
      <c r="X1386" s="186" t="s">
        <v>292</v>
      </c>
      <c r="Y1386" s="186" t="s">
        <v>292</v>
      </c>
      <c r="Z1386" s="186"/>
      <c r="AA1386" s="186"/>
      <c r="AB1386" s="186"/>
      <c r="AC1386" s="186"/>
      <c r="AD1386" s="268" t="s">
        <v>3606</v>
      </c>
      <c r="AE1386" s="268"/>
      <c r="AF1386" s="144" t="str">
        <f t="shared" si="115"/>
        <v/>
      </c>
      <c r="AG1386" s="144" t="str">
        <f t="shared" si="121"/>
        <v/>
      </c>
      <c r="AH1386" s="146">
        <f t="shared" si="119"/>
        <v>31</v>
      </c>
      <c r="AI1386" s="146" t="str">
        <f t="shared" si="120"/>
        <v/>
      </c>
      <c r="AJ1386" s="303"/>
      <c r="AK1386" s="303"/>
      <c r="AL1386" s="303"/>
      <c r="AM1386" s="303"/>
      <c r="AN1386" s="303"/>
      <c r="AO1386" s="303"/>
      <c r="AP1386" s="303"/>
      <c r="AQ1386" s="303"/>
      <c r="AR1386" s="318"/>
      <c r="AS1386" s="227"/>
      <c r="AT1386" s="233"/>
      <c r="AU1386" s="318"/>
      <c r="AV1386" s="343"/>
      <c r="AW1386" s="357">
        <v>31</v>
      </c>
      <c r="AX1386" s="294"/>
      <c r="AY1386" s="294"/>
      <c r="AZ1386" s="294"/>
      <c r="BA1386" s="294"/>
      <c r="BB1386" s="294"/>
      <c r="BC1386" s="294"/>
      <c r="BD1386" s="294"/>
      <c r="BE1386" s="294"/>
      <c r="BF1386" s="383">
        <f t="shared" si="123"/>
        <v>31</v>
      </c>
      <c r="BG1386" s="383"/>
      <c r="BH1386" s="375"/>
      <c r="BI1386" s="376"/>
      <c r="BJ1386" s="409"/>
    </row>
    <row r="1387" spans="1:62" ht="15" customHeight="1" thickBot="1" x14ac:dyDescent="0.25">
      <c r="A1387" s="156">
        <v>1388</v>
      </c>
      <c r="B1387" s="247">
        <v>1</v>
      </c>
      <c r="C1387" s="148" t="s">
        <v>2933</v>
      </c>
      <c r="D1387" s="148" t="s">
        <v>2745</v>
      </c>
      <c r="E1387" s="148" t="s">
        <v>13</v>
      </c>
      <c r="F1387" s="148" t="s">
        <v>3610</v>
      </c>
      <c r="G1387" s="148"/>
      <c r="H1387" s="148" t="s">
        <v>101</v>
      </c>
      <c r="I1387" s="161">
        <v>2014</v>
      </c>
      <c r="J1387" s="161" t="s">
        <v>3605</v>
      </c>
      <c r="K1387" s="161"/>
      <c r="L1387" s="161" t="s">
        <v>19</v>
      </c>
      <c r="M1387" s="453" t="s">
        <v>4345</v>
      </c>
      <c r="N1387" s="186" t="s">
        <v>122</v>
      </c>
      <c r="O1387" s="186" t="s">
        <v>292</v>
      </c>
      <c r="P1387" s="186" t="s">
        <v>292</v>
      </c>
      <c r="Q1387" s="186" t="s">
        <v>292</v>
      </c>
      <c r="R1387" s="186" t="s">
        <v>292</v>
      </c>
      <c r="S1387" s="186" t="s">
        <v>292</v>
      </c>
      <c r="T1387" s="186" t="s">
        <v>292</v>
      </c>
      <c r="U1387" s="186" t="s">
        <v>292</v>
      </c>
      <c r="V1387" s="186" t="s">
        <v>292</v>
      </c>
      <c r="W1387" s="186" t="s">
        <v>292</v>
      </c>
      <c r="X1387" s="186" t="s">
        <v>292</v>
      </c>
      <c r="Y1387" s="186" t="s">
        <v>292</v>
      </c>
      <c r="Z1387" s="186"/>
      <c r="AA1387" s="186"/>
      <c r="AB1387" s="186"/>
      <c r="AC1387" s="186"/>
      <c r="AD1387" s="268" t="s">
        <v>3606</v>
      </c>
      <c r="AE1387" s="268"/>
      <c r="AF1387" s="144" t="str">
        <f t="shared" si="115"/>
        <v/>
      </c>
      <c r="AG1387" s="144" t="str">
        <f t="shared" si="121"/>
        <v/>
      </c>
      <c r="AH1387" s="146">
        <f t="shared" si="119"/>
        <v>31</v>
      </c>
      <c r="AI1387" s="146" t="str">
        <f t="shared" si="120"/>
        <v/>
      </c>
      <c r="AJ1387" s="303"/>
      <c r="AK1387" s="303"/>
      <c r="AL1387" s="303"/>
      <c r="AM1387" s="303"/>
      <c r="AN1387" s="303"/>
      <c r="AO1387" s="303"/>
      <c r="AP1387" s="303"/>
      <c r="AQ1387" s="303"/>
      <c r="AR1387" s="318"/>
      <c r="AS1387" s="227"/>
      <c r="AT1387" s="233"/>
      <c r="AU1387" s="318"/>
      <c r="AV1387" s="343"/>
      <c r="AW1387" s="357">
        <v>31</v>
      </c>
      <c r="AX1387" s="294"/>
      <c r="AY1387" s="294"/>
      <c r="AZ1387" s="294"/>
      <c r="BA1387" s="294"/>
      <c r="BB1387" s="294"/>
      <c r="BC1387" s="294"/>
      <c r="BD1387" s="294"/>
      <c r="BE1387" s="294"/>
      <c r="BF1387" s="383">
        <f t="shared" si="123"/>
        <v>31</v>
      </c>
      <c r="BG1387" s="383"/>
      <c r="BH1387" s="375"/>
      <c r="BI1387" s="376"/>
      <c r="BJ1387" s="409"/>
    </row>
    <row r="1388" spans="1:62" ht="15" customHeight="1" thickBot="1" x14ac:dyDescent="0.25">
      <c r="A1388" s="156">
        <v>1389</v>
      </c>
      <c r="B1388" s="247">
        <v>1</v>
      </c>
      <c r="C1388" s="148" t="s">
        <v>2933</v>
      </c>
      <c r="D1388" s="148" t="s">
        <v>2745</v>
      </c>
      <c r="E1388" s="148" t="s">
        <v>13</v>
      </c>
      <c r="F1388" s="148" t="s">
        <v>3610</v>
      </c>
      <c r="G1388" s="148"/>
      <c r="H1388" s="148" t="s">
        <v>376</v>
      </c>
      <c r="I1388" s="161">
        <v>2014</v>
      </c>
      <c r="J1388" s="161" t="s">
        <v>3605</v>
      </c>
      <c r="K1388" s="161"/>
      <c r="L1388" s="161" t="s">
        <v>19</v>
      </c>
      <c r="M1388" s="453" t="s">
        <v>4345</v>
      </c>
      <c r="N1388" s="186" t="s">
        <v>122</v>
      </c>
      <c r="O1388" s="186" t="s">
        <v>292</v>
      </c>
      <c r="P1388" s="186" t="s">
        <v>292</v>
      </c>
      <c r="Q1388" s="186" t="s">
        <v>292</v>
      </c>
      <c r="R1388" s="186" t="s">
        <v>292</v>
      </c>
      <c r="S1388" s="186" t="s">
        <v>292</v>
      </c>
      <c r="T1388" s="186" t="s">
        <v>292</v>
      </c>
      <c r="U1388" s="186" t="s">
        <v>292</v>
      </c>
      <c r="V1388" s="186" t="s">
        <v>292</v>
      </c>
      <c r="W1388" s="186" t="s">
        <v>292</v>
      </c>
      <c r="X1388" s="186" t="s">
        <v>292</v>
      </c>
      <c r="Y1388" s="186" t="s">
        <v>292</v>
      </c>
      <c r="Z1388" s="186"/>
      <c r="AA1388" s="186"/>
      <c r="AB1388" s="186"/>
      <c r="AC1388" s="186"/>
      <c r="AD1388" s="268" t="s">
        <v>3606</v>
      </c>
      <c r="AE1388" s="268"/>
      <c r="AF1388" s="144" t="str">
        <f t="shared" si="115"/>
        <v/>
      </c>
      <c r="AG1388" s="144" t="str">
        <f t="shared" si="121"/>
        <v/>
      </c>
      <c r="AH1388" s="146">
        <f t="shared" si="119"/>
        <v>31</v>
      </c>
      <c r="AI1388" s="146" t="str">
        <f t="shared" si="120"/>
        <v/>
      </c>
      <c r="AJ1388" s="303"/>
      <c r="AK1388" s="303"/>
      <c r="AL1388" s="303"/>
      <c r="AM1388" s="303"/>
      <c r="AN1388" s="303"/>
      <c r="AO1388" s="303"/>
      <c r="AP1388" s="303"/>
      <c r="AQ1388" s="303"/>
      <c r="AR1388" s="318"/>
      <c r="AS1388" s="227"/>
      <c r="AT1388" s="233"/>
      <c r="AU1388" s="318"/>
      <c r="AV1388" s="343"/>
      <c r="AW1388" s="357">
        <v>31</v>
      </c>
      <c r="AX1388" s="294"/>
      <c r="AY1388" s="294"/>
      <c r="AZ1388" s="294"/>
      <c r="BA1388" s="294"/>
      <c r="BB1388" s="294"/>
      <c r="BC1388" s="294"/>
      <c r="BD1388" s="294"/>
      <c r="BE1388" s="294"/>
      <c r="BF1388" s="383">
        <f t="shared" si="123"/>
        <v>31</v>
      </c>
      <c r="BG1388" s="383"/>
      <c r="BH1388" s="375"/>
      <c r="BI1388" s="376"/>
      <c r="BJ1388" s="409"/>
    </row>
    <row r="1389" spans="1:62" ht="15" customHeight="1" thickBot="1" x14ac:dyDescent="0.25">
      <c r="A1389" s="156">
        <v>1390</v>
      </c>
      <c r="B1389" s="247">
        <v>1</v>
      </c>
      <c r="C1389" s="148" t="s">
        <v>2933</v>
      </c>
      <c r="D1389" s="148" t="s">
        <v>2745</v>
      </c>
      <c r="E1389" s="148" t="s">
        <v>13</v>
      </c>
      <c r="F1389" s="148" t="s">
        <v>3607</v>
      </c>
      <c r="G1389" s="148"/>
      <c r="H1389" s="148" t="s">
        <v>3611</v>
      </c>
      <c r="I1389" s="161">
        <v>2014</v>
      </c>
      <c r="J1389" s="161" t="s">
        <v>3605</v>
      </c>
      <c r="K1389" s="161"/>
      <c r="L1389" s="161" t="s">
        <v>19</v>
      </c>
      <c r="M1389" s="453" t="s">
        <v>4345</v>
      </c>
      <c r="N1389" s="186" t="s">
        <v>122</v>
      </c>
      <c r="O1389" s="186" t="s">
        <v>292</v>
      </c>
      <c r="P1389" s="186" t="s">
        <v>292</v>
      </c>
      <c r="Q1389" s="186" t="s">
        <v>292</v>
      </c>
      <c r="R1389" s="186" t="s">
        <v>292</v>
      </c>
      <c r="S1389" s="186" t="s">
        <v>292</v>
      </c>
      <c r="T1389" s="186" t="s">
        <v>292</v>
      </c>
      <c r="U1389" s="186" t="s">
        <v>292</v>
      </c>
      <c r="V1389" s="186" t="s">
        <v>292</v>
      </c>
      <c r="W1389" s="186" t="s">
        <v>292</v>
      </c>
      <c r="X1389" s="186" t="s">
        <v>292</v>
      </c>
      <c r="Y1389" s="186" t="s">
        <v>292</v>
      </c>
      <c r="Z1389" s="186"/>
      <c r="AA1389" s="186"/>
      <c r="AB1389" s="186"/>
      <c r="AC1389" s="186"/>
      <c r="AD1389" s="268" t="s">
        <v>3606</v>
      </c>
      <c r="AE1389" s="268"/>
      <c r="AF1389" s="144" t="str">
        <f t="shared" ref="AF1389:AF1452" si="124">IF(AS1389&lt;&gt;0,AS1389,"")</f>
        <v/>
      </c>
      <c r="AG1389" s="144" t="str">
        <f t="shared" si="121"/>
        <v/>
      </c>
      <c r="AH1389" s="146">
        <f t="shared" si="119"/>
        <v>21</v>
      </c>
      <c r="AI1389" s="146" t="str">
        <f t="shared" si="120"/>
        <v/>
      </c>
      <c r="AJ1389" s="303"/>
      <c r="AK1389" s="303"/>
      <c r="AL1389" s="303"/>
      <c r="AM1389" s="303"/>
      <c r="AN1389" s="303"/>
      <c r="AO1389" s="303"/>
      <c r="AP1389" s="303"/>
      <c r="AQ1389" s="303"/>
      <c r="AR1389" s="318"/>
      <c r="AS1389" s="227"/>
      <c r="AT1389" s="233"/>
      <c r="AU1389" s="318"/>
      <c r="AV1389" s="343"/>
      <c r="AW1389" s="357">
        <v>21</v>
      </c>
      <c r="AX1389" s="294"/>
      <c r="AY1389" s="294"/>
      <c r="AZ1389" s="294"/>
      <c r="BA1389" s="294"/>
      <c r="BB1389" s="294"/>
      <c r="BC1389" s="294"/>
      <c r="BD1389" s="294"/>
      <c r="BE1389" s="294"/>
      <c r="BF1389" s="383">
        <f t="shared" si="123"/>
        <v>21</v>
      </c>
      <c r="BG1389" s="383"/>
      <c r="BH1389" s="375"/>
      <c r="BI1389" s="376"/>
      <c r="BJ1389" s="409"/>
    </row>
    <row r="1390" spans="1:62" ht="15" customHeight="1" thickBot="1" x14ac:dyDescent="0.25">
      <c r="A1390" s="156">
        <v>1391</v>
      </c>
      <c r="B1390" s="247">
        <v>1</v>
      </c>
      <c r="C1390" s="148" t="s">
        <v>2933</v>
      </c>
      <c r="D1390" s="148" t="s">
        <v>2745</v>
      </c>
      <c r="E1390" s="148" t="s">
        <v>13</v>
      </c>
      <c r="F1390" s="148" t="s">
        <v>3610</v>
      </c>
      <c r="G1390" s="148"/>
      <c r="H1390" s="148" t="s">
        <v>2930</v>
      </c>
      <c r="I1390" s="161">
        <v>2014</v>
      </c>
      <c r="J1390" s="161" t="s">
        <v>3605</v>
      </c>
      <c r="K1390" s="161"/>
      <c r="L1390" s="161" t="s">
        <v>19</v>
      </c>
      <c r="M1390" s="453" t="s">
        <v>4345</v>
      </c>
      <c r="N1390" s="186" t="s">
        <v>122</v>
      </c>
      <c r="O1390" s="186" t="s">
        <v>292</v>
      </c>
      <c r="P1390" s="186" t="s">
        <v>292</v>
      </c>
      <c r="Q1390" s="186" t="s">
        <v>292</v>
      </c>
      <c r="R1390" s="186" t="s">
        <v>292</v>
      </c>
      <c r="S1390" s="186" t="s">
        <v>292</v>
      </c>
      <c r="T1390" s="186" t="s">
        <v>292</v>
      </c>
      <c r="U1390" s="186" t="s">
        <v>292</v>
      </c>
      <c r="V1390" s="186" t="s">
        <v>292</v>
      </c>
      <c r="W1390" s="186" t="s">
        <v>292</v>
      </c>
      <c r="X1390" s="186" t="s">
        <v>292</v>
      </c>
      <c r="Y1390" s="186" t="s">
        <v>292</v>
      </c>
      <c r="Z1390" s="186"/>
      <c r="AA1390" s="186"/>
      <c r="AB1390" s="186"/>
      <c r="AC1390" s="186"/>
      <c r="AD1390" s="268" t="s">
        <v>3606</v>
      </c>
      <c r="AE1390" s="268"/>
      <c r="AF1390" s="144" t="str">
        <f t="shared" si="124"/>
        <v/>
      </c>
      <c r="AG1390" s="144" t="str">
        <f t="shared" si="121"/>
        <v/>
      </c>
      <c r="AH1390" s="146">
        <f t="shared" si="119"/>
        <v>31</v>
      </c>
      <c r="AI1390" s="146" t="str">
        <f t="shared" si="120"/>
        <v/>
      </c>
      <c r="AJ1390" s="303"/>
      <c r="AK1390" s="303"/>
      <c r="AL1390" s="303"/>
      <c r="AM1390" s="303"/>
      <c r="AN1390" s="303"/>
      <c r="AO1390" s="303"/>
      <c r="AP1390" s="303"/>
      <c r="AQ1390" s="303"/>
      <c r="AR1390" s="318"/>
      <c r="AS1390" s="227"/>
      <c r="AT1390" s="233"/>
      <c r="AU1390" s="318"/>
      <c r="AV1390" s="343"/>
      <c r="AW1390" s="357">
        <v>31</v>
      </c>
      <c r="AX1390" s="294"/>
      <c r="AY1390" s="294"/>
      <c r="AZ1390" s="294"/>
      <c r="BA1390" s="294"/>
      <c r="BB1390" s="294"/>
      <c r="BC1390" s="294"/>
      <c r="BD1390" s="294"/>
      <c r="BE1390" s="294"/>
      <c r="BF1390" s="383">
        <f t="shared" si="123"/>
        <v>31</v>
      </c>
      <c r="BG1390" s="383"/>
      <c r="BH1390" s="375"/>
      <c r="BI1390" s="376"/>
      <c r="BJ1390" s="409"/>
    </row>
    <row r="1391" spans="1:62" ht="15" customHeight="1" thickBot="1" x14ac:dyDescent="0.25">
      <c r="A1391" s="156">
        <v>1392</v>
      </c>
      <c r="B1391" s="247">
        <v>1</v>
      </c>
      <c r="C1391" s="148" t="s">
        <v>2933</v>
      </c>
      <c r="D1391" s="148" t="s">
        <v>2745</v>
      </c>
      <c r="E1391" s="148" t="s">
        <v>13</v>
      </c>
      <c r="F1391" s="148" t="s">
        <v>3612</v>
      </c>
      <c r="G1391" s="148"/>
      <c r="H1391" s="148" t="s">
        <v>375</v>
      </c>
      <c r="I1391" s="161">
        <v>2014</v>
      </c>
      <c r="J1391" s="161" t="s">
        <v>3605</v>
      </c>
      <c r="K1391" s="161"/>
      <c r="L1391" s="161" t="s">
        <v>19</v>
      </c>
      <c r="M1391" s="453" t="s">
        <v>4345</v>
      </c>
      <c r="N1391" s="186" t="s">
        <v>122</v>
      </c>
      <c r="O1391" s="186" t="s">
        <v>292</v>
      </c>
      <c r="P1391" s="186" t="s">
        <v>292</v>
      </c>
      <c r="Q1391" s="186" t="s">
        <v>292</v>
      </c>
      <c r="R1391" s="186" t="s">
        <v>292</v>
      </c>
      <c r="S1391" s="186" t="s">
        <v>292</v>
      </c>
      <c r="T1391" s="186" t="s">
        <v>292</v>
      </c>
      <c r="U1391" s="186" t="s">
        <v>292</v>
      </c>
      <c r="V1391" s="186" t="s">
        <v>292</v>
      </c>
      <c r="W1391" s="186" t="s">
        <v>292</v>
      </c>
      <c r="X1391" s="186" t="s">
        <v>292</v>
      </c>
      <c r="Y1391" s="186" t="s">
        <v>292</v>
      </c>
      <c r="Z1391" s="186"/>
      <c r="AA1391" s="186"/>
      <c r="AB1391" s="186"/>
      <c r="AC1391" s="186"/>
      <c r="AD1391" s="268" t="s">
        <v>3606</v>
      </c>
      <c r="AE1391" s="268"/>
      <c r="AF1391" s="144" t="str">
        <f t="shared" si="124"/>
        <v/>
      </c>
      <c r="AG1391" s="144" t="str">
        <f t="shared" si="121"/>
        <v/>
      </c>
      <c r="AH1391" s="146">
        <f t="shared" si="119"/>
        <v>41</v>
      </c>
      <c r="AI1391" s="146" t="str">
        <f t="shared" si="120"/>
        <v/>
      </c>
      <c r="AJ1391" s="303"/>
      <c r="AK1391" s="303"/>
      <c r="AL1391" s="303"/>
      <c r="AM1391" s="303"/>
      <c r="AN1391" s="303"/>
      <c r="AO1391" s="303"/>
      <c r="AP1391" s="303"/>
      <c r="AQ1391" s="303"/>
      <c r="AR1391" s="318"/>
      <c r="AS1391" s="227"/>
      <c r="AT1391" s="233"/>
      <c r="AU1391" s="318"/>
      <c r="AV1391" s="343"/>
      <c r="AW1391" s="357">
        <v>41</v>
      </c>
      <c r="AX1391" s="294"/>
      <c r="AY1391" s="294"/>
      <c r="AZ1391" s="294"/>
      <c r="BA1391" s="294"/>
      <c r="BB1391" s="294"/>
      <c r="BC1391" s="294"/>
      <c r="BD1391" s="294"/>
      <c r="BE1391" s="294"/>
      <c r="BF1391" s="383">
        <f t="shared" si="123"/>
        <v>41</v>
      </c>
      <c r="BG1391" s="383"/>
      <c r="BH1391" s="375"/>
      <c r="BI1391" s="376"/>
      <c r="BJ1391" s="409"/>
    </row>
    <row r="1392" spans="1:62" ht="15" customHeight="1" thickBot="1" x14ac:dyDescent="0.25">
      <c r="A1392" s="156">
        <v>1393</v>
      </c>
      <c r="B1392" s="247">
        <v>1</v>
      </c>
      <c r="C1392" s="148" t="s">
        <v>2933</v>
      </c>
      <c r="D1392" s="148" t="s">
        <v>2745</v>
      </c>
      <c r="E1392" s="148" t="s">
        <v>13</v>
      </c>
      <c r="F1392" s="148" t="s">
        <v>3613</v>
      </c>
      <c r="G1392" s="148"/>
      <c r="H1392" s="148" t="s">
        <v>3614</v>
      </c>
      <c r="I1392" s="161">
        <v>2014</v>
      </c>
      <c r="J1392" s="161" t="s">
        <v>3605</v>
      </c>
      <c r="K1392" s="161"/>
      <c r="L1392" s="161" t="s">
        <v>19</v>
      </c>
      <c r="M1392" s="453" t="s">
        <v>4345</v>
      </c>
      <c r="N1392" s="186" t="s">
        <v>122</v>
      </c>
      <c r="O1392" s="186" t="s">
        <v>292</v>
      </c>
      <c r="P1392" s="186" t="s">
        <v>292</v>
      </c>
      <c r="Q1392" s="186" t="s">
        <v>292</v>
      </c>
      <c r="R1392" s="186" t="s">
        <v>292</v>
      </c>
      <c r="S1392" s="186" t="s">
        <v>292</v>
      </c>
      <c r="T1392" s="186" t="s">
        <v>292</v>
      </c>
      <c r="U1392" s="186" t="s">
        <v>292</v>
      </c>
      <c r="V1392" s="186" t="s">
        <v>292</v>
      </c>
      <c r="W1392" s="186" t="s">
        <v>292</v>
      </c>
      <c r="X1392" s="186" t="s">
        <v>292</v>
      </c>
      <c r="Y1392" s="186" t="s">
        <v>292</v>
      </c>
      <c r="Z1392" s="186"/>
      <c r="AA1392" s="186"/>
      <c r="AB1392" s="186"/>
      <c r="AC1392" s="186"/>
      <c r="AD1392" s="268" t="s">
        <v>3606</v>
      </c>
      <c r="AE1392" s="268"/>
      <c r="AF1392" s="144" t="str">
        <f t="shared" si="124"/>
        <v/>
      </c>
      <c r="AG1392" s="144" t="str">
        <f t="shared" si="121"/>
        <v/>
      </c>
      <c r="AH1392" s="146">
        <f t="shared" si="119"/>
        <v>25</v>
      </c>
      <c r="AI1392" s="146" t="str">
        <f t="shared" si="120"/>
        <v/>
      </c>
      <c r="AJ1392" s="303"/>
      <c r="AK1392" s="303"/>
      <c r="AL1392" s="303"/>
      <c r="AM1392" s="303"/>
      <c r="AN1392" s="303"/>
      <c r="AO1392" s="303"/>
      <c r="AP1392" s="303"/>
      <c r="AQ1392" s="303"/>
      <c r="AR1392" s="318"/>
      <c r="AS1392" s="227"/>
      <c r="AT1392" s="233"/>
      <c r="AU1392" s="318"/>
      <c r="AV1392" s="343"/>
      <c r="AW1392" s="357">
        <v>25</v>
      </c>
      <c r="AX1392" s="294"/>
      <c r="AY1392" s="294"/>
      <c r="AZ1392" s="294"/>
      <c r="BA1392" s="294"/>
      <c r="BB1392" s="294"/>
      <c r="BC1392" s="294"/>
      <c r="BD1392" s="294"/>
      <c r="BE1392" s="294"/>
      <c r="BF1392" s="383">
        <f t="shared" si="123"/>
        <v>25</v>
      </c>
      <c r="BG1392" s="383"/>
      <c r="BH1392" s="375"/>
      <c r="BI1392" s="376"/>
      <c r="BJ1392" s="409"/>
    </row>
    <row r="1393" spans="1:62" ht="15" customHeight="1" thickBot="1" x14ac:dyDescent="0.25">
      <c r="A1393" s="156">
        <v>1394</v>
      </c>
      <c r="B1393" s="247">
        <v>1</v>
      </c>
      <c r="C1393" s="148" t="s">
        <v>2933</v>
      </c>
      <c r="D1393" s="148" t="s">
        <v>2931</v>
      </c>
      <c r="E1393" s="148" t="s">
        <v>13</v>
      </c>
      <c r="F1393" s="148" t="s">
        <v>3615</v>
      </c>
      <c r="G1393" s="148"/>
      <c r="H1393" s="148" t="s">
        <v>101</v>
      </c>
      <c r="I1393" s="161">
        <v>2014</v>
      </c>
      <c r="J1393" s="161" t="s">
        <v>3605</v>
      </c>
      <c r="K1393" s="161"/>
      <c r="L1393" s="161" t="s">
        <v>19</v>
      </c>
      <c r="M1393" s="453" t="s">
        <v>4345</v>
      </c>
      <c r="N1393" s="186" t="s">
        <v>122</v>
      </c>
      <c r="O1393" s="186" t="s">
        <v>292</v>
      </c>
      <c r="P1393" s="186" t="s">
        <v>292</v>
      </c>
      <c r="Q1393" s="186" t="s">
        <v>292</v>
      </c>
      <c r="R1393" s="186" t="s">
        <v>292</v>
      </c>
      <c r="S1393" s="186" t="s">
        <v>292</v>
      </c>
      <c r="T1393" s="186" t="s">
        <v>292</v>
      </c>
      <c r="U1393" s="186" t="s">
        <v>292</v>
      </c>
      <c r="V1393" s="186" t="s">
        <v>292</v>
      </c>
      <c r="W1393" s="186" t="s">
        <v>292</v>
      </c>
      <c r="X1393" s="186" t="s">
        <v>292</v>
      </c>
      <c r="Y1393" s="186" t="s">
        <v>292</v>
      </c>
      <c r="Z1393" s="186"/>
      <c r="AA1393" s="186"/>
      <c r="AB1393" s="186"/>
      <c r="AC1393" s="186"/>
      <c r="AD1393" s="268" t="s">
        <v>3606</v>
      </c>
      <c r="AE1393" s="268"/>
      <c r="AF1393" s="144" t="str">
        <f t="shared" si="124"/>
        <v/>
      </c>
      <c r="AG1393" s="144" t="str">
        <f t="shared" si="121"/>
        <v/>
      </c>
      <c r="AH1393" s="146">
        <f t="shared" si="119"/>
        <v>5.5</v>
      </c>
      <c r="AI1393" s="146" t="str">
        <f t="shared" si="120"/>
        <v/>
      </c>
      <c r="AJ1393" s="303"/>
      <c r="AK1393" s="303"/>
      <c r="AL1393" s="303"/>
      <c r="AM1393" s="303"/>
      <c r="AN1393" s="303"/>
      <c r="AO1393" s="303"/>
      <c r="AP1393" s="303"/>
      <c r="AQ1393" s="303"/>
      <c r="AR1393" s="318"/>
      <c r="AS1393" s="227"/>
      <c r="AT1393" s="233"/>
      <c r="AU1393" s="318"/>
      <c r="AV1393" s="343"/>
      <c r="AW1393" s="357">
        <v>5.5</v>
      </c>
      <c r="AX1393" s="294"/>
      <c r="AY1393" s="294"/>
      <c r="AZ1393" s="294"/>
      <c r="BA1393" s="294"/>
      <c r="BB1393" s="294"/>
      <c r="BC1393" s="294"/>
      <c r="BD1393" s="294"/>
      <c r="BE1393" s="294"/>
      <c r="BF1393" s="383">
        <f t="shared" si="123"/>
        <v>5.5</v>
      </c>
      <c r="BG1393" s="383"/>
      <c r="BH1393" s="375"/>
      <c r="BI1393" s="376"/>
      <c r="BJ1393" s="409"/>
    </row>
    <row r="1394" spans="1:62" ht="15" customHeight="1" thickBot="1" x14ac:dyDescent="0.25">
      <c r="A1394" s="156">
        <v>1395</v>
      </c>
      <c r="B1394" s="247">
        <v>1</v>
      </c>
      <c r="C1394" s="148" t="s">
        <v>2933</v>
      </c>
      <c r="D1394" s="148" t="s">
        <v>2931</v>
      </c>
      <c r="E1394" s="148" t="s">
        <v>13</v>
      </c>
      <c r="F1394" s="148" t="s">
        <v>3615</v>
      </c>
      <c r="G1394" s="148"/>
      <c r="H1394" s="148" t="s">
        <v>3616</v>
      </c>
      <c r="I1394" s="161">
        <v>2014</v>
      </c>
      <c r="J1394" s="161" t="s">
        <v>3605</v>
      </c>
      <c r="K1394" s="161"/>
      <c r="L1394" s="161" t="s">
        <v>19</v>
      </c>
      <c r="M1394" s="453" t="s">
        <v>4345</v>
      </c>
      <c r="N1394" s="186" t="s">
        <v>122</v>
      </c>
      <c r="O1394" s="186" t="s">
        <v>292</v>
      </c>
      <c r="P1394" s="186" t="s">
        <v>292</v>
      </c>
      <c r="Q1394" s="186" t="s">
        <v>292</v>
      </c>
      <c r="R1394" s="186" t="s">
        <v>292</v>
      </c>
      <c r="S1394" s="186" t="s">
        <v>292</v>
      </c>
      <c r="T1394" s="186" t="s">
        <v>292</v>
      </c>
      <c r="U1394" s="186" t="s">
        <v>292</v>
      </c>
      <c r="V1394" s="186" t="s">
        <v>292</v>
      </c>
      <c r="W1394" s="186" t="s">
        <v>292</v>
      </c>
      <c r="X1394" s="186" t="s">
        <v>292</v>
      </c>
      <c r="Y1394" s="186" t="s">
        <v>292</v>
      </c>
      <c r="Z1394" s="186"/>
      <c r="AA1394" s="186"/>
      <c r="AB1394" s="186"/>
      <c r="AC1394" s="186"/>
      <c r="AD1394" s="268" t="s">
        <v>3606</v>
      </c>
      <c r="AE1394" s="268"/>
      <c r="AF1394" s="144" t="str">
        <f t="shared" si="124"/>
        <v/>
      </c>
      <c r="AG1394" s="144" t="str">
        <f t="shared" si="121"/>
        <v/>
      </c>
      <c r="AH1394" s="146">
        <f t="shared" si="119"/>
        <v>5.5</v>
      </c>
      <c r="AI1394" s="146" t="str">
        <f t="shared" si="120"/>
        <v/>
      </c>
      <c r="AJ1394" s="303"/>
      <c r="AK1394" s="303"/>
      <c r="AL1394" s="303"/>
      <c r="AM1394" s="303"/>
      <c r="AN1394" s="303"/>
      <c r="AO1394" s="303"/>
      <c r="AP1394" s="303"/>
      <c r="AQ1394" s="303"/>
      <c r="AR1394" s="318"/>
      <c r="AS1394" s="227"/>
      <c r="AT1394" s="233"/>
      <c r="AU1394" s="318"/>
      <c r="AV1394" s="343"/>
      <c r="AW1394" s="357">
        <v>5.5</v>
      </c>
      <c r="AX1394" s="294"/>
      <c r="AY1394" s="294"/>
      <c r="AZ1394" s="294"/>
      <c r="BA1394" s="294"/>
      <c r="BB1394" s="294"/>
      <c r="BC1394" s="294"/>
      <c r="BD1394" s="294"/>
      <c r="BE1394" s="294"/>
      <c r="BF1394" s="383">
        <f t="shared" si="123"/>
        <v>5.5</v>
      </c>
      <c r="BG1394" s="383"/>
      <c r="BH1394" s="375"/>
      <c r="BI1394" s="376"/>
      <c r="BJ1394" s="409"/>
    </row>
    <row r="1395" spans="1:62" ht="15" customHeight="1" thickBot="1" x14ac:dyDescent="0.25">
      <c r="A1395" s="156">
        <v>1396</v>
      </c>
      <c r="B1395" s="247">
        <v>1</v>
      </c>
      <c r="C1395" s="148" t="s">
        <v>2933</v>
      </c>
      <c r="D1395" s="148" t="s">
        <v>2448</v>
      </c>
      <c r="E1395" s="148" t="s">
        <v>13</v>
      </c>
      <c r="F1395" s="148" t="s">
        <v>3615</v>
      </c>
      <c r="G1395" s="148"/>
      <c r="H1395" s="148" t="s">
        <v>101</v>
      </c>
      <c r="I1395" s="161">
        <v>2014</v>
      </c>
      <c r="J1395" s="161" t="s">
        <v>3605</v>
      </c>
      <c r="K1395" s="161"/>
      <c r="L1395" s="161" t="s">
        <v>19</v>
      </c>
      <c r="M1395" s="453" t="s">
        <v>4345</v>
      </c>
      <c r="N1395" s="186" t="s">
        <v>122</v>
      </c>
      <c r="O1395" s="186" t="s">
        <v>292</v>
      </c>
      <c r="P1395" s="186" t="s">
        <v>292</v>
      </c>
      <c r="Q1395" s="186" t="s">
        <v>292</v>
      </c>
      <c r="R1395" s="186" t="s">
        <v>292</v>
      </c>
      <c r="S1395" s="186" t="s">
        <v>292</v>
      </c>
      <c r="T1395" s="186" t="s">
        <v>292</v>
      </c>
      <c r="U1395" s="186" t="s">
        <v>292</v>
      </c>
      <c r="V1395" s="186" t="s">
        <v>292</v>
      </c>
      <c r="W1395" s="186" t="s">
        <v>292</v>
      </c>
      <c r="X1395" s="186" t="s">
        <v>292</v>
      </c>
      <c r="Y1395" s="186" t="s">
        <v>292</v>
      </c>
      <c r="Z1395" s="186"/>
      <c r="AA1395" s="186"/>
      <c r="AB1395" s="186"/>
      <c r="AC1395" s="186"/>
      <c r="AD1395" s="268" t="s">
        <v>3606</v>
      </c>
      <c r="AE1395" s="268"/>
      <c r="AF1395" s="144" t="str">
        <f t="shared" si="124"/>
        <v/>
      </c>
      <c r="AG1395" s="144" t="str">
        <f t="shared" si="121"/>
        <v/>
      </c>
      <c r="AH1395" s="146">
        <f t="shared" si="119"/>
        <v>2.6</v>
      </c>
      <c r="AI1395" s="146" t="str">
        <f t="shared" si="120"/>
        <v/>
      </c>
      <c r="AJ1395" s="303"/>
      <c r="AK1395" s="303"/>
      <c r="AL1395" s="303"/>
      <c r="AM1395" s="303"/>
      <c r="AN1395" s="303"/>
      <c r="AO1395" s="303"/>
      <c r="AP1395" s="303"/>
      <c r="AQ1395" s="303"/>
      <c r="AR1395" s="318"/>
      <c r="AS1395" s="227"/>
      <c r="AT1395" s="233"/>
      <c r="AU1395" s="318"/>
      <c r="AV1395" s="343"/>
      <c r="AW1395" s="357">
        <v>2.6</v>
      </c>
      <c r="AX1395" s="294"/>
      <c r="AY1395" s="294"/>
      <c r="AZ1395" s="294"/>
      <c r="BA1395" s="294"/>
      <c r="BB1395" s="294"/>
      <c r="BC1395" s="294"/>
      <c r="BD1395" s="294"/>
      <c r="BE1395" s="294"/>
      <c r="BF1395" s="383">
        <f t="shared" si="123"/>
        <v>2.6</v>
      </c>
      <c r="BG1395" s="383"/>
      <c r="BH1395" s="375"/>
      <c r="BI1395" s="376"/>
      <c r="BJ1395" s="409"/>
    </row>
    <row r="1396" spans="1:62" ht="15" customHeight="1" thickBot="1" x14ac:dyDescent="0.25">
      <c r="A1396" s="156">
        <v>1397</v>
      </c>
      <c r="B1396" s="247">
        <v>1</v>
      </c>
      <c r="C1396" s="148" t="s">
        <v>2933</v>
      </c>
      <c r="D1396" s="148" t="s">
        <v>2448</v>
      </c>
      <c r="E1396" s="148" t="s">
        <v>13</v>
      </c>
      <c r="F1396" s="148" t="s">
        <v>3615</v>
      </c>
      <c r="G1396" s="148"/>
      <c r="H1396" s="148" t="s">
        <v>3616</v>
      </c>
      <c r="I1396" s="161">
        <v>2014</v>
      </c>
      <c r="J1396" s="161" t="s">
        <v>3605</v>
      </c>
      <c r="K1396" s="161"/>
      <c r="L1396" s="161" t="s">
        <v>19</v>
      </c>
      <c r="M1396" s="453" t="s">
        <v>4345</v>
      </c>
      <c r="N1396" s="186" t="s">
        <v>122</v>
      </c>
      <c r="O1396" s="186" t="s">
        <v>292</v>
      </c>
      <c r="P1396" s="186" t="s">
        <v>292</v>
      </c>
      <c r="Q1396" s="186" t="s">
        <v>292</v>
      </c>
      <c r="R1396" s="186" t="s">
        <v>292</v>
      </c>
      <c r="S1396" s="186" t="s">
        <v>292</v>
      </c>
      <c r="T1396" s="186" t="s">
        <v>292</v>
      </c>
      <c r="U1396" s="186" t="s">
        <v>292</v>
      </c>
      <c r="V1396" s="186" t="s">
        <v>292</v>
      </c>
      <c r="W1396" s="186" t="s">
        <v>292</v>
      </c>
      <c r="X1396" s="186" t="s">
        <v>292</v>
      </c>
      <c r="Y1396" s="186" t="s">
        <v>292</v>
      </c>
      <c r="Z1396" s="186"/>
      <c r="AA1396" s="186"/>
      <c r="AB1396" s="186"/>
      <c r="AC1396" s="186"/>
      <c r="AD1396" s="268" t="s">
        <v>3606</v>
      </c>
      <c r="AE1396" s="268"/>
      <c r="AF1396" s="144" t="str">
        <f t="shared" si="124"/>
        <v/>
      </c>
      <c r="AG1396" s="144" t="str">
        <f t="shared" si="121"/>
        <v/>
      </c>
      <c r="AH1396" s="146">
        <f t="shared" si="119"/>
        <v>2.6</v>
      </c>
      <c r="AI1396" s="146" t="str">
        <f t="shared" si="120"/>
        <v/>
      </c>
      <c r="AJ1396" s="303"/>
      <c r="AK1396" s="303"/>
      <c r="AL1396" s="303"/>
      <c r="AM1396" s="303"/>
      <c r="AN1396" s="303"/>
      <c r="AO1396" s="303"/>
      <c r="AP1396" s="303"/>
      <c r="AQ1396" s="303"/>
      <c r="AR1396" s="318"/>
      <c r="AS1396" s="227"/>
      <c r="AT1396" s="233"/>
      <c r="AU1396" s="318"/>
      <c r="AV1396" s="343"/>
      <c r="AW1396" s="357">
        <v>2.6</v>
      </c>
      <c r="AX1396" s="294"/>
      <c r="AY1396" s="294"/>
      <c r="AZ1396" s="294"/>
      <c r="BA1396" s="294"/>
      <c r="BB1396" s="294"/>
      <c r="BC1396" s="294"/>
      <c r="BD1396" s="294"/>
      <c r="BE1396" s="294"/>
      <c r="BF1396" s="383">
        <f t="shared" si="123"/>
        <v>2.6</v>
      </c>
      <c r="BG1396" s="383"/>
      <c r="BH1396" s="375"/>
      <c r="BI1396" s="376"/>
      <c r="BJ1396" s="409"/>
    </row>
    <row r="1397" spans="1:62" ht="15" customHeight="1" thickBot="1" x14ac:dyDescent="0.25">
      <c r="A1397" s="156">
        <v>1398</v>
      </c>
      <c r="B1397" s="247">
        <v>1</v>
      </c>
      <c r="C1397" s="148" t="s">
        <v>2933</v>
      </c>
      <c r="D1397" s="148" t="s">
        <v>2448</v>
      </c>
      <c r="E1397" s="148" t="s">
        <v>13</v>
      </c>
      <c r="F1397" s="148"/>
      <c r="G1397" s="148"/>
      <c r="H1397" s="148" t="s">
        <v>1247</v>
      </c>
      <c r="I1397" s="161">
        <v>2014</v>
      </c>
      <c r="J1397" s="161" t="s">
        <v>3617</v>
      </c>
      <c r="K1397" s="161"/>
      <c r="L1397" s="161" t="s">
        <v>19</v>
      </c>
      <c r="M1397" s="453" t="s">
        <v>4346</v>
      </c>
      <c r="N1397" s="186" t="s">
        <v>122</v>
      </c>
      <c r="O1397" s="186" t="s">
        <v>292</v>
      </c>
      <c r="P1397" s="186" t="s">
        <v>122</v>
      </c>
      <c r="Q1397" s="186" t="s">
        <v>122</v>
      </c>
      <c r="R1397" s="186" t="s">
        <v>122</v>
      </c>
      <c r="S1397" s="186" t="s">
        <v>292</v>
      </c>
      <c r="T1397" s="186" t="s">
        <v>292</v>
      </c>
      <c r="U1397" s="186" t="s">
        <v>292</v>
      </c>
      <c r="V1397" s="186" t="s">
        <v>292</v>
      </c>
      <c r="W1397" s="186" t="s">
        <v>292</v>
      </c>
      <c r="X1397" s="186" t="s">
        <v>292</v>
      </c>
      <c r="Y1397" s="186" t="s">
        <v>292</v>
      </c>
      <c r="Z1397" s="186"/>
      <c r="AA1397" s="186" t="s">
        <v>1439</v>
      </c>
      <c r="AB1397" s="186"/>
      <c r="AC1397" s="186"/>
      <c r="AD1397" s="268" t="s">
        <v>3618</v>
      </c>
      <c r="AE1397" s="268" t="s">
        <v>3619</v>
      </c>
      <c r="AF1397" s="144">
        <f t="shared" si="124"/>
        <v>15.500000000000002</v>
      </c>
      <c r="AG1397" s="144">
        <f t="shared" si="121"/>
        <v>17.333333333333336</v>
      </c>
      <c r="AH1397" s="146">
        <f t="shared" si="119"/>
        <v>2.2500000000000004</v>
      </c>
      <c r="AI1397" s="146">
        <f t="shared" si="120"/>
        <v>2.3775000000000004</v>
      </c>
      <c r="AJ1397" s="303">
        <f>18.6/1.2</f>
        <v>15.500000000000002</v>
      </c>
      <c r="AK1397" s="303"/>
      <c r="AL1397" s="303">
        <f>(3.6-1.4)/1.2</f>
        <v>1.8333333333333335</v>
      </c>
      <c r="AM1397" s="303">
        <f>1.4/1.2</f>
        <v>1.1666666666666667</v>
      </c>
      <c r="AN1397" s="303"/>
      <c r="AO1397" s="303"/>
      <c r="AP1397" s="303"/>
      <c r="AQ1397" s="303"/>
      <c r="AR1397" s="318"/>
      <c r="AS1397" s="227">
        <f>AJ1397</f>
        <v>15.500000000000002</v>
      </c>
      <c r="AT1397" s="233">
        <f>SUM(AJ1397:AR1397)</f>
        <v>18.500000000000004</v>
      </c>
      <c r="AU1397" s="318"/>
      <c r="AV1397" s="343"/>
      <c r="AW1397" s="357">
        <f>2.7/1.2</f>
        <v>2.2500000000000004</v>
      </c>
      <c r="AX1397" s="294"/>
      <c r="AY1397" s="294">
        <f>(0.2-0.047)/1.2</f>
        <v>0.12750000000000003</v>
      </c>
      <c r="AZ1397" s="294">
        <f>0.047/1.2</f>
        <v>3.9166666666666669E-2</v>
      </c>
      <c r="BA1397" s="294"/>
      <c r="BB1397" s="294"/>
      <c r="BC1397" s="294"/>
      <c r="BD1397" s="294"/>
      <c r="BE1397" s="294"/>
      <c r="BF1397" s="383">
        <f t="shared" si="123"/>
        <v>2.2500000000000004</v>
      </c>
      <c r="BG1397" s="383">
        <f>SUM(AW1397:BE1397)</f>
        <v>2.416666666666667</v>
      </c>
      <c r="BH1397" s="375"/>
      <c r="BI1397" s="376"/>
      <c r="BJ1397" s="409"/>
    </row>
    <row r="1398" spans="1:62" ht="15" customHeight="1" thickBot="1" x14ac:dyDescent="0.25">
      <c r="A1398" s="156">
        <v>1399</v>
      </c>
      <c r="B1398" s="247">
        <v>1</v>
      </c>
      <c r="C1398" s="148" t="s">
        <v>3589</v>
      </c>
      <c r="D1398" s="148" t="s">
        <v>12</v>
      </c>
      <c r="E1398" s="148" t="s">
        <v>13</v>
      </c>
      <c r="F1398" s="148"/>
      <c r="G1398" s="148"/>
      <c r="H1398" s="148" t="s">
        <v>55</v>
      </c>
      <c r="I1398" s="161">
        <v>2014</v>
      </c>
      <c r="J1398" s="161" t="s">
        <v>3620</v>
      </c>
      <c r="K1398" s="161"/>
      <c r="L1398" s="161" t="s">
        <v>19</v>
      </c>
      <c r="M1398" s="453" t="s">
        <v>4347</v>
      </c>
      <c r="N1398" s="186" t="s">
        <v>122</v>
      </c>
      <c r="O1398" s="186" t="s">
        <v>20</v>
      </c>
      <c r="P1398" s="186" t="s">
        <v>292</v>
      </c>
      <c r="Q1398" s="186" t="s">
        <v>292</v>
      </c>
      <c r="R1398" s="186" t="s">
        <v>292</v>
      </c>
      <c r="S1398" s="186" t="s">
        <v>292</v>
      </c>
      <c r="T1398" s="186" t="s">
        <v>292</v>
      </c>
      <c r="U1398" s="186" t="s">
        <v>292</v>
      </c>
      <c r="V1398" s="186" t="s">
        <v>292</v>
      </c>
      <c r="W1398" s="186" t="s">
        <v>292</v>
      </c>
      <c r="X1398" s="186" t="s">
        <v>292</v>
      </c>
      <c r="Y1398" s="186" t="s">
        <v>292</v>
      </c>
      <c r="Z1398" s="186"/>
      <c r="AA1398" s="186" t="s">
        <v>303</v>
      </c>
      <c r="AB1398" s="186"/>
      <c r="AC1398" s="186"/>
      <c r="AD1398" s="268" t="s">
        <v>252</v>
      </c>
      <c r="AE1398" s="268"/>
      <c r="AF1398" s="144" t="str">
        <f t="shared" si="124"/>
        <v/>
      </c>
      <c r="AG1398" s="144" t="str">
        <f t="shared" si="121"/>
        <v/>
      </c>
      <c r="AH1398" s="146">
        <f t="shared" si="119"/>
        <v>1.1100000000000001</v>
      </c>
      <c r="AI1398" s="146" t="str">
        <f t="shared" si="120"/>
        <v/>
      </c>
      <c r="AJ1398" s="303"/>
      <c r="AK1398" s="303"/>
      <c r="AL1398" s="303"/>
      <c r="AM1398" s="303"/>
      <c r="AN1398" s="303"/>
      <c r="AO1398" s="303"/>
      <c r="AP1398" s="303"/>
      <c r="AQ1398" s="303"/>
      <c r="AR1398" s="318"/>
      <c r="AS1398" s="227"/>
      <c r="AT1398" s="233"/>
      <c r="AU1398" s="318"/>
      <c r="AV1398" s="343"/>
      <c r="AW1398" s="357">
        <v>1.1100000000000001</v>
      </c>
      <c r="AX1398" s="294"/>
      <c r="AY1398" s="294"/>
      <c r="AZ1398" s="294"/>
      <c r="BA1398" s="294"/>
      <c r="BB1398" s="294"/>
      <c r="BC1398" s="294"/>
      <c r="BD1398" s="294"/>
      <c r="BE1398" s="294"/>
      <c r="BF1398" s="383">
        <f t="shared" si="123"/>
        <v>1.1100000000000001</v>
      </c>
      <c r="BG1398" s="383"/>
      <c r="BH1398" s="375"/>
      <c r="BI1398" s="376"/>
      <c r="BJ1398" s="409"/>
    </row>
    <row r="1399" spans="1:62" ht="15" customHeight="1" thickBot="1" x14ac:dyDescent="0.25">
      <c r="A1399" s="156">
        <v>1400</v>
      </c>
      <c r="B1399" s="247">
        <v>1</v>
      </c>
      <c r="C1399" s="148" t="s">
        <v>2933</v>
      </c>
      <c r="D1399" s="148" t="s">
        <v>3451</v>
      </c>
      <c r="E1399" s="148" t="s">
        <v>13</v>
      </c>
      <c r="F1399" s="148" t="s">
        <v>3621</v>
      </c>
      <c r="G1399" s="148"/>
      <c r="H1399" s="148" t="s">
        <v>183</v>
      </c>
      <c r="I1399" s="161">
        <v>2014</v>
      </c>
      <c r="J1399" s="161" t="s">
        <v>3622</v>
      </c>
      <c r="K1399" s="161"/>
      <c r="L1399" s="161" t="s">
        <v>19</v>
      </c>
      <c r="M1399" s="453" t="s">
        <v>4348</v>
      </c>
      <c r="N1399" s="186" t="s">
        <v>122</v>
      </c>
      <c r="O1399" s="186" t="s">
        <v>292</v>
      </c>
      <c r="P1399" s="186" t="s">
        <v>292</v>
      </c>
      <c r="Q1399" s="186" t="s">
        <v>292</v>
      </c>
      <c r="R1399" s="186" t="s">
        <v>292</v>
      </c>
      <c r="S1399" s="186" t="s">
        <v>292</v>
      </c>
      <c r="T1399" s="186" t="s">
        <v>292</v>
      </c>
      <c r="U1399" s="186" t="s">
        <v>292</v>
      </c>
      <c r="V1399" s="186" t="s">
        <v>292</v>
      </c>
      <c r="W1399" s="186" t="s">
        <v>292</v>
      </c>
      <c r="X1399" s="186" t="s">
        <v>292</v>
      </c>
      <c r="Y1399" s="186" t="s">
        <v>292</v>
      </c>
      <c r="Z1399" s="186"/>
      <c r="AA1399" s="186"/>
      <c r="AB1399" s="186"/>
      <c r="AC1399" s="186"/>
      <c r="AD1399" s="268" t="s">
        <v>3623</v>
      </c>
      <c r="AE1399" s="268" t="s">
        <v>31</v>
      </c>
      <c r="AF1399" s="144" t="str">
        <f t="shared" si="124"/>
        <v/>
      </c>
      <c r="AG1399" s="144" t="str">
        <f t="shared" si="121"/>
        <v/>
      </c>
      <c r="AH1399" s="146">
        <f t="shared" si="119"/>
        <v>42.481391953665359</v>
      </c>
      <c r="AI1399" s="146" t="str">
        <f t="shared" si="120"/>
        <v/>
      </c>
      <c r="AJ1399" s="303"/>
      <c r="AK1399" s="303"/>
      <c r="AL1399" s="303"/>
      <c r="AM1399" s="303"/>
      <c r="AN1399" s="303"/>
      <c r="AO1399" s="303"/>
      <c r="AP1399" s="303"/>
      <c r="AQ1399" s="303"/>
      <c r="AR1399" s="318"/>
      <c r="AS1399" s="227"/>
      <c r="AT1399" s="233"/>
      <c r="AU1399" s="318"/>
      <c r="AV1399" s="343"/>
      <c r="AW1399" s="357">
        <f>(6.5+6+1.7)/0.508/0.658</f>
        <v>42.481391953665359</v>
      </c>
      <c r="AX1399" s="294"/>
      <c r="AY1399" s="294"/>
      <c r="AZ1399" s="294"/>
      <c r="BA1399" s="294"/>
      <c r="BB1399" s="294"/>
      <c r="BC1399" s="294"/>
      <c r="BD1399" s="294"/>
      <c r="BE1399" s="294"/>
      <c r="BF1399" s="383">
        <f t="shared" si="123"/>
        <v>42.481391953665359</v>
      </c>
      <c r="BG1399" s="383"/>
      <c r="BH1399" s="375"/>
      <c r="BI1399" s="376"/>
      <c r="BJ1399" s="409"/>
    </row>
    <row r="1400" spans="1:62" ht="15" customHeight="1" thickBot="1" x14ac:dyDescent="0.25">
      <c r="A1400" s="156">
        <v>1401</v>
      </c>
      <c r="B1400" s="247">
        <v>1</v>
      </c>
      <c r="C1400" s="148" t="s">
        <v>2933</v>
      </c>
      <c r="D1400" s="148" t="s">
        <v>3451</v>
      </c>
      <c r="E1400" s="148" t="s">
        <v>13</v>
      </c>
      <c r="F1400" s="148" t="s">
        <v>3624</v>
      </c>
      <c r="G1400" s="148"/>
      <c r="H1400" s="148" t="s">
        <v>183</v>
      </c>
      <c r="I1400" s="161">
        <v>2014</v>
      </c>
      <c r="J1400" s="161" t="s">
        <v>3622</v>
      </c>
      <c r="K1400" s="161"/>
      <c r="L1400" s="161" t="s">
        <v>19</v>
      </c>
      <c r="M1400" s="453" t="s">
        <v>4348</v>
      </c>
      <c r="N1400" s="186" t="s">
        <v>122</v>
      </c>
      <c r="O1400" s="186" t="s">
        <v>292</v>
      </c>
      <c r="P1400" s="186" t="s">
        <v>292</v>
      </c>
      <c r="Q1400" s="186" t="s">
        <v>292</v>
      </c>
      <c r="R1400" s="186" t="s">
        <v>292</v>
      </c>
      <c r="S1400" s="186" t="s">
        <v>292</v>
      </c>
      <c r="T1400" s="186" t="s">
        <v>292</v>
      </c>
      <c r="U1400" s="186" t="s">
        <v>292</v>
      </c>
      <c r="V1400" s="186" t="s">
        <v>292</v>
      </c>
      <c r="W1400" s="186" t="s">
        <v>292</v>
      </c>
      <c r="X1400" s="186" t="s">
        <v>292</v>
      </c>
      <c r="Y1400" s="186" t="s">
        <v>292</v>
      </c>
      <c r="Z1400" s="186"/>
      <c r="AA1400" s="186"/>
      <c r="AB1400" s="186"/>
      <c r="AC1400" s="186"/>
      <c r="AD1400" s="268" t="s">
        <v>3623</v>
      </c>
      <c r="AE1400" s="268" t="s">
        <v>31</v>
      </c>
      <c r="AF1400" s="144" t="str">
        <f t="shared" si="124"/>
        <v/>
      </c>
      <c r="AG1400" s="144" t="str">
        <f t="shared" si="121"/>
        <v/>
      </c>
      <c r="AH1400" s="146">
        <f t="shared" si="119"/>
        <v>39.489744632984703</v>
      </c>
      <c r="AI1400" s="146" t="str">
        <f t="shared" si="120"/>
        <v/>
      </c>
      <c r="AJ1400" s="303"/>
      <c r="AK1400" s="303"/>
      <c r="AL1400" s="303"/>
      <c r="AM1400" s="303"/>
      <c r="AN1400" s="303"/>
      <c r="AO1400" s="303"/>
      <c r="AP1400" s="303"/>
      <c r="AQ1400" s="303"/>
      <c r="AR1400" s="318"/>
      <c r="AS1400" s="227"/>
      <c r="AT1400" s="233"/>
      <c r="AU1400" s="318"/>
      <c r="AV1400" s="343"/>
      <c r="AW1400" s="357">
        <f>(7.3+4.6+1.3)/0.508/0.658</f>
        <v>39.489744632984703</v>
      </c>
      <c r="AX1400" s="294"/>
      <c r="AY1400" s="294"/>
      <c r="AZ1400" s="294"/>
      <c r="BA1400" s="294"/>
      <c r="BB1400" s="294"/>
      <c r="BC1400" s="294"/>
      <c r="BD1400" s="294"/>
      <c r="BE1400" s="294"/>
      <c r="BF1400" s="383">
        <f t="shared" si="123"/>
        <v>39.489744632984703</v>
      </c>
      <c r="BG1400" s="383"/>
      <c r="BH1400" s="375"/>
      <c r="BI1400" s="376"/>
      <c r="BJ1400" s="409"/>
    </row>
    <row r="1401" spans="1:62" ht="15" customHeight="1" thickBot="1" x14ac:dyDescent="0.25">
      <c r="A1401" s="156">
        <v>1402</v>
      </c>
      <c r="B1401" s="247">
        <v>1</v>
      </c>
      <c r="C1401" s="148" t="s">
        <v>2933</v>
      </c>
      <c r="D1401" s="148" t="s">
        <v>2745</v>
      </c>
      <c r="E1401" s="148" t="s">
        <v>13</v>
      </c>
      <c r="F1401" s="148" t="s">
        <v>3621</v>
      </c>
      <c r="G1401" s="148"/>
      <c r="H1401" s="148" t="s">
        <v>183</v>
      </c>
      <c r="I1401" s="161">
        <v>2014</v>
      </c>
      <c r="J1401" s="161" t="s">
        <v>3622</v>
      </c>
      <c r="K1401" s="161"/>
      <c r="L1401" s="161" t="s">
        <v>19</v>
      </c>
      <c r="M1401" s="453" t="s">
        <v>4348</v>
      </c>
      <c r="N1401" s="186" t="s">
        <v>122</v>
      </c>
      <c r="O1401" s="186" t="s">
        <v>292</v>
      </c>
      <c r="P1401" s="186" t="s">
        <v>292</v>
      </c>
      <c r="Q1401" s="186" t="s">
        <v>292</v>
      </c>
      <c r="R1401" s="186" t="s">
        <v>292</v>
      </c>
      <c r="S1401" s="186" t="s">
        <v>292</v>
      </c>
      <c r="T1401" s="186" t="s">
        <v>292</v>
      </c>
      <c r="U1401" s="186" t="s">
        <v>292</v>
      </c>
      <c r="V1401" s="186" t="s">
        <v>292</v>
      </c>
      <c r="W1401" s="186" t="s">
        <v>292</v>
      </c>
      <c r="X1401" s="186" t="s">
        <v>292</v>
      </c>
      <c r="Y1401" s="186" t="s">
        <v>292</v>
      </c>
      <c r="Z1401" s="186"/>
      <c r="AA1401" s="186"/>
      <c r="AB1401" s="186"/>
      <c r="AC1401" s="186"/>
      <c r="AD1401" s="268" t="s">
        <v>3623</v>
      </c>
      <c r="AE1401" s="268" t="s">
        <v>305</v>
      </c>
      <c r="AF1401" s="144" t="str">
        <f t="shared" si="124"/>
        <v/>
      </c>
      <c r="AG1401" s="144" t="str">
        <f t="shared" si="121"/>
        <v/>
      </c>
      <c r="AH1401" s="146">
        <f t="shared" si="119"/>
        <v>35.115332699098957</v>
      </c>
      <c r="AI1401" s="146" t="str">
        <f t="shared" si="120"/>
        <v/>
      </c>
      <c r="AJ1401" s="303"/>
      <c r="AK1401" s="303"/>
      <c r="AL1401" s="303"/>
      <c r="AM1401" s="303"/>
      <c r="AN1401" s="303"/>
      <c r="AO1401" s="303"/>
      <c r="AP1401" s="303"/>
      <c r="AQ1401" s="303"/>
      <c r="AR1401" s="318"/>
      <c r="AS1401" s="227"/>
      <c r="AT1401" s="233"/>
      <c r="AU1401" s="318"/>
      <c r="AV1401" s="343"/>
      <c r="AW1401" s="357">
        <f>(7.7+4.7+1.7)/0.667/0.602</f>
        <v>35.115332699098957</v>
      </c>
      <c r="AX1401" s="294"/>
      <c r="AY1401" s="294"/>
      <c r="AZ1401" s="294"/>
      <c r="BA1401" s="294"/>
      <c r="BB1401" s="294"/>
      <c r="BC1401" s="294"/>
      <c r="BD1401" s="294"/>
      <c r="BE1401" s="294"/>
      <c r="BF1401" s="383">
        <f t="shared" si="123"/>
        <v>35.115332699098957</v>
      </c>
      <c r="BG1401" s="383"/>
      <c r="BH1401" s="375"/>
      <c r="BI1401" s="376"/>
      <c r="BJ1401" s="409"/>
    </row>
    <row r="1402" spans="1:62" ht="15" customHeight="1" thickBot="1" x14ac:dyDescent="0.25">
      <c r="A1402" s="156">
        <v>1403</v>
      </c>
      <c r="B1402" s="247">
        <v>1</v>
      </c>
      <c r="C1402" s="148" t="s">
        <v>2933</v>
      </c>
      <c r="D1402" s="148" t="s">
        <v>2745</v>
      </c>
      <c r="E1402" s="148" t="s">
        <v>13</v>
      </c>
      <c r="F1402" s="148" t="s">
        <v>3624</v>
      </c>
      <c r="G1402" s="148"/>
      <c r="H1402" s="148" t="s">
        <v>183</v>
      </c>
      <c r="I1402" s="161">
        <v>2014</v>
      </c>
      <c r="J1402" s="161" t="s">
        <v>3622</v>
      </c>
      <c r="K1402" s="161"/>
      <c r="L1402" s="161" t="s">
        <v>19</v>
      </c>
      <c r="M1402" s="453" t="s">
        <v>4348</v>
      </c>
      <c r="N1402" s="186" t="s">
        <v>122</v>
      </c>
      <c r="O1402" s="186" t="s">
        <v>292</v>
      </c>
      <c r="P1402" s="186" t="s">
        <v>292</v>
      </c>
      <c r="Q1402" s="186" t="s">
        <v>292</v>
      </c>
      <c r="R1402" s="186" t="s">
        <v>292</v>
      </c>
      <c r="S1402" s="186" t="s">
        <v>292</v>
      </c>
      <c r="T1402" s="186" t="s">
        <v>292</v>
      </c>
      <c r="U1402" s="186" t="s">
        <v>292</v>
      </c>
      <c r="V1402" s="186" t="s">
        <v>292</v>
      </c>
      <c r="W1402" s="186" t="s">
        <v>292</v>
      </c>
      <c r="X1402" s="186" t="s">
        <v>292</v>
      </c>
      <c r="Y1402" s="186" t="s">
        <v>292</v>
      </c>
      <c r="Z1402" s="186"/>
      <c r="AA1402" s="186"/>
      <c r="AB1402" s="186"/>
      <c r="AC1402" s="186"/>
      <c r="AD1402" s="268" t="s">
        <v>3623</v>
      </c>
      <c r="AE1402" s="268" t="s">
        <v>305</v>
      </c>
      <c r="AF1402" s="144" t="str">
        <f t="shared" si="124"/>
        <v/>
      </c>
      <c r="AG1402" s="144" t="str">
        <f t="shared" si="121"/>
        <v/>
      </c>
      <c r="AH1402" s="146">
        <f t="shared" si="119"/>
        <v>25.90067092699497</v>
      </c>
      <c r="AI1402" s="146" t="str">
        <f t="shared" si="120"/>
        <v/>
      </c>
      <c r="AJ1402" s="303"/>
      <c r="AK1402" s="303"/>
      <c r="AL1402" s="303"/>
      <c r="AM1402" s="303"/>
      <c r="AN1402" s="303"/>
      <c r="AO1402" s="303"/>
      <c r="AP1402" s="303"/>
      <c r="AQ1402" s="303"/>
      <c r="AR1402" s="318"/>
      <c r="AS1402" s="227"/>
      <c r="AT1402" s="233"/>
      <c r="AU1402" s="318"/>
      <c r="AV1402" s="343"/>
      <c r="AW1402" s="357">
        <f>(6.7+3+0.7)/0.667/0.602</f>
        <v>25.90067092699497</v>
      </c>
      <c r="AX1402" s="294"/>
      <c r="AY1402" s="294"/>
      <c r="AZ1402" s="294"/>
      <c r="BA1402" s="294"/>
      <c r="BB1402" s="294"/>
      <c r="BC1402" s="294"/>
      <c r="BD1402" s="294"/>
      <c r="BE1402" s="294"/>
      <c r="BF1402" s="383">
        <f t="shared" si="123"/>
        <v>25.90067092699497</v>
      </c>
      <c r="BG1402" s="383"/>
      <c r="BH1402" s="375"/>
      <c r="BI1402" s="376"/>
      <c r="BJ1402" s="409"/>
    </row>
    <row r="1403" spans="1:62" ht="15" customHeight="1" thickBot="1" x14ac:dyDescent="0.25">
      <c r="A1403" s="156">
        <v>1404</v>
      </c>
      <c r="B1403" s="247">
        <v>1</v>
      </c>
      <c r="C1403" s="148" t="s">
        <v>975</v>
      </c>
      <c r="D1403" s="148" t="s">
        <v>3625</v>
      </c>
      <c r="E1403" s="148" t="s">
        <v>1068</v>
      </c>
      <c r="F1403" s="148" t="s">
        <v>3626</v>
      </c>
      <c r="G1403" s="148"/>
      <c r="H1403" s="148" t="s">
        <v>73</v>
      </c>
      <c r="I1403" s="161">
        <v>2013</v>
      </c>
      <c r="J1403" s="161" t="s">
        <v>3627</v>
      </c>
      <c r="K1403" s="161"/>
      <c r="L1403" s="161" t="s">
        <v>19</v>
      </c>
      <c r="M1403" s="453" t="s">
        <v>4183</v>
      </c>
      <c r="N1403" s="186" t="s">
        <v>122</v>
      </c>
      <c r="O1403" s="186" t="s">
        <v>292</v>
      </c>
      <c r="P1403" s="186" t="s">
        <v>122</v>
      </c>
      <c r="Q1403" s="186" t="s">
        <v>122</v>
      </c>
      <c r="R1403" s="186" t="s">
        <v>122</v>
      </c>
      <c r="S1403" s="186" t="s">
        <v>292</v>
      </c>
      <c r="T1403" s="186" t="s">
        <v>292</v>
      </c>
      <c r="U1403" s="186" t="s">
        <v>292</v>
      </c>
      <c r="V1403" s="186" t="s">
        <v>292</v>
      </c>
      <c r="W1403" s="186" t="s">
        <v>292</v>
      </c>
      <c r="X1403" s="186" t="s">
        <v>292</v>
      </c>
      <c r="Y1403" s="186" t="s">
        <v>292</v>
      </c>
      <c r="Z1403" s="186"/>
      <c r="AA1403" s="186"/>
      <c r="AB1403" s="186"/>
      <c r="AC1403" s="186"/>
      <c r="AD1403" s="268" t="s">
        <v>3628</v>
      </c>
      <c r="AE1403" s="268" t="s">
        <v>3629</v>
      </c>
      <c r="AF1403" s="144" t="str">
        <f t="shared" si="124"/>
        <v/>
      </c>
      <c r="AG1403" s="144" t="str">
        <f t="shared" si="121"/>
        <v/>
      </c>
      <c r="AH1403" s="146">
        <f t="shared" si="119"/>
        <v>1.98084375</v>
      </c>
      <c r="AI1403" s="146">
        <f t="shared" si="120"/>
        <v>2.1531562499999999</v>
      </c>
      <c r="AJ1403" s="303"/>
      <c r="AK1403" s="303"/>
      <c r="AL1403" s="303"/>
      <c r="AM1403" s="303"/>
      <c r="AN1403" s="303"/>
      <c r="AO1403" s="303"/>
      <c r="AP1403" s="303"/>
      <c r="AQ1403" s="303"/>
      <c r="AR1403" s="318"/>
      <c r="AS1403" s="227"/>
      <c r="AT1403" s="233"/>
      <c r="AU1403" s="318"/>
      <c r="AV1403" s="343"/>
      <c r="AW1403" s="357">
        <f>(0.5016+0.02698+0.09103+0.01426)/0.32</f>
        <v>1.98084375</v>
      </c>
      <c r="AX1403" s="294"/>
      <c r="AY1403" s="294">
        <f>(0.06658-0.01144)/0.32</f>
        <v>0.17231250000000001</v>
      </c>
      <c r="AZ1403" s="294">
        <f>(0.01144+(0.02138-0.01426))/0.32</f>
        <v>5.7999999999999996E-2</v>
      </c>
      <c r="BA1403" s="294"/>
      <c r="BB1403" s="294"/>
      <c r="BC1403" s="294"/>
      <c r="BD1403" s="294"/>
      <c r="BE1403" s="294"/>
      <c r="BF1403" s="383">
        <f t="shared" si="123"/>
        <v>1.98084375</v>
      </c>
      <c r="BG1403" s="383">
        <f>SUM(AW1403:BE1403)</f>
        <v>2.2111562499999997</v>
      </c>
      <c r="BH1403" s="375"/>
      <c r="BI1403" s="376"/>
      <c r="BJ1403" s="409"/>
    </row>
    <row r="1404" spans="1:62" ht="15" customHeight="1" thickBot="1" x14ac:dyDescent="0.25">
      <c r="A1404" s="156">
        <v>1405</v>
      </c>
      <c r="B1404" s="247">
        <v>1</v>
      </c>
      <c r="C1404" s="148" t="s">
        <v>2933</v>
      </c>
      <c r="D1404" s="148" t="s">
        <v>2448</v>
      </c>
      <c r="E1404" s="148" t="s">
        <v>13</v>
      </c>
      <c r="F1404" s="148"/>
      <c r="G1404" s="148"/>
      <c r="H1404" s="148" t="s">
        <v>3630</v>
      </c>
      <c r="I1404" s="161">
        <v>2013</v>
      </c>
      <c r="J1404" s="161" t="s">
        <v>3631</v>
      </c>
      <c r="K1404" s="161"/>
      <c r="L1404" s="161" t="s">
        <v>19</v>
      </c>
      <c r="M1404" s="453" t="s">
        <v>4349</v>
      </c>
      <c r="N1404" s="186" t="s">
        <v>122</v>
      </c>
      <c r="O1404" s="186" t="s">
        <v>292</v>
      </c>
      <c r="P1404" s="186" t="s">
        <v>122</v>
      </c>
      <c r="Q1404" s="186" t="s">
        <v>122</v>
      </c>
      <c r="R1404" s="186" t="s">
        <v>122</v>
      </c>
      <c r="S1404" s="186" t="s">
        <v>292</v>
      </c>
      <c r="T1404" s="186" t="s">
        <v>292</v>
      </c>
      <c r="U1404" s="186" t="s">
        <v>292</v>
      </c>
      <c r="V1404" s="186" t="s">
        <v>292</v>
      </c>
      <c r="W1404" s="186" t="s">
        <v>292</v>
      </c>
      <c r="X1404" s="186" t="s">
        <v>292</v>
      </c>
      <c r="Y1404" s="186" t="s">
        <v>292</v>
      </c>
      <c r="Z1404" s="186"/>
      <c r="AA1404" s="186"/>
      <c r="AB1404" s="186"/>
      <c r="AC1404" s="186"/>
      <c r="AD1404" s="268" t="s">
        <v>3632</v>
      </c>
      <c r="AE1404" s="268"/>
      <c r="AF1404" s="144">
        <f t="shared" si="124"/>
        <v>30.509999999999998</v>
      </c>
      <c r="AG1404" s="144">
        <f t="shared" si="121"/>
        <v>33.866250000000001</v>
      </c>
      <c r="AH1404" s="146">
        <f t="shared" si="119"/>
        <v>2.2311000000000001</v>
      </c>
      <c r="AI1404" s="146">
        <f t="shared" si="120"/>
        <v>2.4469799999999999</v>
      </c>
      <c r="AJ1404" s="303">
        <f>23.875+6.635</f>
        <v>30.509999999999998</v>
      </c>
      <c r="AK1404" s="303"/>
      <c r="AL1404" s="303">
        <f>4.475*0.75</f>
        <v>3.3562499999999997</v>
      </c>
      <c r="AM1404" s="303">
        <f>4.475*0.25</f>
        <v>1.1187499999999999</v>
      </c>
      <c r="AN1404" s="303"/>
      <c r="AO1404" s="303"/>
      <c r="AP1404" s="303"/>
      <c r="AQ1404" s="303"/>
      <c r="AR1404" s="318"/>
      <c r="AS1404" s="227">
        <f t="shared" ref="AS1404:AS1410" si="125">AJ1404</f>
        <v>30.509999999999998</v>
      </c>
      <c r="AT1404" s="233">
        <f>SUM(AJ1404:AR1404)</f>
        <v>34.984999999999999</v>
      </c>
      <c r="AU1404" s="318"/>
      <c r="AV1404" s="343"/>
      <c r="AW1404" s="357">
        <f>1.8781+0.353</f>
        <v>2.2311000000000001</v>
      </c>
      <c r="AX1404" s="294"/>
      <c r="AY1404" s="294">
        <f>0.257*(1-0.16)</f>
        <v>0.21587999999999999</v>
      </c>
      <c r="AZ1404" s="294">
        <f>0.257*0.16</f>
        <v>4.1120000000000004E-2</v>
      </c>
      <c r="BA1404" s="294"/>
      <c r="BB1404" s="294"/>
      <c r="BC1404" s="294"/>
      <c r="BD1404" s="294"/>
      <c r="BE1404" s="294"/>
      <c r="BF1404" s="383">
        <f t="shared" si="123"/>
        <v>2.2311000000000001</v>
      </c>
      <c r="BG1404" s="383">
        <f>SUM(AW1404:BE1404)</f>
        <v>2.4880999999999998</v>
      </c>
      <c r="BH1404" s="375"/>
      <c r="BI1404" s="376"/>
      <c r="BJ1404" s="409"/>
    </row>
    <row r="1405" spans="1:62" ht="15" customHeight="1" thickBot="1" x14ac:dyDescent="0.25">
      <c r="A1405" s="156">
        <v>1406</v>
      </c>
      <c r="B1405" s="247">
        <v>1</v>
      </c>
      <c r="C1405" s="148" t="s">
        <v>3589</v>
      </c>
      <c r="D1405" s="148" t="s">
        <v>3633</v>
      </c>
      <c r="E1405" s="148" t="s">
        <v>13</v>
      </c>
      <c r="F1405" s="148" t="s">
        <v>3634</v>
      </c>
      <c r="G1405" s="148"/>
      <c r="H1405" s="148" t="s">
        <v>1064</v>
      </c>
      <c r="I1405" s="161">
        <v>2013</v>
      </c>
      <c r="J1405" s="161" t="s">
        <v>3635</v>
      </c>
      <c r="K1405" s="161"/>
      <c r="L1405" s="161" t="s">
        <v>19</v>
      </c>
      <c r="M1405" s="453" t="s">
        <v>4350</v>
      </c>
      <c r="N1405" s="186" t="s">
        <v>122</v>
      </c>
      <c r="O1405" s="186" t="s">
        <v>292</v>
      </c>
      <c r="P1405" s="186" t="s">
        <v>292</v>
      </c>
      <c r="Q1405" s="186" t="s">
        <v>292</v>
      </c>
      <c r="R1405" s="186" t="s">
        <v>292</v>
      </c>
      <c r="S1405" s="186" t="s">
        <v>292</v>
      </c>
      <c r="T1405" s="186" t="s">
        <v>292</v>
      </c>
      <c r="U1405" s="186" t="s">
        <v>292</v>
      </c>
      <c r="V1405" s="186" t="s">
        <v>292</v>
      </c>
      <c r="W1405" s="186" t="s">
        <v>292</v>
      </c>
      <c r="X1405" s="186" t="s">
        <v>292</v>
      </c>
      <c r="Y1405" s="186" t="s">
        <v>292</v>
      </c>
      <c r="Z1405" s="186"/>
      <c r="AA1405" s="186"/>
      <c r="AB1405" s="186"/>
      <c r="AC1405" s="186"/>
      <c r="AD1405" s="268" t="s">
        <v>3636</v>
      </c>
      <c r="AE1405" s="268"/>
      <c r="AF1405" s="144">
        <f t="shared" si="124"/>
        <v>4.6619999999999999</v>
      </c>
      <c r="AG1405" s="144" t="str">
        <f t="shared" si="121"/>
        <v/>
      </c>
      <c r="AH1405" s="146">
        <f t="shared" si="119"/>
        <v>1.59</v>
      </c>
      <c r="AI1405" s="146" t="str">
        <f t="shared" si="120"/>
        <v/>
      </c>
      <c r="AJ1405" s="303">
        <f>0.111*42</f>
        <v>4.6619999999999999</v>
      </c>
      <c r="AK1405" s="303"/>
      <c r="AL1405" s="303"/>
      <c r="AM1405" s="303"/>
      <c r="AN1405" s="303"/>
      <c r="AO1405" s="303"/>
      <c r="AP1405" s="303"/>
      <c r="AQ1405" s="303"/>
      <c r="AR1405" s="318"/>
      <c r="AS1405" s="227">
        <f t="shared" si="125"/>
        <v>4.6619999999999999</v>
      </c>
      <c r="AT1405" s="233"/>
      <c r="AU1405" s="318"/>
      <c r="AV1405" s="343"/>
      <c r="AW1405" s="357">
        <v>1.59</v>
      </c>
      <c r="AX1405" s="294"/>
      <c r="AY1405" s="294"/>
      <c r="AZ1405" s="294"/>
      <c r="BA1405" s="294"/>
      <c r="BB1405" s="294"/>
      <c r="BC1405" s="294"/>
      <c r="BD1405" s="294"/>
      <c r="BE1405" s="294"/>
      <c r="BF1405" s="383">
        <f t="shared" si="123"/>
        <v>1.59</v>
      </c>
      <c r="BG1405" s="383"/>
      <c r="BH1405" s="375"/>
      <c r="BI1405" s="376"/>
      <c r="BJ1405" s="409"/>
    </row>
    <row r="1406" spans="1:62" ht="15" customHeight="1" thickBot="1" x14ac:dyDescent="0.25">
      <c r="A1406" s="156">
        <v>1407</v>
      </c>
      <c r="B1406" s="247">
        <v>1</v>
      </c>
      <c r="C1406" s="148" t="s">
        <v>3589</v>
      </c>
      <c r="D1406" s="148" t="s">
        <v>3633</v>
      </c>
      <c r="E1406" s="148" t="s">
        <v>13</v>
      </c>
      <c r="F1406" s="148" t="s">
        <v>3637</v>
      </c>
      <c r="G1406" s="148"/>
      <c r="H1406" s="148" t="s">
        <v>1064</v>
      </c>
      <c r="I1406" s="161">
        <v>2013</v>
      </c>
      <c r="J1406" s="161" t="s">
        <v>3635</v>
      </c>
      <c r="K1406" s="161"/>
      <c r="L1406" s="161" t="s">
        <v>19</v>
      </c>
      <c r="M1406" s="453" t="s">
        <v>4350</v>
      </c>
      <c r="N1406" s="186" t="s">
        <v>122</v>
      </c>
      <c r="O1406" s="186" t="s">
        <v>292</v>
      </c>
      <c r="P1406" s="186" t="s">
        <v>292</v>
      </c>
      <c r="Q1406" s="186" t="s">
        <v>292</v>
      </c>
      <c r="R1406" s="186" t="s">
        <v>292</v>
      </c>
      <c r="S1406" s="186" t="s">
        <v>292</v>
      </c>
      <c r="T1406" s="186" t="s">
        <v>292</v>
      </c>
      <c r="U1406" s="186" t="s">
        <v>292</v>
      </c>
      <c r="V1406" s="186" t="s">
        <v>292</v>
      </c>
      <c r="W1406" s="186" t="s">
        <v>292</v>
      </c>
      <c r="X1406" s="186" t="s">
        <v>292</v>
      </c>
      <c r="Y1406" s="186" t="s">
        <v>292</v>
      </c>
      <c r="Z1406" s="186"/>
      <c r="AA1406" s="186"/>
      <c r="AB1406" s="186"/>
      <c r="AC1406" s="186"/>
      <c r="AD1406" s="268" t="s">
        <v>3636</v>
      </c>
      <c r="AE1406" s="268"/>
      <c r="AF1406" s="144">
        <f t="shared" si="124"/>
        <v>3.9438</v>
      </c>
      <c r="AG1406" s="144" t="str">
        <f t="shared" si="121"/>
        <v/>
      </c>
      <c r="AH1406" s="146">
        <f t="shared" si="119"/>
        <v>1.54</v>
      </c>
      <c r="AI1406" s="146" t="str">
        <f t="shared" si="120"/>
        <v/>
      </c>
      <c r="AJ1406" s="303">
        <f>0.0939*42</f>
        <v>3.9438</v>
      </c>
      <c r="AK1406" s="303"/>
      <c r="AL1406" s="303"/>
      <c r="AM1406" s="303"/>
      <c r="AN1406" s="303"/>
      <c r="AO1406" s="303"/>
      <c r="AP1406" s="303"/>
      <c r="AQ1406" s="303"/>
      <c r="AR1406" s="318"/>
      <c r="AS1406" s="227">
        <f t="shared" si="125"/>
        <v>3.9438</v>
      </c>
      <c r="AT1406" s="233"/>
      <c r="AU1406" s="318"/>
      <c r="AV1406" s="343"/>
      <c r="AW1406" s="357">
        <v>1.54</v>
      </c>
      <c r="AX1406" s="294"/>
      <c r="AY1406" s="294"/>
      <c r="AZ1406" s="294"/>
      <c r="BA1406" s="294"/>
      <c r="BB1406" s="294"/>
      <c r="BC1406" s="294"/>
      <c r="BD1406" s="294"/>
      <c r="BE1406" s="294"/>
      <c r="BF1406" s="383">
        <f t="shared" si="123"/>
        <v>1.54</v>
      </c>
      <c r="BG1406" s="383"/>
      <c r="BH1406" s="375"/>
      <c r="BI1406" s="376"/>
      <c r="BJ1406" s="409"/>
    </row>
    <row r="1407" spans="1:62" ht="15" customHeight="1" thickBot="1" x14ac:dyDescent="0.25">
      <c r="A1407" s="156">
        <v>1408</v>
      </c>
      <c r="B1407" s="247">
        <v>1</v>
      </c>
      <c r="C1407" s="148" t="s">
        <v>3589</v>
      </c>
      <c r="D1407" s="148" t="s">
        <v>3633</v>
      </c>
      <c r="E1407" s="148" t="s">
        <v>13</v>
      </c>
      <c r="F1407" s="148" t="s">
        <v>3638</v>
      </c>
      <c r="G1407" s="148"/>
      <c r="H1407" s="148" t="s">
        <v>1064</v>
      </c>
      <c r="I1407" s="161">
        <v>2013</v>
      </c>
      <c r="J1407" s="161" t="s">
        <v>3635</v>
      </c>
      <c r="K1407" s="161"/>
      <c r="L1407" s="161" t="s">
        <v>19</v>
      </c>
      <c r="M1407" s="453" t="s">
        <v>4350</v>
      </c>
      <c r="N1407" s="186" t="s">
        <v>122</v>
      </c>
      <c r="O1407" s="186" t="s">
        <v>292</v>
      </c>
      <c r="P1407" s="186" t="s">
        <v>292</v>
      </c>
      <c r="Q1407" s="186" t="s">
        <v>292</v>
      </c>
      <c r="R1407" s="186" t="s">
        <v>292</v>
      </c>
      <c r="S1407" s="186" t="s">
        <v>292</v>
      </c>
      <c r="T1407" s="186" t="s">
        <v>292</v>
      </c>
      <c r="U1407" s="186" t="s">
        <v>292</v>
      </c>
      <c r="V1407" s="186" t="s">
        <v>292</v>
      </c>
      <c r="W1407" s="186" t="s">
        <v>292</v>
      </c>
      <c r="X1407" s="186" t="s">
        <v>292</v>
      </c>
      <c r="Y1407" s="186" t="s">
        <v>292</v>
      </c>
      <c r="Z1407" s="186"/>
      <c r="AA1407" s="186"/>
      <c r="AB1407" s="186"/>
      <c r="AC1407" s="186"/>
      <c r="AD1407" s="268" t="s">
        <v>3636</v>
      </c>
      <c r="AE1407" s="268"/>
      <c r="AF1407" s="144">
        <f t="shared" si="124"/>
        <v>3.7506000000000004</v>
      </c>
      <c r="AG1407" s="144" t="str">
        <f t="shared" si="121"/>
        <v/>
      </c>
      <c r="AH1407" s="146">
        <f t="shared" si="119"/>
        <v>1.47</v>
      </c>
      <c r="AI1407" s="146" t="str">
        <f t="shared" si="120"/>
        <v/>
      </c>
      <c r="AJ1407" s="303">
        <f>0.0893*42</f>
        <v>3.7506000000000004</v>
      </c>
      <c r="AK1407" s="303"/>
      <c r="AL1407" s="303"/>
      <c r="AM1407" s="303"/>
      <c r="AN1407" s="303"/>
      <c r="AO1407" s="303"/>
      <c r="AP1407" s="303"/>
      <c r="AQ1407" s="303"/>
      <c r="AR1407" s="318"/>
      <c r="AS1407" s="227">
        <f t="shared" si="125"/>
        <v>3.7506000000000004</v>
      </c>
      <c r="AT1407" s="233"/>
      <c r="AU1407" s="318"/>
      <c r="AV1407" s="343"/>
      <c r="AW1407" s="357">
        <v>1.47</v>
      </c>
      <c r="AX1407" s="294"/>
      <c r="AY1407" s="294"/>
      <c r="AZ1407" s="294"/>
      <c r="BA1407" s="294"/>
      <c r="BB1407" s="294"/>
      <c r="BC1407" s="294"/>
      <c r="BD1407" s="294"/>
      <c r="BE1407" s="294"/>
      <c r="BF1407" s="383">
        <f t="shared" si="123"/>
        <v>1.47</v>
      </c>
      <c r="BG1407" s="383"/>
      <c r="BH1407" s="375"/>
      <c r="BI1407" s="376"/>
      <c r="BJ1407" s="409"/>
    </row>
    <row r="1408" spans="1:62" ht="15" customHeight="1" thickBot="1" x14ac:dyDescent="0.25">
      <c r="A1408" s="156">
        <v>1409</v>
      </c>
      <c r="B1408" s="247">
        <v>1</v>
      </c>
      <c r="C1408" s="148" t="s">
        <v>2933</v>
      </c>
      <c r="D1408" s="148" t="s">
        <v>3639</v>
      </c>
      <c r="E1408" s="148" t="s">
        <v>13</v>
      </c>
      <c r="F1408" s="148" t="s">
        <v>3634</v>
      </c>
      <c r="G1408" s="148"/>
      <c r="H1408" s="148" t="s">
        <v>1064</v>
      </c>
      <c r="I1408" s="161">
        <v>2013</v>
      </c>
      <c r="J1408" s="161" t="s">
        <v>3635</v>
      </c>
      <c r="K1408" s="161"/>
      <c r="L1408" s="161" t="s">
        <v>19</v>
      </c>
      <c r="M1408" s="453" t="s">
        <v>4350</v>
      </c>
      <c r="N1408" s="186" t="s">
        <v>122</v>
      </c>
      <c r="O1408" s="186" t="s">
        <v>292</v>
      </c>
      <c r="P1408" s="186" t="s">
        <v>292</v>
      </c>
      <c r="Q1408" s="186" t="s">
        <v>292</v>
      </c>
      <c r="R1408" s="186" t="s">
        <v>292</v>
      </c>
      <c r="S1408" s="186" t="s">
        <v>292</v>
      </c>
      <c r="T1408" s="186" t="s">
        <v>292</v>
      </c>
      <c r="U1408" s="186" t="s">
        <v>292</v>
      </c>
      <c r="V1408" s="186" t="s">
        <v>292</v>
      </c>
      <c r="W1408" s="186" t="s">
        <v>292</v>
      </c>
      <c r="X1408" s="186" t="s">
        <v>292</v>
      </c>
      <c r="Y1408" s="186" t="s">
        <v>292</v>
      </c>
      <c r="Z1408" s="186"/>
      <c r="AA1408" s="186"/>
      <c r="AB1408" s="186"/>
      <c r="AC1408" s="186"/>
      <c r="AD1408" s="268" t="s">
        <v>3640</v>
      </c>
      <c r="AE1408" s="268" t="s">
        <v>3641</v>
      </c>
      <c r="AF1408" s="144">
        <f t="shared" si="124"/>
        <v>80.599700149925027</v>
      </c>
      <c r="AG1408" s="144" t="str">
        <f t="shared" si="121"/>
        <v/>
      </c>
      <c r="AH1408" s="146">
        <f t="shared" si="119"/>
        <v>27.586206896551719</v>
      </c>
      <c r="AI1408" s="146" t="str">
        <f t="shared" si="120"/>
        <v/>
      </c>
      <c r="AJ1408" s="303">
        <f>1.28*42/0.667</f>
        <v>80.599700149925027</v>
      </c>
      <c r="AK1408" s="303"/>
      <c r="AL1408" s="303"/>
      <c r="AM1408" s="303"/>
      <c r="AN1408" s="303"/>
      <c r="AO1408" s="303"/>
      <c r="AP1408" s="303"/>
      <c r="AQ1408" s="303"/>
      <c r="AR1408" s="318"/>
      <c r="AS1408" s="227">
        <f t="shared" si="125"/>
        <v>80.599700149925027</v>
      </c>
      <c r="AT1408" s="233"/>
      <c r="AU1408" s="318"/>
      <c r="AV1408" s="343"/>
      <c r="AW1408" s="357">
        <f>18.4/0.667</f>
        <v>27.586206896551719</v>
      </c>
      <c r="AX1408" s="294"/>
      <c r="AY1408" s="294"/>
      <c r="AZ1408" s="294"/>
      <c r="BA1408" s="294"/>
      <c r="BB1408" s="294"/>
      <c r="BC1408" s="294"/>
      <c r="BD1408" s="294"/>
      <c r="BE1408" s="294"/>
      <c r="BF1408" s="383">
        <f t="shared" si="123"/>
        <v>27.586206896551719</v>
      </c>
      <c r="BG1408" s="383"/>
      <c r="BH1408" s="375"/>
      <c r="BI1408" s="376"/>
      <c r="BJ1408" s="409"/>
    </row>
    <row r="1409" spans="1:62" ht="15" customHeight="1" thickBot="1" x14ac:dyDescent="0.25">
      <c r="A1409" s="156">
        <v>1410</v>
      </c>
      <c r="B1409" s="247">
        <v>1</v>
      </c>
      <c r="C1409" s="148" t="s">
        <v>2933</v>
      </c>
      <c r="D1409" s="148" t="s">
        <v>3639</v>
      </c>
      <c r="E1409" s="148" t="s">
        <v>13</v>
      </c>
      <c r="F1409" s="148" t="s">
        <v>3637</v>
      </c>
      <c r="G1409" s="148"/>
      <c r="H1409" s="148" t="s">
        <v>1064</v>
      </c>
      <c r="I1409" s="161">
        <v>2013</v>
      </c>
      <c r="J1409" s="161" t="s">
        <v>3635</v>
      </c>
      <c r="K1409" s="161"/>
      <c r="L1409" s="161" t="s">
        <v>19</v>
      </c>
      <c r="M1409" s="453" t="s">
        <v>4350</v>
      </c>
      <c r="N1409" s="186" t="s">
        <v>122</v>
      </c>
      <c r="O1409" s="186" t="s">
        <v>292</v>
      </c>
      <c r="P1409" s="186" t="s">
        <v>292</v>
      </c>
      <c r="Q1409" s="186" t="s">
        <v>292</v>
      </c>
      <c r="R1409" s="186" t="s">
        <v>292</v>
      </c>
      <c r="S1409" s="186" t="s">
        <v>292</v>
      </c>
      <c r="T1409" s="186" t="s">
        <v>292</v>
      </c>
      <c r="U1409" s="186" t="s">
        <v>292</v>
      </c>
      <c r="V1409" s="186" t="s">
        <v>292</v>
      </c>
      <c r="W1409" s="186" t="s">
        <v>292</v>
      </c>
      <c r="X1409" s="186" t="s">
        <v>292</v>
      </c>
      <c r="Y1409" s="186" t="s">
        <v>292</v>
      </c>
      <c r="Z1409" s="186"/>
      <c r="AA1409" s="186"/>
      <c r="AB1409" s="186"/>
      <c r="AC1409" s="186"/>
      <c r="AD1409" s="268" t="s">
        <v>3640</v>
      </c>
      <c r="AE1409" s="268" t="s">
        <v>3641</v>
      </c>
      <c r="AF1409" s="144">
        <f t="shared" si="124"/>
        <v>71.784107946026978</v>
      </c>
      <c r="AG1409" s="144" t="str">
        <f t="shared" si="121"/>
        <v/>
      </c>
      <c r="AH1409" s="146">
        <f t="shared" si="119"/>
        <v>26.536731634182907</v>
      </c>
      <c r="AI1409" s="146" t="str">
        <f t="shared" si="120"/>
        <v/>
      </c>
      <c r="AJ1409" s="303">
        <f>1.14*42/0.667</f>
        <v>71.784107946026978</v>
      </c>
      <c r="AK1409" s="303"/>
      <c r="AL1409" s="303"/>
      <c r="AM1409" s="303"/>
      <c r="AN1409" s="303"/>
      <c r="AO1409" s="303"/>
      <c r="AP1409" s="303"/>
      <c r="AQ1409" s="303"/>
      <c r="AR1409" s="318"/>
      <c r="AS1409" s="227">
        <f t="shared" si="125"/>
        <v>71.784107946026978</v>
      </c>
      <c r="AT1409" s="233"/>
      <c r="AU1409" s="318"/>
      <c r="AV1409" s="343"/>
      <c r="AW1409" s="357">
        <f>17.7/0.667</f>
        <v>26.536731634182907</v>
      </c>
      <c r="AX1409" s="294"/>
      <c r="AY1409" s="294"/>
      <c r="AZ1409" s="294"/>
      <c r="BA1409" s="294"/>
      <c r="BB1409" s="294"/>
      <c r="BC1409" s="294"/>
      <c r="BD1409" s="294"/>
      <c r="BE1409" s="294"/>
      <c r="BF1409" s="383">
        <f t="shared" si="123"/>
        <v>26.536731634182907</v>
      </c>
      <c r="BG1409" s="383"/>
      <c r="BH1409" s="375"/>
      <c r="BI1409" s="376"/>
      <c r="BJ1409" s="409"/>
    </row>
    <row r="1410" spans="1:62" ht="15" customHeight="1" thickBot="1" x14ac:dyDescent="0.25">
      <c r="A1410" s="156">
        <v>1411</v>
      </c>
      <c r="B1410" s="247">
        <v>1</v>
      </c>
      <c r="C1410" s="148" t="s">
        <v>2933</v>
      </c>
      <c r="D1410" s="148" t="s">
        <v>3639</v>
      </c>
      <c r="E1410" s="148" t="s">
        <v>13</v>
      </c>
      <c r="F1410" s="148" t="s">
        <v>3638</v>
      </c>
      <c r="G1410" s="148"/>
      <c r="H1410" s="148" t="s">
        <v>1064</v>
      </c>
      <c r="I1410" s="161">
        <v>2013</v>
      </c>
      <c r="J1410" s="161" t="s">
        <v>3635</v>
      </c>
      <c r="K1410" s="161"/>
      <c r="L1410" s="161" t="s">
        <v>19</v>
      </c>
      <c r="M1410" s="453" t="s">
        <v>4350</v>
      </c>
      <c r="N1410" s="186" t="s">
        <v>122</v>
      </c>
      <c r="O1410" s="186" t="s">
        <v>292</v>
      </c>
      <c r="P1410" s="186" t="s">
        <v>292</v>
      </c>
      <c r="Q1410" s="186" t="s">
        <v>292</v>
      </c>
      <c r="R1410" s="186" t="s">
        <v>292</v>
      </c>
      <c r="S1410" s="186" t="s">
        <v>292</v>
      </c>
      <c r="T1410" s="186" t="s">
        <v>292</v>
      </c>
      <c r="U1410" s="186" t="s">
        <v>292</v>
      </c>
      <c r="V1410" s="186" t="s">
        <v>292</v>
      </c>
      <c r="W1410" s="186" t="s">
        <v>292</v>
      </c>
      <c r="X1410" s="186" t="s">
        <v>292</v>
      </c>
      <c r="Y1410" s="186" t="s">
        <v>292</v>
      </c>
      <c r="Z1410" s="186"/>
      <c r="AA1410" s="186"/>
      <c r="AB1410" s="186"/>
      <c r="AC1410" s="186"/>
      <c r="AD1410" s="268" t="s">
        <v>3640</v>
      </c>
      <c r="AE1410" s="268" t="s">
        <v>3641</v>
      </c>
      <c r="AF1410" s="144">
        <f t="shared" si="124"/>
        <v>73.673163418290855</v>
      </c>
      <c r="AG1410" s="144" t="str">
        <f t="shared" si="121"/>
        <v/>
      </c>
      <c r="AH1410" s="146">
        <f t="shared" ref="AH1410:AH1473" si="126">IF(BF1410&lt;&gt;0,BF1410,"")</f>
        <v>27.286356821589202</v>
      </c>
      <c r="AI1410" s="146" t="str">
        <f t="shared" ref="AI1410:AI1473" si="127">IF(AND(SUM(AW1410:AY1410)&lt;&gt;0,SUM(AW1410:AY1410)&lt;&gt;AW1410),SUM(AW1410:AY1410),"")</f>
        <v/>
      </c>
      <c r="AJ1410" s="303">
        <f>1.17*42/0.667</f>
        <v>73.673163418290855</v>
      </c>
      <c r="AK1410" s="303"/>
      <c r="AL1410" s="303"/>
      <c r="AM1410" s="303"/>
      <c r="AN1410" s="303"/>
      <c r="AO1410" s="303"/>
      <c r="AP1410" s="303"/>
      <c r="AQ1410" s="303"/>
      <c r="AR1410" s="318"/>
      <c r="AS1410" s="227">
        <f t="shared" si="125"/>
        <v>73.673163418290855</v>
      </c>
      <c r="AT1410" s="233"/>
      <c r="AU1410" s="318"/>
      <c r="AV1410" s="343"/>
      <c r="AW1410" s="357">
        <f>18.2/0.667</f>
        <v>27.286356821589202</v>
      </c>
      <c r="AX1410" s="294"/>
      <c r="AY1410" s="294"/>
      <c r="AZ1410" s="294"/>
      <c r="BA1410" s="294"/>
      <c r="BB1410" s="294"/>
      <c r="BC1410" s="294"/>
      <c r="BD1410" s="294"/>
      <c r="BE1410" s="294"/>
      <c r="BF1410" s="383">
        <f t="shared" si="123"/>
        <v>27.286356821589202</v>
      </c>
      <c r="BG1410" s="383"/>
      <c r="BH1410" s="375"/>
      <c r="BI1410" s="376"/>
      <c r="BJ1410" s="409"/>
    </row>
    <row r="1411" spans="1:62" ht="15" customHeight="1" thickBot="1" x14ac:dyDescent="0.25">
      <c r="A1411" s="156">
        <v>1412</v>
      </c>
      <c r="B1411" s="247">
        <v>1</v>
      </c>
      <c r="C1411" s="148" t="s">
        <v>2933</v>
      </c>
      <c r="D1411" s="148" t="s">
        <v>3451</v>
      </c>
      <c r="E1411" s="148" t="s">
        <v>13</v>
      </c>
      <c r="F1411" s="148" t="s">
        <v>3642</v>
      </c>
      <c r="G1411" s="148" t="s">
        <v>122</v>
      </c>
      <c r="H1411" s="148" t="s">
        <v>73</v>
      </c>
      <c r="I1411" s="161">
        <v>2013</v>
      </c>
      <c r="J1411" s="161" t="s">
        <v>3643</v>
      </c>
      <c r="K1411" s="161"/>
      <c r="L1411" s="161" t="s">
        <v>19</v>
      </c>
      <c r="M1411" s="453" t="s">
        <v>4351</v>
      </c>
      <c r="N1411" s="186" t="s">
        <v>122</v>
      </c>
      <c r="O1411" s="186" t="s">
        <v>292</v>
      </c>
      <c r="P1411" s="186" t="s">
        <v>292</v>
      </c>
      <c r="Q1411" s="186" t="s">
        <v>292</v>
      </c>
      <c r="R1411" s="186" t="s">
        <v>292</v>
      </c>
      <c r="S1411" s="186" t="s">
        <v>292</v>
      </c>
      <c r="T1411" s="186" t="s">
        <v>292</v>
      </c>
      <c r="U1411" s="186" t="s">
        <v>292</v>
      </c>
      <c r="V1411" s="186" t="s">
        <v>292</v>
      </c>
      <c r="W1411" s="186" t="s">
        <v>292</v>
      </c>
      <c r="X1411" s="186" t="s">
        <v>292</v>
      </c>
      <c r="Y1411" s="186" t="s">
        <v>292</v>
      </c>
      <c r="Z1411" s="186"/>
      <c r="AA1411" s="186"/>
      <c r="AB1411" s="186"/>
      <c r="AC1411" s="186"/>
      <c r="AD1411" s="268" t="s">
        <v>3644</v>
      </c>
      <c r="AE1411" s="268"/>
      <c r="AF1411" s="144" t="str">
        <f t="shared" si="124"/>
        <v/>
      </c>
      <c r="AG1411" s="144" t="str">
        <f t="shared" si="121"/>
        <v/>
      </c>
      <c r="AH1411" s="146">
        <f t="shared" si="126"/>
        <v>51.7</v>
      </c>
      <c r="AI1411" s="146" t="str">
        <f t="shared" si="127"/>
        <v/>
      </c>
      <c r="AJ1411" s="303"/>
      <c r="AK1411" s="303"/>
      <c r="AL1411" s="303"/>
      <c r="AM1411" s="303"/>
      <c r="AN1411" s="303"/>
      <c r="AO1411" s="303"/>
      <c r="AP1411" s="303"/>
      <c r="AQ1411" s="303"/>
      <c r="AR1411" s="318"/>
      <c r="AS1411" s="227"/>
      <c r="AT1411" s="233"/>
      <c r="AU1411" s="318"/>
      <c r="AV1411" s="343"/>
      <c r="AW1411" s="357">
        <v>51.7</v>
      </c>
      <c r="AX1411" s="294"/>
      <c r="AY1411" s="294"/>
      <c r="AZ1411" s="294"/>
      <c r="BA1411" s="294"/>
      <c r="BB1411" s="294"/>
      <c r="BC1411" s="294"/>
      <c r="BD1411" s="294"/>
      <c r="BE1411" s="294"/>
      <c r="BF1411" s="383">
        <f t="shared" si="123"/>
        <v>51.7</v>
      </c>
      <c r="BG1411" s="383"/>
      <c r="BH1411" s="375"/>
      <c r="BI1411" s="376"/>
      <c r="BJ1411" s="409" t="s">
        <v>3645</v>
      </c>
    </row>
    <row r="1412" spans="1:62" ht="15" customHeight="1" thickBot="1" x14ac:dyDescent="0.25">
      <c r="A1412" s="156">
        <v>1413</v>
      </c>
      <c r="B1412" s="247">
        <v>1</v>
      </c>
      <c r="C1412" s="148" t="s">
        <v>2933</v>
      </c>
      <c r="D1412" s="148" t="s">
        <v>3451</v>
      </c>
      <c r="E1412" s="148" t="s">
        <v>13</v>
      </c>
      <c r="F1412" s="148" t="s">
        <v>3646</v>
      </c>
      <c r="G1412" s="148" t="s">
        <v>122</v>
      </c>
      <c r="H1412" s="148" t="s">
        <v>73</v>
      </c>
      <c r="I1412" s="161">
        <v>2013</v>
      </c>
      <c r="J1412" s="161" t="s">
        <v>3643</v>
      </c>
      <c r="K1412" s="161"/>
      <c r="L1412" s="161" t="s">
        <v>19</v>
      </c>
      <c r="M1412" s="453" t="s">
        <v>4351</v>
      </c>
      <c r="N1412" s="186" t="s">
        <v>122</v>
      </c>
      <c r="O1412" s="186" t="s">
        <v>292</v>
      </c>
      <c r="P1412" s="186" t="s">
        <v>292</v>
      </c>
      <c r="Q1412" s="186" t="s">
        <v>292</v>
      </c>
      <c r="R1412" s="186" t="s">
        <v>292</v>
      </c>
      <c r="S1412" s="186" t="s">
        <v>292</v>
      </c>
      <c r="T1412" s="186" t="s">
        <v>292</v>
      </c>
      <c r="U1412" s="186" t="s">
        <v>292</v>
      </c>
      <c r="V1412" s="186" t="s">
        <v>292</v>
      </c>
      <c r="W1412" s="186" t="s">
        <v>292</v>
      </c>
      <c r="X1412" s="186" t="s">
        <v>292</v>
      </c>
      <c r="Y1412" s="186" t="s">
        <v>292</v>
      </c>
      <c r="Z1412" s="186"/>
      <c r="AA1412" s="186"/>
      <c r="AB1412" s="186"/>
      <c r="AC1412" s="186"/>
      <c r="AD1412" s="268" t="s">
        <v>3644</v>
      </c>
      <c r="AE1412" s="268"/>
      <c r="AF1412" s="144" t="str">
        <f t="shared" si="124"/>
        <v/>
      </c>
      <c r="AG1412" s="144" t="str">
        <f t="shared" si="121"/>
        <v/>
      </c>
      <c r="AH1412" s="146">
        <f t="shared" si="126"/>
        <v>47.9</v>
      </c>
      <c r="AI1412" s="146" t="str">
        <f t="shared" si="127"/>
        <v/>
      </c>
      <c r="AJ1412" s="303"/>
      <c r="AK1412" s="303"/>
      <c r="AL1412" s="303"/>
      <c r="AM1412" s="303"/>
      <c r="AN1412" s="303"/>
      <c r="AO1412" s="303"/>
      <c r="AP1412" s="303"/>
      <c r="AQ1412" s="303"/>
      <c r="AR1412" s="318"/>
      <c r="AS1412" s="227"/>
      <c r="AT1412" s="233"/>
      <c r="AU1412" s="318"/>
      <c r="AV1412" s="343"/>
      <c r="AW1412" s="357">
        <v>47.9</v>
      </c>
      <c r="AX1412" s="294"/>
      <c r="AY1412" s="294"/>
      <c r="AZ1412" s="294"/>
      <c r="BA1412" s="294"/>
      <c r="BB1412" s="294"/>
      <c r="BC1412" s="294"/>
      <c r="BD1412" s="294"/>
      <c r="BE1412" s="294"/>
      <c r="BF1412" s="383">
        <f t="shared" si="123"/>
        <v>47.9</v>
      </c>
      <c r="BG1412" s="383"/>
      <c r="BH1412" s="375"/>
      <c r="BI1412" s="376"/>
      <c r="BJ1412" s="409" t="s">
        <v>3647</v>
      </c>
    </row>
    <row r="1413" spans="1:62" ht="15" customHeight="1" thickBot="1" x14ac:dyDescent="0.25">
      <c r="A1413" s="156">
        <v>1414</v>
      </c>
      <c r="B1413" s="247">
        <v>1</v>
      </c>
      <c r="C1413" s="148" t="s">
        <v>2933</v>
      </c>
      <c r="D1413" s="148" t="s">
        <v>3451</v>
      </c>
      <c r="E1413" s="148" t="s">
        <v>13</v>
      </c>
      <c r="F1413" s="148" t="s">
        <v>3648</v>
      </c>
      <c r="G1413" s="148" t="s">
        <v>122</v>
      </c>
      <c r="H1413" s="148" t="s">
        <v>73</v>
      </c>
      <c r="I1413" s="161">
        <v>2013</v>
      </c>
      <c r="J1413" s="161" t="s">
        <v>3643</v>
      </c>
      <c r="K1413" s="161"/>
      <c r="L1413" s="161" t="s">
        <v>19</v>
      </c>
      <c r="M1413" s="453" t="s">
        <v>4351</v>
      </c>
      <c r="N1413" s="186" t="s">
        <v>122</v>
      </c>
      <c r="O1413" s="186" t="s">
        <v>292</v>
      </c>
      <c r="P1413" s="186" t="s">
        <v>292</v>
      </c>
      <c r="Q1413" s="186" t="s">
        <v>292</v>
      </c>
      <c r="R1413" s="186" t="s">
        <v>292</v>
      </c>
      <c r="S1413" s="186" t="s">
        <v>292</v>
      </c>
      <c r="T1413" s="186" t="s">
        <v>292</v>
      </c>
      <c r="U1413" s="186" t="s">
        <v>292</v>
      </c>
      <c r="V1413" s="186" t="s">
        <v>292</v>
      </c>
      <c r="W1413" s="186" t="s">
        <v>292</v>
      </c>
      <c r="X1413" s="186" t="s">
        <v>292</v>
      </c>
      <c r="Y1413" s="186" t="s">
        <v>292</v>
      </c>
      <c r="Z1413" s="186"/>
      <c r="AA1413" s="186"/>
      <c r="AB1413" s="186"/>
      <c r="AC1413" s="186"/>
      <c r="AD1413" s="268" t="s">
        <v>3644</v>
      </c>
      <c r="AE1413" s="268"/>
      <c r="AF1413" s="144" t="str">
        <f t="shared" si="124"/>
        <v/>
      </c>
      <c r="AG1413" s="144" t="str">
        <f t="shared" si="121"/>
        <v/>
      </c>
      <c r="AH1413" s="146">
        <f t="shared" si="126"/>
        <v>38.9</v>
      </c>
      <c r="AI1413" s="146" t="str">
        <f t="shared" si="127"/>
        <v/>
      </c>
      <c r="AJ1413" s="303"/>
      <c r="AK1413" s="303"/>
      <c r="AL1413" s="303"/>
      <c r="AM1413" s="303"/>
      <c r="AN1413" s="303"/>
      <c r="AO1413" s="303"/>
      <c r="AP1413" s="303"/>
      <c r="AQ1413" s="303"/>
      <c r="AR1413" s="318"/>
      <c r="AS1413" s="227"/>
      <c r="AT1413" s="233"/>
      <c r="AU1413" s="318"/>
      <c r="AV1413" s="343"/>
      <c r="AW1413" s="357">
        <v>38.9</v>
      </c>
      <c r="AX1413" s="294"/>
      <c r="AY1413" s="294"/>
      <c r="AZ1413" s="294"/>
      <c r="BA1413" s="294"/>
      <c r="BB1413" s="294"/>
      <c r="BC1413" s="294"/>
      <c r="BD1413" s="294"/>
      <c r="BE1413" s="294"/>
      <c r="BF1413" s="383">
        <f t="shared" si="123"/>
        <v>38.9</v>
      </c>
      <c r="BG1413" s="383"/>
      <c r="BH1413" s="375"/>
      <c r="BI1413" s="376"/>
      <c r="BJ1413" s="409" t="s">
        <v>3649</v>
      </c>
    </row>
    <row r="1414" spans="1:62" ht="15" customHeight="1" thickBot="1" x14ac:dyDescent="0.25">
      <c r="A1414" s="156">
        <v>1415</v>
      </c>
      <c r="B1414" s="247">
        <v>1</v>
      </c>
      <c r="C1414" s="148" t="s">
        <v>2933</v>
      </c>
      <c r="D1414" s="148" t="s">
        <v>2745</v>
      </c>
      <c r="E1414" s="148" t="s">
        <v>13</v>
      </c>
      <c r="F1414" s="148" t="s">
        <v>3650</v>
      </c>
      <c r="G1414" s="148"/>
      <c r="H1414" s="148" t="s">
        <v>55</v>
      </c>
      <c r="I1414" s="161">
        <v>2014</v>
      </c>
      <c r="J1414" s="161" t="s">
        <v>3651</v>
      </c>
      <c r="K1414" s="161"/>
      <c r="L1414" s="161" t="s">
        <v>19</v>
      </c>
      <c r="M1414" s="453" t="s">
        <v>4352</v>
      </c>
      <c r="N1414" s="186" t="s">
        <v>122</v>
      </c>
      <c r="O1414" s="186" t="s">
        <v>292</v>
      </c>
      <c r="P1414" s="186" t="s">
        <v>292</v>
      </c>
      <c r="Q1414" s="186" t="s">
        <v>292</v>
      </c>
      <c r="R1414" s="186" t="s">
        <v>292</v>
      </c>
      <c r="S1414" s="186" t="s">
        <v>292</v>
      </c>
      <c r="T1414" s="186" t="s">
        <v>292</v>
      </c>
      <c r="U1414" s="186" t="s">
        <v>292</v>
      </c>
      <c r="V1414" s="186" t="s">
        <v>292</v>
      </c>
      <c r="W1414" s="186" t="s">
        <v>292</v>
      </c>
      <c r="X1414" s="186" t="s">
        <v>292</v>
      </c>
      <c r="Y1414" s="186" t="s">
        <v>292</v>
      </c>
      <c r="Z1414" s="186"/>
      <c r="AA1414" s="186" t="s">
        <v>303</v>
      </c>
      <c r="AB1414" s="186"/>
      <c r="AC1414" s="186"/>
      <c r="AD1414" s="268" t="s">
        <v>944</v>
      </c>
      <c r="AE1414" s="268" t="s">
        <v>3652</v>
      </c>
      <c r="AF1414" s="144" t="str">
        <f t="shared" si="124"/>
        <v/>
      </c>
      <c r="AG1414" s="144" t="str">
        <f t="shared" si="121"/>
        <v/>
      </c>
      <c r="AH1414" s="146">
        <f t="shared" si="126"/>
        <v>25.402581101475839</v>
      </c>
      <c r="AI1414" s="146" t="str">
        <f t="shared" si="127"/>
        <v/>
      </c>
      <c r="AJ1414" s="303"/>
      <c r="AK1414" s="303"/>
      <c r="AL1414" s="303"/>
      <c r="AM1414" s="303"/>
      <c r="AN1414" s="303"/>
      <c r="AO1414" s="303"/>
      <c r="AP1414" s="303"/>
      <c r="AQ1414" s="303"/>
      <c r="AR1414" s="318"/>
      <c r="AS1414" s="227"/>
      <c r="AT1414" s="233"/>
      <c r="AU1414" s="318"/>
      <c r="AV1414" s="343"/>
      <c r="AW1414" s="357">
        <f>10.2/0.667/0.602</f>
        <v>25.402581101475839</v>
      </c>
      <c r="AX1414" s="294"/>
      <c r="AY1414" s="294"/>
      <c r="AZ1414" s="294"/>
      <c r="BA1414" s="294"/>
      <c r="BB1414" s="294"/>
      <c r="BC1414" s="294"/>
      <c r="BD1414" s="294"/>
      <c r="BE1414" s="294"/>
      <c r="BF1414" s="383">
        <f t="shared" si="123"/>
        <v>25.402581101475839</v>
      </c>
      <c r="BG1414" s="383"/>
      <c r="BH1414" s="375"/>
      <c r="BI1414" s="376"/>
      <c r="BJ1414" s="409"/>
    </row>
    <row r="1415" spans="1:62" ht="15" customHeight="1" thickBot="1" x14ac:dyDescent="0.25">
      <c r="A1415" s="156">
        <v>1416</v>
      </c>
      <c r="B1415" s="247">
        <v>1</v>
      </c>
      <c r="C1415" s="148" t="s">
        <v>2933</v>
      </c>
      <c r="D1415" s="148" t="s">
        <v>2745</v>
      </c>
      <c r="E1415" s="148" t="s">
        <v>13</v>
      </c>
      <c r="F1415" s="148" t="s">
        <v>3653</v>
      </c>
      <c r="G1415" s="148"/>
      <c r="H1415" s="148" t="s">
        <v>55</v>
      </c>
      <c r="I1415" s="161">
        <v>2014</v>
      </c>
      <c r="J1415" s="161" t="s">
        <v>3651</v>
      </c>
      <c r="K1415" s="161"/>
      <c r="L1415" s="161" t="s">
        <v>19</v>
      </c>
      <c r="M1415" s="453" t="s">
        <v>4352</v>
      </c>
      <c r="N1415" s="186" t="s">
        <v>122</v>
      </c>
      <c r="O1415" s="186" t="s">
        <v>292</v>
      </c>
      <c r="P1415" s="186" t="s">
        <v>292</v>
      </c>
      <c r="Q1415" s="186" t="s">
        <v>292</v>
      </c>
      <c r="R1415" s="186" t="s">
        <v>292</v>
      </c>
      <c r="S1415" s="186" t="s">
        <v>292</v>
      </c>
      <c r="T1415" s="186" t="s">
        <v>292</v>
      </c>
      <c r="U1415" s="186" t="s">
        <v>292</v>
      </c>
      <c r="V1415" s="186" t="s">
        <v>292</v>
      </c>
      <c r="W1415" s="186" t="s">
        <v>292</v>
      </c>
      <c r="X1415" s="186" t="s">
        <v>292</v>
      </c>
      <c r="Y1415" s="186" t="s">
        <v>292</v>
      </c>
      <c r="Z1415" s="186"/>
      <c r="AA1415" s="186" t="s">
        <v>303</v>
      </c>
      <c r="AB1415" s="186"/>
      <c r="AC1415" s="186"/>
      <c r="AD1415" s="268" t="s">
        <v>944</v>
      </c>
      <c r="AE1415" s="268" t="s">
        <v>3652</v>
      </c>
      <c r="AF1415" s="144" t="str">
        <f t="shared" si="124"/>
        <v/>
      </c>
      <c r="AG1415" s="144" t="str">
        <f t="shared" si="121"/>
        <v/>
      </c>
      <c r="AH1415" s="146">
        <f t="shared" si="126"/>
        <v>26.896850578033245</v>
      </c>
      <c r="AI1415" s="146" t="str">
        <f t="shared" si="127"/>
        <v/>
      </c>
      <c r="AJ1415" s="303"/>
      <c r="AK1415" s="303"/>
      <c r="AL1415" s="303"/>
      <c r="AM1415" s="303"/>
      <c r="AN1415" s="303"/>
      <c r="AO1415" s="303"/>
      <c r="AP1415" s="303"/>
      <c r="AQ1415" s="303"/>
      <c r="AR1415" s="318"/>
      <c r="AS1415" s="227"/>
      <c r="AT1415" s="233"/>
      <c r="AU1415" s="318"/>
      <c r="AV1415" s="343"/>
      <c r="AW1415" s="357">
        <f>10.8/0.667/0.602</f>
        <v>26.896850578033245</v>
      </c>
      <c r="AX1415" s="294"/>
      <c r="AY1415" s="294"/>
      <c r="AZ1415" s="294"/>
      <c r="BA1415" s="294"/>
      <c r="BB1415" s="294"/>
      <c r="BC1415" s="294"/>
      <c r="BD1415" s="294"/>
      <c r="BE1415" s="294"/>
      <c r="BF1415" s="383">
        <f t="shared" si="123"/>
        <v>26.896850578033245</v>
      </c>
      <c r="BG1415" s="383"/>
      <c r="BH1415" s="375"/>
      <c r="BI1415" s="376"/>
      <c r="BJ1415" s="409"/>
    </row>
    <row r="1416" spans="1:62" ht="15" customHeight="1" thickBot="1" x14ac:dyDescent="0.25">
      <c r="A1416" s="156">
        <v>1417</v>
      </c>
      <c r="B1416" s="247">
        <v>1</v>
      </c>
      <c r="C1416" s="148" t="s">
        <v>2933</v>
      </c>
      <c r="D1416" s="148" t="s">
        <v>2745</v>
      </c>
      <c r="E1416" s="148" t="s">
        <v>13</v>
      </c>
      <c r="F1416" s="148" t="s">
        <v>3654</v>
      </c>
      <c r="G1416" s="148"/>
      <c r="H1416" s="148" t="s">
        <v>55</v>
      </c>
      <c r="I1416" s="161">
        <v>2014</v>
      </c>
      <c r="J1416" s="161" t="s">
        <v>3651</v>
      </c>
      <c r="K1416" s="161"/>
      <c r="L1416" s="161" t="s">
        <v>19</v>
      </c>
      <c r="M1416" s="453" t="s">
        <v>4352</v>
      </c>
      <c r="N1416" s="186" t="s">
        <v>122</v>
      </c>
      <c r="O1416" s="186" t="s">
        <v>292</v>
      </c>
      <c r="P1416" s="186" t="s">
        <v>292</v>
      </c>
      <c r="Q1416" s="186" t="s">
        <v>292</v>
      </c>
      <c r="R1416" s="186" t="s">
        <v>292</v>
      </c>
      <c r="S1416" s="186" t="s">
        <v>292</v>
      </c>
      <c r="T1416" s="186" t="s">
        <v>292</v>
      </c>
      <c r="U1416" s="186" t="s">
        <v>292</v>
      </c>
      <c r="V1416" s="186" t="s">
        <v>292</v>
      </c>
      <c r="W1416" s="186" t="s">
        <v>292</v>
      </c>
      <c r="X1416" s="186" t="s">
        <v>292</v>
      </c>
      <c r="Y1416" s="186" t="s">
        <v>292</v>
      </c>
      <c r="Z1416" s="186"/>
      <c r="AA1416" s="186" t="s">
        <v>303</v>
      </c>
      <c r="AB1416" s="186"/>
      <c r="AC1416" s="186"/>
      <c r="AD1416" s="268" t="s">
        <v>944</v>
      </c>
      <c r="AE1416" s="268" t="s">
        <v>3652</v>
      </c>
      <c r="AF1416" s="144" t="str">
        <f t="shared" si="124"/>
        <v/>
      </c>
      <c r="AG1416" s="144" t="str">
        <f t="shared" si="121"/>
        <v/>
      </c>
      <c r="AH1416" s="146">
        <f t="shared" si="126"/>
        <v>25.15353618871627</v>
      </c>
      <c r="AI1416" s="146" t="str">
        <f t="shared" si="127"/>
        <v/>
      </c>
      <c r="AJ1416" s="303"/>
      <c r="AK1416" s="303"/>
      <c r="AL1416" s="303"/>
      <c r="AM1416" s="303"/>
      <c r="AN1416" s="303"/>
      <c r="AO1416" s="303"/>
      <c r="AP1416" s="303"/>
      <c r="AQ1416" s="303"/>
      <c r="AR1416" s="318"/>
      <c r="AS1416" s="227"/>
      <c r="AT1416" s="233"/>
      <c r="AU1416" s="318"/>
      <c r="AV1416" s="343"/>
      <c r="AW1416" s="357">
        <f>10.1/0.667/0.602</f>
        <v>25.15353618871627</v>
      </c>
      <c r="AX1416" s="294"/>
      <c r="AY1416" s="294"/>
      <c r="AZ1416" s="294"/>
      <c r="BA1416" s="294"/>
      <c r="BB1416" s="294"/>
      <c r="BC1416" s="294"/>
      <c r="BD1416" s="294"/>
      <c r="BE1416" s="294"/>
      <c r="BF1416" s="383">
        <f t="shared" si="123"/>
        <v>25.15353618871627</v>
      </c>
      <c r="BG1416" s="383"/>
      <c r="BH1416" s="375"/>
      <c r="BI1416" s="376"/>
      <c r="BJ1416" s="409"/>
    </row>
    <row r="1417" spans="1:62" ht="15" customHeight="1" thickBot="1" x14ac:dyDescent="0.25">
      <c r="A1417" s="156">
        <v>1418</v>
      </c>
      <c r="B1417" s="247">
        <v>1</v>
      </c>
      <c r="C1417" s="148" t="s">
        <v>2933</v>
      </c>
      <c r="D1417" s="148" t="s">
        <v>2745</v>
      </c>
      <c r="E1417" s="148" t="s">
        <v>13</v>
      </c>
      <c r="F1417" s="148" t="s">
        <v>3655</v>
      </c>
      <c r="G1417" s="148"/>
      <c r="H1417" s="148" t="s">
        <v>55</v>
      </c>
      <c r="I1417" s="161">
        <v>2014</v>
      </c>
      <c r="J1417" s="161" t="s">
        <v>3651</v>
      </c>
      <c r="K1417" s="161"/>
      <c r="L1417" s="161" t="s">
        <v>19</v>
      </c>
      <c r="M1417" s="453" t="s">
        <v>4352</v>
      </c>
      <c r="N1417" s="186" t="s">
        <v>122</v>
      </c>
      <c r="O1417" s="186" t="s">
        <v>292</v>
      </c>
      <c r="P1417" s="186" t="s">
        <v>292</v>
      </c>
      <c r="Q1417" s="186" t="s">
        <v>292</v>
      </c>
      <c r="R1417" s="186" t="s">
        <v>292</v>
      </c>
      <c r="S1417" s="186" t="s">
        <v>292</v>
      </c>
      <c r="T1417" s="186" t="s">
        <v>292</v>
      </c>
      <c r="U1417" s="186" t="s">
        <v>292</v>
      </c>
      <c r="V1417" s="186" t="s">
        <v>292</v>
      </c>
      <c r="W1417" s="186" t="s">
        <v>292</v>
      </c>
      <c r="X1417" s="186" t="s">
        <v>292</v>
      </c>
      <c r="Y1417" s="186" t="s">
        <v>292</v>
      </c>
      <c r="Z1417" s="186"/>
      <c r="AA1417" s="186" t="s">
        <v>303</v>
      </c>
      <c r="AB1417" s="186"/>
      <c r="AC1417" s="186"/>
      <c r="AD1417" s="268" t="s">
        <v>944</v>
      </c>
      <c r="AE1417" s="268" t="s">
        <v>3652</v>
      </c>
      <c r="AF1417" s="144" t="str">
        <f t="shared" si="124"/>
        <v/>
      </c>
      <c r="AG1417" s="144" t="str">
        <f t="shared" si="121"/>
        <v/>
      </c>
      <c r="AH1417" s="146">
        <f t="shared" si="126"/>
        <v>31.628703920465011</v>
      </c>
      <c r="AI1417" s="146" t="str">
        <f t="shared" si="127"/>
        <v/>
      </c>
      <c r="AJ1417" s="303"/>
      <c r="AK1417" s="303"/>
      <c r="AL1417" s="303"/>
      <c r="AM1417" s="303"/>
      <c r="AN1417" s="303"/>
      <c r="AO1417" s="303"/>
      <c r="AP1417" s="303"/>
      <c r="AQ1417" s="303"/>
      <c r="AR1417" s="318"/>
      <c r="AS1417" s="227"/>
      <c r="AT1417" s="233"/>
      <c r="AU1417" s="318"/>
      <c r="AV1417" s="343"/>
      <c r="AW1417" s="357">
        <f>12.7/0.667/0.602</f>
        <v>31.628703920465011</v>
      </c>
      <c r="AX1417" s="294"/>
      <c r="AY1417" s="294"/>
      <c r="AZ1417" s="294"/>
      <c r="BA1417" s="294"/>
      <c r="BB1417" s="294"/>
      <c r="BC1417" s="294"/>
      <c r="BD1417" s="294"/>
      <c r="BE1417" s="294"/>
      <c r="BF1417" s="383">
        <f t="shared" si="123"/>
        <v>31.628703920465011</v>
      </c>
      <c r="BG1417" s="383"/>
      <c r="BH1417" s="375"/>
      <c r="BI1417" s="376"/>
      <c r="BJ1417" s="409"/>
    </row>
    <row r="1418" spans="1:62" ht="15" customHeight="1" thickBot="1" x14ac:dyDescent="0.25">
      <c r="A1418" s="156">
        <v>1419</v>
      </c>
      <c r="B1418" s="247">
        <v>1</v>
      </c>
      <c r="C1418" s="148" t="s">
        <v>2933</v>
      </c>
      <c r="D1418" s="148" t="s">
        <v>2745</v>
      </c>
      <c r="E1418" s="148" t="s">
        <v>13</v>
      </c>
      <c r="F1418" s="148" t="s">
        <v>3656</v>
      </c>
      <c r="G1418" s="148"/>
      <c r="H1418" s="148" t="s">
        <v>55</v>
      </c>
      <c r="I1418" s="161">
        <v>2014</v>
      </c>
      <c r="J1418" s="161" t="s">
        <v>3651</v>
      </c>
      <c r="K1418" s="161"/>
      <c r="L1418" s="161" t="s">
        <v>19</v>
      </c>
      <c r="M1418" s="453" t="s">
        <v>4352</v>
      </c>
      <c r="N1418" s="186" t="s">
        <v>122</v>
      </c>
      <c r="O1418" s="186" t="s">
        <v>292</v>
      </c>
      <c r="P1418" s="186" t="s">
        <v>292</v>
      </c>
      <c r="Q1418" s="186" t="s">
        <v>292</v>
      </c>
      <c r="R1418" s="186" t="s">
        <v>292</v>
      </c>
      <c r="S1418" s="186" t="s">
        <v>292</v>
      </c>
      <c r="T1418" s="186" t="s">
        <v>292</v>
      </c>
      <c r="U1418" s="186" t="s">
        <v>292</v>
      </c>
      <c r="V1418" s="186" t="s">
        <v>292</v>
      </c>
      <c r="W1418" s="186" t="s">
        <v>292</v>
      </c>
      <c r="X1418" s="186" t="s">
        <v>292</v>
      </c>
      <c r="Y1418" s="186" t="s">
        <v>292</v>
      </c>
      <c r="Z1418" s="186"/>
      <c r="AA1418" s="186" t="s">
        <v>303</v>
      </c>
      <c r="AB1418" s="186"/>
      <c r="AC1418" s="186"/>
      <c r="AD1418" s="268" t="s">
        <v>944</v>
      </c>
      <c r="AE1418" s="268" t="s">
        <v>3652</v>
      </c>
      <c r="AF1418" s="144" t="str">
        <f t="shared" si="124"/>
        <v/>
      </c>
      <c r="AG1418" s="144" t="str">
        <f t="shared" si="121"/>
        <v/>
      </c>
      <c r="AH1418" s="146">
        <f t="shared" si="126"/>
        <v>25.900670926994973</v>
      </c>
      <c r="AI1418" s="146" t="str">
        <f t="shared" si="127"/>
        <v/>
      </c>
      <c r="AJ1418" s="309"/>
      <c r="AK1418" s="309"/>
      <c r="AL1418" s="309"/>
      <c r="AM1418" s="309"/>
      <c r="AN1418" s="309"/>
      <c r="AO1418" s="309"/>
      <c r="AP1418" s="309"/>
      <c r="AQ1418" s="309"/>
      <c r="AR1418" s="320"/>
      <c r="AS1418" s="237"/>
      <c r="AT1418" s="238"/>
      <c r="AU1418" s="320"/>
      <c r="AV1418" s="346"/>
      <c r="AW1418" s="357">
        <f>10.4/0.667/0.602</f>
        <v>25.900670926994973</v>
      </c>
      <c r="AX1418" s="294"/>
      <c r="AY1418" s="294"/>
      <c r="AZ1418" s="294"/>
      <c r="BA1418" s="294"/>
      <c r="BB1418" s="294"/>
      <c r="BC1418" s="294"/>
      <c r="BD1418" s="294"/>
      <c r="BE1418" s="294"/>
      <c r="BF1418" s="383">
        <f t="shared" si="123"/>
        <v>25.900670926994973</v>
      </c>
      <c r="BG1418" s="383"/>
      <c r="BH1418" s="375"/>
      <c r="BI1418" s="376"/>
      <c r="BJ1418" s="409"/>
    </row>
    <row r="1419" spans="1:62" ht="15" customHeight="1" thickBot="1" x14ac:dyDescent="0.25">
      <c r="A1419" s="156">
        <v>1420</v>
      </c>
      <c r="B1419" s="247">
        <v>1</v>
      </c>
      <c r="C1419" s="148" t="s">
        <v>2933</v>
      </c>
      <c r="D1419" s="148" t="s">
        <v>2745</v>
      </c>
      <c r="E1419" s="148" t="s">
        <v>13</v>
      </c>
      <c r="F1419" s="148" t="s">
        <v>3657</v>
      </c>
      <c r="G1419" s="148"/>
      <c r="H1419" s="148" t="s">
        <v>55</v>
      </c>
      <c r="I1419" s="161">
        <v>2014</v>
      </c>
      <c r="J1419" s="161" t="s">
        <v>3651</v>
      </c>
      <c r="K1419" s="161"/>
      <c r="L1419" s="161" t="s">
        <v>19</v>
      </c>
      <c r="M1419" s="453" t="s">
        <v>4352</v>
      </c>
      <c r="N1419" s="186" t="s">
        <v>122</v>
      </c>
      <c r="O1419" s="186" t="s">
        <v>292</v>
      </c>
      <c r="P1419" s="186" t="s">
        <v>292</v>
      </c>
      <c r="Q1419" s="186" t="s">
        <v>292</v>
      </c>
      <c r="R1419" s="186" t="s">
        <v>292</v>
      </c>
      <c r="S1419" s="186" t="s">
        <v>292</v>
      </c>
      <c r="T1419" s="186" t="s">
        <v>292</v>
      </c>
      <c r="U1419" s="186" t="s">
        <v>292</v>
      </c>
      <c r="V1419" s="186" t="s">
        <v>292</v>
      </c>
      <c r="W1419" s="186" t="s">
        <v>292</v>
      </c>
      <c r="X1419" s="186" t="s">
        <v>292</v>
      </c>
      <c r="Y1419" s="186" t="s">
        <v>292</v>
      </c>
      <c r="Z1419" s="186"/>
      <c r="AA1419" s="186" t="s">
        <v>303</v>
      </c>
      <c r="AB1419" s="186"/>
      <c r="AC1419" s="186"/>
      <c r="AD1419" s="268" t="s">
        <v>944</v>
      </c>
      <c r="AE1419" s="268" t="s">
        <v>3652</v>
      </c>
      <c r="AF1419" s="144" t="str">
        <f t="shared" si="124"/>
        <v/>
      </c>
      <c r="AG1419" s="144" t="str">
        <f t="shared" si="121"/>
        <v/>
      </c>
      <c r="AH1419" s="146">
        <f t="shared" si="126"/>
        <v>26.398760752514107</v>
      </c>
      <c r="AI1419" s="146" t="str">
        <f t="shared" si="127"/>
        <v/>
      </c>
      <c r="AJ1419" s="309"/>
      <c r="AK1419" s="309"/>
      <c r="AL1419" s="309"/>
      <c r="AM1419" s="309"/>
      <c r="AN1419" s="309"/>
      <c r="AO1419" s="309"/>
      <c r="AP1419" s="309"/>
      <c r="AQ1419" s="309"/>
      <c r="AR1419" s="320"/>
      <c r="AS1419" s="237"/>
      <c r="AT1419" s="238"/>
      <c r="AU1419" s="320"/>
      <c r="AV1419" s="346"/>
      <c r="AW1419" s="357">
        <f>10.6/0.667/0.602</f>
        <v>26.398760752514107</v>
      </c>
      <c r="AX1419" s="294"/>
      <c r="AY1419" s="294"/>
      <c r="AZ1419" s="294"/>
      <c r="BA1419" s="294"/>
      <c r="BB1419" s="294"/>
      <c r="BC1419" s="294"/>
      <c r="BD1419" s="294"/>
      <c r="BE1419" s="294"/>
      <c r="BF1419" s="383">
        <f t="shared" si="123"/>
        <v>26.398760752514107</v>
      </c>
      <c r="BG1419" s="383"/>
      <c r="BH1419" s="375"/>
      <c r="BI1419" s="376"/>
      <c r="BJ1419" s="409"/>
    </row>
    <row r="1420" spans="1:62" ht="15" customHeight="1" thickBot="1" x14ac:dyDescent="0.25">
      <c r="A1420" s="156">
        <v>1421</v>
      </c>
      <c r="B1420" s="247">
        <v>1</v>
      </c>
      <c r="C1420" s="148" t="s">
        <v>3450</v>
      </c>
      <c r="D1420" s="148" t="s">
        <v>3658</v>
      </c>
      <c r="E1420" s="148" t="s">
        <v>13</v>
      </c>
      <c r="F1420" s="148" t="s">
        <v>3659</v>
      </c>
      <c r="G1420" s="148"/>
      <c r="H1420" s="148" t="s">
        <v>87</v>
      </c>
      <c r="I1420" s="161">
        <v>2013</v>
      </c>
      <c r="J1420" s="161" t="s">
        <v>3660</v>
      </c>
      <c r="K1420" s="161"/>
      <c r="L1420" s="161" t="s">
        <v>19</v>
      </c>
      <c r="M1420" s="453" t="s">
        <v>4353</v>
      </c>
      <c r="N1420" s="186" t="s">
        <v>122</v>
      </c>
      <c r="O1420" s="186" t="s">
        <v>292</v>
      </c>
      <c r="P1420" s="186" t="s">
        <v>292</v>
      </c>
      <c r="Q1420" s="186" t="s">
        <v>292</v>
      </c>
      <c r="R1420" s="186" t="s">
        <v>292</v>
      </c>
      <c r="S1420" s="186" t="s">
        <v>292</v>
      </c>
      <c r="T1420" s="186" t="s">
        <v>292</v>
      </c>
      <c r="U1420" s="186" t="s">
        <v>292</v>
      </c>
      <c r="V1420" s="186" t="s">
        <v>292</v>
      </c>
      <c r="W1420" s="186" t="s">
        <v>292</v>
      </c>
      <c r="X1420" s="186" t="s">
        <v>292</v>
      </c>
      <c r="Y1420" s="186" t="s">
        <v>292</v>
      </c>
      <c r="Z1420" s="186"/>
      <c r="AA1420" s="186" t="s">
        <v>303</v>
      </c>
      <c r="AB1420" s="186"/>
      <c r="AC1420" s="186"/>
      <c r="AD1420" s="268" t="s">
        <v>3661</v>
      </c>
      <c r="AE1420" s="268"/>
      <c r="AF1420" s="144">
        <f t="shared" si="124"/>
        <v>2.8</v>
      </c>
      <c r="AG1420" s="144" t="str">
        <f t="shared" si="121"/>
        <v/>
      </c>
      <c r="AH1420" s="146">
        <f t="shared" si="126"/>
        <v>0.11</v>
      </c>
      <c r="AI1420" s="146" t="str">
        <f t="shared" si="127"/>
        <v/>
      </c>
      <c r="AJ1420" s="309">
        <v>2.8</v>
      </c>
      <c r="AK1420" s="309"/>
      <c r="AL1420" s="309"/>
      <c r="AM1420" s="309"/>
      <c r="AN1420" s="309"/>
      <c r="AO1420" s="309"/>
      <c r="AP1420" s="309"/>
      <c r="AQ1420" s="309"/>
      <c r="AR1420" s="320"/>
      <c r="AS1420" s="237">
        <f t="shared" ref="AS1420:AS1435" si="128">AJ1420</f>
        <v>2.8</v>
      </c>
      <c r="AT1420" s="238"/>
      <c r="AU1420" s="320"/>
      <c r="AV1420" s="346"/>
      <c r="AW1420" s="357">
        <v>0.11</v>
      </c>
      <c r="AX1420" s="294"/>
      <c r="AY1420" s="294"/>
      <c r="AZ1420" s="294"/>
      <c r="BA1420" s="294"/>
      <c r="BB1420" s="294"/>
      <c r="BC1420" s="294"/>
      <c r="BD1420" s="294"/>
      <c r="BE1420" s="294"/>
      <c r="BF1420" s="383">
        <f t="shared" si="123"/>
        <v>0.11</v>
      </c>
      <c r="BG1420" s="383"/>
      <c r="BH1420" s="375"/>
      <c r="BI1420" s="376"/>
      <c r="BJ1420" s="409"/>
    </row>
    <row r="1421" spans="1:62" ht="15" customHeight="1" thickBot="1" x14ac:dyDescent="0.25">
      <c r="A1421" s="156">
        <v>1422</v>
      </c>
      <c r="B1421" s="247">
        <v>1</v>
      </c>
      <c r="C1421" s="148" t="s">
        <v>3450</v>
      </c>
      <c r="D1421" s="148" t="s">
        <v>3658</v>
      </c>
      <c r="E1421" s="148" t="s">
        <v>13</v>
      </c>
      <c r="F1421" s="148" t="s">
        <v>3662</v>
      </c>
      <c r="G1421" s="148"/>
      <c r="H1421" s="148" t="s">
        <v>87</v>
      </c>
      <c r="I1421" s="161">
        <v>2013</v>
      </c>
      <c r="J1421" s="161" t="s">
        <v>3660</v>
      </c>
      <c r="K1421" s="161"/>
      <c r="L1421" s="161" t="s">
        <v>19</v>
      </c>
      <c r="M1421" s="453" t="s">
        <v>4353</v>
      </c>
      <c r="N1421" s="186" t="s">
        <v>122</v>
      </c>
      <c r="O1421" s="186" t="s">
        <v>292</v>
      </c>
      <c r="P1421" s="186" t="s">
        <v>292</v>
      </c>
      <c r="Q1421" s="186" t="s">
        <v>292</v>
      </c>
      <c r="R1421" s="186" t="s">
        <v>292</v>
      </c>
      <c r="S1421" s="186" t="s">
        <v>292</v>
      </c>
      <c r="T1421" s="186" t="s">
        <v>292</v>
      </c>
      <c r="U1421" s="186" t="s">
        <v>292</v>
      </c>
      <c r="V1421" s="186" t="s">
        <v>292</v>
      </c>
      <c r="W1421" s="186" t="s">
        <v>292</v>
      </c>
      <c r="X1421" s="186" t="s">
        <v>292</v>
      </c>
      <c r="Y1421" s="186" t="s">
        <v>292</v>
      </c>
      <c r="Z1421" s="186"/>
      <c r="AA1421" s="186" t="s">
        <v>303</v>
      </c>
      <c r="AB1421" s="186"/>
      <c r="AC1421" s="186"/>
      <c r="AD1421" s="268" t="s">
        <v>3661</v>
      </c>
      <c r="AE1421" s="268"/>
      <c r="AF1421" s="144">
        <f t="shared" si="124"/>
        <v>4.43</v>
      </c>
      <c r="AG1421" s="144" t="str">
        <f t="shared" si="121"/>
        <v/>
      </c>
      <c r="AH1421" s="146">
        <f t="shared" si="126"/>
        <v>0.08</v>
      </c>
      <c r="AI1421" s="146" t="str">
        <f t="shared" si="127"/>
        <v/>
      </c>
      <c r="AJ1421" s="309">
        <v>4.43</v>
      </c>
      <c r="AK1421" s="309"/>
      <c r="AL1421" s="309"/>
      <c r="AM1421" s="309"/>
      <c r="AN1421" s="309"/>
      <c r="AO1421" s="309"/>
      <c r="AP1421" s="309"/>
      <c r="AQ1421" s="309"/>
      <c r="AR1421" s="320"/>
      <c r="AS1421" s="227">
        <f t="shared" si="128"/>
        <v>4.43</v>
      </c>
      <c r="AT1421" s="238"/>
      <c r="AU1421" s="320"/>
      <c r="AV1421" s="346"/>
      <c r="AW1421" s="357">
        <v>0.08</v>
      </c>
      <c r="AX1421" s="294"/>
      <c r="AY1421" s="294"/>
      <c r="AZ1421" s="294"/>
      <c r="BA1421" s="294"/>
      <c r="BB1421" s="294"/>
      <c r="BC1421" s="294"/>
      <c r="BD1421" s="294"/>
      <c r="BE1421" s="294"/>
      <c r="BF1421" s="383">
        <f t="shared" si="123"/>
        <v>0.08</v>
      </c>
      <c r="BG1421" s="383"/>
      <c r="BH1421" s="375"/>
      <c r="BI1421" s="376"/>
      <c r="BJ1421" s="409"/>
    </row>
    <row r="1422" spans="1:62" ht="15" customHeight="1" thickBot="1" x14ac:dyDescent="0.25">
      <c r="A1422" s="156">
        <v>1423</v>
      </c>
      <c r="B1422" s="247">
        <v>1</v>
      </c>
      <c r="C1422" s="148" t="s">
        <v>3450</v>
      </c>
      <c r="D1422" s="148" t="s">
        <v>3663</v>
      </c>
      <c r="E1422" s="148" t="s">
        <v>13</v>
      </c>
      <c r="F1422" s="148" t="s">
        <v>378</v>
      </c>
      <c r="G1422" s="148"/>
      <c r="H1422" s="148" t="s">
        <v>566</v>
      </c>
      <c r="I1422" s="161">
        <v>2013</v>
      </c>
      <c r="J1422" s="161" t="s">
        <v>3664</v>
      </c>
      <c r="K1422" s="161"/>
      <c r="L1422" s="161" t="s">
        <v>19</v>
      </c>
      <c r="M1422" s="453" t="s">
        <v>4354</v>
      </c>
      <c r="N1422" s="186" t="s">
        <v>122</v>
      </c>
      <c r="O1422" s="186" t="s">
        <v>292</v>
      </c>
      <c r="P1422" s="186" t="s">
        <v>292</v>
      </c>
      <c r="Q1422" s="186" t="s">
        <v>292</v>
      </c>
      <c r="R1422" s="186" t="s">
        <v>292</v>
      </c>
      <c r="S1422" s="186" t="s">
        <v>292</v>
      </c>
      <c r="T1422" s="186" t="s">
        <v>292</v>
      </c>
      <c r="U1422" s="186" t="s">
        <v>292</v>
      </c>
      <c r="V1422" s="186" t="s">
        <v>292</v>
      </c>
      <c r="W1422" s="186" t="s">
        <v>292</v>
      </c>
      <c r="X1422" s="186" t="s">
        <v>292</v>
      </c>
      <c r="Y1422" s="186" t="s">
        <v>292</v>
      </c>
      <c r="Z1422" s="186"/>
      <c r="AA1422" s="186" t="s">
        <v>303</v>
      </c>
      <c r="AB1422" s="186"/>
      <c r="AC1422" s="186"/>
      <c r="AD1422" s="268" t="s">
        <v>3665</v>
      </c>
      <c r="AE1422" s="268"/>
      <c r="AF1422" s="144">
        <f t="shared" si="124"/>
        <v>2.85</v>
      </c>
      <c r="AG1422" s="144" t="str">
        <f t="shared" si="121"/>
        <v/>
      </c>
      <c r="AH1422" s="146">
        <f t="shared" si="126"/>
        <v>0.12</v>
      </c>
      <c r="AI1422" s="146" t="str">
        <f t="shared" si="127"/>
        <v/>
      </c>
      <c r="AJ1422" s="309">
        <v>2.85</v>
      </c>
      <c r="AK1422" s="309"/>
      <c r="AL1422" s="309"/>
      <c r="AM1422" s="309"/>
      <c r="AN1422" s="309"/>
      <c r="AO1422" s="309"/>
      <c r="AP1422" s="309"/>
      <c r="AQ1422" s="309"/>
      <c r="AR1422" s="320"/>
      <c r="AS1422" s="227">
        <f t="shared" si="128"/>
        <v>2.85</v>
      </c>
      <c r="AT1422" s="238"/>
      <c r="AU1422" s="320"/>
      <c r="AV1422" s="346"/>
      <c r="AW1422" s="357">
        <v>0.12</v>
      </c>
      <c r="AX1422" s="294"/>
      <c r="AY1422" s="294"/>
      <c r="AZ1422" s="294"/>
      <c r="BA1422" s="294"/>
      <c r="BB1422" s="294"/>
      <c r="BC1422" s="294"/>
      <c r="BD1422" s="294"/>
      <c r="BE1422" s="294"/>
      <c r="BF1422" s="383">
        <f t="shared" si="123"/>
        <v>0.12</v>
      </c>
      <c r="BG1422" s="383"/>
      <c r="BH1422" s="375"/>
      <c r="BI1422" s="376"/>
      <c r="BJ1422" s="409"/>
    </row>
    <row r="1423" spans="1:62" ht="15" customHeight="1" thickBot="1" x14ac:dyDescent="0.25">
      <c r="A1423" s="156">
        <v>1424</v>
      </c>
      <c r="B1423" s="247">
        <v>1</v>
      </c>
      <c r="C1423" s="148" t="s">
        <v>3450</v>
      </c>
      <c r="D1423" s="148" t="s">
        <v>3663</v>
      </c>
      <c r="E1423" s="148" t="s">
        <v>13</v>
      </c>
      <c r="F1423" s="148" t="s">
        <v>379</v>
      </c>
      <c r="G1423" s="148"/>
      <c r="H1423" s="148" t="s">
        <v>566</v>
      </c>
      <c r="I1423" s="161">
        <v>2013</v>
      </c>
      <c r="J1423" s="161" t="s">
        <v>3664</v>
      </c>
      <c r="K1423" s="161"/>
      <c r="L1423" s="161" t="s">
        <v>19</v>
      </c>
      <c r="M1423" s="453" t="s">
        <v>4354</v>
      </c>
      <c r="N1423" s="186" t="s">
        <v>122</v>
      </c>
      <c r="O1423" s="186" t="s">
        <v>292</v>
      </c>
      <c r="P1423" s="186" t="s">
        <v>292</v>
      </c>
      <c r="Q1423" s="186" t="s">
        <v>292</v>
      </c>
      <c r="R1423" s="186" t="s">
        <v>292</v>
      </c>
      <c r="S1423" s="186" t="s">
        <v>292</v>
      </c>
      <c r="T1423" s="186" t="s">
        <v>292</v>
      </c>
      <c r="U1423" s="186" t="s">
        <v>292</v>
      </c>
      <c r="V1423" s="186" t="s">
        <v>292</v>
      </c>
      <c r="W1423" s="186" t="s">
        <v>292</v>
      </c>
      <c r="X1423" s="186" t="s">
        <v>292</v>
      </c>
      <c r="Y1423" s="186" t="s">
        <v>292</v>
      </c>
      <c r="Z1423" s="186"/>
      <c r="AA1423" s="186" t="s">
        <v>303</v>
      </c>
      <c r="AB1423" s="186"/>
      <c r="AC1423" s="186"/>
      <c r="AD1423" s="268" t="s">
        <v>3665</v>
      </c>
      <c r="AE1423" s="268"/>
      <c r="AF1423" s="144">
        <f t="shared" si="124"/>
        <v>2.1</v>
      </c>
      <c r="AG1423" s="144" t="str">
        <f t="shared" si="121"/>
        <v/>
      </c>
      <c r="AH1423" s="146">
        <f t="shared" si="126"/>
        <v>0.04</v>
      </c>
      <c r="AI1423" s="146" t="str">
        <f t="shared" si="127"/>
        <v/>
      </c>
      <c r="AJ1423" s="309">
        <v>2.1</v>
      </c>
      <c r="AK1423" s="309"/>
      <c r="AL1423" s="309"/>
      <c r="AM1423" s="309"/>
      <c r="AN1423" s="309"/>
      <c r="AO1423" s="309"/>
      <c r="AP1423" s="309"/>
      <c r="AQ1423" s="309"/>
      <c r="AR1423" s="320"/>
      <c r="AS1423" s="227">
        <f t="shared" si="128"/>
        <v>2.1</v>
      </c>
      <c r="AT1423" s="238"/>
      <c r="AU1423" s="320"/>
      <c r="AV1423" s="346"/>
      <c r="AW1423" s="357">
        <v>0.04</v>
      </c>
      <c r="AX1423" s="294"/>
      <c r="AY1423" s="294"/>
      <c r="AZ1423" s="294"/>
      <c r="BA1423" s="294"/>
      <c r="BB1423" s="294"/>
      <c r="BC1423" s="294"/>
      <c r="BD1423" s="294"/>
      <c r="BE1423" s="294"/>
      <c r="BF1423" s="383">
        <f t="shared" si="123"/>
        <v>0.04</v>
      </c>
      <c r="BG1423" s="383"/>
      <c r="BH1423" s="375"/>
      <c r="BI1423" s="376"/>
      <c r="BJ1423" s="409"/>
    </row>
    <row r="1424" spans="1:62" ht="15" customHeight="1" thickBot="1" x14ac:dyDescent="0.25">
      <c r="A1424" s="156">
        <v>1425</v>
      </c>
      <c r="B1424" s="247">
        <v>1</v>
      </c>
      <c r="C1424" s="148" t="s">
        <v>3450</v>
      </c>
      <c r="D1424" s="148" t="s">
        <v>2769</v>
      </c>
      <c r="E1424" s="148" t="s">
        <v>13</v>
      </c>
      <c r="F1424" s="148" t="s">
        <v>378</v>
      </c>
      <c r="G1424" s="148"/>
      <c r="H1424" s="148" t="s">
        <v>566</v>
      </c>
      <c r="I1424" s="161">
        <v>2013</v>
      </c>
      <c r="J1424" s="161" t="s">
        <v>3664</v>
      </c>
      <c r="K1424" s="161"/>
      <c r="L1424" s="161" t="s">
        <v>19</v>
      </c>
      <c r="M1424" s="453" t="s">
        <v>4354</v>
      </c>
      <c r="N1424" s="186" t="s">
        <v>122</v>
      </c>
      <c r="O1424" s="186" t="s">
        <v>292</v>
      </c>
      <c r="P1424" s="186" t="s">
        <v>292</v>
      </c>
      <c r="Q1424" s="186" t="s">
        <v>292</v>
      </c>
      <c r="R1424" s="186" t="s">
        <v>292</v>
      </c>
      <c r="S1424" s="186" t="s">
        <v>292</v>
      </c>
      <c r="T1424" s="186" t="s">
        <v>292</v>
      </c>
      <c r="U1424" s="186" t="s">
        <v>292</v>
      </c>
      <c r="V1424" s="186" t="s">
        <v>292</v>
      </c>
      <c r="W1424" s="186" t="s">
        <v>292</v>
      </c>
      <c r="X1424" s="186" t="s">
        <v>292</v>
      </c>
      <c r="Y1424" s="186" t="s">
        <v>292</v>
      </c>
      <c r="Z1424" s="186"/>
      <c r="AA1424" s="186" t="s">
        <v>303</v>
      </c>
      <c r="AB1424" s="186"/>
      <c r="AC1424" s="186"/>
      <c r="AD1424" s="268" t="s">
        <v>3666</v>
      </c>
      <c r="AE1424" s="268"/>
      <c r="AF1424" s="144">
        <f t="shared" si="124"/>
        <v>2.87</v>
      </c>
      <c r="AG1424" s="144" t="str">
        <f t="shared" si="121"/>
        <v/>
      </c>
      <c r="AH1424" s="146">
        <f t="shared" si="126"/>
        <v>0.13</v>
      </c>
      <c r="AI1424" s="146" t="str">
        <f t="shared" si="127"/>
        <v/>
      </c>
      <c r="AJ1424" s="309">
        <v>2.87</v>
      </c>
      <c r="AK1424" s="309"/>
      <c r="AL1424" s="309"/>
      <c r="AM1424" s="309"/>
      <c r="AN1424" s="309"/>
      <c r="AO1424" s="309"/>
      <c r="AP1424" s="309"/>
      <c r="AQ1424" s="309"/>
      <c r="AR1424" s="320"/>
      <c r="AS1424" s="227">
        <f t="shared" si="128"/>
        <v>2.87</v>
      </c>
      <c r="AT1424" s="238"/>
      <c r="AU1424" s="320"/>
      <c r="AV1424" s="346"/>
      <c r="AW1424" s="357">
        <v>0.13</v>
      </c>
      <c r="AX1424" s="294"/>
      <c r="AY1424" s="294"/>
      <c r="AZ1424" s="294"/>
      <c r="BA1424" s="294"/>
      <c r="BB1424" s="294"/>
      <c r="BC1424" s="294"/>
      <c r="BD1424" s="294"/>
      <c r="BE1424" s="294"/>
      <c r="BF1424" s="383">
        <f t="shared" si="123"/>
        <v>0.13</v>
      </c>
      <c r="BG1424" s="383"/>
      <c r="BH1424" s="375"/>
      <c r="BI1424" s="376"/>
      <c r="BJ1424" s="409"/>
    </row>
    <row r="1425" spans="1:62" ht="15" customHeight="1" thickBot="1" x14ac:dyDescent="0.25">
      <c r="A1425" s="156">
        <v>1426</v>
      </c>
      <c r="B1425" s="247">
        <v>1</v>
      </c>
      <c r="C1425" s="148" t="s">
        <v>3450</v>
      </c>
      <c r="D1425" s="148" t="s">
        <v>2769</v>
      </c>
      <c r="E1425" s="148" t="s">
        <v>13</v>
      </c>
      <c r="F1425" s="148" t="s">
        <v>379</v>
      </c>
      <c r="G1425" s="148"/>
      <c r="H1425" s="148" t="s">
        <v>566</v>
      </c>
      <c r="I1425" s="161">
        <v>2013</v>
      </c>
      <c r="J1425" s="161" t="s">
        <v>3664</v>
      </c>
      <c r="K1425" s="161"/>
      <c r="L1425" s="161" t="s">
        <v>19</v>
      </c>
      <c r="M1425" s="453" t="s">
        <v>4354</v>
      </c>
      <c r="N1425" s="186" t="s">
        <v>122</v>
      </c>
      <c r="O1425" s="186" t="s">
        <v>292</v>
      </c>
      <c r="P1425" s="186" t="s">
        <v>292</v>
      </c>
      <c r="Q1425" s="186" t="s">
        <v>292</v>
      </c>
      <c r="R1425" s="186" t="s">
        <v>292</v>
      </c>
      <c r="S1425" s="186" t="s">
        <v>292</v>
      </c>
      <c r="T1425" s="186" t="s">
        <v>292</v>
      </c>
      <c r="U1425" s="186" t="s">
        <v>292</v>
      </c>
      <c r="V1425" s="186" t="s">
        <v>292</v>
      </c>
      <c r="W1425" s="186" t="s">
        <v>292</v>
      </c>
      <c r="X1425" s="186" t="s">
        <v>292</v>
      </c>
      <c r="Y1425" s="186" t="s">
        <v>292</v>
      </c>
      <c r="Z1425" s="186"/>
      <c r="AA1425" s="186" t="s">
        <v>303</v>
      </c>
      <c r="AB1425" s="186"/>
      <c r="AC1425" s="186"/>
      <c r="AD1425" s="268" t="s">
        <v>3666</v>
      </c>
      <c r="AE1425" s="268"/>
      <c r="AF1425" s="144">
        <f t="shared" si="124"/>
        <v>2.38</v>
      </c>
      <c r="AG1425" s="144" t="str">
        <f t="shared" si="121"/>
        <v/>
      </c>
      <c r="AH1425" s="146">
        <f t="shared" si="126"/>
        <v>0.04</v>
      </c>
      <c r="AI1425" s="146" t="str">
        <f t="shared" si="127"/>
        <v/>
      </c>
      <c r="AJ1425" s="309">
        <v>2.38</v>
      </c>
      <c r="AK1425" s="309"/>
      <c r="AL1425" s="309"/>
      <c r="AM1425" s="309"/>
      <c r="AN1425" s="309"/>
      <c r="AO1425" s="309"/>
      <c r="AP1425" s="309"/>
      <c r="AQ1425" s="309"/>
      <c r="AR1425" s="320"/>
      <c r="AS1425" s="227">
        <f t="shared" si="128"/>
        <v>2.38</v>
      </c>
      <c r="AT1425" s="238"/>
      <c r="AU1425" s="320"/>
      <c r="AV1425" s="346"/>
      <c r="AW1425" s="357">
        <v>0.04</v>
      </c>
      <c r="AX1425" s="294"/>
      <c r="AY1425" s="294"/>
      <c r="AZ1425" s="294"/>
      <c r="BA1425" s="294"/>
      <c r="BB1425" s="294"/>
      <c r="BC1425" s="294"/>
      <c r="BD1425" s="294"/>
      <c r="BE1425" s="294"/>
      <c r="BF1425" s="383">
        <f t="shared" si="123"/>
        <v>0.04</v>
      </c>
      <c r="BG1425" s="383"/>
      <c r="BH1425" s="375"/>
      <c r="BI1425" s="376"/>
      <c r="BJ1425" s="409"/>
    </row>
    <row r="1426" spans="1:62" ht="15" customHeight="1" thickBot="1" x14ac:dyDescent="0.25">
      <c r="A1426" s="156">
        <v>1427</v>
      </c>
      <c r="B1426" s="247">
        <v>1</v>
      </c>
      <c r="C1426" s="148" t="s">
        <v>3589</v>
      </c>
      <c r="D1426" s="148" t="s">
        <v>12</v>
      </c>
      <c r="E1426" s="148" t="s">
        <v>13</v>
      </c>
      <c r="F1426" s="148" t="s">
        <v>3667</v>
      </c>
      <c r="G1426" s="148"/>
      <c r="H1426" s="148" t="s">
        <v>165</v>
      </c>
      <c r="I1426" s="161">
        <v>2013</v>
      </c>
      <c r="J1426" s="161" t="s">
        <v>3668</v>
      </c>
      <c r="K1426" s="161"/>
      <c r="L1426" s="161" t="s">
        <v>19</v>
      </c>
      <c r="M1426" s="453" t="s">
        <v>4355</v>
      </c>
      <c r="N1426" s="186" t="s">
        <v>122</v>
      </c>
      <c r="O1426" s="186" t="s">
        <v>122</v>
      </c>
      <c r="P1426" s="186" t="s">
        <v>292</v>
      </c>
      <c r="Q1426" s="186" t="s">
        <v>292</v>
      </c>
      <c r="R1426" s="186" t="s">
        <v>292</v>
      </c>
      <c r="S1426" s="186" t="s">
        <v>292</v>
      </c>
      <c r="T1426" s="186" t="s">
        <v>292</v>
      </c>
      <c r="U1426" s="186" t="s">
        <v>292</v>
      </c>
      <c r="V1426" s="186" t="s">
        <v>292</v>
      </c>
      <c r="W1426" s="186" t="s">
        <v>292</v>
      </c>
      <c r="X1426" s="186" t="s">
        <v>292</v>
      </c>
      <c r="Y1426" s="186" t="s">
        <v>292</v>
      </c>
      <c r="Z1426" s="186"/>
      <c r="AA1426" s="186" t="s">
        <v>3669</v>
      </c>
      <c r="AB1426" s="186"/>
      <c r="AC1426" s="186"/>
      <c r="AD1426" s="268" t="s">
        <v>343</v>
      </c>
      <c r="AE1426" s="268"/>
      <c r="AF1426" s="144">
        <f t="shared" si="124"/>
        <v>4.29</v>
      </c>
      <c r="AG1426" s="144" t="str">
        <f t="shared" si="121"/>
        <v/>
      </c>
      <c r="AH1426" s="146">
        <f t="shared" si="126"/>
        <v>1.45</v>
      </c>
      <c r="AI1426" s="146" t="str">
        <f t="shared" si="127"/>
        <v/>
      </c>
      <c r="AJ1426" s="309">
        <v>4.29</v>
      </c>
      <c r="AK1426" s="309"/>
      <c r="AL1426" s="309"/>
      <c r="AM1426" s="309"/>
      <c r="AN1426" s="309"/>
      <c r="AO1426" s="309"/>
      <c r="AP1426" s="309"/>
      <c r="AQ1426" s="309"/>
      <c r="AR1426" s="320"/>
      <c r="AS1426" s="227">
        <f t="shared" si="128"/>
        <v>4.29</v>
      </c>
      <c r="AT1426" s="238"/>
      <c r="AU1426" s="320"/>
      <c r="AV1426" s="346"/>
      <c r="AW1426" s="357">
        <v>1.45</v>
      </c>
      <c r="AX1426" s="294"/>
      <c r="AY1426" s="294"/>
      <c r="AZ1426" s="294"/>
      <c r="BA1426" s="294"/>
      <c r="BB1426" s="294"/>
      <c r="BC1426" s="294"/>
      <c r="BD1426" s="294"/>
      <c r="BE1426" s="294"/>
      <c r="BF1426" s="383">
        <f t="shared" si="123"/>
        <v>1.45</v>
      </c>
      <c r="BG1426" s="383"/>
      <c r="BH1426" s="375"/>
      <c r="BI1426" s="376"/>
      <c r="BJ1426" s="409"/>
    </row>
    <row r="1427" spans="1:62" ht="15" customHeight="1" thickBot="1" x14ac:dyDescent="0.25">
      <c r="A1427" s="156">
        <v>1428</v>
      </c>
      <c r="B1427" s="247">
        <v>1</v>
      </c>
      <c r="C1427" s="148" t="s">
        <v>3589</v>
      </c>
      <c r="D1427" s="148" t="s">
        <v>12</v>
      </c>
      <c r="E1427" s="148" t="s">
        <v>13</v>
      </c>
      <c r="F1427" s="148" t="s">
        <v>3670</v>
      </c>
      <c r="G1427" s="148"/>
      <c r="H1427" s="148" t="s">
        <v>165</v>
      </c>
      <c r="I1427" s="161">
        <v>2013</v>
      </c>
      <c r="J1427" s="161" t="s">
        <v>3668</v>
      </c>
      <c r="K1427" s="161"/>
      <c r="L1427" s="161" t="s">
        <v>19</v>
      </c>
      <c r="M1427" s="453" t="s">
        <v>4355</v>
      </c>
      <c r="N1427" s="186" t="s">
        <v>122</v>
      </c>
      <c r="O1427" s="186" t="s">
        <v>122</v>
      </c>
      <c r="P1427" s="186" t="s">
        <v>292</v>
      </c>
      <c r="Q1427" s="186" t="s">
        <v>292</v>
      </c>
      <c r="R1427" s="186" t="s">
        <v>292</v>
      </c>
      <c r="S1427" s="186" t="s">
        <v>292</v>
      </c>
      <c r="T1427" s="186" t="s">
        <v>292</v>
      </c>
      <c r="U1427" s="186" t="s">
        <v>292</v>
      </c>
      <c r="V1427" s="186" t="s">
        <v>292</v>
      </c>
      <c r="W1427" s="186" t="s">
        <v>292</v>
      </c>
      <c r="X1427" s="186" t="s">
        <v>292</v>
      </c>
      <c r="Y1427" s="186" t="s">
        <v>292</v>
      </c>
      <c r="Z1427" s="186"/>
      <c r="AA1427" s="186" t="s">
        <v>3669</v>
      </c>
      <c r="AB1427" s="186"/>
      <c r="AC1427" s="186"/>
      <c r="AD1427" s="268" t="s">
        <v>343</v>
      </c>
      <c r="AE1427" s="268"/>
      <c r="AF1427" s="144">
        <f t="shared" si="124"/>
        <v>3.97</v>
      </c>
      <c r="AG1427" s="144" t="str">
        <f t="shared" ref="AG1427:AG1490" si="129">IF(AND(SUM(AJ1427:AL1427)&lt;&gt;0,SUM(AJ1427:AL1427)&lt;&gt;AJ1427),SUM(AJ1427:AL1427),"")</f>
        <v/>
      </c>
      <c r="AH1427" s="146">
        <f t="shared" si="126"/>
        <v>1.33</v>
      </c>
      <c r="AI1427" s="146" t="str">
        <f t="shared" si="127"/>
        <v/>
      </c>
      <c r="AJ1427" s="309">
        <v>3.97</v>
      </c>
      <c r="AK1427" s="309"/>
      <c r="AL1427" s="309"/>
      <c r="AM1427" s="309"/>
      <c r="AN1427" s="309"/>
      <c r="AO1427" s="309"/>
      <c r="AP1427" s="309"/>
      <c r="AQ1427" s="309"/>
      <c r="AR1427" s="320"/>
      <c r="AS1427" s="237">
        <f t="shared" si="128"/>
        <v>3.97</v>
      </c>
      <c r="AT1427" s="238"/>
      <c r="AU1427" s="320"/>
      <c r="AV1427" s="346"/>
      <c r="AW1427" s="357">
        <v>1.33</v>
      </c>
      <c r="AX1427" s="294"/>
      <c r="AY1427" s="294"/>
      <c r="AZ1427" s="294"/>
      <c r="BA1427" s="294"/>
      <c r="BB1427" s="294"/>
      <c r="BC1427" s="294"/>
      <c r="BD1427" s="294"/>
      <c r="BE1427" s="294"/>
      <c r="BF1427" s="383">
        <f t="shared" si="123"/>
        <v>1.33</v>
      </c>
      <c r="BG1427" s="383"/>
      <c r="BH1427" s="375"/>
      <c r="BI1427" s="376"/>
      <c r="BJ1427" s="409"/>
    </row>
    <row r="1428" spans="1:62" ht="15" customHeight="1" thickBot="1" x14ac:dyDescent="0.25">
      <c r="A1428" s="156">
        <v>1429</v>
      </c>
      <c r="B1428" s="247">
        <v>1</v>
      </c>
      <c r="C1428" s="148" t="s">
        <v>3589</v>
      </c>
      <c r="D1428" s="148" t="s">
        <v>12</v>
      </c>
      <c r="E1428" s="148" t="s">
        <v>13</v>
      </c>
      <c r="F1428" s="148" t="s">
        <v>3671</v>
      </c>
      <c r="G1428" s="148"/>
      <c r="H1428" s="148" t="s">
        <v>165</v>
      </c>
      <c r="I1428" s="161">
        <v>2013</v>
      </c>
      <c r="J1428" s="161" t="s">
        <v>3668</v>
      </c>
      <c r="K1428" s="161"/>
      <c r="L1428" s="161" t="s">
        <v>19</v>
      </c>
      <c r="M1428" s="453" t="s">
        <v>4355</v>
      </c>
      <c r="N1428" s="186" t="s">
        <v>122</v>
      </c>
      <c r="O1428" s="186" t="s">
        <v>122</v>
      </c>
      <c r="P1428" s="186" t="s">
        <v>292</v>
      </c>
      <c r="Q1428" s="186" t="s">
        <v>292</v>
      </c>
      <c r="R1428" s="186" t="s">
        <v>292</v>
      </c>
      <c r="S1428" s="186" t="s">
        <v>292</v>
      </c>
      <c r="T1428" s="186" t="s">
        <v>292</v>
      </c>
      <c r="U1428" s="186" t="s">
        <v>292</v>
      </c>
      <c r="V1428" s="186" t="s">
        <v>292</v>
      </c>
      <c r="W1428" s="186" t="s">
        <v>292</v>
      </c>
      <c r="X1428" s="186" t="s">
        <v>292</v>
      </c>
      <c r="Y1428" s="186" t="s">
        <v>292</v>
      </c>
      <c r="Z1428" s="186"/>
      <c r="AA1428" s="186" t="s">
        <v>3669</v>
      </c>
      <c r="AB1428" s="186"/>
      <c r="AC1428" s="186"/>
      <c r="AD1428" s="268" t="s">
        <v>343</v>
      </c>
      <c r="AE1428" s="268"/>
      <c r="AF1428" s="144">
        <f t="shared" si="124"/>
        <v>3.93</v>
      </c>
      <c r="AG1428" s="144" t="str">
        <f t="shared" si="129"/>
        <v/>
      </c>
      <c r="AH1428" s="146">
        <f t="shared" si="126"/>
        <v>1.29</v>
      </c>
      <c r="AI1428" s="146" t="str">
        <f t="shared" si="127"/>
        <v/>
      </c>
      <c r="AJ1428" s="309">
        <v>3.93</v>
      </c>
      <c r="AK1428" s="309"/>
      <c r="AL1428" s="309"/>
      <c r="AM1428" s="309"/>
      <c r="AN1428" s="309"/>
      <c r="AO1428" s="309"/>
      <c r="AP1428" s="309"/>
      <c r="AQ1428" s="309"/>
      <c r="AR1428" s="320"/>
      <c r="AS1428" s="237">
        <f t="shared" si="128"/>
        <v>3.93</v>
      </c>
      <c r="AT1428" s="238"/>
      <c r="AU1428" s="320"/>
      <c r="AV1428" s="346"/>
      <c r="AW1428" s="357">
        <v>1.29</v>
      </c>
      <c r="AX1428" s="294"/>
      <c r="AY1428" s="294"/>
      <c r="AZ1428" s="294"/>
      <c r="BA1428" s="294"/>
      <c r="BB1428" s="294"/>
      <c r="BC1428" s="294"/>
      <c r="BD1428" s="294"/>
      <c r="BE1428" s="294"/>
      <c r="BF1428" s="383">
        <f t="shared" si="123"/>
        <v>1.29</v>
      </c>
      <c r="BG1428" s="383"/>
      <c r="BH1428" s="375"/>
      <c r="BI1428" s="376"/>
      <c r="BJ1428" s="409"/>
    </row>
    <row r="1429" spans="1:62" ht="15" customHeight="1" thickBot="1" x14ac:dyDescent="0.25">
      <c r="A1429" s="156">
        <v>1430</v>
      </c>
      <c r="B1429" s="247">
        <v>1</v>
      </c>
      <c r="C1429" s="148" t="s">
        <v>3589</v>
      </c>
      <c r="D1429" s="148" t="s">
        <v>12</v>
      </c>
      <c r="E1429" s="148" t="s">
        <v>13</v>
      </c>
      <c r="F1429" s="148" t="s">
        <v>3672</v>
      </c>
      <c r="G1429" s="148"/>
      <c r="H1429" s="148" t="s">
        <v>165</v>
      </c>
      <c r="I1429" s="161">
        <v>2013</v>
      </c>
      <c r="J1429" s="161" t="s">
        <v>3668</v>
      </c>
      <c r="K1429" s="161"/>
      <c r="L1429" s="161" t="s">
        <v>19</v>
      </c>
      <c r="M1429" s="453" t="s">
        <v>4355</v>
      </c>
      <c r="N1429" s="186" t="s">
        <v>122</v>
      </c>
      <c r="O1429" s="186" t="s">
        <v>122</v>
      </c>
      <c r="P1429" s="186" t="s">
        <v>292</v>
      </c>
      <c r="Q1429" s="186" t="s">
        <v>292</v>
      </c>
      <c r="R1429" s="186" t="s">
        <v>292</v>
      </c>
      <c r="S1429" s="186" t="s">
        <v>292</v>
      </c>
      <c r="T1429" s="186" t="s">
        <v>292</v>
      </c>
      <c r="U1429" s="186" t="s">
        <v>292</v>
      </c>
      <c r="V1429" s="186" t="s">
        <v>292</v>
      </c>
      <c r="W1429" s="186" t="s">
        <v>292</v>
      </c>
      <c r="X1429" s="186" t="s">
        <v>292</v>
      </c>
      <c r="Y1429" s="186" t="s">
        <v>292</v>
      </c>
      <c r="Z1429" s="186"/>
      <c r="AA1429" s="186" t="s">
        <v>3669</v>
      </c>
      <c r="AB1429" s="186"/>
      <c r="AC1429" s="186"/>
      <c r="AD1429" s="268" t="s">
        <v>343</v>
      </c>
      <c r="AE1429" s="268"/>
      <c r="AF1429" s="144">
        <f t="shared" si="124"/>
        <v>3.75</v>
      </c>
      <c r="AG1429" s="144" t="str">
        <f t="shared" si="129"/>
        <v/>
      </c>
      <c r="AH1429" s="146">
        <f t="shared" si="126"/>
        <v>1.17</v>
      </c>
      <c r="AI1429" s="146" t="str">
        <f t="shared" si="127"/>
        <v/>
      </c>
      <c r="AJ1429" s="309">
        <v>3.75</v>
      </c>
      <c r="AK1429" s="309"/>
      <c r="AL1429" s="309"/>
      <c r="AM1429" s="309"/>
      <c r="AN1429" s="309"/>
      <c r="AO1429" s="309"/>
      <c r="AP1429" s="309"/>
      <c r="AQ1429" s="309"/>
      <c r="AR1429" s="320"/>
      <c r="AS1429" s="237">
        <f t="shared" si="128"/>
        <v>3.75</v>
      </c>
      <c r="AT1429" s="238"/>
      <c r="AU1429" s="320"/>
      <c r="AV1429" s="346"/>
      <c r="AW1429" s="357">
        <v>1.17</v>
      </c>
      <c r="AX1429" s="294"/>
      <c r="AY1429" s="294"/>
      <c r="AZ1429" s="294"/>
      <c r="BA1429" s="294"/>
      <c r="BB1429" s="294"/>
      <c r="BC1429" s="294"/>
      <c r="BD1429" s="294"/>
      <c r="BE1429" s="294"/>
      <c r="BF1429" s="383">
        <f t="shared" si="123"/>
        <v>1.17</v>
      </c>
      <c r="BG1429" s="383"/>
      <c r="BH1429" s="375"/>
      <c r="BI1429" s="376"/>
      <c r="BJ1429" s="409"/>
    </row>
    <row r="1430" spans="1:62" ht="15" customHeight="1" thickBot="1" x14ac:dyDescent="0.25">
      <c r="A1430" s="156">
        <v>1431</v>
      </c>
      <c r="B1430" s="247">
        <v>1</v>
      </c>
      <c r="C1430" s="148" t="s">
        <v>3589</v>
      </c>
      <c r="D1430" s="148" t="s">
        <v>12</v>
      </c>
      <c r="E1430" s="148" t="s">
        <v>13</v>
      </c>
      <c r="F1430" s="148" t="s">
        <v>3673</v>
      </c>
      <c r="G1430" s="148"/>
      <c r="H1430" s="148" t="s">
        <v>165</v>
      </c>
      <c r="I1430" s="161">
        <v>2013</v>
      </c>
      <c r="J1430" s="161" t="s">
        <v>3668</v>
      </c>
      <c r="K1430" s="161"/>
      <c r="L1430" s="161" t="s">
        <v>19</v>
      </c>
      <c r="M1430" s="453" t="s">
        <v>4355</v>
      </c>
      <c r="N1430" s="186" t="s">
        <v>122</v>
      </c>
      <c r="O1430" s="186" t="s">
        <v>122</v>
      </c>
      <c r="P1430" s="186" t="s">
        <v>292</v>
      </c>
      <c r="Q1430" s="186" t="s">
        <v>292</v>
      </c>
      <c r="R1430" s="186" t="s">
        <v>292</v>
      </c>
      <c r="S1430" s="186" t="s">
        <v>292</v>
      </c>
      <c r="T1430" s="186" t="s">
        <v>292</v>
      </c>
      <c r="U1430" s="186" t="s">
        <v>292</v>
      </c>
      <c r="V1430" s="186" t="s">
        <v>292</v>
      </c>
      <c r="W1430" s="186" t="s">
        <v>292</v>
      </c>
      <c r="X1430" s="186" t="s">
        <v>292</v>
      </c>
      <c r="Y1430" s="186" t="s">
        <v>292</v>
      </c>
      <c r="Z1430" s="186"/>
      <c r="AA1430" s="186" t="s">
        <v>3669</v>
      </c>
      <c r="AB1430" s="186"/>
      <c r="AC1430" s="186"/>
      <c r="AD1430" s="268" t="s">
        <v>343</v>
      </c>
      <c r="AE1430" s="268"/>
      <c r="AF1430" s="144">
        <f t="shared" si="124"/>
        <v>3.98</v>
      </c>
      <c r="AG1430" s="144" t="str">
        <f t="shared" si="129"/>
        <v/>
      </c>
      <c r="AH1430" s="146">
        <f t="shared" si="126"/>
        <v>1.28</v>
      </c>
      <c r="AI1430" s="146" t="str">
        <f t="shared" si="127"/>
        <v/>
      </c>
      <c r="AJ1430" s="309">
        <v>3.98</v>
      </c>
      <c r="AK1430" s="309"/>
      <c r="AL1430" s="309"/>
      <c r="AM1430" s="309"/>
      <c r="AN1430" s="309"/>
      <c r="AO1430" s="309"/>
      <c r="AP1430" s="309"/>
      <c r="AQ1430" s="309"/>
      <c r="AR1430" s="320"/>
      <c r="AS1430" s="237">
        <f t="shared" si="128"/>
        <v>3.98</v>
      </c>
      <c r="AT1430" s="238"/>
      <c r="AU1430" s="320"/>
      <c r="AV1430" s="346"/>
      <c r="AW1430" s="357">
        <v>1.28</v>
      </c>
      <c r="AX1430" s="294"/>
      <c r="AY1430" s="294"/>
      <c r="AZ1430" s="294"/>
      <c r="BA1430" s="294"/>
      <c r="BB1430" s="294"/>
      <c r="BC1430" s="294"/>
      <c r="BD1430" s="294"/>
      <c r="BE1430" s="294"/>
      <c r="BF1430" s="383">
        <f t="shared" si="123"/>
        <v>1.28</v>
      </c>
      <c r="BG1430" s="383"/>
      <c r="BH1430" s="375"/>
      <c r="BI1430" s="376"/>
      <c r="BJ1430" s="409"/>
    </row>
    <row r="1431" spans="1:62" ht="15" customHeight="1" thickBot="1" x14ac:dyDescent="0.25">
      <c r="A1431" s="156">
        <v>1432</v>
      </c>
      <c r="B1431" s="247">
        <v>1</v>
      </c>
      <c r="C1431" s="148" t="s">
        <v>3589</v>
      </c>
      <c r="D1431" s="148" t="s">
        <v>12</v>
      </c>
      <c r="E1431" s="148" t="s">
        <v>13</v>
      </c>
      <c r="F1431" s="148" t="s">
        <v>3674</v>
      </c>
      <c r="G1431" s="148"/>
      <c r="H1431" s="148" t="s">
        <v>165</v>
      </c>
      <c r="I1431" s="161">
        <v>2013</v>
      </c>
      <c r="J1431" s="161" t="s">
        <v>3668</v>
      </c>
      <c r="K1431" s="161"/>
      <c r="L1431" s="161" t="s">
        <v>19</v>
      </c>
      <c r="M1431" s="453" t="s">
        <v>4355</v>
      </c>
      <c r="N1431" s="186" t="s">
        <v>122</v>
      </c>
      <c r="O1431" s="186" t="s">
        <v>122</v>
      </c>
      <c r="P1431" s="186" t="s">
        <v>292</v>
      </c>
      <c r="Q1431" s="186" t="s">
        <v>292</v>
      </c>
      <c r="R1431" s="186" t="s">
        <v>292</v>
      </c>
      <c r="S1431" s="186" t="s">
        <v>292</v>
      </c>
      <c r="T1431" s="186" t="s">
        <v>292</v>
      </c>
      <c r="U1431" s="186" t="s">
        <v>292</v>
      </c>
      <c r="V1431" s="186" t="s">
        <v>292</v>
      </c>
      <c r="W1431" s="186" t="s">
        <v>292</v>
      </c>
      <c r="X1431" s="186" t="s">
        <v>292</v>
      </c>
      <c r="Y1431" s="186" t="s">
        <v>292</v>
      </c>
      <c r="Z1431" s="186"/>
      <c r="AA1431" s="186" t="s">
        <v>3669</v>
      </c>
      <c r="AB1431" s="186"/>
      <c r="AC1431" s="186"/>
      <c r="AD1431" s="268" t="s">
        <v>343</v>
      </c>
      <c r="AE1431" s="268"/>
      <c r="AF1431" s="144">
        <f t="shared" si="124"/>
        <v>3.87</v>
      </c>
      <c r="AG1431" s="144" t="str">
        <f t="shared" si="129"/>
        <v/>
      </c>
      <c r="AH1431" s="146">
        <f t="shared" si="126"/>
        <v>1.1599999999999999</v>
      </c>
      <c r="AI1431" s="146" t="str">
        <f t="shared" si="127"/>
        <v/>
      </c>
      <c r="AJ1431" s="309">
        <v>3.87</v>
      </c>
      <c r="AK1431" s="309"/>
      <c r="AL1431" s="309"/>
      <c r="AM1431" s="309"/>
      <c r="AN1431" s="309"/>
      <c r="AO1431" s="309"/>
      <c r="AP1431" s="309"/>
      <c r="AQ1431" s="309"/>
      <c r="AR1431" s="320"/>
      <c r="AS1431" s="237">
        <f t="shared" si="128"/>
        <v>3.87</v>
      </c>
      <c r="AT1431" s="238"/>
      <c r="AU1431" s="320"/>
      <c r="AV1431" s="346"/>
      <c r="AW1431" s="357">
        <v>1.1599999999999999</v>
      </c>
      <c r="AX1431" s="294"/>
      <c r="AY1431" s="294"/>
      <c r="AZ1431" s="294"/>
      <c r="BA1431" s="294"/>
      <c r="BB1431" s="294"/>
      <c r="BC1431" s="294"/>
      <c r="BD1431" s="294"/>
      <c r="BE1431" s="294"/>
      <c r="BF1431" s="383">
        <f t="shared" si="123"/>
        <v>1.1599999999999999</v>
      </c>
      <c r="BG1431" s="383"/>
      <c r="BH1431" s="375"/>
      <c r="BI1431" s="376"/>
      <c r="BJ1431" s="409"/>
    </row>
    <row r="1432" spans="1:62" ht="15" customHeight="1" thickBot="1" x14ac:dyDescent="0.25">
      <c r="A1432" s="156">
        <v>1433</v>
      </c>
      <c r="B1432" s="247">
        <v>1</v>
      </c>
      <c r="C1432" s="148" t="s">
        <v>975</v>
      </c>
      <c r="D1432" s="148" t="s">
        <v>1984</v>
      </c>
      <c r="E1432" s="148" t="s">
        <v>13</v>
      </c>
      <c r="F1432" s="148" t="s">
        <v>3675</v>
      </c>
      <c r="G1432" s="148"/>
      <c r="H1432" s="148" t="s">
        <v>3676</v>
      </c>
      <c r="I1432" s="161">
        <v>2013</v>
      </c>
      <c r="J1432" s="161" t="s">
        <v>3677</v>
      </c>
      <c r="K1432" s="161"/>
      <c r="L1432" s="161" t="s">
        <v>19</v>
      </c>
      <c r="M1432" s="453" t="s">
        <v>4356</v>
      </c>
      <c r="N1432" s="186" t="s">
        <v>122</v>
      </c>
      <c r="O1432" s="186" t="s">
        <v>292</v>
      </c>
      <c r="P1432" s="186" t="s">
        <v>292</v>
      </c>
      <c r="Q1432" s="186" t="s">
        <v>292</v>
      </c>
      <c r="R1432" s="186" t="s">
        <v>292</v>
      </c>
      <c r="S1432" s="186" t="s">
        <v>292</v>
      </c>
      <c r="T1432" s="186" t="s">
        <v>292</v>
      </c>
      <c r="U1432" s="186" t="s">
        <v>292</v>
      </c>
      <c r="V1432" s="186" t="s">
        <v>292</v>
      </c>
      <c r="W1432" s="186" t="s">
        <v>292</v>
      </c>
      <c r="X1432" s="186" t="s">
        <v>292</v>
      </c>
      <c r="Y1432" s="186" t="s">
        <v>292</v>
      </c>
      <c r="Z1432" s="186"/>
      <c r="AA1432" s="186"/>
      <c r="AB1432" s="186"/>
      <c r="AC1432" s="186"/>
      <c r="AD1432" s="268" t="s">
        <v>3678</v>
      </c>
      <c r="AE1432" s="268" t="s">
        <v>3679</v>
      </c>
      <c r="AF1432" s="144">
        <f t="shared" si="124"/>
        <v>77.418918918918919</v>
      </c>
      <c r="AG1432" s="144" t="str">
        <f t="shared" si="129"/>
        <v/>
      </c>
      <c r="AH1432" s="146">
        <f t="shared" si="126"/>
        <v>4.6675675675675681</v>
      </c>
      <c r="AI1432" s="146" t="str">
        <f t="shared" si="127"/>
        <v/>
      </c>
      <c r="AJ1432" s="309">
        <f>28.645/0.37</f>
        <v>77.418918918918919</v>
      </c>
      <c r="AK1432" s="309"/>
      <c r="AL1432" s="309"/>
      <c r="AM1432" s="309"/>
      <c r="AN1432" s="309"/>
      <c r="AO1432" s="309"/>
      <c r="AP1432" s="309"/>
      <c r="AQ1432" s="309"/>
      <c r="AR1432" s="320"/>
      <c r="AS1432" s="237">
        <f t="shared" si="128"/>
        <v>77.418918918918919</v>
      </c>
      <c r="AT1432" s="238"/>
      <c r="AU1432" s="320"/>
      <c r="AV1432" s="346"/>
      <c r="AW1432" s="357">
        <f>1.727/0.37</f>
        <v>4.6675675675675681</v>
      </c>
      <c r="AX1432" s="294"/>
      <c r="AY1432" s="294"/>
      <c r="AZ1432" s="294"/>
      <c r="BA1432" s="294"/>
      <c r="BB1432" s="294"/>
      <c r="BC1432" s="294"/>
      <c r="BD1432" s="294"/>
      <c r="BE1432" s="294"/>
      <c r="BF1432" s="383">
        <f t="shared" si="123"/>
        <v>4.6675675675675681</v>
      </c>
      <c r="BG1432" s="383"/>
      <c r="BH1432" s="375"/>
      <c r="BI1432" s="376"/>
      <c r="BJ1432" s="409"/>
    </row>
    <row r="1433" spans="1:62" ht="15" customHeight="1" thickBot="1" x14ac:dyDescent="0.25">
      <c r="A1433" s="156">
        <v>1434</v>
      </c>
      <c r="B1433" s="247">
        <v>1</v>
      </c>
      <c r="C1433" s="148" t="s">
        <v>975</v>
      </c>
      <c r="D1433" s="148" t="s">
        <v>1984</v>
      </c>
      <c r="E1433" s="148" t="s">
        <v>13</v>
      </c>
      <c r="F1433" s="148" t="s">
        <v>3680</v>
      </c>
      <c r="G1433" s="148"/>
      <c r="H1433" s="148" t="s">
        <v>3676</v>
      </c>
      <c r="I1433" s="161">
        <v>2013</v>
      </c>
      <c r="J1433" s="161" t="s">
        <v>3677</v>
      </c>
      <c r="K1433" s="161"/>
      <c r="L1433" s="161" t="s">
        <v>19</v>
      </c>
      <c r="M1433" s="453" t="s">
        <v>4356</v>
      </c>
      <c r="N1433" s="186" t="s">
        <v>122</v>
      </c>
      <c r="O1433" s="186" t="s">
        <v>292</v>
      </c>
      <c r="P1433" s="186" t="s">
        <v>292</v>
      </c>
      <c r="Q1433" s="186" t="s">
        <v>292</v>
      </c>
      <c r="R1433" s="186" t="s">
        <v>292</v>
      </c>
      <c r="S1433" s="186" t="s">
        <v>292</v>
      </c>
      <c r="T1433" s="186" t="s">
        <v>292</v>
      </c>
      <c r="U1433" s="186" t="s">
        <v>292</v>
      </c>
      <c r="V1433" s="186" t="s">
        <v>292</v>
      </c>
      <c r="W1433" s="186" t="s">
        <v>292</v>
      </c>
      <c r="X1433" s="186" t="s">
        <v>292</v>
      </c>
      <c r="Y1433" s="186" t="s">
        <v>292</v>
      </c>
      <c r="Z1433" s="186"/>
      <c r="AA1433" s="186"/>
      <c r="AB1433" s="186"/>
      <c r="AC1433" s="186"/>
      <c r="AD1433" s="268" t="s">
        <v>3678</v>
      </c>
      <c r="AE1433" s="268" t="s">
        <v>3679</v>
      </c>
      <c r="AF1433" s="144">
        <f t="shared" si="124"/>
        <v>89.040540540540547</v>
      </c>
      <c r="AG1433" s="144" t="str">
        <f t="shared" si="129"/>
        <v/>
      </c>
      <c r="AH1433" s="146">
        <f t="shared" si="126"/>
        <v>5.4729729729729728</v>
      </c>
      <c r="AI1433" s="146" t="str">
        <f t="shared" si="127"/>
        <v/>
      </c>
      <c r="AJ1433" s="309">
        <f>32.945/0.37</f>
        <v>89.040540540540547</v>
      </c>
      <c r="AK1433" s="309"/>
      <c r="AL1433" s="309"/>
      <c r="AM1433" s="309"/>
      <c r="AN1433" s="309"/>
      <c r="AO1433" s="309"/>
      <c r="AP1433" s="309"/>
      <c r="AQ1433" s="309"/>
      <c r="AR1433" s="320"/>
      <c r="AS1433" s="237">
        <f t="shared" si="128"/>
        <v>89.040540540540547</v>
      </c>
      <c r="AT1433" s="238"/>
      <c r="AU1433" s="320"/>
      <c r="AV1433" s="346"/>
      <c r="AW1433" s="357">
        <f>2.025/0.37</f>
        <v>5.4729729729729728</v>
      </c>
      <c r="AX1433" s="294"/>
      <c r="AY1433" s="294"/>
      <c r="AZ1433" s="294"/>
      <c r="BA1433" s="294"/>
      <c r="BB1433" s="294"/>
      <c r="BC1433" s="294"/>
      <c r="BD1433" s="294"/>
      <c r="BE1433" s="294"/>
      <c r="BF1433" s="383">
        <f t="shared" si="123"/>
        <v>5.4729729729729728</v>
      </c>
      <c r="BG1433" s="383"/>
      <c r="BH1433" s="375"/>
      <c r="BI1433" s="376"/>
      <c r="BJ1433" s="409"/>
    </row>
    <row r="1434" spans="1:62" ht="15" customHeight="1" thickBot="1" x14ac:dyDescent="0.25">
      <c r="A1434" s="156">
        <v>1435</v>
      </c>
      <c r="B1434" s="247">
        <v>1</v>
      </c>
      <c r="C1434" s="148" t="s">
        <v>975</v>
      </c>
      <c r="D1434" s="148" t="s">
        <v>1984</v>
      </c>
      <c r="E1434" s="148" t="s">
        <v>13</v>
      </c>
      <c r="F1434" s="148" t="s">
        <v>3681</v>
      </c>
      <c r="G1434" s="148"/>
      <c r="H1434" s="148" t="s">
        <v>3676</v>
      </c>
      <c r="I1434" s="161">
        <v>2013</v>
      </c>
      <c r="J1434" s="161" t="s">
        <v>3677</v>
      </c>
      <c r="K1434" s="161"/>
      <c r="L1434" s="161" t="s">
        <v>19</v>
      </c>
      <c r="M1434" s="453" t="s">
        <v>4356</v>
      </c>
      <c r="N1434" s="186" t="s">
        <v>122</v>
      </c>
      <c r="O1434" s="186" t="s">
        <v>292</v>
      </c>
      <c r="P1434" s="186" t="s">
        <v>292</v>
      </c>
      <c r="Q1434" s="186" t="s">
        <v>292</v>
      </c>
      <c r="R1434" s="186" t="s">
        <v>292</v>
      </c>
      <c r="S1434" s="186" t="s">
        <v>292</v>
      </c>
      <c r="T1434" s="186" t="s">
        <v>292</v>
      </c>
      <c r="U1434" s="186" t="s">
        <v>292</v>
      </c>
      <c r="V1434" s="186" t="s">
        <v>292</v>
      </c>
      <c r="W1434" s="186" t="s">
        <v>292</v>
      </c>
      <c r="X1434" s="186" t="s">
        <v>292</v>
      </c>
      <c r="Y1434" s="186" t="s">
        <v>292</v>
      </c>
      <c r="Z1434" s="186"/>
      <c r="AA1434" s="186"/>
      <c r="AB1434" s="186"/>
      <c r="AC1434" s="186"/>
      <c r="AD1434" s="268" t="s">
        <v>3678</v>
      </c>
      <c r="AE1434" s="268" t="s">
        <v>3679</v>
      </c>
      <c r="AF1434" s="144">
        <f t="shared" si="124"/>
        <v>99.086486486486478</v>
      </c>
      <c r="AG1434" s="144" t="str">
        <f t="shared" si="129"/>
        <v/>
      </c>
      <c r="AH1434" s="146">
        <f t="shared" si="126"/>
        <v>4.7621621621621619</v>
      </c>
      <c r="AI1434" s="146" t="str">
        <f t="shared" si="127"/>
        <v/>
      </c>
      <c r="AJ1434" s="309">
        <f>36.662/0.37</f>
        <v>99.086486486486478</v>
      </c>
      <c r="AK1434" s="309"/>
      <c r="AL1434" s="309"/>
      <c r="AM1434" s="309"/>
      <c r="AN1434" s="309"/>
      <c r="AO1434" s="309"/>
      <c r="AP1434" s="309"/>
      <c r="AQ1434" s="309"/>
      <c r="AR1434" s="320"/>
      <c r="AS1434" s="237">
        <f t="shared" si="128"/>
        <v>99.086486486486478</v>
      </c>
      <c r="AT1434" s="238"/>
      <c r="AU1434" s="320"/>
      <c r="AV1434" s="346"/>
      <c r="AW1434" s="357">
        <f>1.762/0.37</f>
        <v>4.7621621621621619</v>
      </c>
      <c r="AX1434" s="294"/>
      <c r="AY1434" s="294"/>
      <c r="AZ1434" s="294"/>
      <c r="BA1434" s="294"/>
      <c r="BB1434" s="294"/>
      <c r="BC1434" s="294"/>
      <c r="BD1434" s="294"/>
      <c r="BE1434" s="294"/>
      <c r="BF1434" s="383">
        <f t="shared" si="123"/>
        <v>4.7621621621621619</v>
      </c>
      <c r="BG1434" s="383"/>
      <c r="BH1434" s="375"/>
      <c r="BI1434" s="376"/>
      <c r="BJ1434" s="409"/>
    </row>
    <row r="1435" spans="1:62" ht="15" customHeight="1" thickBot="1" x14ac:dyDescent="0.25">
      <c r="A1435" s="156">
        <v>1436</v>
      </c>
      <c r="B1435" s="247">
        <v>1</v>
      </c>
      <c r="C1435" s="148" t="s">
        <v>975</v>
      </c>
      <c r="D1435" s="148" t="s">
        <v>1984</v>
      </c>
      <c r="E1435" s="148" t="s">
        <v>13</v>
      </c>
      <c r="F1435" s="148" t="s">
        <v>3682</v>
      </c>
      <c r="G1435" s="148"/>
      <c r="H1435" s="148" t="s">
        <v>3676</v>
      </c>
      <c r="I1435" s="161">
        <v>2013</v>
      </c>
      <c r="J1435" s="161" t="s">
        <v>3677</v>
      </c>
      <c r="K1435" s="161"/>
      <c r="L1435" s="161" t="s">
        <v>19</v>
      </c>
      <c r="M1435" s="453" t="s">
        <v>4356</v>
      </c>
      <c r="N1435" s="186" t="s">
        <v>122</v>
      </c>
      <c r="O1435" s="186" t="s">
        <v>292</v>
      </c>
      <c r="P1435" s="186" t="s">
        <v>292</v>
      </c>
      <c r="Q1435" s="186" t="s">
        <v>292</v>
      </c>
      <c r="R1435" s="186" t="s">
        <v>292</v>
      </c>
      <c r="S1435" s="186" t="s">
        <v>292</v>
      </c>
      <c r="T1435" s="186" t="s">
        <v>292</v>
      </c>
      <c r="U1435" s="186" t="s">
        <v>292</v>
      </c>
      <c r="V1435" s="186" t="s">
        <v>292</v>
      </c>
      <c r="W1435" s="186" t="s">
        <v>292</v>
      </c>
      <c r="X1435" s="186" t="s">
        <v>292</v>
      </c>
      <c r="Y1435" s="186" t="s">
        <v>292</v>
      </c>
      <c r="Z1435" s="186"/>
      <c r="AA1435" s="186"/>
      <c r="AB1435" s="186"/>
      <c r="AC1435" s="186"/>
      <c r="AD1435" s="268" t="s">
        <v>3678</v>
      </c>
      <c r="AE1435" s="268" t="s">
        <v>3679</v>
      </c>
      <c r="AF1435" s="144">
        <f t="shared" si="124"/>
        <v>86.994594594594602</v>
      </c>
      <c r="AG1435" s="144" t="str">
        <f t="shared" si="129"/>
        <v/>
      </c>
      <c r="AH1435" s="146">
        <f t="shared" si="126"/>
        <v>5.2027027027027026</v>
      </c>
      <c r="AI1435" s="146" t="str">
        <f t="shared" si="127"/>
        <v/>
      </c>
      <c r="AJ1435" s="309">
        <f>32.188/0.37</f>
        <v>86.994594594594602</v>
      </c>
      <c r="AK1435" s="309"/>
      <c r="AL1435" s="309"/>
      <c r="AM1435" s="309"/>
      <c r="AN1435" s="309"/>
      <c r="AO1435" s="309"/>
      <c r="AP1435" s="309"/>
      <c r="AQ1435" s="309"/>
      <c r="AR1435" s="320"/>
      <c r="AS1435" s="237">
        <f t="shared" si="128"/>
        <v>86.994594594594602</v>
      </c>
      <c r="AT1435" s="238"/>
      <c r="AU1435" s="320"/>
      <c r="AV1435" s="346"/>
      <c r="AW1435" s="357">
        <f>1.925/0.37</f>
        <v>5.2027027027027026</v>
      </c>
      <c r="AX1435" s="294"/>
      <c r="AY1435" s="294"/>
      <c r="AZ1435" s="294"/>
      <c r="BA1435" s="294"/>
      <c r="BB1435" s="294"/>
      <c r="BC1435" s="294"/>
      <c r="BD1435" s="294"/>
      <c r="BE1435" s="294"/>
      <c r="BF1435" s="383">
        <f t="shared" si="123"/>
        <v>5.2027027027027026</v>
      </c>
      <c r="BG1435" s="383"/>
      <c r="BH1435" s="375"/>
      <c r="BI1435" s="376"/>
      <c r="BJ1435" s="409"/>
    </row>
    <row r="1436" spans="1:62" ht="15" customHeight="1" thickBot="1" x14ac:dyDescent="0.25">
      <c r="A1436" s="156">
        <v>1437</v>
      </c>
      <c r="B1436" s="247">
        <v>1</v>
      </c>
      <c r="C1436" s="148" t="s">
        <v>3589</v>
      </c>
      <c r="D1436" s="148" t="s">
        <v>12</v>
      </c>
      <c r="E1436" s="148" t="s">
        <v>13</v>
      </c>
      <c r="F1436" s="148" t="s">
        <v>3683</v>
      </c>
      <c r="G1436" s="148"/>
      <c r="H1436" s="148" t="s">
        <v>376</v>
      </c>
      <c r="I1436" s="161">
        <v>2006</v>
      </c>
      <c r="J1436" s="161" t="s">
        <v>3684</v>
      </c>
      <c r="K1436" s="161"/>
      <c r="L1436" s="161" t="s">
        <v>19</v>
      </c>
      <c r="M1436" s="453" t="s">
        <v>4357</v>
      </c>
      <c r="N1436" s="186" t="s">
        <v>122</v>
      </c>
      <c r="O1436" s="186" t="s">
        <v>292</v>
      </c>
      <c r="P1436" s="186" t="s">
        <v>292</v>
      </c>
      <c r="Q1436" s="186" t="s">
        <v>292</v>
      </c>
      <c r="R1436" s="186" t="s">
        <v>292</v>
      </c>
      <c r="S1436" s="186" t="s">
        <v>292</v>
      </c>
      <c r="T1436" s="186" t="s">
        <v>292</v>
      </c>
      <c r="U1436" s="186" t="s">
        <v>292</v>
      </c>
      <c r="V1436" s="186" t="s">
        <v>292</v>
      </c>
      <c r="W1436" s="186" t="s">
        <v>292</v>
      </c>
      <c r="X1436" s="186" t="s">
        <v>292</v>
      </c>
      <c r="Y1436" s="186" t="s">
        <v>292</v>
      </c>
      <c r="Z1436" s="186"/>
      <c r="AA1436" s="186" t="s">
        <v>3685</v>
      </c>
      <c r="AB1436" s="186"/>
      <c r="AC1436" s="186"/>
      <c r="AD1436" s="268" t="s">
        <v>3686</v>
      </c>
      <c r="AE1436" s="268"/>
      <c r="AF1436" s="144" t="str">
        <f t="shared" si="124"/>
        <v/>
      </c>
      <c r="AG1436" s="144" t="str">
        <f t="shared" si="129"/>
        <v/>
      </c>
      <c r="AH1436" s="146">
        <f t="shared" si="126"/>
        <v>1.103</v>
      </c>
      <c r="AI1436" s="146" t="str">
        <f t="shared" si="127"/>
        <v/>
      </c>
      <c r="AJ1436" s="309"/>
      <c r="AK1436" s="309"/>
      <c r="AL1436" s="309"/>
      <c r="AM1436" s="309"/>
      <c r="AN1436" s="309"/>
      <c r="AO1436" s="309"/>
      <c r="AP1436" s="309"/>
      <c r="AQ1436" s="309"/>
      <c r="AR1436" s="320"/>
      <c r="AS1436" s="237"/>
      <c r="AT1436" s="238"/>
      <c r="AU1436" s="320"/>
      <c r="AV1436" s="346"/>
      <c r="AW1436" s="357">
        <v>1.103</v>
      </c>
      <c r="AX1436" s="294"/>
      <c r="AY1436" s="294"/>
      <c r="AZ1436" s="294"/>
      <c r="BA1436" s="294"/>
      <c r="BB1436" s="294"/>
      <c r="BC1436" s="294"/>
      <c r="BD1436" s="294"/>
      <c r="BE1436" s="294"/>
      <c r="BF1436" s="383">
        <f t="shared" si="123"/>
        <v>1.103</v>
      </c>
      <c r="BG1436" s="383"/>
      <c r="BH1436" s="375"/>
      <c r="BI1436" s="376"/>
      <c r="BJ1436" s="409"/>
    </row>
    <row r="1437" spans="1:62" ht="15" customHeight="1" thickBot="1" x14ac:dyDescent="0.25">
      <c r="A1437" s="156">
        <v>1438</v>
      </c>
      <c r="B1437" s="247">
        <v>1</v>
      </c>
      <c r="C1437" s="148" t="s">
        <v>3589</v>
      </c>
      <c r="D1437" s="148" t="s">
        <v>12</v>
      </c>
      <c r="E1437" s="148" t="s">
        <v>13</v>
      </c>
      <c r="F1437" s="148" t="s">
        <v>3687</v>
      </c>
      <c r="G1437" s="148"/>
      <c r="H1437" s="148" t="s">
        <v>376</v>
      </c>
      <c r="I1437" s="161">
        <v>2006</v>
      </c>
      <c r="J1437" s="161" t="s">
        <v>3684</v>
      </c>
      <c r="K1437" s="161"/>
      <c r="L1437" s="161" t="s">
        <v>19</v>
      </c>
      <c r="M1437" s="453" t="s">
        <v>4357</v>
      </c>
      <c r="N1437" s="186" t="s">
        <v>122</v>
      </c>
      <c r="O1437" s="186" t="s">
        <v>292</v>
      </c>
      <c r="P1437" s="186" t="s">
        <v>292</v>
      </c>
      <c r="Q1437" s="186" t="s">
        <v>292</v>
      </c>
      <c r="R1437" s="186" t="s">
        <v>292</v>
      </c>
      <c r="S1437" s="186" t="s">
        <v>292</v>
      </c>
      <c r="T1437" s="186" t="s">
        <v>292</v>
      </c>
      <c r="U1437" s="186" t="s">
        <v>292</v>
      </c>
      <c r="V1437" s="186" t="s">
        <v>292</v>
      </c>
      <c r="W1437" s="186" t="s">
        <v>292</v>
      </c>
      <c r="X1437" s="186" t="s">
        <v>292</v>
      </c>
      <c r="Y1437" s="186" t="s">
        <v>292</v>
      </c>
      <c r="Z1437" s="186"/>
      <c r="AA1437" s="186" t="s">
        <v>3685</v>
      </c>
      <c r="AB1437" s="186"/>
      <c r="AC1437" s="186"/>
      <c r="AD1437" s="268" t="s">
        <v>3686</v>
      </c>
      <c r="AE1437" s="268"/>
      <c r="AF1437" s="144" t="str">
        <f t="shared" si="124"/>
        <v/>
      </c>
      <c r="AG1437" s="144" t="str">
        <f t="shared" si="129"/>
        <v/>
      </c>
      <c r="AH1437" s="146">
        <f t="shared" si="126"/>
        <v>1.0840000000000001</v>
      </c>
      <c r="AI1437" s="146" t="str">
        <f t="shared" si="127"/>
        <v/>
      </c>
      <c r="AJ1437" s="309"/>
      <c r="AK1437" s="309"/>
      <c r="AL1437" s="309"/>
      <c r="AM1437" s="309"/>
      <c r="AN1437" s="309"/>
      <c r="AO1437" s="309"/>
      <c r="AP1437" s="309"/>
      <c r="AQ1437" s="309"/>
      <c r="AR1437" s="320"/>
      <c r="AS1437" s="237"/>
      <c r="AT1437" s="238"/>
      <c r="AU1437" s="320"/>
      <c r="AV1437" s="346"/>
      <c r="AW1437" s="357">
        <v>1.0840000000000001</v>
      </c>
      <c r="AX1437" s="294"/>
      <c r="AY1437" s="294"/>
      <c r="AZ1437" s="294"/>
      <c r="BA1437" s="294"/>
      <c r="BB1437" s="294"/>
      <c r="BC1437" s="294"/>
      <c r="BD1437" s="294"/>
      <c r="BE1437" s="294"/>
      <c r="BF1437" s="383">
        <f t="shared" si="123"/>
        <v>1.0840000000000001</v>
      </c>
      <c r="BG1437" s="383"/>
      <c r="BH1437" s="375"/>
      <c r="BI1437" s="376"/>
      <c r="BJ1437" s="409"/>
    </row>
    <row r="1438" spans="1:62" ht="15" customHeight="1" thickBot="1" x14ac:dyDescent="0.25">
      <c r="A1438" s="156">
        <v>1439</v>
      </c>
      <c r="B1438" s="247">
        <v>1</v>
      </c>
      <c r="C1438" s="148" t="s">
        <v>3589</v>
      </c>
      <c r="D1438" s="148" t="s">
        <v>12</v>
      </c>
      <c r="E1438" s="148" t="s">
        <v>13</v>
      </c>
      <c r="F1438" s="148" t="s">
        <v>3688</v>
      </c>
      <c r="G1438" s="148"/>
      <c r="H1438" s="148" t="s">
        <v>376</v>
      </c>
      <c r="I1438" s="161">
        <v>2006</v>
      </c>
      <c r="J1438" s="161" t="s">
        <v>3684</v>
      </c>
      <c r="K1438" s="161"/>
      <c r="L1438" s="161" t="s">
        <v>19</v>
      </c>
      <c r="M1438" s="453" t="s">
        <v>4357</v>
      </c>
      <c r="N1438" s="186" t="s">
        <v>122</v>
      </c>
      <c r="O1438" s="186" t="s">
        <v>292</v>
      </c>
      <c r="P1438" s="186" t="s">
        <v>292</v>
      </c>
      <c r="Q1438" s="186" t="s">
        <v>292</v>
      </c>
      <c r="R1438" s="186" t="s">
        <v>292</v>
      </c>
      <c r="S1438" s="186" t="s">
        <v>292</v>
      </c>
      <c r="T1438" s="186" t="s">
        <v>292</v>
      </c>
      <c r="U1438" s="186" t="s">
        <v>292</v>
      </c>
      <c r="V1438" s="186" t="s">
        <v>292</v>
      </c>
      <c r="W1438" s="186" t="s">
        <v>292</v>
      </c>
      <c r="X1438" s="186" t="s">
        <v>292</v>
      </c>
      <c r="Y1438" s="186" t="s">
        <v>292</v>
      </c>
      <c r="Z1438" s="186"/>
      <c r="AA1438" s="186" t="s">
        <v>3685</v>
      </c>
      <c r="AB1438" s="186"/>
      <c r="AC1438" s="186"/>
      <c r="AD1438" s="268" t="s">
        <v>3686</v>
      </c>
      <c r="AE1438" s="268"/>
      <c r="AF1438" s="144" t="str">
        <f t="shared" si="124"/>
        <v/>
      </c>
      <c r="AG1438" s="144" t="str">
        <f t="shared" si="129"/>
        <v/>
      </c>
      <c r="AH1438" s="146">
        <f t="shared" si="126"/>
        <v>1.0409999999999999</v>
      </c>
      <c r="AI1438" s="146" t="str">
        <f t="shared" si="127"/>
        <v/>
      </c>
      <c r="AJ1438" s="309"/>
      <c r="AK1438" s="309"/>
      <c r="AL1438" s="309"/>
      <c r="AM1438" s="309"/>
      <c r="AN1438" s="309"/>
      <c r="AO1438" s="309"/>
      <c r="AP1438" s="309"/>
      <c r="AQ1438" s="309"/>
      <c r="AR1438" s="320"/>
      <c r="AS1438" s="237"/>
      <c r="AT1438" s="238"/>
      <c r="AU1438" s="320"/>
      <c r="AV1438" s="346"/>
      <c r="AW1438" s="357">
        <v>1.0409999999999999</v>
      </c>
      <c r="AX1438" s="294"/>
      <c r="AY1438" s="294"/>
      <c r="AZ1438" s="294"/>
      <c r="BA1438" s="294"/>
      <c r="BB1438" s="294"/>
      <c r="BC1438" s="294"/>
      <c r="BD1438" s="294"/>
      <c r="BE1438" s="294"/>
      <c r="BF1438" s="383">
        <f t="shared" si="123"/>
        <v>1.0409999999999999</v>
      </c>
      <c r="BG1438" s="383"/>
      <c r="BH1438" s="375"/>
      <c r="BI1438" s="376"/>
      <c r="BJ1438" s="409"/>
    </row>
    <row r="1439" spans="1:62" ht="15" customHeight="1" thickBot="1" x14ac:dyDescent="0.25">
      <c r="A1439" s="156">
        <v>1440</v>
      </c>
      <c r="B1439" s="247">
        <v>1</v>
      </c>
      <c r="C1439" s="148" t="s">
        <v>3589</v>
      </c>
      <c r="D1439" s="148" t="s">
        <v>12</v>
      </c>
      <c r="E1439" s="148" t="s">
        <v>13</v>
      </c>
      <c r="F1439" s="148" t="s">
        <v>3689</v>
      </c>
      <c r="G1439" s="148"/>
      <c r="H1439" s="148" t="s">
        <v>376</v>
      </c>
      <c r="I1439" s="161">
        <v>2006</v>
      </c>
      <c r="J1439" s="161" t="s">
        <v>3684</v>
      </c>
      <c r="K1439" s="161"/>
      <c r="L1439" s="161" t="s">
        <v>19</v>
      </c>
      <c r="M1439" s="453" t="s">
        <v>4357</v>
      </c>
      <c r="N1439" s="186" t="s">
        <v>122</v>
      </c>
      <c r="O1439" s="186" t="s">
        <v>292</v>
      </c>
      <c r="P1439" s="186" t="s">
        <v>292</v>
      </c>
      <c r="Q1439" s="186" t="s">
        <v>292</v>
      </c>
      <c r="R1439" s="186" t="s">
        <v>292</v>
      </c>
      <c r="S1439" s="186" t="s">
        <v>292</v>
      </c>
      <c r="T1439" s="186" t="s">
        <v>292</v>
      </c>
      <c r="U1439" s="186" t="s">
        <v>292</v>
      </c>
      <c r="V1439" s="186" t="s">
        <v>292</v>
      </c>
      <c r="W1439" s="186" t="s">
        <v>292</v>
      </c>
      <c r="X1439" s="186" t="s">
        <v>292</v>
      </c>
      <c r="Y1439" s="186" t="s">
        <v>292</v>
      </c>
      <c r="Z1439" s="186"/>
      <c r="AA1439" s="186" t="s">
        <v>3685</v>
      </c>
      <c r="AB1439" s="186"/>
      <c r="AC1439" s="186"/>
      <c r="AD1439" s="268" t="s">
        <v>3686</v>
      </c>
      <c r="AE1439" s="268"/>
      <c r="AF1439" s="144" t="str">
        <f t="shared" si="124"/>
        <v/>
      </c>
      <c r="AG1439" s="144" t="str">
        <f t="shared" si="129"/>
        <v/>
      </c>
      <c r="AH1439" s="146">
        <f t="shared" si="126"/>
        <v>1.145</v>
      </c>
      <c r="AI1439" s="146" t="str">
        <f t="shared" si="127"/>
        <v/>
      </c>
      <c r="AJ1439" s="309"/>
      <c r="AK1439" s="309"/>
      <c r="AL1439" s="309"/>
      <c r="AM1439" s="309"/>
      <c r="AN1439" s="309"/>
      <c r="AO1439" s="309"/>
      <c r="AP1439" s="309"/>
      <c r="AQ1439" s="309"/>
      <c r="AR1439" s="320"/>
      <c r="AS1439" s="237"/>
      <c r="AT1439" s="238"/>
      <c r="AU1439" s="320"/>
      <c r="AV1439" s="346"/>
      <c r="AW1439" s="357">
        <v>1.145</v>
      </c>
      <c r="AX1439" s="294"/>
      <c r="AY1439" s="294"/>
      <c r="AZ1439" s="294"/>
      <c r="BA1439" s="294"/>
      <c r="BB1439" s="294"/>
      <c r="BC1439" s="294"/>
      <c r="BD1439" s="294"/>
      <c r="BE1439" s="294"/>
      <c r="BF1439" s="383">
        <f t="shared" si="123"/>
        <v>1.145</v>
      </c>
      <c r="BG1439" s="383"/>
      <c r="BH1439" s="375"/>
      <c r="BI1439" s="376"/>
      <c r="BJ1439" s="409"/>
    </row>
    <row r="1440" spans="1:62" ht="15" customHeight="1" thickBot="1" x14ac:dyDescent="0.25">
      <c r="A1440" s="156">
        <v>1441</v>
      </c>
      <c r="B1440" s="247">
        <v>1</v>
      </c>
      <c r="C1440" s="148" t="s">
        <v>3589</v>
      </c>
      <c r="D1440" s="148" t="s">
        <v>12</v>
      </c>
      <c r="E1440" s="148" t="s">
        <v>13</v>
      </c>
      <c r="F1440" s="148" t="s">
        <v>3690</v>
      </c>
      <c r="G1440" s="148"/>
      <c r="H1440" s="148" t="s">
        <v>376</v>
      </c>
      <c r="I1440" s="161">
        <v>2006</v>
      </c>
      <c r="J1440" s="161" t="s">
        <v>3684</v>
      </c>
      <c r="K1440" s="161"/>
      <c r="L1440" s="161" t="s">
        <v>19</v>
      </c>
      <c r="M1440" s="453" t="s">
        <v>4357</v>
      </c>
      <c r="N1440" s="186" t="s">
        <v>122</v>
      </c>
      <c r="O1440" s="186" t="s">
        <v>292</v>
      </c>
      <c r="P1440" s="186" t="s">
        <v>292</v>
      </c>
      <c r="Q1440" s="186" t="s">
        <v>292</v>
      </c>
      <c r="R1440" s="186" t="s">
        <v>292</v>
      </c>
      <c r="S1440" s="186" t="s">
        <v>292</v>
      </c>
      <c r="T1440" s="186" t="s">
        <v>292</v>
      </c>
      <c r="U1440" s="186" t="s">
        <v>292</v>
      </c>
      <c r="V1440" s="186" t="s">
        <v>292</v>
      </c>
      <c r="W1440" s="186" t="s">
        <v>292</v>
      </c>
      <c r="X1440" s="186" t="s">
        <v>292</v>
      </c>
      <c r="Y1440" s="186" t="s">
        <v>292</v>
      </c>
      <c r="Z1440" s="186"/>
      <c r="AA1440" s="186" t="s">
        <v>3685</v>
      </c>
      <c r="AB1440" s="186"/>
      <c r="AC1440" s="186"/>
      <c r="AD1440" s="268" t="s">
        <v>3686</v>
      </c>
      <c r="AE1440" s="268"/>
      <c r="AF1440" s="144" t="str">
        <f t="shared" si="124"/>
        <v/>
      </c>
      <c r="AG1440" s="144" t="str">
        <f t="shared" si="129"/>
        <v/>
      </c>
      <c r="AH1440" s="146">
        <f t="shared" si="126"/>
        <v>1.0920000000000001</v>
      </c>
      <c r="AI1440" s="146" t="str">
        <f t="shared" si="127"/>
        <v/>
      </c>
      <c r="AJ1440" s="309"/>
      <c r="AK1440" s="309"/>
      <c r="AL1440" s="309"/>
      <c r="AM1440" s="309"/>
      <c r="AN1440" s="309"/>
      <c r="AO1440" s="309"/>
      <c r="AP1440" s="309"/>
      <c r="AQ1440" s="309"/>
      <c r="AR1440" s="320"/>
      <c r="AS1440" s="237"/>
      <c r="AT1440" s="238"/>
      <c r="AU1440" s="320"/>
      <c r="AV1440" s="346"/>
      <c r="AW1440" s="357">
        <v>1.0920000000000001</v>
      </c>
      <c r="AX1440" s="294"/>
      <c r="AY1440" s="294"/>
      <c r="AZ1440" s="294"/>
      <c r="BA1440" s="294"/>
      <c r="BB1440" s="294"/>
      <c r="BC1440" s="294"/>
      <c r="BD1440" s="294"/>
      <c r="BE1440" s="294"/>
      <c r="BF1440" s="383">
        <f t="shared" si="123"/>
        <v>1.0920000000000001</v>
      </c>
      <c r="BG1440" s="383"/>
      <c r="BH1440" s="375"/>
      <c r="BI1440" s="376"/>
      <c r="BJ1440" s="409"/>
    </row>
    <row r="1441" spans="1:62" ht="15" customHeight="1" thickBot="1" x14ac:dyDescent="0.25">
      <c r="A1441" s="156">
        <v>1442</v>
      </c>
      <c r="B1441" s="247">
        <v>1</v>
      </c>
      <c r="C1441" s="148" t="s">
        <v>3589</v>
      </c>
      <c r="D1441" s="148" t="s">
        <v>12</v>
      </c>
      <c r="E1441" s="148" t="s">
        <v>13</v>
      </c>
      <c r="F1441" s="148" t="s">
        <v>3691</v>
      </c>
      <c r="G1441" s="148"/>
      <c r="H1441" s="148" t="s">
        <v>376</v>
      </c>
      <c r="I1441" s="161">
        <v>2006</v>
      </c>
      <c r="J1441" s="161" t="s">
        <v>3684</v>
      </c>
      <c r="K1441" s="161"/>
      <c r="L1441" s="161" t="s">
        <v>19</v>
      </c>
      <c r="M1441" s="453" t="s">
        <v>4357</v>
      </c>
      <c r="N1441" s="186" t="s">
        <v>122</v>
      </c>
      <c r="O1441" s="186" t="s">
        <v>292</v>
      </c>
      <c r="P1441" s="186" t="s">
        <v>292</v>
      </c>
      <c r="Q1441" s="186" t="s">
        <v>292</v>
      </c>
      <c r="R1441" s="186" t="s">
        <v>292</v>
      </c>
      <c r="S1441" s="186" t="s">
        <v>292</v>
      </c>
      <c r="T1441" s="186" t="s">
        <v>292</v>
      </c>
      <c r="U1441" s="186" t="s">
        <v>292</v>
      </c>
      <c r="V1441" s="186" t="s">
        <v>292</v>
      </c>
      <c r="W1441" s="186" t="s">
        <v>292</v>
      </c>
      <c r="X1441" s="186" t="s">
        <v>292</v>
      </c>
      <c r="Y1441" s="186" t="s">
        <v>292</v>
      </c>
      <c r="Z1441" s="186"/>
      <c r="AA1441" s="186" t="s">
        <v>3685</v>
      </c>
      <c r="AB1441" s="186"/>
      <c r="AC1441" s="186"/>
      <c r="AD1441" s="268" t="s">
        <v>3686</v>
      </c>
      <c r="AE1441" s="268"/>
      <c r="AF1441" s="144" t="str">
        <f t="shared" si="124"/>
        <v/>
      </c>
      <c r="AG1441" s="144" t="str">
        <f t="shared" si="129"/>
        <v/>
      </c>
      <c r="AH1441" s="146">
        <f t="shared" si="126"/>
        <v>1.0329999999999999</v>
      </c>
      <c r="AI1441" s="146" t="str">
        <f t="shared" si="127"/>
        <v/>
      </c>
      <c r="AJ1441" s="309"/>
      <c r="AK1441" s="309"/>
      <c r="AL1441" s="309"/>
      <c r="AM1441" s="309"/>
      <c r="AN1441" s="309"/>
      <c r="AO1441" s="309"/>
      <c r="AP1441" s="309"/>
      <c r="AQ1441" s="309"/>
      <c r="AR1441" s="320"/>
      <c r="AS1441" s="237"/>
      <c r="AT1441" s="238"/>
      <c r="AU1441" s="320"/>
      <c r="AV1441" s="346"/>
      <c r="AW1441" s="357">
        <v>1.0329999999999999</v>
      </c>
      <c r="AX1441" s="294"/>
      <c r="AY1441" s="294"/>
      <c r="AZ1441" s="294"/>
      <c r="BA1441" s="294"/>
      <c r="BB1441" s="294"/>
      <c r="BC1441" s="294"/>
      <c r="BD1441" s="294"/>
      <c r="BE1441" s="294"/>
      <c r="BF1441" s="383">
        <f t="shared" si="123"/>
        <v>1.0329999999999999</v>
      </c>
      <c r="BG1441" s="383"/>
      <c r="BH1441" s="375"/>
      <c r="BI1441" s="376"/>
      <c r="BJ1441" s="409"/>
    </row>
    <row r="1442" spans="1:62" ht="15" customHeight="1" thickBot="1" x14ac:dyDescent="0.25">
      <c r="A1442" s="156">
        <v>1443</v>
      </c>
      <c r="B1442" s="247">
        <v>1</v>
      </c>
      <c r="C1442" s="148" t="s">
        <v>3589</v>
      </c>
      <c r="D1442" s="148" t="s">
        <v>12</v>
      </c>
      <c r="E1442" s="148" t="s">
        <v>13</v>
      </c>
      <c r="F1442" s="148" t="s">
        <v>3692</v>
      </c>
      <c r="G1442" s="148"/>
      <c r="H1442" s="148" t="s">
        <v>376</v>
      </c>
      <c r="I1442" s="161">
        <v>2006</v>
      </c>
      <c r="J1442" s="161" t="s">
        <v>3684</v>
      </c>
      <c r="K1442" s="161"/>
      <c r="L1442" s="161" t="s">
        <v>19</v>
      </c>
      <c r="M1442" s="453" t="s">
        <v>4357</v>
      </c>
      <c r="N1442" s="186" t="s">
        <v>122</v>
      </c>
      <c r="O1442" s="186" t="s">
        <v>292</v>
      </c>
      <c r="P1442" s="186" t="s">
        <v>292</v>
      </c>
      <c r="Q1442" s="186" t="s">
        <v>292</v>
      </c>
      <c r="R1442" s="186" t="s">
        <v>292</v>
      </c>
      <c r="S1442" s="186" t="s">
        <v>292</v>
      </c>
      <c r="T1442" s="186" t="s">
        <v>292</v>
      </c>
      <c r="U1442" s="186" t="s">
        <v>292</v>
      </c>
      <c r="V1442" s="186" t="s">
        <v>292</v>
      </c>
      <c r="W1442" s="186" t="s">
        <v>292</v>
      </c>
      <c r="X1442" s="186" t="s">
        <v>292</v>
      </c>
      <c r="Y1442" s="186" t="s">
        <v>292</v>
      </c>
      <c r="Z1442" s="186"/>
      <c r="AA1442" s="186" t="s">
        <v>3685</v>
      </c>
      <c r="AB1442" s="186"/>
      <c r="AC1442" s="186"/>
      <c r="AD1442" s="268" t="s">
        <v>3686</v>
      </c>
      <c r="AE1442" s="268"/>
      <c r="AF1442" s="144" t="str">
        <f t="shared" si="124"/>
        <v/>
      </c>
      <c r="AG1442" s="144" t="str">
        <f t="shared" si="129"/>
        <v/>
      </c>
      <c r="AH1442" s="146">
        <f t="shared" si="126"/>
        <v>1.2</v>
      </c>
      <c r="AI1442" s="146" t="str">
        <f t="shared" si="127"/>
        <v/>
      </c>
      <c r="AJ1442" s="309"/>
      <c r="AK1442" s="309"/>
      <c r="AL1442" s="309"/>
      <c r="AM1442" s="309"/>
      <c r="AN1442" s="309"/>
      <c r="AO1442" s="309"/>
      <c r="AP1442" s="309"/>
      <c r="AQ1442" s="309"/>
      <c r="AR1442" s="320"/>
      <c r="AS1442" s="237"/>
      <c r="AT1442" s="238"/>
      <c r="AU1442" s="320"/>
      <c r="AV1442" s="346"/>
      <c r="AW1442" s="357">
        <v>1.2</v>
      </c>
      <c r="AX1442" s="294"/>
      <c r="AY1442" s="294"/>
      <c r="AZ1442" s="294"/>
      <c r="BA1442" s="294"/>
      <c r="BB1442" s="294"/>
      <c r="BC1442" s="294"/>
      <c r="BD1442" s="294"/>
      <c r="BE1442" s="294"/>
      <c r="BF1442" s="383">
        <f t="shared" si="123"/>
        <v>1.2</v>
      </c>
      <c r="BG1442" s="383"/>
      <c r="BH1442" s="375"/>
      <c r="BI1442" s="376"/>
      <c r="BJ1442" s="409"/>
    </row>
    <row r="1443" spans="1:62" ht="15" customHeight="1" thickBot="1" x14ac:dyDescent="0.25">
      <c r="A1443" s="156">
        <v>1444</v>
      </c>
      <c r="B1443" s="247">
        <v>1</v>
      </c>
      <c r="C1443" s="148" t="s">
        <v>3589</v>
      </c>
      <c r="D1443" s="148" t="s">
        <v>12</v>
      </c>
      <c r="E1443" s="148" t="s">
        <v>13</v>
      </c>
      <c r="F1443" s="148" t="s">
        <v>3693</v>
      </c>
      <c r="G1443" s="148"/>
      <c r="H1443" s="148" t="s">
        <v>376</v>
      </c>
      <c r="I1443" s="161">
        <v>2006</v>
      </c>
      <c r="J1443" s="161" t="s">
        <v>3684</v>
      </c>
      <c r="K1443" s="161"/>
      <c r="L1443" s="161" t="s">
        <v>19</v>
      </c>
      <c r="M1443" s="453" t="s">
        <v>4357</v>
      </c>
      <c r="N1443" s="186" t="s">
        <v>122</v>
      </c>
      <c r="O1443" s="186" t="s">
        <v>292</v>
      </c>
      <c r="P1443" s="186" t="s">
        <v>292</v>
      </c>
      <c r="Q1443" s="186" t="s">
        <v>292</v>
      </c>
      <c r="R1443" s="186" t="s">
        <v>292</v>
      </c>
      <c r="S1443" s="186" t="s">
        <v>292</v>
      </c>
      <c r="T1443" s="186" t="s">
        <v>292</v>
      </c>
      <c r="U1443" s="186" t="s">
        <v>292</v>
      </c>
      <c r="V1443" s="186" t="s">
        <v>292</v>
      </c>
      <c r="W1443" s="186" t="s">
        <v>292</v>
      </c>
      <c r="X1443" s="186" t="s">
        <v>292</v>
      </c>
      <c r="Y1443" s="186" t="s">
        <v>292</v>
      </c>
      <c r="Z1443" s="186"/>
      <c r="AA1443" s="186" t="s">
        <v>3685</v>
      </c>
      <c r="AB1443" s="186"/>
      <c r="AC1443" s="186"/>
      <c r="AD1443" s="268" t="s">
        <v>3686</v>
      </c>
      <c r="AE1443" s="268"/>
      <c r="AF1443" s="144" t="str">
        <f t="shared" si="124"/>
        <v/>
      </c>
      <c r="AG1443" s="144" t="str">
        <f t="shared" si="129"/>
        <v/>
      </c>
      <c r="AH1443" s="146">
        <f t="shared" si="126"/>
        <v>1.1319999999999999</v>
      </c>
      <c r="AI1443" s="146" t="str">
        <f t="shared" si="127"/>
        <v/>
      </c>
      <c r="AJ1443" s="309"/>
      <c r="AK1443" s="309"/>
      <c r="AL1443" s="309"/>
      <c r="AM1443" s="309"/>
      <c r="AN1443" s="309"/>
      <c r="AO1443" s="309"/>
      <c r="AP1443" s="309"/>
      <c r="AQ1443" s="309"/>
      <c r="AR1443" s="320"/>
      <c r="AS1443" s="237"/>
      <c r="AT1443" s="238"/>
      <c r="AU1443" s="320"/>
      <c r="AV1443" s="346"/>
      <c r="AW1443" s="357">
        <v>1.1319999999999999</v>
      </c>
      <c r="AX1443" s="294"/>
      <c r="AY1443" s="294"/>
      <c r="AZ1443" s="294"/>
      <c r="BA1443" s="294"/>
      <c r="BB1443" s="294"/>
      <c r="BC1443" s="294"/>
      <c r="BD1443" s="294"/>
      <c r="BE1443" s="294"/>
      <c r="BF1443" s="383">
        <f t="shared" ref="BF1443:BF1452" si="130">AW1443</f>
        <v>1.1319999999999999</v>
      </c>
      <c r="BG1443" s="383"/>
      <c r="BH1443" s="375"/>
      <c r="BI1443" s="376"/>
      <c r="BJ1443" s="409"/>
    </row>
    <row r="1444" spans="1:62" ht="15" customHeight="1" thickBot="1" x14ac:dyDescent="0.25">
      <c r="A1444" s="156">
        <v>1445</v>
      </c>
      <c r="B1444" s="247">
        <v>1</v>
      </c>
      <c r="C1444" s="148" t="s">
        <v>3589</v>
      </c>
      <c r="D1444" s="148" t="s">
        <v>12</v>
      </c>
      <c r="E1444" s="148" t="s">
        <v>13</v>
      </c>
      <c r="F1444" s="148" t="s">
        <v>3694</v>
      </c>
      <c r="G1444" s="148"/>
      <c r="H1444" s="148" t="s">
        <v>376</v>
      </c>
      <c r="I1444" s="161">
        <v>2006</v>
      </c>
      <c r="J1444" s="161" t="s">
        <v>3684</v>
      </c>
      <c r="K1444" s="161"/>
      <c r="L1444" s="161" t="s">
        <v>19</v>
      </c>
      <c r="M1444" s="453" t="s">
        <v>4357</v>
      </c>
      <c r="N1444" s="186" t="s">
        <v>122</v>
      </c>
      <c r="O1444" s="186" t="s">
        <v>292</v>
      </c>
      <c r="P1444" s="186" t="s">
        <v>292</v>
      </c>
      <c r="Q1444" s="186" t="s">
        <v>292</v>
      </c>
      <c r="R1444" s="186" t="s">
        <v>292</v>
      </c>
      <c r="S1444" s="186" t="s">
        <v>292</v>
      </c>
      <c r="T1444" s="186" t="s">
        <v>292</v>
      </c>
      <c r="U1444" s="186" t="s">
        <v>292</v>
      </c>
      <c r="V1444" s="186" t="s">
        <v>292</v>
      </c>
      <c r="W1444" s="186" t="s">
        <v>292</v>
      </c>
      <c r="X1444" s="186" t="s">
        <v>292</v>
      </c>
      <c r="Y1444" s="186" t="s">
        <v>292</v>
      </c>
      <c r="Z1444" s="186"/>
      <c r="AA1444" s="186" t="s">
        <v>3685</v>
      </c>
      <c r="AB1444" s="186"/>
      <c r="AC1444" s="186"/>
      <c r="AD1444" s="268" t="s">
        <v>3686</v>
      </c>
      <c r="AE1444" s="268"/>
      <c r="AF1444" s="144" t="str">
        <f t="shared" si="124"/>
        <v/>
      </c>
      <c r="AG1444" s="144" t="str">
        <f t="shared" si="129"/>
        <v/>
      </c>
      <c r="AH1444" s="146">
        <f t="shared" si="126"/>
        <v>1.0469999999999999</v>
      </c>
      <c r="AI1444" s="146" t="str">
        <f t="shared" si="127"/>
        <v/>
      </c>
      <c r="AJ1444" s="309"/>
      <c r="AK1444" s="309"/>
      <c r="AL1444" s="309"/>
      <c r="AM1444" s="309"/>
      <c r="AN1444" s="309"/>
      <c r="AO1444" s="309"/>
      <c r="AP1444" s="309"/>
      <c r="AQ1444" s="309"/>
      <c r="AR1444" s="320"/>
      <c r="AS1444" s="237"/>
      <c r="AT1444" s="238"/>
      <c r="AU1444" s="320"/>
      <c r="AV1444" s="346"/>
      <c r="AW1444" s="357">
        <v>1.0469999999999999</v>
      </c>
      <c r="AX1444" s="294"/>
      <c r="AY1444" s="294"/>
      <c r="AZ1444" s="294"/>
      <c r="BA1444" s="294"/>
      <c r="BB1444" s="294"/>
      <c r="BC1444" s="294"/>
      <c r="BD1444" s="294"/>
      <c r="BE1444" s="294"/>
      <c r="BF1444" s="383">
        <f t="shared" si="130"/>
        <v>1.0469999999999999</v>
      </c>
      <c r="BG1444" s="383"/>
      <c r="BH1444" s="375"/>
      <c r="BI1444" s="376"/>
      <c r="BJ1444" s="409"/>
    </row>
    <row r="1445" spans="1:62" ht="15" customHeight="1" thickBot="1" x14ac:dyDescent="0.25">
      <c r="A1445" s="156">
        <v>1446</v>
      </c>
      <c r="B1445" s="247">
        <v>1</v>
      </c>
      <c r="C1445" s="148" t="s">
        <v>3450</v>
      </c>
      <c r="D1445" s="148" t="s">
        <v>1739</v>
      </c>
      <c r="E1445" s="148" t="s">
        <v>13</v>
      </c>
      <c r="F1445" s="148" t="s">
        <v>3695</v>
      </c>
      <c r="G1445" s="148" t="s">
        <v>122</v>
      </c>
      <c r="H1445" s="148" t="s">
        <v>700</v>
      </c>
      <c r="I1445" s="161">
        <v>2006</v>
      </c>
      <c r="J1445" s="161" t="s">
        <v>3696</v>
      </c>
      <c r="K1445" s="161"/>
      <c r="L1445" s="161" t="s">
        <v>19</v>
      </c>
      <c r="M1445" s="453" t="s">
        <v>4153</v>
      </c>
      <c r="N1445" s="186" t="s">
        <v>122</v>
      </c>
      <c r="O1445" s="186" t="s">
        <v>292</v>
      </c>
      <c r="P1445" s="186" t="s">
        <v>292</v>
      </c>
      <c r="Q1445" s="186" t="s">
        <v>292</v>
      </c>
      <c r="R1445" s="186" t="s">
        <v>292</v>
      </c>
      <c r="S1445" s="186" t="s">
        <v>292</v>
      </c>
      <c r="T1445" s="186" t="s">
        <v>292</v>
      </c>
      <c r="U1445" s="186" t="s">
        <v>292</v>
      </c>
      <c r="V1445" s="186" t="s">
        <v>292</v>
      </c>
      <c r="W1445" s="186" t="s">
        <v>292</v>
      </c>
      <c r="X1445" s="186" t="s">
        <v>292</v>
      </c>
      <c r="Y1445" s="186" t="s">
        <v>292</v>
      </c>
      <c r="Z1445" s="186"/>
      <c r="AA1445" s="186"/>
      <c r="AB1445" s="186"/>
      <c r="AC1445" s="186"/>
      <c r="AD1445" s="268" t="s">
        <v>3697</v>
      </c>
      <c r="AE1445" s="268" t="s">
        <v>485</v>
      </c>
      <c r="AF1445" s="144">
        <f t="shared" si="124"/>
        <v>0.41699999999999998</v>
      </c>
      <c r="AG1445" s="144" t="str">
        <f t="shared" si="129"/>
        <v/>
      </c>
      <c r="AH1445" s="146">
        <f t="shared" si="126"/>
        <v>3.9699999999999999E-2</v>
      </c>
      <c r="AI1445" s="146" t="str">
        <f t="shared" si="127"/>
        <v/>
      </c>
      <c r="AJ1445" s="309">
        <v>0.41699999999999998</v>
      </c>
      <c r="AK1445" s="309"/>
      <c r="AL1445" s="309"/>
      <c r="AM1445" s="309"/>
      <c r="AN1445" s="309"/>
      <c r="AO1445" s="309"/>
      <c r="AP1445" s="309"/>
      <c r="AQ1445" s="309"/>
      <c r="AR1445" s="320"/>
      <c r="AS1445" s="237">
        <f>AJ1445</f>
        <v>0.41699999999999998</v>
      </c>
      <c r="AT1445" s="238"/>
      <c r="AU1445" s="320"/>
      <c r="AV1445" s="346"/>
      <c r="AW1445" s="357">
        <v>3.9699999999999999E-2</v>
      </c>
      <c r="AX1445" s="294"/>
      <c r="AY1445" s="294"/>
      <c r="AZ1445" s="294"/>
      <c r="BA1445" s="294"/>
      <c r="BB1445" s="294"/>
      <c r="BC1445" s="294"/>
      <c r="BD1445" s="294"/>
      <c r="BE1445" s="294"/>
      <c r="BF1445" s="383">
        <f t="shared" si="130"/>
        <v>3.9699999999999999E-2</v>
      </c>
      <c r="BG1445" s="383"/>
      <c r="BH1445" s="375"/>
      <c r="BI1445" s="376"/>
      <c r="BJ1445" s="409"/>
    </row>
    <row r="1446" spans="1:62" ht="15" customHeight="1" thickBot="1" x14ac:dyDescent="0.25">
      <c r="A1446" s="156">
        <v>1447</v>
      </c>
      <c r="B1446" s="247">
        <v>1</v>
      </c>
      <c r="C1446" s="148" t="s">
        <v>3450</v>
      </c>
      <c r="D1446" s="148" t="s">
        <v>1739</v>
      </c>
      <c r="E1446" s="148" t="s">
        <v>13</v>
      </c>
      <c r="F1446" s="148" t="s">
        <v>3698</v>
      </c>
      <c r="G1446" s="148" t="s">
        <v>122</v>
      </c>
      <c r="H1446" s="148" t="s">
        <v>700</v>
      </c>
      <c r="I1446" s="161">
        <v>2006</v>
      </c>
      <c r="J1446" s="161" t="s">
        <v>3696</v>
      </c>
      <c r="K1446" s="161"/>
      <c r="L1446" s="161" t="s">
        <v>19</v>
      </c>
      <c r="M1446" s="453" t="s">
        <v>4153</v>
      </c>
      <c r="N1446" s="186" t="s">
        <v>122</v>
      </c>
      <c r="O1446" s="186" t="s">
        <v>292</v>
      </c>
      <c r="P1446" s="186" t="s">
        <v>292</v>
      </c>
      <c r="Q1446" s="186" t="s">
        <v>292</v>
      </c>
      <c r="R1446" s="186" t="s">
        <v>292</v>
      </c>
      <c r="S1446" s="186" t="s">
        <v>292</v>
      </c>
      <c r="T1446" s="186" t="s">
        <v>292</v>
      </c>
      <c r="U1446" s="186" t="s">
        <v>292</v>
      </c>
      <c r="V1446" s="186" t="s">
        <v>292</v>
      </c>
      <c r="W1446" s="186" t="s">
        <v>292</v>
      </c>
      <c r="X1446" s="186" t="s">
        <v>292</v>
      </c>
      <c r="Y1446" s="186" t="s">
        <v>292</v>
      </c>
      <c r="Z1446" s="186"/>
      <c r="AA1446" s="186"/>
      <c r="AB1446" s="186"/>
      <c r="AC1446" s="186"/>
      <c r="AD1446" s="268" t="s">
        <v>3697</v>
      </c>
      <c r="AE1446" s="268" t="s">
        <v>640</v>
      </c>
      <c r="AF1446" s="144">
        <f t="shared" si="124"/>
        <v>0.44600000000000001</v>
      </c>
      <c r="AG1446" s="144" t="str">
        <f t="shared" si="129"/>
        <v/>
      </c>
      <c r="AH1446" s="146">
        <f t="shared" si="126"/>
        <v>4.0599999999999997E-2</v>
      </c>
      <c r="AI1446" s="146" t="str">
        <f t="shared" si="127"/>
        <v/>
      </c>
      <c r="AJ1446" s="309">
        <v>0.44600000000000001</v>
      </c>
      <c r="AK1446" s="309"/>
      <c r="AL1446" s="309"/>
      <c r="AM1446" s="309"/>
      <c r="AN1446" s="309"/>
      <c r="AO1446" s="309"/>
      <c r="AP1446" s="309"/>
      <c r="AQ1446" s="309"/>
      <c r="AR1446" s="320"/>
      <c r="AS1446" s="237">
        <f>AJ1446</f>
        <v>0.44600000000000001</v>
      </c>
      <c r="AT1446" s="238"/>
      <c r="AU1446" s="320"/>
      <c r="AV1446" s="346"/>
      <c r="AW1446" s="357">
        <v>4.0599999999999997E-2</v>
      </c>
      <c r="AX1446" s="294"/>
      <c r="AY1446" s="294"/>
      <c r="AZ1446" s="294"/>
      <c r="BA1446" s="294"/>
      <c r="BB1446" s="294"/>
      <c r="BC1446" s="294"/>
      <c r="BD1446" s="294"/>
      <c r="BE1446" s="294"/>
      <c r="BF1446" s="383">
        <f t="shared" si="130"/>
        <v>4.0599999999999997E-2</v>
      </c>
      <c r="BG1446" s="383"/>
      <c r="BH1446" s="375"/>
      <c r="BI1446" s="376"/>
      <c r="BJ1446" s="409"/>
    </row>
    <row r="1447" spans="1:62" ht="15" customHeight="1" thickBot="1" x14ac:dyDescent="0.25">
      <c r="A1447" s="156">
        <v>1448</v>
      </c>
      <c r="B1447" s="247">
        <v>1</v>
      </c>
      <c r="C1447" s="148" t="s">
        <v>3450</v>
      </c>
      <c r="D1447" s="148" t="s">
        <v>1739</v>
      </c>
      <c r="E1447" s="148" t="s">
        <v>13</v>
      </c>
      <c r="F1447" s="148" t="s">
        <v>3699</v>
      </c>
      <c r="G1447" s="148" t="s">
        <v>122</v>
      </c>
      <c r="H1447" s="148" t="s">
        <v>700</v>
      </c>
      <c r="I1447" s="161">
        <v>2006</v>
      </c>
      <c r="J1447" s="161" t="s">
        <v>3696</v>
      </c>
      <c r="K1447" s="161"/>
      <c r="L1447" s="161" t="s">
        <v>19</v>
      </c>
      <c r="M1447" s="453" t="s">
        <v>4153</v>
      </c>
      <c r="N1447" s="186" t="s">
        <v>122</v>
      </c>
      <c r="O1447" s="186" t="s">
        <v>292</v>
      </c>
      <c r="P1447" s="186" t="s">
        <v>292</v>
      </c>
      <c r="Q1447" s="186" t="s">
        <v>292</v>
      </c>
      <c r="R1447" s="186" t="s">
        <v>292</v>
      </c>
      <c r="S1447" s="186" t="s">
        <v>292</v>
      </c>
      <c r="T1447" s="186" t="s">
        <v>292</v>
      </c>
      <c r="U1447" s="186" t="s">
        <v>292</v>
      </c>
      <c r="V1447" s="186" t="s">
        <v>292</v>
      </c>
      <c r="W1447" s="186" t="s">
        <v>292</v>
      </c>
      <c r="X1447" s="186" t="s">
        <v>292</v>
      </c>
      <c r="Y1447" s="186" t="s">
        <v>292</v>
      </c>
      <c r="Z1447" s="186"/>
      <c r="AA1447" s="186"/>
      <c r="AB1447" s="186"/>
      <c r="AC1447" s="186"/>
      <c r="AD1447" s="268" t="s">
        <v>3697</v>
      </c>
      <c r="AE1447" s="268" t="s">
        <v>3700</v>
      </c>
      <c r="AF1447" s="144">
        <f t="shared" si="124"/>
        <v>0.71050000000000002</v>
      </c>
      <c r="AG1447" s="144" t="str">
        <f t="shared" si="129"/>
        <v/>
      </c>
      <c r="AH1447" s="146">
        <f t="shared" si="126"/>
        <v>9.5500000000000002E-2</v>
      </c>
      <c r="AI1447" s="146" t="str">
        <f t="shared" si="127"/>
        <v/>
      </c>
      <c r="AJ1447" s="418">
        <v>0.71050000000000002</v>
      </c>
      <c r="AK1447" s="309"/>
      <c r="AL1447" s="309"/>
      <c r="AM1447" s="309"/>
      <c r="AN1447" s="309"/>
      <c r="AO1447" s="309"/>
      <c r="AP1447" s="309"/>
      <c r="AQ1447" s="309"/>
      <c r="AR1447" s="320"/>
      <c r="AS1447" s="237">
        <f>AJ1447</f>
        <v>0.71050000000000002</v>
      </c>
      <c r="AT1447" s="238"/>
      <c r="AU1447" s="320"/>
      <c r="AV1447" s="346"/>
      <c r="AW1447" s="357">
        <v>9.5500000000000002E-2</v>
      </c>
      <c r="AX1447" s="294"/>
      <c r="AY1447" s="294"/>
      <c r="AZ1447" s="294"/>
      <c r="BA1447" s="294"/>
      <c r="BB1447" s="294"/>
      <c r="BC1447" s="294"/>
      <c r="BD1447" s="294"/>
      <c r="BE1447" s="294"/>
      <c r="BF1447" s="383">
        <f t="shared" si="130"/>
        <v>9.5500000000000002E-2</v>
      </c>
      <c r="BG1447" s="383"/>
      <c r="BH1447" s="375"/>
      <c r="BI1447" s="376"/>
      <c r="BJ1447" s="409"/>
    </row>
    <row r="1448" spans="1:62" ht="15" customHeight="1" thickBot="1" x14ac:dyDescent="0.25">
      <c r="A1448" s="156">
        <v>1449</v>
      </c>
      <c r="B1448" s="247">
        <v>1</v>
      </c>
      <c r="C1448" s="148" t="s">
        <v>3450</v>
      </c>
      <c r="D1448" s="148" t="s">
        <v>1739</v>
      </c>
      <c r="E1448" s="148" t="s">
        <v>13</v>
      </c>
      <c r="F1448" s="148" t="s">
        <v>3701</v>
      </c>
      <c r="G1448" s="148" t="s">
        <v>122</v>
      </c>
      <c r="H1448" s="148" t="s">
        <v>700</v>
      </c>
      <c r="I1448" s="161">
        <v>2006</v>
      </c>
      <c r="J1448" s="161" t="s">
        <v>3696</v>
      </c>
      <c r="K1448" s="161"/>
      <c r="L1448" s="161" t="s">
        <v>19</v>
      </c>
      <c r="M1448" s="453" t="s">
        <v>4153</v>
      </c>
      <c r="N1448" s="186" t="s">
        <v>122</v>
      </c>
      <c r="O1448" s="186" t="s">
        <v>292</v>
      </c>
      <c r="P1448" s="186" t="s">
        <v>292</v>
      </c>
      <c r="Q1448" s="186" t="s">
        <v>292</v>
      </c>
      <c r="R1448" s="186" t="s">
        <v>292</v>
      </c>
      <c r="S1448" s="186" t="s">
        <v>292</v>
      </c>
      <c r="T1448" s="186" t="s">
        <v>292</v>
      </c>
      <c r="U1448" s="186" t="s">
        <v>292</v>
      </c>
      <c r="V1448" s="186" t="s">
        <v>292</v>
      </c>
      <c r="W1448" s="186" t="s">
        <v>292</v>
      </c>
      <c r="X1448" s="186" t="s">
        <v>292</v>
      </c>
      <c r="Y1448" s="186" t="s">
        <v>292</v>
      </c>
      <c r="Z1448" s="186"/>
      <c r="AA1448" s="186"/>
      <c r="AB1448" s="186"/>
      <c r="AC1448" s="186"/>
      <c r="AD1448" s="268" t="s">
        <v>3697</v>
      </c>
      <c r="AE1448" s="268" t="s">
        <v>3702</v>
      </c>
      <c r="AF1448" s="144">
        <f t="shared" si="124"/>
        <v>0.54500000000000004</v>
      </c>
      <c r="AG1448" s="144" t="str">
        <f t="shared" si="129"/>
        <v/>
      </c>
      <c r="AH1448" s="146">
        <f t="shared" si="126"/>
        <v>6.268E-2</v>
      </c>
      <c r="AI1448" s="146" t="str">
        <f t="shared" si="127"/>
        <v/>
      </c>
      <c r="AJ1448" s="419">
        <v>0.54500000000000004</v>
      </c>
      <c r="AK1448" s="309"/>
      <c r="AL1448" s="309"/>
      <c r="AM1448" s="309"/>
      <c r="AN1448" s="309"/>
      <c r="AO1448" s="309"/>
      <c r="AP1448" s="309"/>
      <c r="AQ1448" s="309"/>
      <c r="AR1448" s="320"/>
      <c r="AS1448" s="237">
        <f>AJ1448</f>
        <v>0.54500000000000004</v>
      </c>
      <c r="AT1448" s="238"/>
      <c r="AU1448" s="320"/>
      <c r="AV1448" s="346"/>
      <c r="AW1448" s="357">
        <v>6.268E-2</v>
      </c>
      <c r="AX1448" s="294"/>
      <c r="AY1448" s="294"/>
      <c r="AZ1448" s="294"/>
      <c r="BA1448" s="294"/>
      <c r="BB1448" s="294"/>
      <c r="BC1448" s="294"/>
      <c r="BD1448" s="294"/>
      <c r="BE1448" s="294"/>
      <c r="BF1448" s="383">
        <f t="shared" si="130"/>
        <v>6.268E-2</v>
      </c>
      <c r="BG1448" s="383"/>
      <c r="BH1448" s="375"/>
      <c r="BI1448" s="376"/>
      <c r="BJ1448" s="409"/>
    </row>
    <row r="1449" spans="1:62" ht="15" customHeight="1" thickBot="1" x14ac:dyDescent="0.25">
      <c r="A1449" s="156">
        <v>1450</v>
      </c>
      <c r="B1449" s="247">
        <v>1</v>
      </c>
      <c r="C1449" s="148" t="s">
        <v>3450</v>
      </c>
      <c r="D1449" s="148" t="s">
        <v>1739</v>
      </c>
      <c r="E1449" s="148" t="s">
        <v>13</v>
      </c>
      <c r="F1449" s="148" t="s">
        <v>3703</v>
      </c>
      <c r="G1449" s="148" t="s">
        <v>122</v>
      </c>
      <c r="H1449" s="148" t="s">
        <v>700</v>
      </c>
      <c r="I1449" s="161">
        <v>2006</v>
      </c>
      <c r="J1449" s="161" t="s">
        <v>3696</v>
      </c>
      <c r="K1449" s="161"/>
      <c r="L1449" s="161" t="s">
        <v>19</v>
      </c>
      <c r="M1449" s="453" t="s">
        <v>4153</v>
      </c>
      <c r="N1449" s="186" t="s">
        <v>122</v>
      </c>
      <c r="O1449" s="186" t="s">
        <v>292</v>
      </c>
      <c r="P1449" s="186" t="s">
        <v>292</v>
      </c>
      <c r="Q1449" s="186" t="s">
        <v>292</v>
      </c>
      <c r="R1449" s="186" t="s">
        <v>292</v>
      </c>
      <c r="S1449" s="186" t="s">
        <v>292</v>
      </c>
      <c r="T1449" s="186" t="s">
        <v>292</v>
      </c>
      <c r="U1449" s="186" t="s">
        <v>292</v>
      </c>
      <c r="V1449" s="186" t="s">
        <v>292</v>
      </c>
      <c r="W1449" s="186" t="s">
        <v>292</v>
      </c>
      <c r="X1449" s="186" t="s">
        <v>292</v>
      </c>
      <c r="Y1449" s="186" t="s">
        <v>292</v>
      </c>
      <c r="Z1449" s="186"/>
      <c r="AA1449" s="186"/>
      <c r="AB1449" s="186"/>
      <c r="AC1449" s="186"/>
      <c r="AD1449" s="268" t="s">
        <v>3697</v>
      </c>
      <c r="AE1449" s="268" t="s">
        <v>3704</v>
      </c>
      <c r="AF1449" s="144">
        <f t="shared" si="124"/>
        <v>0.68300000000000005</v>
      </c>
      <c r="AG1449" s="144" t="str">
        <f t="shared" si="129"/>
        <v/>
      </c>
      <c r="AH1449" s="146">
        <f t="shared" si="126"/>
        <v>9.4600000000000004E-2</v>
      </c>
      <c r="AI1449" s="146" t="str">
        <f t="shared" si="127"/>
        <v/>
      </c>
      <c r="AJ1449" s="309">
        <v>0.68300000000000005</v>
      </c>
      <c r="AK1449" s="309"/>
      <c r="AL1449" s="309"/>
      <c r="AM1449" s="309"/>
      <c r="AN1449" s="309"/>
      <c r="AO1449" s="309"/>
      <c r="AP1449" s="309"/>
      <c r="AQ1449" s="309"/>
      <c r="AR1449" s="320"/>
      <c r="AS1449" s="237">
        <f>AJ1449</f>
        <v>0.68300000000000005</v>
      </c>
      <c r="AT1449" s="238"/>
      <c r="AU1449" s="320"/>
      <c r="AV1449" s="346"/>
      <c r="AW1449" s="357">
        <v>9.4600000000000004E-2</v>
      </c>
      <c r="AX1449" s="294"/>
      <c r="AY1449" s="294"/>
      <c r="AZ1449" s="294"/>
      <c r="BA1449" s="294"/>
      <c r="BB1449" s="294"/>
      <c r="BC1449" s="294"/>
      <c r="BD1449" s="294"/>
      <c r="BE1449" s="294"/>
      <c r="BF1449" s="383">
        <f t="shared" si="130"/>
        <v>9.4600000000000004E-2</v>
      </c>
      <c r="BG1449" s="383"/>
      <c r="BH1449" s="375"/>
      <c r="BI1449" s="376"/>
      <c r="BJ1449" s="409"/>
    </row>
    <row r="1450" spans="1:62" ht="15" customHeight="1" thickBot="1" x14ac:dyDescent="0.25">
      <c r="A1450" s="156">
        <v>1451</v>
      </c>
      <c r="B1450" s="247">
        <v>1</v>
      </c>
      <c r="C1450" s="148" t="s">
        <v>975</v>
      </c>
      <c r="D1450" s="148" t="s">
        <v>1986</v>
      </c>
      <c r="E1450" s="148" t="s">
        <v>778</v>
      </c>
      <c r="F1450" s="148" t="s">
        <v>3705</v>
      </c>
      <c r="G1450" s="148" t="s">
        <v>292</v>
      </c>
      <c r="H1450" s="148" t="s">
        <v>80</v>
      </c>
      <c r="I1450" s="161">
        <v>2006</v>
      </c>
      <c r="J1450" s="161" t="s">
        <v>3706</v>
      </c>
      <c r="K1450" s="161"/>
      <c r="L1450" s="161" t="s">
        <v>19</v>
      </c>
      <c r="M1450" s="453" t="s">
        <v>4358</v>
      </c>
      <c r="N1450" s="186" t="s">
        <v>122</v>
      </c>
      <c r="O1450" s="186" t="s">
        <v>292</v>
      </c>
      <c r="P1450" s="186" t="s">
        <v>122</v>
      </c>
      <c r="Q1450" s="186" t="s">
        <v>122</v>
      </c>
      <c r="R1450" s="186" t="s">
        <v>292</v>
      </c>
      <c r="S1450" s="186" t="s">
        <v>122</v>
      </c>
      <c r="T1450" s="186" t="s">
        <v>122</v>
      </c>
      <c r="U1450" s="186" t="s">
        <v>122</v>
      </c>
      <c r="V1450" s="186" t="s">
        <v>122</v>
      </c>
      <c r="W1450" s="186" t="s">
        <v>122</v>
      </c>
      <c r="X1450" s="186" t="s">
        <v>292</v>
      </c>
      <c r="Y1450" s="186" t="s">
        <v>292</v>
      </c>
      <c r="Z1450" s="186"/>
      <c r="AA1450" s="186"/>
      <c r="AB1450" s="186" t="s">
        <v>122</v>
      </c>
      <c r="AC1450" s="186"/>
      <c r="AD1450" s="268" t="s">
        <v>3707</v>
      </c>
      <c r="AE1450" s="268"/>
      <c r="AF1450" s="144" t="str">
        <f t="shared" si="124"/>
        <v/>
      </c>
      <c r="AG1450" s="144" t="str">
        <f t="shared" si="129"/>
        <v/>
      </c>
      <c r="AH1450" s="146">
        <f t="shared" si="126"/>
        <v>9.8648880000000005</v>
      </c>
      <c r="AI1450" s="146">
        <f t="shared" si="127"/>
        <v>10.8784896</v>
      </c>
      <c r="AJ1450" s="309"/>
      <c r="AK1450" s="309"/>
      <c r="AL1450" s="309"/>
      <c r="AM1450" s="309"/>
      <c r="AN1450" s="309"/>
      <c r="AO1450" s="309"/>
      <c r="AP1450" s="309"/>
      <c r="AQ1450" s="309"/>
      <c r="AR1450" s="320"/>
      <c r="AS1450" s="237"/>
      <c r="AT1450" s="238"/>
      <c r="AU1450" s="320"/>
      <c r="AV1450" s="346"/>
      <c r="AW1450" s="357">
        <f>20.856*0.473</f>
        <v>9.8648880000000005</v>
      </c>
      <c r="AX1450" s="294"/>
      <c r="AY1450" s="294">
        <f>20.856*0.0486</f>
        <v>1.0136016000000001</v>
      </c>
      <c r="AZ1450" s="294"/>
      <c r="BA1450" s="294">
        <v>0.36299999999999999</v>
      </c>
      <c r="BB1450" s="294">
        <f>20.856*0.177</f>
        <v>3.6915119999999999</v>
      </c>
      <c r="BC1450" s="294">
        <f>20.856*0.284</f>
        <v>5.9231040000000004</v>
      </c>
      <c r="BD1450" s="294"/>
      <c r="BE1450" s="294"/>
      <c r="BF1450" s="383">
        <f t="shared" si="130"/>
        <v>9.8648880000000005</v>
      </c>
      <c r="BG1450" s="383">
        <f>SUM(AW1450:BE1450)</f>
        <v>20.856105599999999</v>
      </c>
      <c r="BH1450" s="375"/>
      <c r="BI1450" s="376"/>
      <c r="BJ1450" s="409"/>
    </row>
    <row r="1451" spans="1:62" ht="15" customHeight="1" thickBot="1" x14ac:dyDescent="0.25">
      <c r="A1451" s="156">
        <v>1452</v>
      </c>
      <c r="B1451" s="247">
        <v>1</v>
      </c>
      <c r="C1451" s="148" t="s">
        <v>2933</v>
      </c>
      <c r="D1451" s="148" t="s">
        <v>2931</v>
      </c>
      <c r="E1451" s="148" t="s">
        <v>13</v>
      </c>
      <c r="F1451" s="148"/>
      <c r="G1451" s="148"/>
      <c r="H1451" s="148" t="s">
        <v>80</v>
      </c>
      <c r="I1451" s="161">
        <v>2007</v>
      </c>
      <c r="J1451" s="161" t="s">
        <v>3708</v>
      </c>
      <c r="K1451" s="161"/>
      <c r="L1451" s="161" t="s">
        <v>9</v>
      </c>
      <c r="M1451" s="453" t="s">
        <v>4359</v>
      </c>
      <c r="N1451" s="186" t="s">
        <v>122</v>
      </c>
      <c r="O1451" s="186" t="s">
        <v>292</v>
      </c>
      <c r="P1451" s="186" t="s">
        <v>122</v>
      </c>
      <c r="Q1451" s="186" t="s">
        <v>122</v>
      </c>
      <c r="R1451" s="186" t="s">
        <v>292</v>
      </c>
      <c r="S1451" s="186" t="s">
        <v>122</v>
      </c>
      <c r="T1451" s="186" t="s">
        <v>292</v>
      </c>
      <c r="U1451" s="186" t="s">
        <v>292</v>
      </c>
      <c r="V1451" s="186" t="s">
        <v>292</v>
      </c>
      <c r="W1451" s="186" t="s">
        <v>292</v>
      </c>
      <c r="X1451" s="186" t="s">
        <v>292</v>
      </c>
      <c r="Y1451" s="186" t="s">
        <v>292</v>
      </c>
      <c r="Z1451" s="186"/>
      <c r="AA1451" s="186"/>
      <c r="AB1451" s="186"/>
      <c r="AC1451" s="186"/>
      <c r="AD1451" s="268" t="s">
        <v>581</v>
      </c>
      <c r="AE1451" s="268" t="s">
        <v>3709</v>
      </c>
      <c r="AF1451" s="144" t="str">
        <f t="shared" si="124"/>
        <v/>
      </c>
      <c r="AG1451" s="144" t="str">
        <f t="shared" si="129"/>
        <v/>
      </c>
      <c r="AH1451" s="146">
        <f t="shared" si="126"/>
        <v>4.9128943758573387</v>
      </c>
      <c r="AI1451" s="146">
        <f t="shared" si="127"/>
        <v>5.1197530864197534</v>
      </c>
      <c r="AJ1451" s="309"/>
      <c r="AK1451" s="309"/>
      <c r="AL1451" s="309"/>
      <c r="AM1451" s="309"/>
      <c r="AN1451" s="309"/>
      <c r="AO1451" s="309"/>
      <c r="AP1451" s="309"/>
      <c r="AQ1451" s="309"/>
      <c r="AR1451" s="320"/>
      <c r="AS1451" s="237"/>
      <c r="AT1451" s="238"/>
      <c r="AU1451" s="320"/>
      <c r="AV1451" s="346"/>
      <c r="AW1451" s="357">
        <f>3.77*(0.4+0.13+0.14+0.05+0.23)/0.729</f>
        <v>4.9128943758573387</v>
      </c>
      <c r="AX1451" s="294"/>
      <c r="AY1451" s="357">
        <f>3.77*0.04/0.729</f>
        <v>0.20685871056241428</v>
      </c>
      <c r="AZ1451" s="294"/>
      <c r="BA1451" s="294">
        <f>3.77*0.01/0.729</f>
        <v>5.1714677640603571E-2</v>
      </c>
      <c r="BB1451" s="357"/>
      <c r="BC1451" s="357"/>
      <c r="BD1451" s="294"/>
      <c r="BE1451" s="294"/>
      <c r="BF1451" s="383">
        <f t="shared" si="130"/>
        <v>4.9128943758573387</v>
      </c>
      <c r="BG1451" s="383">
        <f>SUM(AW1451:BE1451)</f>
        <v>5.171467764060357</v>
      </c>
      <c r="BH1451" s="375"/>
      <c r="BI1451" s="376"/>
      <c r="BJ1451" s="409"/>
    </row>
    <row r="1452" spans="1:62" ht="15" customHeight="1" thickBot="1" x14ac:dyDescent="0.25">
      <c r="A1452" s="156">
        <v>1453</v>
      </c>
      <c r="B1452" s="247">
        <v>1</v>
      </c>
      <c r="C1452" s="148" t="s">
        <v>2933</v>
      </c>
      <c r="D1452" s="148" t="s">
        <v>2745</v>
      </c>
      <c r="E1452" s="148" t="s">
        <v>13</v>
      </c>
      <c r="F1452" s="148" t="s">
        <v>3710</v>
      </c>
      <c r="G1452" s="148"/>
      <c r="H1452" s="148" t="s">
        <v>1284</v>
      </c>
      <c r="I1452" s="161">
        <v>2007</v>
      </c>
      <c r="J1452" s="161" t="s">
        <v>3711</v>
      </c>
      <c r="K1452" s="161"/>
      <c r="L1452" s="161" t="s">
        <v>19</v>
      </c>
      <c r="M1452" s="453" t="s">
        <v>4360</v>
      </c>
      <c r="N1452" s="186" t="s">
        <v>122</v>
      </c>
      <c r="O1452" s="186" t="s">
        <v>292</v>
      </c>
      <c r="P1452" s="186" t="s">
        <v>292</v>
      </c>
      <c r="Q1452" s="186" t="s">
        <v>292</v>
      </c>
      <c r="R1452" s="186" t="s">
        <v>292</v>
      </c>
      <c r="S1452" s="186" t="s">
        <v>292</v>
      </c>
      <c r="T1452" s="186" t="s">
        <v>292</v>
      </c>
      <c r="U1452" s="186" t="s">
        <v>292</v>
      </c>
      <c r="V1452" s="186" t="s">
        <v>292</v>
      </c>
      <c r="W1452" s="186" t="s">
        <v>292</v>
      </c>
      <c r="X1452" s="186" t="s">
        <v>292</v>
      </c>
      <c r="Y1452" s="186" t="s">
        <v>292</v>
      </c>
      <c r="Z1452" s="186" t="s">
        <v>292</v>
      </c>
      <c r="AA1452" s="186" t="s">
        <v>3712</v>
      </c>
      <c r="AB1452" s="186"/>
      <c r="AC1452" s="186"/>
      <c r="AD1452" s="268" t="s">
        <v>3713</v>
      </c>
      <c r="AE1452" s="268"/>
      <c r="AF1452" s="144">
        <f t="shared" si="124"/>
        <v>169</v>
      </c>
      <c r="AG1452" s="144" t="str">
        <f t="shared" si="129"/>
        <v/>
      </c>
      <c r="AH1452" s="146">
        <f t="shared" si="126"/>
        <v>36.4</v>
      </c>
      <c r="AI1452" s="146" t="str">
        <f t="shared" si="127"/>
        <v/>
      </c>
      <c r="AJ1452" s="309">
        <v>169</v>
      </c>
      <c r="AK1452" s="309"/>
      <c r="AL1452" s="309"/>
      <c r="AM1452" s="309"/>
      <c r="AN1452" s="309"/>
      <c r="AO1452" s="309"/>
      <c r="AP1452" s="309"/>
      <c r="AQ1452" s="309"/>
      <c r="AR1452" s="320"/>
      <c r="AS1452" s="237">
        <f>AJ1452</f>
        <v>169</v>
      </c>
      <c r="AT1452" s="238"/>
      <c r="AU1452" s="320"/>
      <c r="AV1452" s="346"/>
      <c r="AW1452" s="357">
        <v>36.4</v>
      </c>
      <c r="AX1452" s="294"/>
      <c r="AY1452" s="294"/>
      <c r="AZ1452" s="294"/>
      <c r="BA1452" s="294"/>
      <c r="BB1452" s="294"/>
      <c r="BC1452" s="294"/>
      <c r="BD1452" s="294"/>
      <c r="BE1452" s="294"/>
      <c r="BF1452" s="383">
        <f t="shared" si="130"/>
        <v>36.4</v>
      </c>
      <c r="BG1452" s="383"/>
      <c r="BH1452" s="375"/>
      <c r="BI1452" s="376"/>
      <c r="BJ1452" s="409"/>
    </row>
    <row r="1453" spans="1:62" ht="15" customHeight="1" thickBot="1" x14ac:dyDescent="0.25">
      <c r="A1453" s="156">
        <v>1454</v>
      </c>
      <c r="B1453" s="247">
        <v>1</v>
      </c>
      <c r="C1453" s="148" t="s">
        <v>11</v>
      </c>
      <c r="D1453" s="148" t="s">
        <v>12</v>
      </c>
      <c r="E1453" s="148" t="s">
        <v>13</v>
      </c>
      <c r="F1453" s="148"/>
      <c r="G1453" s="148"/>
      <c r="H1453" s="148" t="s">
        <v>101</v>
      </c>
      <c r="I1453" s="161">
        <v>2008</v>
      </c>
      <c r="J1453" s="161" t="s">
        <v>3714</v>
      </c>
      <c r="K1453" s="161"/>
      <c r="L1453" s="161" t="s">
        <v>19</v>
      </c>
      <c r="M1453" s="453" t="s">
        <v>4361</v>
      </c>
      <c r="N1453" s="186" t="s">
        <v>122</v>
      </c>
      <c r="O1453" s="186" t="s">
        <v>122</v>
      </c>
      <c r="P1453" s="186" t="s">
        <v>122</v>
      </c>
      <c r="Q1453" s="186" t="s">
        <v>122</v>
      </c>
      <c r="R1453" s="186" t="s">
        <v>122</v>
      </c>
      <c r="S1453" s="186" t="s">
        <v>122</v>
      </c>
      <c r="T1453" s="186" t="s">
        <v>122</v>
      </c>
      <c r="U1453" s="186" t="s">
        <v>122</v>
      </c>
      <c r="V1453" s="186" t="s">
        <v>122</v>
      </c>
      <c r="W1453" s="186" t="s">
        <v>292</v>
      </c>
      <c r="X1453" s="186" t="s">
        <v>292</v>
      </c>
      <c r="Y1453" s="186" t="s">
        <v>292</v>
      </c>
      <c r="Z1453" s="186"/>
      <c r="AA1453" s="186"/>
      <c r="AB1453" s="186"/>
      <c r="AC1453" s="186"/>
      <c r="AD1453" s="268" t="s">
        <v>1410</v>
      </c>
      <c r="AE1453" s="268"/>
      <c r="AF1453" s="144" t="str">
        <f t="shared" ref="AF1453:AF1516" si="131">IF(AS1453&lt;&gt;0,AS1453,"")</f>
        <v/>
      </c>
      <c r="AG1453" s="144" t="str">
        <f t="shared" si="129"/>
        <v/>
      </c>
      <c r="AH1453" s="146" t="str">
        <f t="shared" si="126"/>
        <v/>
      </c>
      <c r="AI1453" s="146" t="str">
        <f t="shared" si="127"/>
        <v/>
      </c>
      <c r="AJ1453" s="309"/>
      <c r="AK1453" s="309"/>
      <c r="AL1453" s="309"/>
      <c r="AM1453" s="309"/>
      <c r="AN1453" s="309"/>
      <c r="AO1453" s="309"/>
      <c r="AP1453" s="309"/>
      <c r="AQ1453" s="309"/>
      <c r="AR1453" s="320"/>
      <c r="AS1453" s="237"/>
      <c r="AT1453" s="238">
        <v>5.8</v>
      </c>
      <c r="AU1453" s="320"/>
      <c r="AV1453" s="346"/>
      <c r="AW1453" s="357"/>
      <c r="AX1453" s="294"/>
      <c r="AY1453" s="294"/>
      <c r="AZ1453" s="294"/>
      <c r="BA1453" s="294"/>
      <c r="BB1453" s="294"/>
      <c r="BC1453" s="294"/>
      <c r="BD1453" s="294"/>
      <c r="BE1453" s="294"/>
      <c r="BF1453" s="383"/>
      <c r="BG1453" s="383">
        <v>1.1399999999999999</v>
      </c>
      <c r="BH1453" s="375"/>
      <c r="BI1453" s="376"/>
      <c r="BJ1453" s="409"/>
    </row>
    <row r="1454" spans="1:62" ht="15" customHeight="1" thickBot="1" x14ac:dyDescent="0.25">
      <c r="A1454" s="156">
        <v>1455</v>
      </c>
      <c r="B1454" s="247">
        <v>1</v>
      </c>
      <c r="C1454" s="148" t="s">
        <v>11</v>
      </c>
      <c r="D1454" s="148" t="s">
        <v>426</v>
      </c>
      <c r="E1454" s="148" t="s">
        <v>13</v>
      </c>
      <c r="F1454" s="148"/>
      <c r="G1454" s="148"/>
      <c r="H1454" s="148" t="s">
        <v>101</v>
      </c>
      <c r="I1454" s="161">
        <v>2008</v>
      </c>
      <c r="J1454" s="161" t="s">
        <v>3714</v>
      </c>
      <c r="K1454" s="161"/>
      <c r="L1454" s="161" t="s">
        <v>19</v>
      </c>
      <c r="M1454" s="453" t="s">
        <v>4361</v>
      </c>
      <c r="N1454" s="186" t="s">
        <v>122</v>
      </c>
      <c r="O1454" s="186" t="s">
        <v>122</v>
      </c>
      <c r="P1454" s="186" t="s">
        <v>122</v>
      </c>
      <c r="Q1454" s="186" t="s">
        <v>122</v>
      </c>
      <c r="R1454" s="186" t="s">
        <v>122</v>
      </c>
      <c r="S1454" s="186" t="s">
        <v>122</v>
      </c>
      <c r="T1454" s="186" t="s">
        <v>122</v>
      </c>
      <c r="U1454" s="186" t="s">
        <v>122</v>
      </c>
      <c r="V1454" s="186" t="s">
        <v>122</v>
      </c>
      <c r="W1454" s="186" t="s">
        <v>292</v>
      </c>
      <c r="X1454" s="186" t="s">
        <v>292</v>
      </c>
      <c r="Y1454" s="186" t="s">
        <v>292</v>
      </c>
      <c r="Z1454" s="186"/>
      <c r="AA1454" s="186"/>
      <c r="AB1454" s="186"/>
      <c r="AC1454" s="186"/>
      <c r="AD1454" s="268" t="s">
        <v>1410</v>
      </c>
      <c r="AE1454" s="268"/>
      <c r="AF1454" s="144" t="str">
        <f t="shared" si="131"/>
        <v/>
      </c>
      <c r="AG1454" s="144" t="str">
        <f t="shared" si="129"/>
        <v/>
      </c>
      <c r="AH1454" s="146" t="str">
        <f t="shared" si="126"/>
        <v/>
      </c>
      <c r="AI1454" s="146" t="str">
        <f t="shared" si="127"/>
        <v/>
      </c>
      <c r="AJ1454" s="309"/>
      <c r="AK1454" s="309"/>
      <c r="AL1454" s="309"/>
      <c r="AM1454" s="309"/>
      <c r="AN1454" s="309"/>
      <c r="AO1454" s="309"/>
      <c r="AP1454" s="309"/>
      <c r="AQ1454" s="309"/>
      <c r="AR1454" s="320"/>
      <c r="AS1454" s="237"/>
      <c r="AT1454" s="238">
        <v>40</v>
      </c>
      <c r="AU1454" s="320"/>
      <c r="AV1454" s="346"/>
      <c r="AW1454" s="357"/>
      <c r="AX1454" s="294"/>
      <c r="AY1454" s="294"/>
      <c r="AZ1454" s="294"/>
      <c r="BA1454" s="294"/>
      <c r="BB1454" s="294"/>
      <c r="BC1454" s="294"/>
      <c r="BD1454" s="294"/>
      <c r="BE1454" s="294"/>
      <c r="BF1454" s="383"/>
      <c r="BG1454" s="383">
        <v>10.7</v>
      </c>
      <c r="BH1454" s="375"/>
      <c r="BI1454" s="376"/>
      <c r="BJ1454" s="409"/>
    </row>
    <row r="1455" spans="1:62" ht="15" customHeight="1" thickBot="1" x14ac:dyDescent="0.25">
      <c r="A1455" s="156">
        <v>1456</v>
      </c>
      <c r="B1455" s="247">
        <v>1</v>
      </c>
      <c r="C1455" s="148" t="s">
        <v>11</v>
      </c>
      <c r="D1455" s="148" t="s">
        <v>140</v>
      </c>
      <c r="E1455" s="148" t="s">
        <v>13</v>
      </c>
      <c r="F1455" s="148"/>
      <c r="G1455" s="148"/>
      <c r="H1455" s="148" t="s">
        <v>101</v>
      </c>
      <c r="I1455" s="161">
        <v>2008</v>
      </c>
      <c r="J1455" s="161" t="s">
        <v>3714</v>
      </c>
      <c r="K1455" s="161"/>
      <c r="L1455" s="161" t="s">
        <v>19</v>
      </c>
      <c r="M1455" s="453" t="s">
        <v>4361</v>
      </c>
      <c r="N1455" s="186" t="s">
        <v>122</v>
      </c>
      <c r="O1455" s="186" t="s">
        <v>122</v>
      </c>
      <c r="P1455" s="186" t="s">
        <v>122</v>
      </c>
      <c r="Q1455" s="186" t="s">
        <v>122</v>
      </c>
      <c r="R1455" s="186" t="s">
        <v>122</v>
      </c>
      <c r="S1455" s="186" t="s">
        <v>122</v>
      </c>
      <c r="T1455" s="186" t="s">
        <v>122</v>
      </c>
      <c r="U1455" s="186" t="s">
        <v>122</v>
      </c>
      <c r="V1455" s="186" t="s">
        <v>122</v>
      </c>
      <c r="W1455" s="186" t="s">
        <v>292</v>
      </c>
      <c r="X1455" s="186" t="s">
        <v>292</v>
      </c>
      <c r="Y1455" s="186" t="s">
        <v>292</v>
      </c>
      <c r="Z1455" s="186"/>
      <c r="AA1455" s="186"/>
      <c r="AB1455" s="186"/>
      <c r="AC1455" s="186"/>
      <c r="AD1455" s="268" t="s">
        <v>1410</v>
      </c>
      <c r="AE1455" s="268"/>
      <c r="AF1455" s="144" t="str">
        <f t="shared" si="131"/>
        <v/>
      </c>
      <c r="AG1455" s="144" t="str">
        <f t="shared" si="129"/>
        <v/>
      </c>
      <c r="AH1455" s="146" t="str">
        <f t="shared" si="126"/>
        <v/>
      </c>
      <c r="AI1455" s="146" t="str">
        <f t="shared" si="127"/>
        <v/>
      </c>
      <c r="AJ1455" s="309"/>
      <c r="AK1455" s="309"/>
      <c r="AL1455" s="309"/>
      <c r="AM1455" s="309"/>
      <c r="AN1455" s="309"/>
      <c r="AO1455" s="309"/>
      <c r="AP1455" s="309"/>
      <c r="AQ1455" s="309"/>
      <c r="AR1455" s="320"/>
      <c r="AS1455" s="237"/>
      <c r="AT1455" s="238">
        <v>8.9</v>
      </c>
      <c r="AU1455" s="320"/>
      <c r="AV1455" s="346"/>
      <c r="AW1455" s="357"/>
      <c r="AX1455" s="294"/>
      <c r="AY1455" s="294"/>
      <c r="AZ1455" s="294"/>
      <c r="BA1455" s="294"/>
      <c r="BB1455" s="294"/>
      <c r="BC1455" s="294"/>
      <c r="BD1455" s="294"/>
      <c r="BE1455" s="294"/>
      <c r="BF1455" s="383"/>
      <c r="BG1455" s="383">
        <v>1.45</v>
      </c>
      <c r="BH1455" s="375"/>
      <c r="BI1455" s="376"/>
      <c r="BJ1455" s="409"/>
    </row>
    <row r="1456" spans="1:62" ht="15" customHeight="1" thickBot="1" x14ac:dyDescent="0.25">
      <c r="A1456" s="156">
        <v>1457</v>
      </c>
      <c r="B1456" s="247">
        <v>1</v>
      </c>
      <c r="C1456" s="148" t="s">
        <v>975</v>
      </c>
      <c r="D1456" s="148" t="s">
        <v>3056</v>
      </c>
      <c r="E1456" s="148" t="s">
        <v>1068</v>
      </c>
      <c r="F1456" s="148" t="s">
        <v>3715</v>
      </c>
      <c r="G1456" s="148"/>
      <c r="H1456" s="148" t="s">
        <v>1064</v>
      </c>
      <c r="I1456" s="161">
        <v>2008</v>
      </c>
      <c r="J1456" s="161" t="s">
        <v>3716</v>
      </c>
      <c r="K1456" s="161"/>
      <c r="L1456" s="161" t="s">
        <v>19</v>
      </c>
      <c r="M1456" s="453" t="s">
        <v>4362</v>
      </c>
      <c r="N1456" s="186" t="s">
        <v>122</v>
      </c>
      <c r="O1456" s="186" t="s">
        <v>292</v>
      </c>
      <c r="P1456" s="186" t="s">
        <v>122</v>
      </c>
      <c r="Q1456" s="186" t="s">
        <v>122</v>
      </c>
      <c r="R1456" s="186" t="s">
        <v>292</v>
      </c>
      <c r="S1456" s="186" t="s">
        <v>122</v>
      </c>
      <c r="T1456" s="186" t="s">
        <v>292</v>
      </c>
      <c r="U1456" s="186" t="s">
        <v>122</v>
      </c>
      <c r="V1456" s="186" t="s">
        <v>292</v>
      </c>
      <c r="W1456" s="186" t="s">
        <v>292</v>
      </c>
      <c r="X1456" s="186" t="s">
        <v>292</v>
      </c>
      <c r="Y1456" s="186" t="s">
        <v>292</v>
      </c>
      <c r="Z1456" s="186"/>
      <c r="AA1456" s="186"/>
      <c r="AB1456" s="186"/>
      <c r="AC1456" s="186"/>
      <c r="AD1456" s="268" t="s">
        <v>3717</v>
      </c>
      <c r="AE1456" s="268"/>
      <c r="AF1456" s="144" t="str">
        <f t="shared" si="131"/>
        <v/>
      </c>
      <c r="AG1456" s="144" t="str">
        <f t="shared" si="129"/>
        <v/>
      </c>
      <c r="AH1456" s="146">
        <f t="shared" si="126"/>
        <v>2.25</v>
      </c>
      <c r="AI1456" s="146">
        <f t="shared" si="127"/>
        <v>2.3311000000000002</v>
      </c>
      <c r="AJ1456" s="309"/>
      <c r="AK1456" s="309"/>
      <c r="AL1456" s="309"/>
      <c r="AM1456" s="309"/>
      <c r="AN1456" s="309"/>
      <c r="AO1456" s="309"/>
      <c r="AP1456" s="309"/>
      <c r="AQ1456" s="309"/>
      <c r="AR1456" s="320"/>
      <c r="AS1456" s="237"/>
      <c r="AT1456" s="238"/>
      <c r="AU1456" s="320"/>
      <c r="AV1456" s="346"/>
      <c r="AW1456" s="357">
        <v>2.25</v>
      </c>
      <c r="AX1456" s="294">
        <v>8.1100000000000005E-2</v>
      </c>
      <c r="AY1456" s="294">
        <v>0</v>
      </c>
      <c r="AZ1456" s="294"/>
      <c r="BA1456" s="294">
        <f>0.3478+0.021268</f>
        <v>0.36906800000000001</v>
      </c>
      <c r="BB1456" s="294"/>
      <c r="BC1456" s="294">
        <v>0.33040000000000003</v>
      </c>
      <c r="BD1456" s="294"/>
      <c r="BE1456" s="294"/>
      <c r="BF1456" s="383">
        <f t="shared" ref="BF1456:BF1487" si="132">AW1456</f>
        <v>2.25</v>
      </c>
      <c r="BG1456" s="383">
        <f>SUM(AW1456:BE1456)</f>
        <v>3.0305680000000002</v>
      </c>
      <c r="BH1456" s="375"/>
      <c r="BI1456" s="376"/>
      <c r="BJ1456" s="409"/>
    </row>
    <row r="1457" spans="1:62" ht="15" customHeight="1" thickBot="1" x14ac:dyDescent="0.25">
      <c r="A1457" s="156">
        <v>1458</v>
      </c>
      <c r="B1457" s="247">
        <v>1</v>
      </c>
      <c r="C1457" s="148" t="s">
        <v>162</v>
      </c>
      <c r="D1457" s="148" t="s">
        <v>3513</v>
      </c>
      <c r="E1457" s="148" t="s">
        <v>13</v>
      </c>
      <c r="F1457" s="148" t="s">
        <v>3718</v>
      </c>
      <c r="G1457" s="148"/>
      <c r="H1457" s="148" t="s">
        <v>1284</v>
      </c>
      <c r="I1457" s="161">
        <v>2008</v>
      </c>
      <c r="J1457" s="161" t="s">
        <v>3719</v>
      </c>
      <c r="K1457" s="161"/>
      <c r="L1457" s="161" t="s">
        <v>19</v>
      </c>
      <c r="M1457" s="453" t="s">
        <v>4363</v>
      </c>
      <c r="N1457" s="186" t="s">
        <v>122</v>
      </c>
      <c r="O1457" s="186" t="s">
        <v>292</v>
      </c>
      <c r="P1457" s="186" t="s">
        <v>122</v>
      </c>
      <c r="Q1457" s="186" t="s">
        <v>292</v>
      </c>
      <c r="R1457" s="186" t="s">
        <v>122</v>
      </c>
      <c r="S1457" s="186" t="s">
        <v>122</v>
      </c>
      <c r="T1457" s="186" t="s">
        <v>292</v>
      </c>
      <c r="U1457" s="186" t="s">
        <v>292</v>
      </c>
      <c r="V1457" s="186" t="s">
        <v>292</v>
      </c>
      <c r="W1457" s="186" t="s">
        <v>292</v>
      </c>
      <c r="X1457" s="186" t="s">
        <v>292</v>
      </c>
      <c r="Y1457" s="186" t="s">
        <v>292</v>
      </c>
      <c r="Z1457" s="186"/>
      <c r="AA1457" s="186" t="s">
        <v>3720</v>
      </c>
      <c r="AB1457" s="186" t="s">
        <v>122</v>
      </c>
      <c r="AC1457" s="186"/>
      <c r="AD1457" s="268" t="s">
        <v>3721</v>
      </c>
      <c r="AE1457" s="268" t="s">
        <v>485</v>
      </c>
      <c r="AF1457" s="144" t="str">
        <f t="shared" si="131"/>
        <v/>
      </c>
      <c r="AG1457" s="144" t="str">
        <f t="shared" si="129"/>
        <v/>
      </c>
      <c r="AH1457" s="146">
        <f t="shared" si="126"/>
        <v>0.81</v>
      </c>
      <c r="AI1457" s="146">
        <f t="shared" si="127"/>
        <v>0.81742500000000007</v>
      </c>
      <c r="AJ1457" s="309"/>
      <c r="AK1457" s="309"/>
      <c r="AL1457" s="309"/>
      <c r="AM1457" s="309"/>
      <c r="AN1457" s="309"/>
      <c r="AO1457" s="309"/>
      <c r="AP1457" s="309"/>
      <c r="AQ1457" s="309"/>
      <c r="AR1457" s="320"/>
      <c r="AS1457" s="237"/>
      <c r="AT1457" s="238"/>
      <c r="AU1457" s="320"/>
      <c r="AV1457" s="346"/>
      <c r="AW1457" s="357">
        <v>0.81</v>
      </c>
      <c r="AX1457" s="294">
        <v>5.5599999999999998E-3</v>
      </c>
      <c r="AY1457" s="294">
        <f>0.001865</f>
        <v>1.8649999999999999E-3</v>
      </c>
      <c r="AZ1457" s="294">
        <v>5.8799999999999998E-2</v>
      </c>
      <c r="BA1457" s="294">
        <f>(0.0896+0.0357)/1000</f>
        <v>1.2529999999999998E-4</v>
      </c>
      <c r="BB1457" s="294"/>
      <c r="BC1457" s="294"/>
      <c r="BD1457" s="294"/>
      <c r="BE1457" s="294"/>
      <c r="BF1457" s="383">
        <f t="shared" si="132"/>
        <v>0.81</v>
      </c>
      <c r="BG1457" s="383">
        <f>SUM(AW1457:BE1457)</f>
        <v>0.87635030000000003</v>
      </c>
      <c r="BH1457" s="375"/>
      <c r="BI1457" s="376"/>
      <c r="BJ1457" s="409"/>
    </row>
    <row r="1458" spans="1:62" ht="15" customHeight="1" thickBot="1" x14ac:dyDescent="0.25">
      <c r="A1458" s="156">
        <v>1459</v>
      </c>
      <c r="B1458" s="247">
        <v>1</v>
      </c>
      <c r="C1458" s="148" t="s">
        <v>162</v>
      </c>
      <c r="D1458" s="148" t="s">
        <v>2311</v>
      </c>
      <c r="E1458" s="148" t="s">
        <v>13</v>
      </c>
      <c r="F1458" s="148" t="s">
        <v>3718</v>
      </c>
      <c r="G1458" s="148"/>
      <c r="H1458" s="148" t="s">
        <v>1284</v>
      </c>
      <c r="I1458" s="161">
        <v>2008</v>
      </c>
      <c r="J1458" s="161" t="s">
        <v>3719</v>
      </c>
      <c r="K1458" s="161"/>
      <c r="L1458" s="161" t="s">
        <v>19</v>
      </c>
      <c r="M1458" s="453" t="s">
        <v>4363</v>
      </c>
      <c r="N1458" s="186" t="s">
        <v>122</v>
      </c>
      <c r="O1458" s="186" t="s">
        <v>292</v>
      </c>
      <c r="P1458" s="186" t="s">
        <v>122</v>
      </c>
      <c r="Q1458" s="186" t="s">
        <v>292</v>
      </c>
      <c r="R1458" s="186" t="s">
        <v>122</v>
      </c>
      <c r="S1458" s="186" t="s">
        <v>122</v>
      </c>
      <c r="T1458" s="186" t="s">
        <v>292</v>
      </c>
      <c r="U1458" s="186" t="s">
        <v>292</v>
      </c>
      <c r="V1458" s="186" t="s">
        <v>292</v>
      </c>
      <c r="W1458" s="186" t="s">
        <v>292</v>
      </c>
      <c r="X1458" s="186" t="s">
        <v>292</v>
      </c>
      <c r="Y1458" s="186" t="s">
        <v>292</v>
      </c>
      <c r="Z1458" s="186"/>
      <c r="AA1458" s="186" t="s">
        <v>3720</v>
      </c>
      <c r="AB1458" s="186" t="s">
        <v>122</v>
      </c>
      <c r="AC1458" s="186"/>
      <c r="AD1458" s="268" t="s">
        <v>3721</v>
      </c>
      <c r="AE1458" s="268" t="s">
        <v>485</v>
      </c>
      <c r="AF1458" s="144" t="str">
        <f t="shared" si="131"/>
        <v/>
      </c>
      <c r="AG1458" s="144" t="str">
        <f t="shared" si="129"/>
        <v/>
      </c>
      <c r="AH1458" s="146">
        <f t="shared" si="126"/>
        <v>0.20200000000000001</v>
      </c>
      <c r="AI1458" s="146">
        <f t="shared" si="127"/>
        <v>0.20942500000000003</v>
      </c>
      <c r="AJ1458" s="309"/>
      <c r="AK1458" s="309"/>
      <c r="AL1458" s="309"/>
      <c r="AM1458" s="309"/>
      <c r="AN1458" s="309"/>
      <c r="AO1458" s="309"/>
      <c r="AP1458" s="309"/>
      <c r="AQ1458" s="309"/>
      <c r="AR1458" s="320"/>
      <c r="AS1458" s="237"/>
      <c r="AT1458" s="238"/>
      <c r="AU1458" s="320"/>
      <c r="AV1458" s="346"/>
      <c r="AW1458" s="357">
        <v>0.20200000000000001</v>
      </c>
      <c r="AX1458" s="294">
        <v>5.5599999999999998E-3</v>
      </c>
      <c r="AY1458" s="294">
        <f>0.001865</f>
        <v>1.8649999999999999E-3</v>
      </c>
      <c r="AZ1458" s="294">
        <v>5.8799999999999998E-2</v>
      </c>
      <c r="BA1458" s="294">
        <f>(0.0896+0.0357)/1000</f>
        <v>1.2529999999999998E-4</v>
      </c>
      <c r="BB1458" s="294"/>
      <c r="BC1458" s="294"/>
      <c r="BD1458" s="294"/>
      <c r="BE1458" s="294"/>
      <c r="BF1458" s="383">
        <f t="shared" si="132"/>
        <v>0.20200000000000001</v>
      </c>
      <c r="BG1458" s="383">
        <f>SUM(AW1458:BE1458)</f>
        <v>0.26835030000000004</v>
      </c>
      <c r="BH1458" s="375"/>
      <c r="BI1458" s="376"/>
      <c r="BJ1458" s="409"/>
    </row>
    <row r="1459" spans="1:62" ht="15" customHeight="1" thickBot="1" x14ac:dyDescent="0.25">
      <c r="A1459" s="156">
        <v>1460</v>
      </c>
      <c r="B1459" s="247">
        <v>1</v>
      </c>
      <c r="C1459" s="148" t="s">
        <v>162</v>
      </c>
      <c r="D1459" s="148" t="s">
        <v>3513</v>
      </c>
      <c r="E1459" s="148" t="s">
        <v>13</v>
      </c>
      <c r="F1459" s="148" t="s">
        <v>3722</v>
      </c>
      <c r="G1459" s="148"/>
      <c r="H1459" s="148" t="s">
        <v>1284</v>
      </c>
      <c r="I1459" s="161">
        <v>2008</v>
      </c>
      <c r="J1459" s="161" t="s">
        <v>3719</v>
      </c>
      <c r="K1459" s="161"/>
      <c r="L1459" s="161" t="s">
        <v>19</v>
      </c>
      <c r="M1459" s="453" t="s">
        <v>4363</v>
      </c>
      <c r="N1459" s="186" t="s">
        <v>122</v>
      </c>
      <c r="O1459" s="186" t="s">
        <v>292</v>
      </c>
      <c r="P1459" s="186" t="s">
        <v>122</v>
      </c>
      <c r="Q1459" s="186" t="s">
        <v>292</v>
      </c>
      <c r="R1459" s="186" t="s">
        <v>122</v>
      </c>
      <c r="S1459" s="186" t="s">
        <v>122</v>
      </c>
      <c r="T1459" s="186" t="s">
        <v>292</v>
      </c>
      <c r="U1459" s="186" t="s">
        <v>292</v>
      </c>
      <c r="V1459" s="186" t="s">
        <v>292</v>
      </c>
      <c r="W1459" s="186" t="s">
        <v>292</v>
      </c>
      <c r="X1459" s="186" t="s">
        <v>292</v>
      </c>
      <c r="Y1459" s="186" t="s">
        <v>292</v>
      </c>
      <c r="Z1459" s="186"/>
      <c r="AA1459" s="186" t="s">
        <v>3720</v>
      </c>
      <c r="AB1459" s="186" t="s">
        <v>122</v>
      </c>
      <c r="AC1459" s="186"/>
      <c r="AD1459" s="268" t="s">
        <v>3721</v>
      </c>
      <c r="AE1459" s="268" t="s">
        <v>485</v>
      </c>
      <c r="AF1459" s="144" t="str">
        <f t="shared" si="131"/>
        <v/>
      </c>
      <c r="AG1459" s="144" t="str">
        <f t="shared" si="129"/>
        <v/>
      </c>
      <c r="AH1459" s="146">
        <f t="shared" si="126"/>
        <v>0.81</v>
      </c>
      <c r="AI1459" s="146">
        <f t="shared" si="127"/>
        <v>0.81556000000000006</v>
      </c>
      <c r="AJ1459" s="309"/>
      <c r="AK1459" s="309"/>
      <c r="AL1459" s="309"/>
      <c r="AM1459" s="309"/>
      <c r="AN1459" s="309"/>
      <c r="AO1459" s="309"/>
      <c r="AP1459" s="309"/>
      <c r="AQ1459" s="309"/>
      <c r="AR1459" s="320"/>
      <c r="AS1459" s="237"/>
      <c r="AT1459" s="238"/>
      <c r="AU1459" s="320"/>
      <c r="AV1459" s="346"/>
      <c r="AW1459" s="357">
        <v>0.81</v>
      </c>
      <c r="AX1459" s="294">
        <v>5.5599999999999998E-3</v>
      </c>
      <c r="AY1459" s="294"/>
      <c r="AZ1459" s="294">
        <v>7.4190000000000006E-2</v>
      </c>
      <c r="BA1459" s="294">
        <f>(0.0824+0.0221)/1000</f>
        <v>1.0450000000000001E-4</v>
      </c>
      <c r="BB1459" s="294"/>
      <c r="BC1459" s="294"/>
      <c r="BD1459" s="294"/>
      <c r="BE1459" s="294"/>
      <c r="BF1459" s="383">
        <f t="shared" si="132"/>
        <v>0.81</v>
      </c>
      <c r="BG1459" s="383">
        <f>SUM(AW1459:BE1459)</f>
        <v>0.88985449999999999</v>
      </c>
      <c r="BH1459" s="375"/>
      <c r="BI1459" s="376"/>
      <c r="BJ1459" s="409"/>
    </row>
    <row r="1460" spans="1:62" ht="15" customHeight="1" thickBot="1" x14ac:dyDescent="0.25">
      <c r="A1460" s="156">
        <v>1461</v>
      </c>
      <c r="B1460" s="247">
        <v>1</v>
      </c>
      <c r="C1460" s="148" t="s">
        <v>162</v>
      </c>
      <c r="D1460" s="148" t="s">
        <v>2311</v>
      </c>
      <c r="E1460" s="148" t="s">
        <v>13</v>
      </c>
      <c r="F1460" s="148" t="s">
        <v>3722</v>
      </c>
      <c r="G1460" s="148"/>
      <c r="H1460" s="148" t="s">
        <v>1284</v>
      </c>
      <c r="I1460" s="161">
        <v>2008</v>
      </c>
      <c r="J1460" s="161" t="s">
        <v>3719</v>
      </c>
      <c r="K1460" s="161"/>
      <c r="L1460" s="161" t="s">
        <v>19</v>
      </c>
      <c r="M1460" s="453" t="s">
        <v>4363</v>
      </c>
      <c r="N1460" s="186" t="s">
        <v>122</v>
      </c>
      <c r="O1460" s="186" t="s">
        <v>292</v>
      </c>
      <c r="P1460" s="186" t="s">
        <v>122</v>
      </c>
      <c r="Q1460" s="186" t="s">
        <v>292</v>
      </c>
      <c r="R1460" s="186" t="s">
        <v>122</v>
      </c>
      <c r="S1460" s="186" t="s">
        <v>122</v>
      </c>
      <c r="T1460" s="186" t="s">
        <v>292</v>
      </c>
      <c r="U1460" s="186" t="s">
        <v>292</v>
      </c>
      <c r="V1460" s="186" t="s">
        <v>292</v>
      </c>
      <c r="W1460" s="186" t="s">
        <v>292</v>
      </c>
      <c r="X1460" s="186" t="s">
        <v>292</v>
      </c>
      <c r="Y1460" s="186" t="s">
        <v>292</v>
      </c>
      <c r="Z1460" s="186"/>
      <c r="AA1460" s="186" t="s">
        <v>3720</v>
      </c>
      <c r="AB1460" s="186" t="s">
        <v>122</v>
      </c>
      <c r="AC1460" s="186"/>
      <c r="AD1460" s="268" t="s">
        <v>3721</v>
      </c>
      <c r="AE1460" s="268" t="s">
        <v>485</v>
      </c>
      <c r="AF1460" s="144" t="str">
        <f t="shared" si="131"/>
        <v/>
      </c>
      <c r="AG1460" s="144" t="str">
        <f t="shared" si="129"/>
        <v/>
      </c>
      <c r="AH1460" s="146">
        <f t="shared" si="126"/>
        <v>0.20200000000000001</v>
      </c>
      <c r="AI1460" s="146">
        <f t="shared" si="127"/>
        <v>0.20756000000000002</v>
      </c>
      <c r="AJ1460" s="309"/>
      <c r="AK1460" s="309"/>
      <c r="AL1460" s="309"/>
      <c r="AM1460" s="309"/>
      <c r="AN1460" s="309"/>
      <c r="AO1460" s="309"/>
      <c r="AP1460" s="309"/>
      <c r="AQ1460" s="309"/>
      <c r="AR1460" s="320"/>
      <c r="AS1460" s="237"/>
      <c r="AT1460" s="238"/>
      <c r="AU1460" s="320"/>
      <c r="AV1460" s="346"/>
      <c r="AW1460" s="357">
        <v>0.20200000000000001</v>
      </c>
      <c r="AX1460" s="294">
        <v>5.5599999999999998E-3</v>
      </c>
      <c r="AY1460" s="294"/>
      <c r="AZ1460" s="294">
        <v>7.4190000000000006E-2</v>
      </c>
      <c r="BA1460" s="294">
        <f>(0.0824+0.0221)/1000</f>
        <v>1.0450000000000001E-4</v>
      </c>
      <c r="BB1460" s="294"/>
      <c r="BC1460" s="294"/>
      <c r="BD1460" s="294"/>
      <c r="BE1460" s="294"/>
      <c r="BF1460" s="383">
        <f t="shared" si="132"/>
        <v>0.20200000000000001</v>
      </c>
      <c r="BG1460" s="383">
        <f>SUM(AW1460:BE1460)</f>
        <v>0.28185450000000006</v>
      </c>
      <c r="BH1460" s="375"/>
      <c r="BI1460" s="376"/>
      <c r="BJ1460" s="409"/>
    </row>
    <row r="1461" spans="1:62" ht="15" customHeight="1" thickBot="1" x14ac:dyDescent="0.25">
      <c r="A1461" s="156">
        <v>1462</v>
      </c>
      <c r="B1461" s="247">
        <v>1</v>
      </c>
      <c r="C1461" s="148" t="s">
        <v>3589</v>
      </c>
      <c r="D1461" s="148" t="s">
        <v>12</v>
      </c>
      <c r="E1461" s="148" t="s">
        <v>13</v>
      </c>
      <c r="F1461" s="148" t="s">
        <v>3723</v>
      </c>
      <c r="G1461" s="148"/>
      <c r="H1461" s="148" t="s">
        <v>42</v>
      </c>
      <c r="I1461" s="161">
        <v>2008</v>
      </c>
      <c r="J1461" s="161" t="s">
        <v>3724</v>
      </c>
      <c r="K1461" s="161"/>
      <c r="L1461" s="161" t="s">
        <v>19</v>
      </c>
      <c r="M1461" s="453" t="s">
        <v>4364</v>
      </c>
      <c r="N1461" s="186" t="s">
        <v>122</v>
      </c>
      <c r="O1461" s="186" t="s">
        <v>292</v>
      </c>
      <c r="P1461" s="186" t="s">
        <v>292</v>
      </c>
      <c r="Q1461" s="186" t="s">
        <v>292</v>
      </c>
      <c r="R1461" s="186" t="s">
        <v>292</v>
      </c>
      <c r="S1461" s="186" t="s">
        <v>292</v>
      </c>
      <c r="T1461" s="186" t="s">
        <v>292</v>
      </c>
      <c r="U1461" s="186" t="s">
        <v>292</v>
      </c>
      <c r="V1461" s="186" t="s">
        <v>292</v>
      </c>
      <c r="W1461" s="186" t="s">
        <v>292</v>
      </c>
      <c r="X1461" s="186" t="s">
        <v>292</v>
      </c>
      <c r="Y1461" s="186" t="s">
        <v>292</v>
      </c>
      <c r="Z1461" s="186"/>
      <c r="AA1461" s="186" t="s">
        <v>3725</v>
      </c>
      <c r="AB1461" s="186"/>
      <c r="AC1461" s="186"/>
      <c r="AD1461" s="268" t="s">
        <v>252</v>
      </c>
      <c r="AE1461" s="268"/>
      <c r="AF1461" s="144">
        <f t="shared" si="131"/>
        <v>5.77</v>
      </c>
      <c r="AG1461" s="144" t="str">
        <f t="shared" si="129"/>
        <v/>
      </c>
      <c r="AH1461" s="146">
        <f t="shared" si="126"/>
        <v>1.56</v>
      </c>
      <c r="AI1461" s="146" t="str">
        <f t="shared" si="127"/>
        <v/>
      </c>
      <c r="AJ1461" s="321">
        <v>5.77</v>
      </c>
      <c r="AK1461" s="309"/>
      <c r="AL1461" s="309"/>
      <c r="AM1461" s="309"/>
      <c r="AN1461" s="309"/>
      <c r="AO1461" s="309"/>
      <c r="AP1461" s="309"/>
      <c r="AQ1461" s="309"/>
      <c r="AR1461" s="320"/>
      <c r="AS1461" s="237">
        <f>AJ1461</f>
        <v>5.77</v>
      </c>
      <c r="AT1461" s="238"/>
      <c r="AU1461" s="320"/>
      <c r="AV1461" s="346"/>
      <c r="AW1461" s="357">
        <v>1.56</v>
      </c>
      <c r="AX1461" s="294"/>
      <c r="AY1461" s="294"/>
      <c r="AZ1461" s="294"/>
      <c r="BA1461" s="294"/>
      <c r="BB1461" s="294"/>
      <c r="BC1461" s="294"/>
      <c r="BD1461" s="294"/>
      <c r="BE1461" s="294"/>
      <c r="BF1461" s="383">
        <f t="shared" si="132"/>
        <v>1.56</v>
      </c>
      <c r="BG1461" s="383"/>
      <c r="BH1461" s="375"/>
      <c r="BI1461" s="376"/>
      <c r="BJ1461" s="409"/>
    </row>
    <row r="1462" spans="1:62" ht="15" customHeight="1" thickBot="1" x14ac:dyDescent="0.25">
      <c r="A1462" s="156">
        <v>1463</v>
      </c>
      <c r="B1462" s="247">
        <v>1</v>
      </c>
      <c r="C1462" s="148" t="s">
        <v>3589</v>
      </c>
      <c r="D1462" s="148" t="s">
        <v>12</v>
      </c>
      <c r="E1462" s="148" t="s">
        <v>13</v>
      </c>
      <c r="F1462" s="148" t="s">
        <v>3726</v>
      </c>
      <c r="G1462" s="148"/>
      <c r="H1462" s="148" t="s">
        <v>42</v>
      </c>
      <c r="I1462" s="161">
        <v>2008</v>
      </c>
      <c r="J1462" s="161" t="s">
        <v>3724</v>
      </c>
      <c r="K1462" s="161"/>
      <c r="L1462" s="161" t="s">
        <v>19</v>
      </c>
      <c r="M1462" s="453" t="s">
        <v>4364</v>
      </c>
      <c r="N1462" s="186" t="s">
        <v>122</v>
      </c>
      <c r="O1462" s="186" t="s">
        <v>292</v>
      </c>
      <c r="P1462" s="186" t="s">
        <v>292</v>
      </c>
      <c r="Q1462" s="186" t="s">
        <v>292</v>
      </c>
      <c r="R1462" s="186" t="s">
        <v>292</v>
      </c>
      <c r="S1462" s="186" t="s">
        <v>292</v>
      </c>
      <c r="T1462" s="186" t="s">
        <v>292</v>
      </c>
      <c r="U1462" s="186" t="s">
        <v>292</v>
      </c>
      <c r="V1462" s="186" t="s">
        <v>292</v>
      </c>
      <c r="W1462" s="186" t="s">
        <v>292</v>
      </c>
      <c r="X1462" s="186" t="s">
        <v>292</v>
      </c>
      <c r="Y1462" s="186" t="s">
        <v>292</v>
      </c>
      <c r="Z1462" s="186"/>
      <c r="AA1462" s="186" t="s">
        <v>3725</v>
      </c>
      <c r="AB1462" s="186"/>
      <c r="AC1462" s="186"/>
      <c r="AD1462" s="268" t="s">
        <v>252</v>
      </c>
      <c r="AE1462" s="268"/>
      <c r="AF1462" s="144">
        <f t="shared" si="131"/>
        <v>6.91</v>
      </c>
      <c r="AG1462" s="144" t="str">
        <f t="shared" si="129"/>
        <v/>
      </c>
      <c r="AH1462" s="146">
        <f t="shared" si="126"/>
        <v>1.61</v>
      </c>
      <c r="AI1462" s="146" t="str">
        <f t="shared" si="127"/>
        <v/>
      </c>
      <c r="AJ1462" s="321">
        <v>6.91</v>
      </c>
      <c r="AK1462" s="309"/>
      <c r="AL1462" s="309"/>
      <c r="AM1462" s="309"/>
      <c r="AN1462" s="309"/>
      <c r="AO1462" s="309"/>
      <c r="AP1462" s="309"/>
      <c r="AQ1462" s="309"/>
      <c r="AR1462" s="320"/>
      <c r="AS1462" s="237">
        <f>AJ1462</f>
        <v>6.91</v>
      </c>
      <c r="AT1462" s="238"/>
      <c r="AU1462" s="320"/>
      <c r="AV1462" s="346"/>
      <c r="AW1462" s="357">
        <v>1.61</v>
      </c>
      <c r="AX1462" s="294"/>
      <c r="AY1462" s="294"/>
      <c r="AZ1462" s="294"/>
      <c r="BA1462" s="294"/>
      <c r="BB1462" s="294"/>
      <c r="BC1462" s="294"/>
      <c r="BD1462" s="294"/>
      <c r="BE1462" s="294"/>
      <c r="BF1462" s="383">
        <f t="shared" si="132"/>
        <v>1.61</v>
      </c>
      <c r="BG1462" s="383"/>
      <c r="BH1462" s="375"/>
      <c r="BI1462" s="376"/>
      <c r="BJ1462" s="409"/>
    </row>
    <row r="1463" spans="1:62" ht="15" customHeight="1" thickBot="1" x14ac:dyDescent="0.25">
      <c r="A1463" s="156">
        <v>1464</v>
      </c>
      <c r="B1463" s="247">
        <v>1</v>
      </c>
      <c r="C1463" s="148" t="s">
        <v>2933</v>
      </c>
      <c r="D1463" s="148" t="s">
        <v>2745</v>
      </c>
      <c r="E1463" s="148" t="s">
        <v>13</v>
      </c>
      <c r="F1463" s="148" t="s">
        <v>3727</v>
      </c>
      <c r="G1463" s="148"/>
      <c r="H1463" s="148" t="s">
        <v>183</v>
      </c>
      <c r="I1463" s="161">
        <v>2008</v>
      </c>
      <c r="J1463" s="161" t="s">
        <v>3728</v>
      </c>
      <c r="K1463" s="161"/>
      <c r="L1463" s="161" t="s">
        <v>19</v>
      </c>
      <c r="M1463" s="453" t="s">
        <v>4365</v>
      </c>
      <c r="N1463" s="186" t="s">
        <v>122</v>
      </c>
      <c r="O1463" s="186" t="s">
        <v>292</v>
      </c>
      <c r="P1463" s="186" t="s">
        <v>292</v>
      </c>
      <c r="Q1463" s="186" t="s">
        <v>292</v>
      </c>
      <c r="R1463" s="186" t="s">
        <v>292</v>
      </c>
      <c r="S1463" s="186" t="s">
        <v>292</v>
      </c>
      <c r="T1463" s="186" t="s">
        <v>292</v>
      </c>
      <c r="U1463" s="186" t="s">
        <v>292</v>
      </c>
      <c r="V1463" s="186" t="s">
        <v>292</v>
      </c>
      <c r="W1463" s="186" t="s">
        <v>292</v>
      </c>
      <c r="X1463" s="186" t="s">
        <v>292</v>
      </c>
      <c r="Y1463" s="186" t="s">
        <v>292</v>
      </c>
      <c r="Z1463" s="186"/>
      <c r="AA1463" s="186" t="s">
        <v>3729</v>
      </c>
      <c r="AB1463" s="186"/>
      <c r="AC1463" s="186"/>
      <c r="AD1463" s="268" t="s">
        <v>3497</v>
      </c>
      <c r="AE1463" s="268" t="s">
        <v>3652</v>
      </c>
      <c r="AF1463" s="144" t="str">
        <f t="shared" si="131"/>
        <v/>
      </c>
      <c r="AG1463" s="144" t="str">
        <f t="shared" si="129"/>
        <v/>
      </c>
      <c r="AH1463" s="146">
        <f t="shared" si="126"/>
        <v>30.408383847943142</v>
      </c>
      <c r="AI1463" s="146" t="str">
        <f t="shared" si="127"/>
        <v/>
      </c>
      <c r="AJ1463" s="309"/>
      <c r="AK1463" s="309"/>
      <c r="AL1463" s="309"/>
      <c r="AM1463" s="309"/>
      <c r="AN1463" s="309"/>
      <c r="AO1463" s="309"/>
      <c r="AP1463" s="309"/>
      <c r="AQ1463" s="309"/>
      <c r="AR1463" s="320"/>
      <c r="AS1463" s="237"/>
      <c r="AT1463" s="238"/>
      <c r="AU1463" s="320"/>
      <c r="AV1463" s="346"/>
      <c r="AW1463" s="357">
        <f>12.21/0.667/0.602</f>
        <v>30.408383847943142</v>
      </c>
      <c r="AX1463" s="294"/>
      <c r="AY1463" s="294"/>
      <c r="AZ1463" s="294"/>
      <c r="BA1463" s="294"/>
      <c r="BB1463" s="294"/>
      <c r="BC1463" s="294"/>
      <c r="BD1463" s="294"/>
      <c r="BE1463" s="294"/>
      <c r="BF1463" s="383">
        <f t="shared" si="132"/>
        <v>30.408383847943142</v>
      </c>
      <c r="BG1463" s="383"/>
      <c r="BH1463" s="375"/>
      <c r="BI1463" s="376"/>
      <c r="BJ1463" s="409"/>
    </row>
    <row r="1464" spans="1:62" ht="15" customHeight="1" thickBot="1" x14ac:dyDescent="0.25">
      <c r="A1464" s="156">
        <v>1465</v>
      </c>
      <c r="B1464" s="247">
        <v>1</v>
      </c>
      <c r="C1464" s="148" t="s">
        <v>2933</v>
      </c>
      <c r="D1464" s="148" t="s">
        <v>2745</v>
      </c>
      <c r="E1464" s="148" t="s">
        <v>13</v>
      </c>
      <c r="F1464" s="148" t="s">
        <v>3730</v>
      </c>
      <c r="G1464" s="148"/>
      <c r="H1464" s="148" t="s">
        <v>183</v>
      </c>
      <c r="I1464" s="161">
        <v>2008</v>
      </c>
      <c r="J1464" s="161" t="s">
        <v>3728</v>
      </c>
      <c r="K1464" s="161"/>
      <c r="L1464" s="161" t="s">
        <v>19</v>
      </c>
      <c r="M1464" s="453" t="s">
        <v>4365</v>
      </c>
      <c r="N1464" s="186" t="s">
        <v>122</v>
      </c>
      <c r="O1464" s="186" t="s">
        <v>292</v>
      </c>
      <c r="P1464" s="186" t="s">
        <v>292</v>
      </c>
      <c r="Q1464" s="186" t="s">
        <v>292</v>
      </c>
      <c r="R1464" s="186" t="s">
        <v>292</v>
      </c>
      <c r="S1464" s="186" t="s">
        <v>292</v>
      </c>
      <c r="T1464" s="186" t="s">
        <v>292</v>
      </c>
      <c r="U1464" s="186" t="s">
        <v>292</v>
      </c>
      <c r="V1464" s="186" t="s">
        <v>292</v>
      </c>
      <c r="W1464" s="186" t="s">
        <v>292</v>
      </c>
      <c r="X1464" s="186" t="s">
        <v>292</v>
      </c>
      <c r="Y1464" s="186" t="s">
        <v>292</v>
      </c>
      <c r="Z1464" s="186"/>
      <c r="AA1464" s="186" t="s">
        <v>3729</v>
      </c>
      <c r="AB1464" s="186"/>
      <c r="AC1464" s="186"/>
      <c r="AD1464" s="268" t="s">
        <v>3497</v>
      </c>
      <c r="AE1464" s="268" t="s">
        <v>3652</v>
      </c>
      <c r="AF1464" s="144" t="str">
        <f t="shared" si="131"/>
        <v/>
      </c>
      <c r="AG1464" s="144" t="str">
        <f t="shared" si="129"/>
        <v/>
      </c>
      <c r="AH1464" s="146">
        <f t="shared" si="126"/>
        <v>25.053918223612449</v>
      </c>
      <c r="AI1464" s="146" t="str">
        <f t="shared" si="127"/>
        <v/>
      </c>
      <c r="AJ1464" s="309"/>
      <c r="AK1464" s="309"/>
      <c r="AL1464" s="309"/>
      <c r="AM1464" s="309"/>
      <c r="AN1464" s="309"/>
      <c r="AO1464" s="309"/>
      <c r="AP1464" s="309"/>
      <c r="AQ1464" s="309"/>
      <c r="AR1464" s="320"/>
      <c r="AS1464" s="237"/>
      <c r="AT1464" s="238"/>
      <c r="AU1464" s="320"/>
      <c r="AV1464" s="346"/>
      <c r="AW1464" s="357">
        <f>10.06/0.667/0.602</f>
        <v>25.053918223612449</v>
      </c>
      <c r="AX1464" s="294"/>
      <c r="AY1464" s="294"/>
      <c r="AZ1464" s="294"/>
      <c r="BA1464" s="294"/>
      <c r="BB1464" s="294"/>
      <c r="BC1464" s="294"/>
      <c r="BD1464" s="294"/>
      <c r="BE1464" s="294"/>
      <c r="BF1464" s="383">
        <f t="shared" si="132"/>
        <v>25.053918223612449</v>
      </c>
      <c r="BG1464" s="383"/>
      <c r="BH1464" s="375"/>
      <c r="BI1464" s="376"/>
      <c r="BJ1464" s="409"/>
    </row>
    <row r="1465" spans="1:62" ht="15" customHeight="1" thickBot="1" x14ac:dyDescent="0.25">
      <c r="A1465" s="156">
        <v>1466</v>
      </c>
      <c r="B1465" s="247">
        <v>1</v>
      </c>
      <c r="C1465" s="148" t="s">
        <v>2933</v>
      </c>
      <c r="D1465" s="148" t="s">
        <v>2745</v>
      </c>
      <c r="E1465" s="148" t="s">
        <v>13</v>
      </c>
      <c r="F1465" s="148" t="s">
        <v>3731</v>
      </c>
      <c r="G1465" s="148"/>
      <c r="H1465" s="148" t="s">
        <v>183</v>
      </c>
      <c r="I1465" s="161">
        <v>2008</v>
      </c>
      <c r="J1465" s="161" t="s">
        <v>3728</v>
      </c>
      <c r="K1465" s="161"/>
      <c r="L1465" s="161" t="s">
        <v>19</v>
      </c>
      <c r="M1465" s="453" t="s">
        <v>4365</v>
      </c>
      <c r="N1465" s="186" t="s">
        <v>122</v>
      </c>
      <c r="O1465" s="186" t="s">
        <v>292</v>
      </c>
      <c r="P1465" s="186" t="s">
        <v>292</v>
      </c>
      <c r="Q1465" s="186" t="s">
        <v>292</v>
      </c>
      <c r="R1465" s="186" t="s">
        <v>292</v>
      </c>
      <c r="S1465" s="186" t="s">
        <v>292</v>
      </c>
      <c r="T1465" s="186" t="s">
        <v>292</v>
      </c>
      <c r="U1465" s="186" t="s">
        <v>292</v>
      </c>
      <c r="V1465" s="186" t="s">
        <v>292</v>
      </c>
      <c r="W1465" s="186" t="s">
        <v>292</v>
      </c>
      <c r="X1465" s="186" t="s">
        <v>292</v>
      </c>
      <c r="Y1465" s="186" t="s">
        <v>292</v>
      </c>
      <c r="Z1465" s="186"/>
      <c r="AA1465" s="186" t="s">
        <v>3729</v>
      </c>
      <c r="AB1465" s="186"/>
      <c r="AC1465" s="186"/>
      <c r="AD1465" s="268" t="s">
        <v>3497</v>
      </c>
      <c r="AE1465" s="268" t="s">
        <v>3652</v>
      </c>
      <c r="AF1465" s="144" t="str">
        <f t="shared" si="131"/>
        <v/>
      </c>
      <c r="AG1465" s="144" t="str">
        <f t="shared" si="129"/>
        <v/>
      </c>
      <c r="AH1465" s="146">
        <f t="shared" si="126"/>
        <v>25.825957453167099</v>
      </c>
      <c r="AI1465" s="146" t="str">
        <f t="shared" si="127"/>
        <v/>
      </c>
      <c r="AJ1465" s="309"/>
      <c r="AK1465" s="309"/>
      <c r="AL1465" s="309"/>
      <c r="AM1465" s="309"/>
      <c r="AN1465" s="309"/>
      <c r="AO1465" s="309"/>
      <c r="AP1465" s="309"/>
      <c r="AQ1465" s="309"/>
      <c r="AR1465" s="320"/>
      <c r="AS1465" s="237"/>
      <c r="AT1465" s="238"/>
      <c r="AU1465" s="320"/>
      <c r="AV1465" s="346"/>
      <c r="AW1465" s="357">
        <f>10.37/0.667/0.602</f>
        <v>25.825957453167099</v>
      </c>
      <c r="AX1465" s="294"/>
      <c r="AY1465" s="294"/>
      <c r="AZ1465" s="294"/>
      <c r="BA1465" s="294"/>
      <c r="BB1465" s="294"/>
      <c r="BC1465" s="294"/>
      <c r="BD1465" s="294"/>
      <c r="BE1465" s="294"/>
      <c r="BF1465" s="383">
        <f t="shared" si="132"/>
        <v>25.825957453167099</v>
      </c>
      <c r="BG1465" s="383"/>
      <c r="BH1465" s="375"/>
      <c r="BI1465" s="376"/>
      <c r="BJ1465" s="409"/>
    </row>
    <row r="1466" spans="1:62" ht="15" customHeight="1" thickBot="1" x14ac:dyDescent="0.25">
      <c r="A1466" s="156">
        <v>1467</v>
      </c>
      <c r="B1466" s="247">
        <v>1</v>
      </c>
      <c r="C1466" s="148" t="s">
        <v>975</v>
      </c>
      <c r="D1466" s="148" t="s">
        <v>3059</v>
      </c>
      <c r="E1466" s="148" t="s">
        <v>13</v>
      </c>
      <c r="F1466" s="148" t="s">
        <v>3732</v>
      </c>
      <c r="G1466" s="148"/>
      <c r="H1466" s="148" t="s">
        <v>101</v>
      </c>
      <c r="I1466" s="161">
        <v>2008</v>
      </c>
      <c r="J1466" s="161" t="s">
        <v>3733</v>
      </c>
      <c r="K1466" s="161"/>
      <c r="L1466" s="161" t="s">
        <v>19</v>
      </c>
      <c r="M1466" s="453" t="s">
        <v>4366</v>
      </c>
      <c r="N1466" s="186" t="s">
        <v>122</v>
      </c>
      <c r="O1466" s="186" t="s">
        <v>292</v>
      </c>
      <c r="P1466" s="186" t="s">
        <v>122</v>
      </c>
      <c r="Q1466" s="186" t="s">
        <v>292</v>
      </c>
      <c r="R1466" s="186" t="s">
        <v>292</v>
      </c>
      <c r="S1466" s="186" t="s">
        <v>122</v>
      </c>
      <c r="T1466" s="186" t="s">
        <v>122</v>
      </c>
      <c r="U1466" s="186" t="s">
        <v>122</v>
      </c>
      <c r="V1466" s="186" t="s">
        <v>122</v>
      </c>
      <c r="W1466" s="186" t="s">
        <v>122</v>
      </c>
      <c r="X1466" s="186" t="s">
        <v>292</v>
      </c>
      <c r="Y1466" s="186" t="s">
        <v>292</v>
      </c>
      <c r="Z1466" s="186"/>
      <c r="AA1466" s="186"/>
      <c r="AB1466" s="186"/>
      <c r="AC1466" s="186"/>
      <c r="AD1466" s="268" t="s">
        <v>3734</v>
      </c>
      <c r="AE1466" s="268" t="s">
        <v>3735</v>
      </c>
      <c r="AF1466" s="144">
        <f t="shared" si="131"/>
        <v>1066.6666666666667</v>
      </c>
      <c r="AG1466" s="144" t="str">
        <f t="shared" si="129"/>
        <v/>
      </c>
      <c r="AH1466" s="146">
        <f t="shared" si="126"/>
        <v>105.66666666666667</v>
      </c>
      <c r="AI1466" s="146" t="str">
        <f t="shared" si="127"/>
        <v/>
      </c>
      <c r="AJ1466" s="309">
        <f>320/0.3</f>
        <v>1066.6666666666667</v>
      </c>
      <c r="AK1466" s="309"/>
      <c r="AL1466" s="309"/>
      <c r="AM1466" s="309"/>
      <c r="AN1466" s="309">
        <f>10/0.3</f>
        <v>33.333333333333336</v>
      </c>
      <c r="AO1466" s="309"/>
      <c r="AP1466" s="309">
        <f>25/0.3</f>
        <v>83.333333333333343</v>
      </c>
      <c r="AQ1466" s="309"/>
      <c r="AR1466" s="320"/>
      <c r="AS1466" s="237">
        <f>AJ1466</f>
        <v>1066.6666666666667</v>
      </c>
      <c r="AT1466" s="238">
        <f>SUM(AJ1466:AR1466)</f>
        <v>1183.3333333333333</v>
      </c>
      <c r="AU1466" s="320"/>
      <c r="AV1466" s="346"/>
      <c r="AW1466" s="357">
        <f>31.7/0.3</f>
        <v>105.66666666666667</v>
      </c>
      <c r="AX1466" s="294"/>
      <c r="AY1466" s="294"/>
      <c r="AZ1466" s="294"/>
      <c r="BA1466" s="294">
        <f>(0.008814+0.54)/0.3</f>
        <v>1.8293800000000002</v>
      </c>
      <c r="BB1466" s="294">
        <f>0.357/0.3</f>
        <v>1.19</v>
      </c>
      <c r="BC1466" s="294">
        <f>2.98/0.3</f>
        <v>9.9333333333333336</v>
      </c>
      <c r="BD1466" s="294">
        <f>0.00183/0.3</f>
        <v>6.1000000000000004E-3</v>
      </c>
      <c r="BE1466" s="294"/>
      <c r="BF1466" s="383">
        <f t="shared" si="132"/>
        <v>105.66666666666667</v>
      </c>
      <c r="BG1466" s="383">
        <f>SUM(AW1466:BE1466)</f>
        <v>118.62548000000001</v>
      </c>
      <c r="BH1466" s="375"/>
      <c r="BI1466" s="376"/>
      <c r="BJ1466" s="409"/>
    </row>
    <row r="1467" spans="1:62" ht="15" customHeight="1" thickBot="1" x14ac:dyDescent="0.25">
      <c r="A1467" s="156">
        <v>1468</v>
      </c>
      <c r="B1467" s="247">
        <v>1</v>
      </c>
      <c r="C1467" s="148" t="s">
        <v>975</v>
      </c>
      <c r="D1467" s="148" t="s">
        <v>3059</v>
      </c>
      <c r="E1467" s="148" t="s">
        <v>13</v>
      </c>
      <c r="F1467" s="148" t="s">
        <v>3736</v>
      </c>
      <c r="G1467" s="148"/>
      <c r="H1467" s="148" t="s">
        <v>101</v>
      </c>
      <c r="I1467" s="161">
        <v>2008</v>
      </c>
      <c r="J1467" s="161" t="s">
        <v>3733</v>
      </c>
      <c r="K1467" s="161"/>
      <c r="L1467" s="161" t="s">
        <v>19</v>
      </c>
      <c r="M1467" s="453" t="s">
        <v>4366</v>
      </c>
      <c r="N1467" s="186" t="s">
        <v>122</v>
      </c>
      <c r="O1467" s="186" t="s">
        <v>292</v>
      </c>
      <c r="P1467" s="186" t="s">
        <v>122</v>
      </c>
      <c r="Q1467" s="186" t="s">
        <v>292</v>
      </c>
      <c r="R1467" s="186" t="s">
        <v>292</v>
      </c>
      <c r="S1467" s="186" t="s">
        <v>122</v>
      </c>
      <c r="T1467" s="186" t="s">
        <v>122</v>
      </c>
      <c r="U1467" s="186" t="s">
        <v>122</v>
      </c>
      <c r="V1467" s="186" t="s">
        <v>122</v>
      </c>
      <c r="W1467" s="186" t="s">
        <v>122</v>
      </c>
      <c r="X1467" s="186" t="s">
        <v>292</v>
      </c>
      <c r="Y1467" s="186" t="s">
        <v>292</v>
      </c>
      <c r="Z1467" s="186"/>
      <c r="AA1467" s="186"/>
      <c r="AB1467" s="186"/>
      <c r="AC1467" s="186"/>
      <c r="AD1467" s="268" t="s">
        <v>3734</v>
      </c>
      <c r="AE1467" s="268" t="s">
        <v>3735</v>
      </c>
      <c r="AF1467" s="144">
        <f t="shared" si="131"/>
        <v>250</v>
      </c>
      <c r="AG1467" s="144" t="str">
        <f t="shared" si="129"/>
        <v/>
      </c>
      <c r="AH1467" s="146">
        <f t="shared" si="126"/>
        <v>37</v>
      </c>
      <c r="AI1467" s="146" t="str">
        <f t="shared" si="127"/>
        <v/>
      </c>
      <c r="AJ1467" s="309">
        <f>75/0.3</f>
        <v>250</v>
      </c>
      <c r="AK1467" s="309"/>
      <c r="AL1467" s="309"/>
      <c r="AM1467" s="309"/>
      <c r="AN1467" s="309">
        <f>10/0.3</f>
        <v>33.333333333333336</v>
      </c>
      <c r="AO1467" s="309"/>
      <c r="AP1467" s="309">
        <f>25/0.3</f>
        <v>83.333333333333343</v>
      </c>
      <c r="AQ1467" s="309"/>
      <c r="AR1467" s="320"/>
      <c r="AS1467" s="227">
        <f>AJ1467</f>
        <v>250</v>
      </c>
      <c r="AT1467" s="233">
        <f>SUM(AJ1467:AR1467)</f>
        <v>366.66666666666663</v>
      </c>
      <c r="AU1467" s="320"/>
      <c r="AV1467" s="346"/>
      <c r="AW1467" s="357">
        <f>11.1/0.3</f>
        <v>37</v>
      </c>
      <c r="AX1467" s="294"/>
      <c r="AY1467" s="294"/>
      <c r="AZ1467" s="294"/>
      <c r="BA1467" s="294">
        <f>(0.008814+0.54)/0.3</f>
        <v>1.8293800000000002</v>
      </c>
      <c r="BB1467" s="294">
        <f>0.357/0.3</f>
        <v>1.19</v>
      </c>
      <c r="BC1467" s="294">
        <f>2.98/0.3</f>
        <v>9.9333333333333336</v>
      </c>
      <c r="BD1467" s="294">
        <f>0.00183/0.3</f>
        <v>6.1000000000000004E-3</v>
      </c>
      <c r="BE1467" s="294"/>
      <c r="BF1467" s="383">
        <f t="shared" si="132"/>
        <v>37</v>
      </c>
      <c r="BG1467" s="383">
        <f>SUM(AW1467:BE1467)</f>
        <v>49.958813333333339</v>
      </c>
      <c r="BH1467" s="375"/>
      <c r="BI1467" s="376"/>
      <c r="BJ1467" s="409"/>
    </row>
    <row r="1468" spans="1:62" ht="15" customHeight="1" thickBot="1" x14ac:dyDescent="0.25">
      <c r="A1468" s="156">
        <v>1469</v>
      </c>
      <c r="B1468" s="247">
        <v>1</v>
      </c>
      <c r="C1468" s="148" t="s">
        <v>2933</v>
      </c>
      <c r="D1468" s="148" t="s">
        <v>3451</v>
      </c>
      <c r="E1468" s="148" t="s">
        <v>13</v>
      </c>
      <c r="F1468" s="148" t="s">
        <v>378</v>
      </c>
      <c r="G1468" s="148"/>
      <c r="H1468" s="148" t="s">
        <v>108</v>
      </c>
      <c r="I1468" s="161">
        <v>2009</v>
      </c>
      <c r="J1468" s="161" t="s">
        <v>3737</v>
      </c>
      <c r="K1468" s="161"/>
      <c r="L1468" s="161" t="s">
        <v>19</v>
      </c>
      <c r="M1468" s="453" t="s">
        <v>4367</v>
      </c>
      <c r="N1468" s="186" t="s">
        <v>122</v>
      </c>
      <c r="O1468" s="186" t="s">
        <v>292</v>
      </c>
      <c r="P1468" s="186" t="s">
        <v>292</v>
      </c>
      <c r="Q1468" s="186" t="s">
        <v>292</v>
      </c>
      <c r="R1468" s="186" t="s">
        <v>292</v>
      </c>
      <c r="S1468" s="186" t="s">
        <v>292</v>
      </c>
      <c r="T1468" s="186" t="s">
        <v>292</v>
      </c>
      <c r="U1468" s="186" t="s">
        <v>292</v>
      </c>
      <c r="V1468" s="186" t="s">
        <v>292</v>
      </c>
      <c r="W1468" s="186" t="s">
        <v>292</v>
      </c>
      <c r="X1468" s="186" t="s">
        <v>292</v>
      </c>
      <c r="Y1468" s="186" t="s">
        <v>292</v>
      </c>
      <c r="Z1468" s="186"/>
      <c r="AA1468" s="186"/>
      <c r="AB1468" s="186"/>
      <c r="AC1468" s="186"/>
      <c r="AD1468" s="268" t="s">
        <v>3738</v>
      </c>
      <c r="AE1468" s="268" t="s">
        <v>3739</v>
      </c>
      <c r="AF1468" s="144" t="str">
        <f t="shared" si="131"/>
        <v/>
      </c>
      <c r="AG1468" s="144" t="str">
        <f t="shared" si="129"/>
        <v/>
      </c>
      <c r="AH1468" s="146">
        <f t="shared" si="126"/>
        <v>43.617021276595743</v>
      </c>
      <c r="AI1468" s="146" t="str">
        <f t="shared" si="127"/>
        <v/>
      </c>
      <c r="AJ1468" s="309"/>
      <c r="AK1468" s="309"/>
      <c r="AL1468" s="309"/>
      <c r="AM1468" s="309"/>
      <c r="AN1468" s="309"/>
      <c r="AO1468" s="309"/>
      <c r="AP1468" s="309"/>
      <c r="AQ1468" s="309"/>
      <c r="AR1468" s="320"/>
      <c r="AS1468" s="227"/>
      <c r="AT1468" s="233"/>
      <c r="AU1468" s="320"/>
      <c r="AV1468" s="346"/>
      <c r="AW1468" s="357">
        <f>28.7/0.658</f>
        <v>43.617021276595743</v>
      </c>
      <c r="AX1468" s="294"/>
      <c r="AY1468" s="294"/>
      <c r="AZ1468" s="294"/>
      <c r="BA1468" s="294"/>
      <c r="BB1468" s="294"/>
      <c r="BC1468" s="294"/>
      <c r="BD1468" s="294"/>
      <c r="BE1468" s="294"/>
      <c r="BF1468" s="383">
        <f t="shared" si="132"/>
        <v>43.617021276595743</v>
      </c>
      <c r="BG1468" s="383"/>
      <c r="BH1468" s="375"/>
      <c r="BI1468" s="376"/>
      <c r="BJ1468" s="409"/>
    </row>
    <row r="1469" spans="1:62" ht="15" customHeight="1" thickBot="1" x14ac:dyDescent="0.25">
      <c r="A1469" s="156">
        <v>1470</v>
      </c>
      <c r="B1469" s="247">
        <v>1</v>
      </c>
      <c r="C1469" s="148" t="s">
        <v>2933</v>
      </c>
      <c r="D1469" s="148" t="s">
        <v>3451</v>
      </c>
      <c r="E1469" s="148" t="s">
        <v>13</v>
      </c>
      <c r="F1469" s="148" t="s">
        <v>3740</v>
      </c>
      <c r="G1469" s="148"/>
      <c r="H1469" s="148" t="s">
        <v>108</v>
      </c>
      <c r="I1469" s="161">
        <v>2009</v>
      </c>
      <c r="J1469" s="161" t="s">
        <v>3737</v>
      </c>
      <c r="K1469" s="161"/>
      <c r="L1469" s="161" t="s">
        <v>19</v>
      </c>
      <c r="M1469" s="453" t="s">
        <v>4367</v>
      </c>
      <c r="N1469" s="186" t="s">
        <v>122</v>
      </c>
      <c r="O1469" s="186" t="s">
        <v>292</v>
      </c>
      <c r="P1469" s="186" t="s">
        <v>292</v>
      </c>
      <c r="Q1469" s="186" t="s">
        <v>292</v>
      </c>
      <c r="R1469" s="186" t="s">
        <v>292</v>
      </c>
      <c r="S1469" s="186" t="s">
        <v>292</v>
      </c>
      <c r="T1469" s="186" t="s">
        <v>292</v>
      </c>
      <c r="U1469" s="186" t="s">
        <v>292</v>
      </c>
      <c r="V1469" s="186" t="s">
        <v>292</v>
      </c>
      <c r="W1469" s="186" t="s">
        <v>292</v>
      </c>
      <c r="X1469" s="186" t="s">
        <v>292</v>
      </c>
      <c r="Y1469" s="186" t="s">
        <v>292</v>
      </c>
      <c r="Z1469" s="186"/>
      <c r="AA1469" s="186"/>
      <c r="AB1469" s="186"/>
      <c r="AC1469" s="186"/>
      <c r="AD1469" s="268" t="s">
        <v>3738</v>
      </c>
      <c r="AE1469" s="268" t="s">
        <v>3739</v>
      </c>
      <c r="AF1469" s="144" t="str">
        <f t="shared" si="131"/>
        <v/>
      </c>
      <c r="AG1469" s="144" t="str">
        <f t="shared" si="129"/>
        <v/>
      </c>
      <c r="AH1469" s="146">
        <f t="shared" si="126"/>
        <v>166.71732522796353</v>
      </c>
      <c r="AI1469" s="146" t="str">
        <f t="shared" si="127"/>
        <v/>
      </c>
      <c r="AJ1469" s="309"/>
      <c r="AK1469" s="309"/>
      <c r="AL1469" s="309"/>
      <c r="AM1469" s="309"/>
      <c r="AN1469" s="309"/>
      <c r="AO1469" s="309"/>
      <c r="AP1469" s="309"/>
      <c r="AQ1469" s="309"/>
      <c r="AR1469" s="320"/>
      <c r="AS1469" s="237"/>
      <c r="AT1469" s="238"/>
      <c r="AU1469" s="320"/>
      <c r="AV1469" s="346"/>
      <c r="AW1469" s="357">
        <f>109.7/0.658</f>
        <v>166.71732522796353</v>
      </c>
      <c r="AX1469" s="294"/>
      <c r="AY1469" s="294"/>
      <c r="AZ1469" s="294"/>
      <c r="BA1469" s="294"/>
      <c r="BB1469" s="294"/>
      <c r="BC1469" s="294"/>
      <c r="BD1469" s="294"/>
      <c r="BE1469" s="294"/>
      <c r="BF1469" s="383">
        <f t="shared" si="132"/>
        <v>166.71732522796353</v>
      </c>
      <c r="BG1469" s="383"/>
      <c r="BH1469" s="375"/>
      <c r="BI1469" s="376"/>
      <c r="BJ1469" s="409"/>
    </row>
    <row r="1470" spans="1:62" ht="15" customHeight="1" thickBot="1" x14ac:dyDescent="0.25">
      <c r="A1470" s="156">
        <v>1471</v>
      </c>
      <c r="B1470" s="247">
        <v>1</v>
      </c>
      <c r="C1470" s="148" t="s">
        <v>2933</v>
      </c>
      <c r="D1470" s="148" t="s">
        <v>2745</v>
      </c>
      <c r="E1470" s="148" t="s">
        <v>13</v>
      </c>
      <c r="F1470" s="148" t="s">
        <v>378</v>
      </c>
      <c r="G1470" s="148"/>
      <c r="H1470" s="148" t="s">
        <v>108</v>
      </c>
      <c r="I1470" s="161">
        <v>2009</v>
      </c>
      <c r="J1470" s="161" t="s">
        <v>3737</v>
      </c>
      <c r="K1470" s="161"/>
      <c r="L1470" s="161" t="s">
        <v>19</v>
      </c>
      <c r="M1470" s="453" t="s">
        <v>4367</v>
      </c>
      <c r="N1470" s="186" t="s">
        <v>122</v>
      </c>
      <c r="O1470" s="186" t="s">
        <v>292</v>
      </c>
      <c r="P1470" s="186" t="s">
        <v>292</v>
      </c>
      <c r="Q1470" s="186" t="s">
        <v>292</v>
      </c>
      <c r="R1470" s="186" t="s">
        <v>292</v>
      </c>
      <c r="S1470" s="186" t="s">
        <v>292</v>
      </c>
      <c r="T1470" s="186" t="s">
        <v>292</v>
      </c>
      <c r="U1470" s="186" t="s">
        <v>292</v>
      </c>
      <c r="V1470" s="186" t="s">
        <v>292</v>
      </c>
      <c r="W1470" s="186" t="s">
        <v>292</v>
      </c>
      <c r="X1470" s="186" t="s">
        <v>292</v>
      </c>
      <c r="Y1470" s="186" t="s">
        <v>292</v>
      </c>
      <c r="Z1470" s="186"/>
      <c r="AA1470" s="186"/>
      <c r="AB1470" s="186"/>
      <c r="AC1470" s="186"/>
      <c r="AD1470" s="268" t="s">
        <v>3741</v>
      </c>
      <c r="AE1470" s="268" t="s">
        <v>3652</v>
      </c>
      <c r="AF1470" s="144" t="str">
        <f t="shared" si="131"/>
        <v/>
      </c>
      <c r="AG1470" s="144" t="str">
        <f t="shared" si="129"/>
        <v/>
      </c>
      <c r="AH1470" s="146">
        <f t="shared" si="126"/>
        <v>38.6019614777329</v>
      </c>
      <c r="AI1470" s="146" t="str">
        <f t="shared" si="127"/>
        <v/>
      </c>
      <c r="AJ1470" s="309"/>
      <c r="AK1470" s="309"/>
      <c r="AL1470" s="309"/>
      <c r="AM1470" s="309"/>
      <c r="AN1470" s="309"/>
      <c r="AO1470" s="309"/>
      <c r="AP1470" s="309"/>
      <c r="AQ1470" s="309"/>
      <c r="AR1470" s="320"/>
      <c r="AS1470" s="237"/>
      <c r="AT1470" s="238"/>
      <c r="AU1470" s="320"/>
      <c r="AV1470" s="346"/>
      <c r="AW1470" s="357">
        <f>15.5/0.667/0.602</f>
        <v>38.6019614777329</v>
      </c>
      <c r="AX1470" s="294"/>
      <c r="AY1470" s="294"/>
      <c r="AZ1470" s="294"/>
      <c r="BA1470" s="294"/>
      <c r="BB1470" s="294"/>
      <c r="BC1470" s="294"/>
      <c r="BD1470" s="294"/>
      <c r="BE1470" s="294"/>
      <c r="BF1470" s="383">
        <f t="shared" si="132"/>
        <v>38.6019614777329</v>
      </c>
      <c r="BG1470" s="383"/>
      <c r="BH1470" s="375"/>
      <c r="BI1470" s="376"/>
      <c r="BJ1470" s="409"/>
    </row>
    <row r="1471" spans="1:62" ht="15" customHeight="1" thickBot="1" x14ac:dyDescent="0.25">
      <c r="A1471" s="156">
        <v>1472</v>
      </c>
      <c r="B1471" s="247">
        <v>1</v>
      </c>
      <c r="C1471" s="148" t="s">
        <v>2933</v>
      </c>
      <c r="D1471" s="148" t="s">
        <v>2745</v>
      </c>
      <c r="E1471" s="148" t="s">
        <v>13</v>
      </c>
      <c r="F1471" s="148" t="s">
        <v>3742</v>
      </c>
      <c r="G1471" s="148"/>
      <c r="H1471" s="148" t="s">
        <v>108</v>
      </c>
      <c r="I1471" s="161">
        <v>2009</v>
      </c>
      <c r="J1471" s="161" t="s">
        <v>3737</v>
      </c>
      <c r="K1471" s="161"/>
      <c r="L1471" s="161" t="s">
        <v>19</v>
      </c>
      <c r="M1471" s="453" t="s">
        <v>4367</v>
      </c>
      <c r="N1471" s="186" t="s">
        <v>122</v>
      </c>
      <c r="O1471" s="186" t="s">
        <v>292</v>
      </c>
      <c r="P1471" s="186" t="s">
        <v>292</v>
      </c>
      <c r="Q1471" s="186" t="s">
        <v>292</v>
      </c>
      <c r="R1471" s="186" t="s">
        <v>292</v>
      </c>
      <c r="S1471" s="186" t="s">
        <v>292</v>
      </c>
      <c r="T1471" s="186" t="s">
        <v>292</v>
      </c>
      <c r="U1471" s="186" t="s">
        <v>292</v>
      </c>
      <c r="V1471" s="186" t="s">
        <v>292</v>
      </c>
      <c r="W1471" s="186" t="s">
        <v>292</v>
      </c>
      <c r="X1471" s="186" t="s">
        <v>292</v>
      </c>
      <c r="Y1471" s="186" t="s">
        <v>292</v>
      </c>
      <c r="Z1471" s="186"/>
      <c r="AA1471" s="186"/>
      <c r="AB1471" s="186"/>
      <c r="AC1471" s="186"/>
      <c r="AD1471" s="268" t="s">
        <v>3741</v>
      </c>
      <c r="AE1471" s="268" t="s">
        <v>3652</v>
      </c>
      <c r="AF1471" s="144" t="str">
        <f t="shared" si="131"/>
        <v/>
      </c>
      <c r="AG1471" s="144" t="str">
        <f t="shared" si="129"/>
        <v/>
      </c>
      <c r="AH1471" s="146">
        <f t="shared" si="126"/>
        <v>118.54537847355391</v>
      </c>
      <c r="AI1471" s="146" t="str">
        <f t="shared" si="127"/>
        <v/>
      </c>
      <c r="AJ1471" s="309"/>
      <c r="AK1471" s="309"/>
      <c r="AL1471" s="309"/>
      <c r="AM1471" s="309"/>
      <c r="AN1471" s="309"/>
      <c r="AO1471" s="309"/>
      <c r="AP1471" s="309"/>
      <c r="AQ1471" s="309"/>
      <c r="AR1471" s="320"/>
      <c r="AS1471" s="237"/>
      <c r="AT1471" s="238"/>
      <c r="AU1471" s="320"/>
      <c r="AV1471" s="346"/>
      <c r="AW1471" s="357">
        <f>47.6/0.667/0.602</f>
        <v>118.54537847355391</v>
      </c>
      <c r="AX1471" s="294"/>
      <c r="AY1471" s="294"/>
      <c r="AZ1471" s="294"/>
      <c r="BA1471" s="294"/>
      <c r="BB1471" s="294"/>
      <c r="BC1471" s="294"/>
      <c r="BD1471" s="294"/>
      <c r="BE1471" s="294"/>
      <c r="BF1471" s="383">
        <f t="shared" si="132"/>
        <v>118.54537847355391</v>
      </c>
      <c r="BG1471" s="383"/>
      <c r="BH1471" s="375"/>
      <c r="BI1471" s="376"/>
      <c r="BJ1471" s="409"/>
    </row>
    <row r="1472" spans="1:62" ht="15" customHeight="1" thickBot="1" x14ac:dyDescent="0.25">
      <c r="A1472" s="156">
        <v>1473</v>
      </c>
      <c r="B1472" s="247">
        <v>1</v>
      </c>
      <c r="C1472" s="148" t="s">
        <v>975</v>
      </c>
      <c r="D1472" s="148" t="s">
        <v>1986</v>
      </c>
      <c r="E1472" s="148" t="s">
        <v>1068</v>
      </c>
      <c r="F1472" s="148" t="s">
        <v>3743</v>
      </c>
      <c r="G1472" s="148"/>
      <c r="H1472" s="148" t="s">
        <v>1135</v>
      </c>
      <c r="I1472" s="161">
        <v>2009</v>
      </c>
      <c r="J1472" s="161" t="s">
        <v>3744</v>
      </c>
      <c r="K1472" s="161"/>
      <c r="L1472" s="161" t="s">
        <v>83</v>
      </c>
      <c r="M1472" s="453" t="s">
        <v>4368</v>
      </c>
      <c r="N1472" s="186" t="s">
        <v>122</v>
      </c>
      <c r="O1472" s="186" t="s">
        <v>292</v>
      </c>
      <c r="P1472" s="186" t="s">
        <v>122</v>
      </c>
      <c r="Q1472" s="186" t="s">
        <v>122</v>
      </c>
      <c r="R1472" s="186"/>
      <c r="S1472" s="186" t="s">
        <v>122</v>
      </c>
      <c r="T1472" s="186" t="s">
        <v>292</v>
      </c>
      <c r="U1472" s="186" t="s">
        <v>292</v>
      </c>
      <c r="V1472" s="186" t="s">
        <v>292</v>
      </c>
      <c r="W1472" s="186" t="s">
        <v>292</v>
      </c>
      <c r="X1472" s="186" t="s">
        <v>292</v>
      </c>
      <c r="Y1472" s="186" t="s">
        <v>292</v>
      </c>
      <c r="Z1472" s="186"/>
      <c r="AA1472" s="186"/>
      <c r="AB1472" s="186"/>
      <c r="AC1472" s="186"/>
      <c r="AD1472" s="268" t="s">
        <v>3745</v>
      </c>
      <c r="AE1472" s="268"/>
      <c r="AF1472" s="144">
        <f t="shared" si="131"/>
        <v>1.19529</v>
      </c>
      <c r="AG1472" s="144">
        <f t="shared" si="129"/>
        <v>1.42272</v>
      </c>
      <c r="AH1472" s="146">
        <f t="shared" si="126"/>
        <v>1.2008000000000001</v>
      </c>
      <c r="AI1472" s="146">
        <f t="shared" si="127"/>
        <v>1.2128080000000001</v>
      </c>
      <c r="AJ1472" s="309">
        <f>0.699*AT1472</f>
        <v>1.19529</v>
      </c>
      <c r="AK1472" s="309"/>
      <c r="AL1472" s="309">
        <f>0.133*AT1472</f>
        <v>0.22743000000000002</v>
      </c>
      <c r="AM1472" s="309"/>
      <c r="AN1472" s="309">
        <f>0.224*AT1472</f>
        <v>0.38303999999999999</v>
      </c>
      <c r="AO1472" s="309"/>
      <c r="AP1472" s="309"/>
      <c r="AQ1472" s="309"/>
      <c r="AR1472" s="320"/>
      <c r="AS1472" s="237">
        <f>AJ1472</f>
        <v>1.19529</v>
      </c>
      <c r="AT1472" s="238">
        <v>1.71</v>
      </c>
      <c r="AU1472" s="320"/>
      <c r="AV1472" s="346"/>
      <c r="AW1472" s="357">
        <f>0.76*BG1472</f>
        <v>1.2008000000000001</v>
      </c>
      <c r="AX1472" s="294"/>
      <c r="AY1472" s="294">
        <f>0.0076*BG1472</f>
        <v>1.2008000000000001E-2</v>
      </c>
      <c r="AZ1472" s="294"/>
      <c r="BA1472" s="294">
        <f>0.237*BG1472</f>
        <v>0.37446000000000002</v>
      </c>
      <c r="BB1472" s="294"/>
      <c r="BC1472" s="294"/>
      <c r="BD1472" s="294"/>
      <c r="BE1472" s="294"/>
      <c r="BF1472" s="383">
        <f t="shared" si="132"/>
        <v>1.2008000000000001</v>
      </c>
      <c r="BG1472" s="383">
        <v>1.58</v>
      </c>
      <c r="BH1472" s="375"/>
      <c r="BI1472" s="376"/>
      <c r="BJ1472" s="409"/>
    </row>
    <row r="1473" spans="1:62" ht="15" customHeight="1" thickBot="1" x14ac:dyDescent="0.25">
      <c r="A1473" s="156">
        <v>1474</v>
      </c>
      <c r="B1473" s="247">
        <v>1</v>
      </c>
      <c r="C1473" s="148" t="s">
        <v>975</v>
      </c>
      <c r="D1473" s="148" t="s">
        <v>1986</v>
      </c>
      <c r="E1473" s="148" t="s">
        <v>1068</v>
      </c>
      <c r="F1473" s="148" t="s">
        <v>3746</v>
      </c>
      <c r="G1473" s="148"/>
      <c r="H1473" s="148" t="s">
        <v>1135</v>
      </c>
      <c r="I1473" s="161">
        <v>2009</v>
      </c>
      <c r="J1473" s="161" t="s">
        <v>3744</v>
      </c>
      <c r="K1473" s="161"/>
      <c r="L1473" s="161" t="s">
        <v>83</v>
      </c>
      <c r="M1473" s="453" t="s">
        <v>4368</v>
      </c>
      <c r="N1473" s="186" t="s">
        <v>122</v>
      </c>
      <c r="O1473" s="186" t="s">
        <v>292</v>
      </c>
      <c r="P1473" s="186" t="s">
        <v>122</v>
      </c>
      <c r="Q1473" s="186" t="s">
        <v>122</v>
      </c>
      <c r="R1473" s="186"/>
      <c r="S1473" s="186" t="s">
        <v>122</v>
      </c>
      <c r="T1473" s="186" t="s">
        <v>292</v>
      </c>
      <c r="U1473" s="186" t="s">
        <v>292</v>
      </c>
      <c r="V1473" s="186" t="s">
        <v>292</v>
      </c>
      <c r="W1473" s="186" t="s">
        <v>292</v>
      </c>
      <c r="X1473" s="186" t="s">
        <v>292</v>
      </c>
      <c r="Y1473" s="186" t="s">
        <v>292</v>
      </c>
      <c r="Z1473" s="186"/>
      <c r="AA1473" s="186"/>
      <c r="AB1473" s="186"/>
      <c r="AC1473" s="186"/>
      <c r="AD1473" s="268" t="s">
        <v>3745</v>
      </c>
      <c r="AE1473" s="268"/>
      <c r="AF1473" s="144">
        <f t="shared" si="131"/>
        <v>3.4701600000000004</v>
      </c>
      <c r="AG1473" s="144">
        <f t="shared" si="129"/>
        <v>7.4121400000000008</v>
      </c>
      <c r="AH1473" s="146">
        <f t="shared" si="126"/>
        <v>3.4438</v>
      </c>
      <c r="AI1473" s="146">
        <f t="shared" si="127"/>
        <v>4.883</v>
      </c>
      <c r="AJ1473" s="309">
        <f>0.456*AT1473</f>
        <v>3.4701600000000004</v>
      </c>
      <c r="AK1473" s="309"/>
      <c r="AL1473" s="309">
        <f>0.518*AT1473</f>
        <v>3.9419800000000005</v>
      </c>
      <c r="AM1473" s="309"/>
      <c r="AN1473" s="309">
        <f>0.0311*AT1473</f>
        <v>0.23667099999999999</v>
      </c>
      <c r="AO1473" s="309"/>
      <c r="AP1473" s="309"/>
      <c r="AQ1473" s="309"/>
      <c r="AR1473" s="320"/>
      <c r="AS1473" s="227">
        <f>AJ1473</f>
        <v>3.4701600000000004</v>
      </c>
      <c r="AT1473" s="237">
        <v>7.61</v>
      </c>
      <c r="AU1473" s="320"/>
      <c r="AV1473" s="346"/>
      <c r="AW1473" s="357">
        <f>0.67*BG1473</f>
        <v>3.4438</v>
      </c>
      <c r="AX1473" s="294"/>
      <c r="AY1473" s="294">
        <f>0.28*BG1473</f>
        <v>1.4392</v>
      </c>
      <c r="AZ1473" s="294"/>
      <c r="BA1473" s="294">
        <f>0.05*BG1473</f>
        <v>0.25700000000000001</v>
      </c>
      <c r="BB1473" s="294"/>
      <c r="BC1473" s="294"/>
      <c r="BD1473" s="294"/>
      <c r="BE1473" s="294"/>
      <c r="BF1473" s="383">
        <f t="shared" si="132"/>
        <v>3.4438</v>
      </c>
      <c r="BG1473" s="383">
        <v>5.14</v>
      </c>
      <c r="BH1473" s="375"/>
      <c r="BI1473" s="376"/>
      <c r="BJ1473" s="409"/>
    </row>
    <row r="1474" spans="1:62" ht="15" customHeight="1" thickBot="1" x14ac:dyDescent="0.25">
      <c r="A1474" s="156">
        <v>1475</v>
      </c>
      <c r="B1474" s="247">
        <v>1</v>
      </c>
      <c r="C1474" s="148" t="s">
        <v>259</v>
      </c>
      <c r="D1474" s="148" t="s">
        <v>2236</v>
      </c>
      <c r="E1474" s="148"/>
      <c r="F1474" s="148" t="s">
        <v>378</v>
      </c>
      <c r="G1474" s="148"/>
      <c r="H1474" s="148" t="s">
        <v>1284</v>
      </c>
      <c r="I1474" s="161">
        <v>2009</v>
      </c>
      <c r="J1474" s="161" t="s">
        <v>3747</v>
      </c>
      <c r="K1474" s="161"/>
      <c r="L1474" s="161" t="s">
        <v>19</v>
      </c>
      <c r="M1474" s="453" t="s">
        <v>4369</v>
      </c>
      <c r="N1474" s="186" t="s">
        <v>122</v>
      </c>
      <c r="O1474" s="186" t="s">
        <v>292</v>
      </c>
      <c r="P1474" s="186" t="s">
        <v>292</v>
      </c>
      <c r="Q1474" s="186" t="s">
        <v>292</v>
      </c>
      <c r="R1474" s="186" t="s">
        <v>292</v>
      </c>
      <c r="S1474" s="186" t="s">
        <v>292</v>
      </c>
      <c r="T1474" s="186" t="s">
        <v>292</v>
      </c>
      <c r="U1474" s="186" t="s">
        <v>292</v>
      </c>
      <c r="V1474" s="186" t="s">
        <v>292</v>
      </c>
      <c r="W1474" s="186" t="s">
        <v>292</v>
      </c>
      <c r="X1474" s="186" t="s">
        <v>292</v>
      </c>
      <c r="Y1474" s="186" t="s">
        <v>292</v>
      </c>
      <c r="Z1474" s="186"/>
      <c r="AA1474" s="186"/>
      <c r="AB1474" s="186"/>
      <c r="AC1474" s="186"/>
      <c r="AD1474" s="268" t="s">
        <v>3748</v>
      </c>
      <c r="AE1474" s="268"/>
      <c r="AF1474" s="144" t="str">
        <f t="shared" si="131"/>
        <v/>
      </c>
      <c r="AG1474" s="144" t="str">
        <f t="shared" si="129"/>
        <v/>
      </c>
      <c r="AH1474" s="146">
        <f t="shared" ref="AH1474:AH1537" si="133">IF(BF1474&lt;&gt;0,BF1474,"")</f>
        <v>1.5</v>
      </c>
      <c r="AI1474" s="146" t="str">
        <f t="shared" ref="AI1474:AI1537" si="134">IF(AND(SUM(AW1474:AY1474)&lt;&gt;0,SUM(AW1474:AY1474)&lt;&gt;AW1474),SUM(AW1474:AY1474),"")</f>
        <v/>
      </c>
      <c r="AJ1474" s="309"/>
      <c r="AK1474" s="309"/>
      <c r="AL1474" s="309"/>
      <c r="AM1474" s="309"/>
      <c r="AN1474" s="309"/>
      <c r="AO1474" s="309"/>
      <c r="AP1474" s="309"/>
      <c r="AQ1474" s="309"/>
      <c r="AR1474" s="320"/>
      <c r="AS1474" s="227"/>
      <c r="AT1474" s="237"/>
      <c r="AU1474" s="320"/>
      <c r="AV1474" s="346"/>
      <c r="AW1474" s="357">
        <v>1.5</v>
      </c>
      <c r="AX1474" s="294"/>
      <c r="AY1474" s="294"/>
      <c r="AZ1474" s="294"/>
      <c r="BA1474" s="294"/>
      <c r="BB1474" s="294"/>
      <c r="BC1474" s="294"/>
      <c r="BD1474" s="294"/>
      <c r="BE1474" s="294"/>
      <c r="BF1474" s="383">
        <f t="shared" si="132"/>
        <v>1.5</v>
      </c>
      <c r="BG1474" s="383"/>
      <c r="BH1474" s="375"/>
      <c r="BI1474" s="376"/>
      <c r="BJ1474" s="409"/>
    </row>
    <row r="1475" spans="1:62" ht="15" customHeight="1" thickBot="1" x14ac:dyDescent="0.25">
      <c r="A1475" s="156">
        <v>1476</v>
      </c>
      <c r="B1475" s="247">
        <v>1</v>
      </c>
      <c r="C1475" s="148" t="s">
        <v>259</v>
      </c>
      <c r="D1475" s="148" t="s">
        <v>2236</v>
      </c>
      <c r="E1475" s="148"/>
      <c r="F1475" s="148" t="s">
        <v>3749</v>
      </c>
      <c r="G1475" s="148"/>
      <c r="H1475" s="148" t="s">
        <v>1284</v>
      </c>
      <c r="I1475" s="161">
        <v>2009</v>
      </c>
      <c r="J1475" s="161" t="s">
        <v>3747</v>
      </c>
      <c r="K1475" s="161"/>
      <c r="L1475" s="161" t="s">
        <v>19</v>
      </c>
      <c r="M1475" s="453" t="s">
        <v>4369</v>
      </c>
      <c r="N1475" s="186" t="s">
        <v>122</v>
      </c>
      <c r="O1475" s="186" t="s">
        <v>292</v>
      </c>
      <c r="P1475" s="186" t="s">
        <v>292</v>
      </c>
      <c r="Q1475" s="186" t="s">
        <v>292</v>
      </c>
      <c r="R1475" s="186" t="s">
        <v>292</v>
      </c>
      <c r="S1475" s="186" t="s">
        <v>292</v>
      </c>
      <c r="T1475" s="186" t="s">
        <v>292</v>
      </c>
      <c r="U1475" s="186" t="s">
        <v>292</v>
      </c>
      <c r="V1475" s="186" t="s">
        <v>292</v>
      </c>
      <c r="W1475" s="186" t="s">
        <v>292</v>
      </c>
      <c r="X1475" s="186" t="s">
        <v>292</v>
      </c>
      <c r="Y1475" s="186" t="s">
        <v>292</v>
      </c>
      <c r="Z1475" s="186"/>
      <c r="AA1475" s="186"/>
      <c r="AB1475" s="186"/>
      <c r="AC1475" s="186"/>
      <c r="AD1475" s="268" t="s">
        <v>3748</v>
      </c>
      <c r="AE1475" s="268"/>
      <c r="AF1475" s="144" t="str">
        <f t="shared" si="131"/>
        <v/>
      </c>
      <c r="AG1475" s="144" t="str">
        <f t="shared" si="129"/>
        <v/>
      </c>
      <c r="AH1475" s="146">
        <f t="shared" si="133"/>
        <v>1.33</v>
      </c>
      <c r="AI1475" s="146" t="str">
        <f t="shared" si="134"/>
        <v/>
      </c>
      <c r="AJ1475" s="309"/>
      <c r="AK1475" s="309"/>
      <c r="AL1475" s="309"/>
      <c r="AM1475" s="309"/>
      <c r="AN1475" s="309"/>
      <c r="AO1475" s="309"/>
      <c r="AP1475" s="309"/>
      <c r="AQ1475" s="309"/>
      <c r="AR1475" s="320"/>
      <c r="AS1475" s="237"/>
      <c r="AT1475" s="238"/>
      <c r="AU1475" s="320"/>
      <c r="AV1475" s="346"/>
      <c r="AW1475" s="357">
        <v>1.33</v>
      </c>
      <c r="AX1475" s="294"/>
      <c r="AY1475" s="294"/>
      <c r="AZ1475" s="294"/>
      <c r="BA1475" s="294"/>
      <c r="BB1475" s="294"/>
      <c r="BC1475" s="294"/>
      <c r="BD1475" s="294"/>
      <c r="BE1475" s="294"/>
      <c r="BF1475" s="383">
        <f t="shared" si="132"/>
        <v>1.33</v>
      </c>
      <c r="BG1475" s="383"/>
      <c r="BH1475" s="375"/>
      <c r="BI1475" s="376"/>
      <c r="BJ1475" s="409"/>
    </row>
    <row r="1476" spans="1:62" ht="15" customHeight="1" thickBot="1" x14ac:dyDescent="0.25">
      <c r="A1476" s="156">
        <v>1477</v>
      </c>
      <c r="B1476" s="247">
        <v>1</v>
      </c>
      <c r="C1476" s="148" t="s">
        <v>259</v>
      </c>
      <c r="D1476" s="148" t="s">
        <v>2236</v>
      </c>
      <c r="E1476" s="148"/>
      <c r="F1476" s="148" t="s">
        <v>379</v>
      </c>
      <c r="G1476" s="148"/>
      <c r="H1476" s="148" t="s">
        <v>1284</v>
      </c>
      <c r="I1476" s="161">
        <v>2009</v>
      </c>
      <c r="J1476" s="161" t="s">
        <v>3747</v>
      </c>
      <c r="K1476" s="161"/>
      <c r="L1476" s="161" t="s">
        <v>19</v>
      </c>
      <c r="M1476" s="453" t="s">
        <v>4369</v>
      </c>
      <c r="N1476" s="186" t="s">
        <v>122</v>
      </c>
      <c r="O1476" s="186" t="s">
        <v>292</v>
      </c>
      <c r="P1476" s="186" t="s">
        <v>292</v>
      </c>
      <c r="Q1476" s="186" t="s">
        <v>292</v>
      </c>
      <c r="R1476" s="186" t="s">
        <v>292</v>
      </c>
      <c r="S1476" s="186" t="s">
        <v>292</v>
      </c>
      <c r="T1476" s="186" t="s">
        <v>292</v>
      </c>
      <c r="U1476" s="186" t="s">
        <v>292</v>
      </c>
      <c r="V1476" s="186" t="s">
        <v>292</v>
      </c>
      <c r="W1476" s="186" t="s">
        <v>292</v>
      </c>
      <c r="X1476" s="186" t="s">
        <v>292</v>
      </c>
      <c r="Y1476" s="186" t="s">
        <v>292</v>
      </c>
      <c r="Z1476" s="186"/>
      <c r="AA1476" s="186"/>
      <c r="AB1476" s="186"/>
      <c r="AC1476" s="186"/>
      <c r="AD1476" s="268" t="s">
        <v>3748</v>
      </c>
      <c r="AE1476" s="268"/>
      <c r="AF1476" s="144" t="str">
        <f t="shared" si="131"/>
        <v/>
      </c>
      <c r="AG1476" s="144" t="str">
        <f t="shared" si="129"/>
        <v/>
      </c>
      <c r="AH1476" s="146">
        <f t="shared" si="133"/>
        <v>1.62</v>
      </c>
      <c r="AI1476" s="146" t="str">
        <f t="shared" si="134"/>
        <v/>
      </c>
      <c r="AJ1476" s="309"/>
      <c r="AK1476" s="309"/>
      <c r="AL1476" s="309"/>
      <c r="AM1476" s="309"/>
      <c r="AN1476" s="309"/>
      <c r="AO1476" s="309"/>
      <c r="AP1476" s="309"/>
      <c r="AQ1476" s="309"/>
      <c r="AR1476" s="320"/>
      <c r="AS1476" s="237"/>
      <c r="AT1476" s="238"/>
      <c r="AU1476" s="320"/>
      <c r="AV1476" s="346"/>
      <c r="AW1476" s="357">
        <v>1.62</v>
      </c>
      <c r="AX1476" s="294"/>
      <c r="AY1476" s="294"/>
      <c r="AZ1476" s="294"/>
      <c r="BA1476" s="294"/>
      <c r="BB1476" s="294"/>
      <c r="BC1476" s="294"/>
      <c r="BD1476" s="294"/>
      <c r="BE1476" s="294"/>
      <c r="BF1476" s="383">
        <f t="shared" si="132"/>
        <v>1.62</v>
      </c>
      <c r="BG1476" s="383"/>
      <c r="BH1476" s="375"/>
      <c r="BI1476" s="376"/>
      <c r="BJ1476" s="409"/>
    </row>
    <row r="1477" spans="1:62" ht="15" customHeight="1" thickBot="1" x14ac:dyDescent="0.25">
      <c r="A1477" s="156">
        <v>1478</v>
      </c>
      <c r="B1477" s="247">
        <v>1</v>
      </c>
      <c r="C1477" s="148" t="s">
        <v>162</v>
      </c>
      <c r="D1477" s="151" t="s">
        <v>2057</v>
      </c>
      <c r="E1477" s="148"/>
      <c r="F1477" s="148" t="s">
        <v>3750</v>
      </c>
      <c r="G1477" s="148"/>
      <c r="H1477" s="148" t="s">
        <v>108</v>
      </c>
      <c r="I1477" s="161">
        <v>2009</v>
      </c>
      <c r="J1477" s="161" t="s">
        <v>3751</v>
      </c>
      <c r="K1477" s="161"/>
      <c r="L1477" s="161" t="s">
        <v>19</v>
      </c>
      <c r="M1477" s="453" t="s">
        <v>4370</v>
      </c>
      <c r="N1477" s="186" t="s">
        <v>122</v>
      </c>
      <c r="O1477" s="186" t="s">
        <v>292</v>
      </c>
      <c r="P1477" s="186" t="s">
        <v>292</v>
      </c>
      <c r="Q1477" s="186" t="s">
        <v>122</v>
      </c>
      <c r="R1477" s="186" t="s">
        <v>292</v>
      </c>
      <c r="S1477" s="186" t="s">
        <v>122</v>
      </c>
      <c r="T1477" s="186" t="s">
        <v>292</v>
      </c>
      <c r="U1477" s="186" t="s">
        <v>292</v>
      </c>
      <c r="V1477" s="186" t="s">
        <v>292</v>
      </c>
      <c r="W1477" s="186" t="s">
        <v>292</v>
      </c>
      <c r="X1477" s="186" t="s">
        <v>292</v>
      </c>
      <c r="Y1477" s="186" t="s">
        <v>122</v>
      </c>
      <c r="Z1477" s="186"/>
      <c r="AA1477" s="186"/>
      <c r="AB1477" s="186"/>
      <c r="AC1477" s="186"/>
      <c r="AD1477" s="268" t="s">
        <v>3752</v>
      </c>
      <c r="AE1477" s="268"/>
      <c r="AF1477" s="144" t="str">
        <f t="shared" si="131"/>
        <v/>
      </c>
      <c r="AG1477" s="144" t="str">
        <f t="shared" si="129"/>
        <v/>
      </c>
      <c r="AH1477" s="146">
        <f t="shared" si="133"/>
        <v>0.23067000000000001</v>
      </c>
      <c r="AI1477" s="146">
        <f t="shared" si="134"/>
        <v>0.27423000000000003</v>
      </c>
      <c r="AJ1477" s="309"/>
      <c r="AK1477" s="309"/>
      <c r="AL1477" s="309"/>
      <c r="AM1477" s="309"/>
      <c r="AN1477" s="309"/>
      <c r="AO1477" s="309"/>
      <c r="AP1477" s="309"/>
      <c r="AQ1477" s="309"/>
      <c r="AR1477" s="320"/>
      <c r="AS1477" s="237"/>
      <c r="AT1477" s="238"/>
      <c r="AU1477" s="320"/>
      <c r="AV1477" s="346"/>
      <c r="AW1477" s="357">
        <f>BG1477-(AY1477+BA1477)</f>
        <v>0.23067000000000001</v>
      </c>
      <c r="AX1477" s="294"/>
      <c r="AY1477" s="294">
        <f>BG1477*0.132</f>
        <v>4.3560000000000001E-2</v>
      </c>
      <c r="AZ1477" s="294"/>
      <c r="BA1477" s="294">
        <f>BG1477*0.169</f>
        <v>5.5770000000000007E-2</v>
      </c>
      <c r="BB1477" s="294"/>
      <c r="BC1477" s="294"/>
      <c r="BD1477" s="294"/>
      <c r="BE1477" s="294"/>
      <c r="BF1477" s="383">
        <f t="shared" si="132"/>
        <v>0.23067000000000001</v>
      </c>
      <c r="BG1477" s="383">
        <v>0.33</v>
      </c>
      <c r="BH1477" s="375"/>
      <c r="BI1477" s="376"/>
      <c r="BJ1477" s="409"/>
    </row>
    <row r="1478" spans="1:62" ht="15" customHeight="1" thickBot="1" x14ac:dyDescent="0.25">
      <c r="A1478" s="156">
        <v>1479</v>
      </c>
      <c r="B1478" s="247">
        <v>1</v>
      </c>
      <c r="C1478" s="148" t="s">
        <v>162</v>
      </c>
      <c r="D1478" s="151" t="s">
        <v>2057</v>
      </c>
      <c r="E1478" s="148"/>
      <c r="F1478" s="148" t="s">
        <v>3753</v>
      </c>
      <c r="G1478" s="148"/>
      <c r="H1478" s="148" t="s">
        <v>73</v>
      </c>
      <c r="I1478" s="161">
        <v>2009</v>
      </c>
      <c r="J1478" s="161" t="s">
        <v>3751</v>
      </c>
      <c r="K1478" s="161"/>
      <c r="L1478" s="161" t="s">
        <v>19</v>
      </c>
      <c r="M1478" s="453" t="s">
        <v>4370</v>
      </c>
      <c r="N1478" s="186" t="s">
        <v>122</v>
      </c>
      <c r="O1478" s="186" t="s">
        <v>292</v>
      </c>
      <c r="P1478" s="186" t="s">
        <v>292</v>
      </c>
      <c r="Q1478" s="186" t="s">
        <v>122</v>
      </c>
      <c r="R1478" s="186" t="s">
        <v>292</v>
      </c>
      <c r="S1478" s="186" t="s">
        <v>122</v>
      </c>
      <c r="T1478" s="186" t="s">
        <v>292</v>
      </c>
      <c r="U1478" s="186" t="s">
        <v>292</v>
      </c>
      <c r="V1478" s="186" t="s">
        <v>292</v>
      </c>
      <c r="W1478" s="186" t="s">
        <v>292</v>
      </c>
      <c r="X1478" s="186" t="s">
        <v>292</v>
      </c>
      <c r="Y1478" s="186" t="s">
        <v>122</v>
      </c>
      <c r="Z1478" s="186"/>
      <c r="AA1478" s="186"/>
      <c r="AB1478" s="186"/>
      <c r="AC1478" s="186"/>
      <c r="AD1478" s="268" t="s">
        <v>3752</v>
      </c>
      <c r="AE1478" s="268"/>
      <c r="AF1478" s="144" t="str">
        <f t="shared" si="131"/>
        <v/>
      </c>
      <c r="AG1478" s="144" t="str">
        <f t="shared" si="129"/>
        <v/>
      </c>
      <c r="AH1478" s="146">
        <f t="shared" si="133"/>
        <v>0.21042</v>
      </c>
      <c r="AI1478" s="146">
        <f t="shared" si="134"/>
        <v>0.24149999999999999</v>
      </c>
      <c r="AJ1478" s="309"/>
      <c r="AK1478" s="309"/>
      <c r="AL1478" s="309"/>
      <c r="AM1478" s="309"/>
      <c r="AN1478" s="309"/>
      <c r="AO1478" s="309"/>
      <c r="AP1478" s="309"/>
      <c r="AQ1478" s="309"/>
      <c r="AR1478" s="320"/>
      <c r="AS1478" s="237"/>
      <c r="AT1478" s="238"/>
      <c r="AU1478" s="320"/>
      <c r="AV1478" s="346"/>
      <c r="AW1478" s="357">
        <f>BG1478-(AY1478+BA1478)</f>
        <v>0.21042</v>
      </c>
      <c r="AX1478" s="294"/>
      <c r="AY1478" s="294">
        <f>BG1478*0.074</f>
        <v>3.1079999999999997E-2</v>
      </c>
      <c r="AZ1478" s="294"/>
      <c r="BA1478" s="294">
        <f>BG1478*0.425</f>
        <v>0.17849999999999999</v>
      </c>
      <c r="BB1478" s="294"/>
      <c r="BC1478" s="294"/>
      <c r="BD1478" s="294"/>
      <c r="BE1478" s="294"/>
      <c r="BF1478" s="383">
        <f t="shared" si="132"/>
        <v>0.21042</v>
      </c>
      <c r="BG1478" s="383">
        <v>0.42</v>
      </c>
      <c r="BH1478" s="375"/>
      <c r="BI1478" s="376"/>
      <c r="BJ1478" s="409"/>
    </row>
    <row r="1479" spans="1:62" ht="15" customHeight="1" thickBot="1" x14ac:dyDescent="0.25">
      <c r="A1479" s="156">
        <v>1480</v>
      </c>
      <c r="B1479" s="247">
        <v>1</v>
      </c>
      <c r="C1479" s="148" t="s">
        <v>162</v>
      </c>
      <c r="D1479" s="151" t="s">
        <v>3754</v>
      </c>
      <c r="E1479" s="148"/>
      <c r="F1479" s="148" t="s">
        <v>3755</v>
      </c>
      <c r="G1479" s="148"/>
      <c r="H1479" s="148" t="s">
        <v>108</v>
      </c>
      <c r="I1479" s="161">
        <v>2009</v>
      </c>
      <c r="J1479" s="161" t="s">
        <v>3751</v>
      </c>
      <c r="K1479" s="161"/>
      <c r="L1479" s="161" t="s">
        <v>19</v>
      </c>
      <c r="M1479" s="453" t="s">
        <v>4370</v>
      </c>
      <c r="N1479" s="186" t="s">
        <v>122</v>
      </c>
      <c r="O1479" s="186" t="s">
        <v>292</v>
      </c>
      <c r="P1479" s="186" t="s">
        <v>292</v>
      </c>
      <c r="Q1479" s="186" t="s">
        <v>122</v>
      </c>
      <c r="R1479" s="186" t="s">
        <v>292</v>
      </c>
      <c r="S1479" s="186" t="s">
        <v>122</v>
      </c>
      <c r="T1479" s="186" t="s">
        <v>292</v>
      </c>
      <c r="U1479" s="186" t="s">
        <v>292</v>
      </c>
      <c r="V1479" s="186" t="s">
        <v>292</v>
      </c>
      <c r="W1479" s="186" t="s">
        <v>292</v>
      </c>
      <c r="X1479" s="186" t="s">
        <v>292</v>
      </c>
      <c r="Y1479" s="186" t="s">
        <v>122</v>
      </c>
      <c r="Z1479" s="186"/>
      <c r="AA1479" s="186"/>
      <c r="AB1479" s="186"/>
      <c r="AC1479" s="186"/>
      <c r="AD1479" s="268" t="s">
        <v>3752</v>
      </c>
      <c r="AE1479" s="268"/>
      <c r="AF1479" s="144" t="str">
        <f t="shared" si="131"/>
        <v/>
      </c>
      <c r="AG1479" s="144" t="str">
        <f t="shared" si="129"/>
        <v/>
      </c>
      <c r="AH1479" s="146">
        <f t="shared" si="133"/>
        <v>2.45756</v>
      </c>
      <c r="AI1479" s="146">
        <f t="shared" si="134"/>
        <v>2.5492599999999999</v>
      </c>
      <c r="AJ1479" s="309"/>
      <c r="AK1479" s="309"/>
      <c r="AL1479" s="309"/>
      <c r="AM1479" s="309"/>
      <c r="AN1479" s="309"/>
      <c r="AO1479" s="309"/>
      <c r="AP1479" s="309"/>
      <c r="AQ1479" s="309"/>
      <c r="AR1479" s="320"/>
      <c r="AS1479" s="237"/>
      <c r="AT1479" s="238"/>
      <c r="AU1479" s="320"/>
      <c r="AV1479" s="346"/>
      <c r="AW1479" s="357">
        <f>BG1479-(AY1479+BA1479)</f>
        <v>2.45756</v>
      </c>
      <c r="AX1479" s="294"/>
      <c r="AY1479" s="294">
        <f>BG1479*0.035</f>
        <v>9.1700000000000018E-2</v>
      </c>
      <c r="AZ1479" s="294"/>
      <c r="BA1479" s="294">
        <f>BG1479*0.027</f>
        <v>7.0739999999999997E-2</v>
      </c>
      <c r="BB1479" s="294"/>
      <c r="BC1479" s="294"/>
      <c r="BD1479" s="294"/>
      <c r="BE1479" s="294"/>
      <c r="BF1479" s="383">
        <f t="shared" si="132"/>
        <v>2.45756</v>
      </c>
      <c r="BG1479" s="383">
        <v>2.62</v>
      </c>
      <c r="BH1479" s="375"/>
      <c r="BI1479" s="376"/>
      <c r="BJ1479" s="409"/>
    </row>
    <row r="1480" spans="1:62" ht="15" customHeight="1" thickBot="1" x14ac:dyDescent="0.25">
      <c r="A1480" s="156">
        <v>1481</v>
      </c>
      <c r="B1480" s="247">
        <v>1</v>
      </c>
      <c r="C1480" s="148" t="s">
        <v>162</v>
      </c>
      <c r="D1480" s="151" t="s">
        <v>2057</v>
      </c>
      <c r="E1480" s="148"/>
      <c r="F1480" s="148" t="s">
        <v>3756</v>
      </c>
      <c r="G1480" s="148"/>
      <c r="H1480" s="148" t="s">
        <v>108</v>
      </c>
      <c r="I1480" s="161">
        <v>2009</v>
      </c>
      <c r="J1480" s="161" t="s">
        <v>3751</v>
      </c>
      <c r="K1480" s="161"/>
      <c r="L1480" s="161" t="s">
        <v>19</v>
      </c>
      <c r="M1480" s="453" t="s">
        <v>4370</v>
      </c>
      <c r="N1480" s="186" t="s">
        <v>122</v>
      </c>
      <c r="O1480" s="186" t="s">
        <v>292</v>
      </c>
      <c r="P1480" s="186" t="s">
        <v>292</v>
      </c>
      <c r="Q1480" s="186" t="s">
        <v>122</v>
      </c>
      <c r="R1480" s="186" t="s">
        <v>292</v>
      </c>
      <c r="S1480" s="186" t="s">
        <v>122</v>
      </c>
      <c r="T1480" s="186" t="s">
        <v>292</v>
      </c>
      <c r="U1480" s="186" t="s">
        <v>292</v>
      </c>
      <c r="V1480" s="186" t="s">
        <v>292</v>
      </c>
      <c r="W1480" s="186" t="s">
        <v>292</v>
      </c>
      <c r="X1480" s="186" t="s">
        <v>292</v>
      </c>
      <c r="Y1480" s="186" t="s">
        <v>122</v>
      </c>
      <c r="Z1480" s="186"/>
      <c r="AA1480" s="186"/>
      <c r="AB1480" s="186"/>
      <c r="AC1480" s="186"/>
      <c r="AD1480" s="268" t="s">
        <v>3752</v>
      </c>
      <c r="AE1480" s="268"/>
      <c r="AF1480" s="144" t="str">
        <f t="shared" si="131"/>
        <v/>
      </c>
      <c r="AG1480" s="144" t="str">
        <f t="shared" si="129"/>
        <v/>
      </c>
      <c r="AH1480" s="146">
        <f t="shared" si="133"/>
        <v>9.7200000000000009E-2</v>
      </c>
      <c r="AI1480" s="146">
        <f t="shared" si="134"/>
        <v>0.18359999999999999</v>
      </c>
      <c r="AJ1480" s="309"/>
      <c r="AK1480" s="309"/>
      <c r="AL1480" s="309"/>
      <c r="AM1480" s="309"/>
      <c r="AN1480" s="309"/>
      <c r="AO1480" s="309"/>
      <c r="AP1480" s="309"/>
      <c r="AQ1480" s="309"/>
      <c r="AR1480" s="320"/>
      <c r="AS1480" s="237"/>
      <c r="AT1480" s="238"/>
      <c r="AU1480" s="320"/>
      <c r="AV1480" s="346"/>
      <c r="AW1480" s="357">
        <f>BG1480-(AY1480+BA1480)</f>
        <v>9.7200000000000009E-2</v>
      </c>
      <c r="AX1480" s="294"/>
      <c r="AY1480" s="294">
        <f>BG1480*0.36</f>
        <v>8.6399999999999991E-2</v>
      </c>
      <c r="AZ1480" s="294"/>
      <c r="BA1480" s="294">
        <f>BG1480*0.235</f>
        <v>5.6399999999999992E-2</v>
      </c>
      <c r="BB1480" s="294"/>
      <c r="BC1480" s="294"/>
      <c r="BD1480" s="294"/>
      <c r="BE1480" s="294"/>
      <c r="BF1480" s="383">
        <f t="shared" si="132"/>
        <v>9.7200000000000009E-2</v>
      </c>
      <c r="BG1480" s="383">
        <v>0.24</v>
      </c>
      <c r="BH1480" s="375"/>
      <c r="BI1480" s="376"/>
      <c r="BJ1480" s="409"/>
    </row>
    <row r="1481" spans="1:62" ht="15" customHeight="1" thickBot="1" x14ac:dyDescent="0.25">
      <c r="A1481" s="156">
        <v>1482</v>
      </c>
      <c r="B1481" s="247">
        <v>1</v>
      </c>
      <c r="C1481" s="148" t="s">
        <v>259</v>
      </c>
      <c r="D1481" s="148" t="s">
        <v>3068</v>
      </c>
      <c r="E1481" s="148"/>
      <c r="F1481" s="148"/>
      <c r="G1481" s="148"/>
      <c r="H1481" s="148" t="s">
        <v>1436</v>
      </c>
      <c r="I1481" s="161">
        <v>2009</v>
      </c>
      <c r="J1481" s="161" t="s">
        <v>3757</v>
      </c>
      <c r="K1481" s="161"/>
      <c r="L1481" s="161" t="s">
        <v>19</v>
      </c>
      <c r="M1481" s="453" t="s">
        <v>4371</v>
      </c>
      <c r="N1481" s="186" t="s">
        <v>122</v>
      </c>
      <c r="O1481" s="186" t="s">
        <v>292</v>
      </c>
      <c r="P1481" s="186" t="s">
        <v>122</v>
      </c>
      <c r="Q1481" s="186" t="s">
        <v>122</v>
      </c>
      <c r="R1481" s="186" t="s">
        <v>292</v>
      </c>
      <c r="S1481" s="186" t="s">
        <v>292</v>
      </c>
      <c r="T1481" s="186" t="s">
        <v>292</v>
      </c>
      <c r="U1481" s="186" t="s">
        <v>292</v>
      </c>
      <c r="V1481" s="186" t="s">
        <v>292</v>
      </c>
      <c r="W1481" s="186" t="s">
        <v>292</v>
      </c>
      <c r="X1481" s="186" t="s">
        <v>292</v>
      </c>
      <c r="Y1481" s="186" t="s">
        <v>292</v>
      </c>
      <c r="Z1481" s="186"/>
      <c r="AA1481" s="186" t="s">
        <v>3758</v>
      </c>
      <c r="AB1481" s="186"/>
      <c r="AC1481" s="186"/>
      <c r="AD1481" s="268" t="s">
        <v>3759</v>
      </c>
      <c r="AE1481" s="268"/>
      <c r="AF1481" s="144">
        <f t="shared" si="131"/>
        <v>1.456</v>
      </c>
      <c r="AG1481" s="144">
        <f t="shared" si="129"/>
        <v>1.8596999999999999</v>
      </c>
      <c r="AH1481" s="146">
        <f t="shared" si="133"/>
        <v>2.4506189999999997</v>
      </c>
      <c r="AI1481" s="146">
        <f t="shared" si="134"/>
        <v>2.4929999999999999</v>
      </c>
      <c r="AJ1481" s="309">
        <v>1.456</v>
      </c>
      <c r="AK1481" s="309">
        <v>0.23769999999999999</v>
      </c>
      <c r="AL1481" s="309">
        <v>0.16600000000000001</v>
      </c>
      <c r="AM1481" s="309"/>
      <c r="AN1481" s="309"/>
      <c r="AO1481" s="309"/>
      <c r="AP1481" s="309"/>
      <c r="AQ1481" s="309"/>
      <c r="AR1481" s="320"/>
      <c r="AS1481" s="237">
        <f>AJ1481</f>
        <v>1.456</v>
      </c>
      <c r="AT1481" s="238">
        <f>SUM(AJ1481:AR1481)</f>
        <v>1.8596999999999999</v>
      </c>
      <c r="AU1481" s="320"/>
      <c r="AV1481" s="346"/>
      <c r="AW1481" s="357">
        <f>(0.95+0.02+0.013)*BG1481</f>
        <v>2.4506189999999997</v>
      </c>
      <c r="AX1481" s="294">
        <f>0.00703*BG1481</f>
        <v>1.7525789999999999E-2</v>
      </c>
      <c r="AY1481" s="294">
        <f>BG1481-AW1481-AX1481</f>
        <v>2.4855210000000225E-2</v>
      </c>
      <c r="AZ1481" s="294"/>
      <c r="BA1481" s="294"/>
      <c r="BB1481" s="294"/>
      <c r="BC1481" s="294"/>
      <c r="BD1481" s="294"/>
      <c r="BE1481" s="294"/>
      <c r="BF1481" s="383">
        <f t="shared" si="132"/>
        <v>2.4506189999999997</v>
      </c>
      <c r="BG1481" s="383">
        <v>2.4929999999999999</v>
      </c>
      <c r="BH1481" s="375"/>
      <c r="BI1481" s="376"/>
      <c r="BJ1481" s="409"/>
    </row>
    <row r="1482" spans="1:62" ht="15" customHeight="1" thickBot="1" x14ac:dyDescent="0.25">
      <c r="A1482" s="156">
        <v>1483</v>
      </c>
      <c r="B1482" s="247">
        <v>1</v>
      </c>
      <c r="C1482" s="148" t="s">
        <v>3589</v>
      </c>
      <c r="D1482" s="148" t="s">
        <v>12</v>
      </c>
      <c r="E1482" s="148"/>
      <c r="F1482" s="148" t="s">
        <v>3760</v>
      </c>
      <c r="G1482" s="148"/>
      <c r="H1482" s="148" t="s">
        <v>42</v>
      </c>
      <c r="I1482" s="161">
        <v>2009</v>
      </c>
      <c r="J1482" s="161" t="s">
        <v>3761</v>
      </c>
      <c r="K1482" s="161"/>
      <c r="L1482" s="161" t="s">
        <v>19</v>
      </c>
      <c r="M1482" s="453" t="s">
        <v>4372</v>
      </c>
      <c r="N1482" s="186" t="s">
        <v>122</v>
      </c>
      <c r="O1482" s="186" t="s">
        <v>292</v>
      </c>
      <c r="P1482" s="186" t="s">
        <v>292</v>
      </c>
      <c r="Q1482" s="186" t="s">
        <v>292</v>
      </c>
      <c r="R1482" s="186" t="s">
        <v>292</v>
      </c>
      <c r="S1482" s="186" t="s">
        <v>292</v>
      </c>
      <c r="T1482" s="186" t="s">
        <v>292</v>
      </c>
      <c r="U1482" s="186" t="s">
        <v>292</v>
      </c>
      <c r="V1482" s="186" t="s">
        <v>292</v>
      </c>
      <c r="W1482" s="186" t="s">
        <v>292</v>
      </c>
      <c r="X1482" s="186" t="s">
        <v>292</v>
      </c>
      <c r="Y1482" s="186" t="s">
        <v>292</v>
      </c>
      <c r="Z1482" s="186"/>
      <c r="AA1482" s="186"/>
      <c r="AB1482" s="186"/>
      <c r="AC1482" s="186"/>
      <c r="AD1482" s="268" t="s">
        <v>252</v>
      </c>
      <c r="AE1482" s="268"/>
      <c r="AF1482" s="144">
        <f t="shared" si="131"/>
        <v>5.3</v>
      </c>
      <c r="AG1482" s="144" t="str">
        <f t="shared" si="129"/>
        <v/>
      </c>
      <c r="AH1482" s="146">
        <f t="shared" si="133"/>
        <v>1.36</v>
      </c>
      <c r="AI1482" s="146" t="str">
        <f t="shared" si="134"/>
        <v/>
      </c>
      <c r="AJ1482" s="309">
        <v>5.3</v>
      </c>
      <c r="AK1482" s="309"/>
      <c r="AL1482" s="309"/>
      <c r="AM1482" s="309"/>
      <c r="AN1482" s="309"/>
      <c r="AO1482" s="309"/>
      <c r="AP1482" s="309"/>
      <c r="AQ1482" s="309"/>
      <c r="AR1482" s="320"/>
      <c r="AS1482" s="227">
        <f>AJ1482</f>
        <v>5.3</v>
      </c>
      <c r="AT1482" s="237"/>
      <c r="AU1482" s="320"/>
      <c r="AV1482" s="346"/>
      <c r="AW1482" s="357">
        <v>1.36</v>
      </c>
      <c r="AX1482" s="294"/>
      <c r="AY1482" s="294"/>
      <c r="AZ1482" s="294"/>
      <c r="BA1482" s="294"/>
      <c r="BB1482" s="294"/>
      <c r="BC1482" s="294"/>
      <c r="BD1482" s="294"/>
      <c r="BE1482" s="294"/>
      <c r="BF1482" s="383">
        <f t="shared" si="132"/>
        <v>1.36</v>
      </c>
      <c r="BG1482" s="383"/>
      <c r="BH1482" s="375" t="s">
        <v>3762</v>
      </c>
      <c r="BI1482" s="376"/>
      <c r="BJ1482" s="409"/>
    </row>
    <row r="1483" spans="1:62" ht="15" customHeight="1" thickBot="1" x14ac:dyDescent="0.25">
      <c r="A1483" s="156">
        <v>1484</v>
      </c>
      <c r="B1483" s="247">
        <v>1</v>
      </c>
      <c r="C1483" s="148" t="s">
        <v>24</v>
      </c>
      <c r="D1483" s="148" t="s">
        <v>2745</v>
      </c>
      <c r="E1483" s="148"/>
      <c r="F1483" s="148" t="s">
        <v>3763</v>
      </c>
      <c r="G1483" s="148"/>
      <c r="H1483" s="148" t="s">
        <v>108</v>
      </c>
      <c r="I1483" s="161">
        <v>2012</v>
      </c>
      <c r="J1483" s="161" t="s">
        <v>3764</v>
      </c>
      <c r="K1483" s="161"/>
      <c r="L1483" s="161" t="s">
        <v>19</v>
      </c>
      <c r="M1483" s="453" t="s">
        <v>4373</v>
      </c>
      <c r="N1483" s="186" t="s">
        <v>122</v>
      </c>
      <c r="O1483" s="186" t="s">
        <v>292</v>
      </c>
      <c r="P1483" s="186" t="s">
        <v>292</v>
      </c>
      <c r="Q1483" s="186" t="s">
        <v>122</v>
      </c>
      <c r="R1483" s="186" t="s">
        <v>292</v>
      </c>
      <c r="S1483" s="186" t="s">
        <v>122</v>
      </c>
      <c r="T1483" s="186" t="s">
        <v>292</v>
      </c>
      <c r="U1483" s="186" t="s">
        <v>292</v>
      </c>
      <c r="V1483" s="186" t="s">
        <v>292</v>
      </c>
      <c r="W1483" s="186" t="s">
        <v>292</v>
      </c>
      <c r="X1483" s="186" t="s">
        <v>292</v>
      </c>
      <c r="Y1483" s="186" t="s">
        <v>292</v>
      </c>
      <c r="Z1483" s="186"/>
      <c r="AA1483" s="186"/>
      <c r="AB1483" s="186"/>
      <c r="AC1483" s="186"/>
      <c r="AD1483" s="268" t="s">
        <v>3765</v>
      </c>
      <c r="AE1483" s="268"/>
      <c r="AF1483" s="144" t="str">
        <f t="shared" si="131"/>
        <v/>
      </c>
      <c r="AG1483" s="144" t="str">
        <f t="shared" si="129"/>
        <v/>
      </c>
      <c r="AH1483" s="146">
        <f t="shared" si="133"/>
        <v>33.57</v>
      </c>
      <c r="AI1483" s="146">
        <f t="shared" si="134"/>
        <v>33.770000000000003</v>
      </c>
      <c r="AJ1483" s="309"/>
      <c r="AK1483" s="309"/>
      <c r="AL1483" s="309"/>
      <c r="AM1483" s="309"/>
      <c r="AN1483" s="309"/>
      <c r="AO1483" s="309"/>
      <c r="AP1483" s="309"/>
      <c r="AQ1483" s="309"/>
      <c r="AR1483" s="320"/>
      <c r="AS1483" s="227"/>
      <c r="AT1483" s="238"/>
      <c r="AU1483" s="320"/>
      <c r="AV1483" s="346"/>
      <c r="AW1483" s="357">
        <f>18.73+3.55+1.97+9.19+0.13</f>
        <v>33.57</v>
      </c>
      <c r="AX1483" s="294"/>
      <c r="AY1483" s="294">
        <v>0.2</v>
      </c>
      <c r="AZ1483" s="294"/>
      <c r="BA1483" s="294">
        <v>8.3699999999999997E-2</v>
      </c>
      <c r="BB1483" s="294"/>
      <c r="BC1483" s="294"/>
      <c r="BD1483" s="294"/>
      <c r="BE1483" s="294"/>
      <c r="BF1483" s="383">
        <f t="shared" si="132"/>
        <v>33.57</v>
      </c>
      <c r="BG1483" s="383">
        <f>SUM(AW1483:BE1483)</f>
        <v>33.853700000000003</v>
      </c>
      <c r="BH1483" s="375"/>
      <c r="BI1483" s="376"/>
      <c r="BJ1483" s="409"/>
    </row>
    <row r="1484" spans="1:62" ht="15" customHeight="1" thickBot="1" x14ac:dyDescent="0.25">
      <c r="A1484" s="156">
        <v>1485</v>
      </c>
      <c r="B1484" s="247">
        <v>1</v>
      </c>
      <c r="C1484" s="148" t="s">
        <v>24</v>
      </c>
      <c r="D1484" s="148" t="s">
        <v>2745</v>
      </c>
      <c r="E1484" s="148"/>
      <c r="F1484" s="148" t="s">
        <v>3766</v>
      </c>
      <c r="G1484" s="148"/>
      <c r="H1484" s="148" t="s">
        <v>108</v>
      </c>
      <c r="I1484" s="161">
        <v>2012</v>
      </c>
      <c r="J1484" s="161" t="s">
        <v>3764</v>
      </c>
      <c r="K1484" s="161"/>
      <c r="L1484" s="161" t="s">
        <v>19</v>
      </c>
      <c r="M1484" s="453" t="s">
        <v>4373</v>
      </c>
      <c r="N1484" s="186" t="s">
        <v>122</v>
      </c>
      <c r="O1484" s="186" t="s">
        <v>292</v>
      </c>
      <c r="P1484" s="186" t="s">
        <v>292</v>
      </c>
      <c r="Q1484" s="186" t="s">
        <v>122</v>
      </c>
      <c r="R1484" s="186" t="s">
        <v>292</v>
      </c>
      <c r="S1484" s="186" t="s">
        <v>122</v>
      </c>
      <c r="T1484" s="186" t="s">
        <v>292</v>
      </c>
      <c r="U1484" s="186" t="s">
        <v>292</v>
      </c>
      <c r="V1484" s="186" t="s">
        <v>292</v>
      </c>
      <c r="W1484" s="186" t="s">
        <v>292</v>
      </c>
      <c r="X1484" s="186" t="s">
        <v>292</v>
      </c>
      <c r="Y1484" s="186" t="s">
        <v>292</v>
      </c>
      <c r="Z1484" s="186"/>
      <c r="AA1484" s="186"/>
      <c r="AB1484" s="186"/>
      <c r="AC1484" s="186"/>
      <c r="AD1484" s="268" t="s">
        <v>3765</v>
      </c>
      <c r="AE1484" s="268"/>
      <c r="AF1484" s="144" t="str">
        <f t="shared" si="131"/>
        <v/>
      </c>
      <c r="AG1484" s="144" t="str">
        <f t="shared" si="129"/>
        <v/>
      </c>
      <c r="AH1484" s="146">
        <f t="shared" si="133"/>
        <v>33.710000000000008</v>
      </c>
      <c r="AI1484" s="146">
        <f t="shared" si="134"/>
        <v>33.910000000000011</v>
      </c>
      <c r="AJ1484" s="309"/>
      <c r="AK1484" s="309"/>
      <c r="AL1484" s="309"/>
      <c r="AM1484" s="309"/>
      <c r="AN1484" s="309"/>
      <c r="AO1484" s="309"/>
      <c r="AP1484" s="309"/>
      <c r="AQ1484" s="309"/>
      <c r="AR1484" s="320"/>
      <c r="AS1484" s="237"/>
      <c r="AT1484" s="238"/>
      <c r="AU1484" s="320"/>
      <c r="AV1484" s="346"/>
      <c r="AW1484" s="357">
        <f>20.34+4.08+2.14+6.73+0.42</f>
        <v>33.710000000000008</v>
      </c>
      <c r="AX1484" s="294"/>
      <c r="AY1484" s="294">
        <v>0.2</v>
      </c>
      <c r="AZ1484" s="294"/>
      <c r="BA1484" s="294">
        <v>7.9500000000000001E-2</v>
      </c>
      <c r="BB1484" s="294"/>
      <c r="BC1484" s="294"/>
      <c r="BD1484" s="294"/>
      <c r="BE1484" s="294"/>
      <c r="BF1484" s="383">
        <f t="shared" si="132"/>
        <v>33.710000000000008</v>
      </c>
      <c r="BG1484" s="383">
        <f>SUM(AW1484:BE1484)</f>
        <v>33.989500000000014</v>
      </c>
      <c r="BH1484" s="375"/>
      <c r="BI1484" s="376"/>
      <c r="BJ1484" s="409"/>
    </row>
    <row r="1485" spans="1:62" ht="15" customHeight="1" thickBot="1" x14ac:dyDescent="0.25">
      <c r="A1485" s="156">
        <v>1486</v>
      </c>
      <c r="B1485" s="247">
        <v>1</v>
      </c>
      <c r="C1485" s="148" t="s">
        <v>24</v>
      </c>
      <c r="D1485" s="148" t="s">
        <v>2745</v>
      </c>
      <c r="E1485" s="148"/>
      <c r="F1485" s="148" t="s">
        <v>3767</v>
      </c>
      <c r="G1485" s="148"/>
      <c r="H1485" s="148" t="s">
        <v>375</v>
      </c>
      <c r="I1485" s="161">
        <v>2012</v>
      </c>
      <c r="J1485" s="161" t="s">
        <v>3764</v>
      </c>
      <c r="K1485" s="161"/>
      <c r="L1485" s="161" t="s">
        <v>19</v>
      </c>
      <c r="M1485" s="453" t="s">
        <v>4373</v>
      </c>
      <c r="N1485" s="186" t="s">
        <v>122</v>
      </c>
      <c r="O1485" s="186" t="s">
        <v>292</v>
      </c>
      <c r="P1485" s="186" t="s">
        <v>292</v>
      </c>
      <c r="Q1485" s="186" t="s">
        <v>122</v>
      </c>
      <c r="R1485" s="186" t="s">
        <v>292</v>
      </c>
      <c r="S1485" s="186" t="s">
        <v>122</v>
      </c>
      <c r="T1485" s="186" t="s">
        <v>292</v>
      </c>
      <c r="U1485" s="186" t="s">
        <v>292</v>
      </c>
      <c r="V1485" s="186" t="s">
        <v>292</v>
      </c>
      <c r="W1485" s="186" t="s">
        <v>292</v>
      </c>
      <c r="X1485" s="186" t="s">
        <v>292</v>
      </c>
      <c r="Y1485" s="186" t="s">
        <v>292</v>
      </c>
      <c r="Z1485" s="186"/>
      <c r="AA1485" s="186"/>
      <c r="AB1485" s="186"/>
      <c r="AC1485" s="186"/>
      <c r="AD1485" s="268" t="s">
        <v>3765</v>
      </c>
      <c r="AE1485" s="268"/>
      <c r="AF1485" s="144" t="str">
        <f t="shared" si="131"/>
        <v/>
      </c>
      <c r="AG1485" s="144" t="str">
        <f t="shared" si="129"/>
        <v/>
      </c>
      <c r="AH1485" s="146">
        <f t="shared" si="133"/>
        <v>44.75</v>
      </c>
      <c r="AI1485" s="146">
        <f t="shared" si="134"/>
        <v>44.95</v>
      </c>
      <c r="AJ1485" s="309"/>
      <c r="AK1485" s="309"/>
      <c r="AL1485" s="309"/>
      <c r="AM1485" s="309"/>
      <c r="AN1485" s="309"/>
      <c r="AO1485" s="309"/>
      <c r="AP1485" s="309"/>
      <c r="AQ1485" s="309"/>
      <c r="AR1485" s="320"/>
      <c r="AS1485" s="237"/>
      <c r="AT1485" s="238"/>
      <c r="AU1485" s="320"/>
      <c r="AV1485" s="346"/>
      <c r="AW1485" s="357">
        <f>35.72+6.98+0.62+1.23+0.2</f>
        <v>44.75</v>
      </c>
      <c r="AX1485" s="294"/>
      <c r="AY1485" s="294">
        <v>0.2</v>
      </c>
      <c r="AZ1485" s="294"/>
      <c r="BA1485" s="294">
        <v>0.1179</v>
      </c>
      <c r="BB1485" s="294"/>
      <c r="BC1485" s="294"/>
      <c r="BD1485" s="294"/>
      <c r="BE1485" s="294"/>
      <c r="BF1485" s="383">
        <f t="shared" si="132"/>
        <v>44.75</v>
      </c>
      <c r="BG1485" s="383">
        <f>SUM(AW1485:BE1485)</f>
        <v>45.067900000000002</v>
      </c>
      <c r="BH1485" s="375"/>
      <c r="BI1485" s="376"/>
      <c r="BJ1485" s="409"/>
    </row>
    <row r="1486" spans="1:62" ht="15" customHeight="1" thickBot="1" x14ac:dyDescent="0.25">
      <c r="A1486" s="156">
        <v>1487</v>
      </c>
      <c r="B1486" s="247">
        <v>1</v>
      </c>
      <c r="C1486" s="148" t="s">
        <v>3589</v>
      </c>
      <c r="D1486" s="148" t="s">
        <v>12</v>
      </c>
      <c r="E1486" s="148"/>
      <c r="F1486" s="148" t="s">
        <v>379</v>
      </c>
      <c r="G1486" s="148"/>
      <c r="H1486" s="148" t="s">
        <v>165</v>
      </c>
      <c r="I1486" s="161">
        <v>2009</v>
      </c>
      <c r="J1486" s="161" t="s">
        <v>3768</v>
      </c>
      <c r="K1486" s="161"/>
      <c r="L1486" s="161" t="s">
        <v>19</v>
      </c>
      <c r="M1486" s="453" t="s">
        <v>4374</v>
      </c>
      <c r="N1486" s="186" t="s">
        <v>122</v>
      </c>
      <c r="O1486" s="186" t="s">
        <v>292</v>
      </c>
      <c r="P1486" s="186" t="s">
        <v>292</v>
      </c>
      <c r="Q1486" s="186" t="s">
        <v>292</v>
      </c>
      <c r="R1486" s="186" t="s">
        <v>292</v>
      </c>
      <c r="S1486" s="186" t="s">
        <v>292</v>
      </c>
      <c r="T1486" s="186" t="s">
        <v>292</v>
      </c>
      <c r="U1486" s="186" t="s">
        <v>292</v>
      </c>
      <c r="V1486" s="186" t="s">
        <v>292</v>
      </c>
      <c r="W1486" s="186" t="s">
        <v>292</v>
      </c>
      <c r="X1486" s="186" t="s">
        <v>292</v>
      </c>
      <c r="Y1486" s="186" t="s">
        <v>292</v>
      </c>
      <c r="Z1486" s="186"/>
      <c r="AA1486" s="186" t="s">
        <v>3106</v>
      </c>
      <c r="AB1486" s="186"/>
      <c r="AC1486" s="186"/>
      <c r="AD1486" s="268" t="s">
        <v>3769</v>
      </c>
      <c r="AE1486" s="268" t="s">
        <v>485</v>
      </c>
      <c r="AF1486" s="144">
        <f t="shared" si="131"/>
        <v>2.6</v>
      </c>
      <c r="AG1486" s="144" t="str">
        <f t="shared" si="129"/>
        <v/>
      </c>
      <c r="AH1486" s="146">
        <f t="shared" si="133"/>
        <v>1.0820000000000001</v>
      </c>
      <c r="AI1486" s="146" t="str">
        <f t="shared" si="134"/>
        <v/>
      </c>
      <c r="AJ1486" s="309">
        <v>2.6</v>
      </c>
      <c r="AK1486" s="309"/>
      <c r="AL1486" s="309"/>
      <c r="AM1486" s="309"/>
      <c r="AN1486" s="309"/>
      <c r="AO1486" s="309"/>
      <c r="AP1486" s="309"/>
      <c r="AQ1486" s="309"/>
      <c r="AR1486" s="320"/>
      <c r="AS1486" s="237">
        <f>AJ1486</f>
        <v>2.6</v>
      </c>
      <c r="AT1486" s="238"/>
      <c r="AU1486" s="320"/>
      <c r="AV1486" s="346" t="s">
        <v>3770</v>
      </c>
      <c r="AW1486" s="357">
        <v>1.0820000000000001</v>
      </c>
      <c r="AX1486" s="294"/>
      <c r="AY1486" s="294"/>
      <c r="AZ1486" s="294"/>
      <c r="BA1486" s="294"/>
      <c r="BB1486" s="294"/>
      <c r="BC1486" s="294"/>
      <c r="BD1486" s="294"/>
      <c r="BE1486" s="294"/>
      <c r="BF1486" s="383">
        <f t="shared" si="132"/>
        <v>1.0820000000000001</v>
      </c>
      <c r="BG1486" s="383"/>
      <c r="BH1486" s="375" t="s">
        <v>3771</v>
      </c>
      <c r="BI1486" s="376"/>
      <c r="BJ1486" s="409"/>
    </row>
    <row r="1487" spans="1:62" ht="15" customHeight="1" thickBot="1" x14ac:dyDescent="0.25">
      <c r="A1487" s="156">
        <v>1488</v>
      </c>
      <c r="B1487" s="247">
        <v>1</v>
      </c>
      <c r="C1487" s="148" t="s">
        <v>3589</v>
      </c>
      <c r="D1487" s="148" t="s">
        <v>12</v>
      </c>
      <c r="E1487" s="148"/>
      <c r="F1487" s="148" t="s">
        <v>378</v>
      </c>
      <c r="G1487" s="148"/>
      <c r="H1487" s="148" t="s">
        <v>165</v>
      </c>
      <c r="I1487" s="161">
        <v>2009</v>
      </c>
      <c r="J1487" s="161" t="s">
        <v>3768</v>
      </c>
      <c r="K1487" s="161"/>
      <c r="L1487" s="161" t="s">
        <v>19</v>
      </c>
      <c r="M1487" s="453" t="s">
        <v>4374</v>
      </c>
      <c r="N1487" s="186" t="s">
        <v>122</v>
      </c>
      <c r="O1487" s="186" t="s">
        <v>292</v>
      </c>
      <c r="P1487" s="186" t="s">
        <v>292</v>
      </c>
      <c r="Q1487" s="186" t="s">
        <v>292</v>
      </c>
      <c r="R1487" s="186" t="s">
        <v>292</v>
      </c>
      <c r="S1487" s="186" t="s">
        <v>292</v>
      </c>
      <c r="T1487" s="186" t="s">
        <v>292</v>
      </c>
      <c r="U1487" s="186" t="s">
        <v>292</v>
      </c>
      <c r="V1487" s="186" t="s">
        <v>292</v>
      </c>
      <c r="W1487" s="186" t="s">
        <v>292</v>
      </c>
      <c r="X1487" s="186" t="s">
        <v>292</v>
      </c>
      <c r="Y1487" s="186" t="s">
        <v>292</v>
      </c>
      <c r="Z1487" s="186"/>
      <c r="AA1487" s="186" t="s">
        <v>3106</v>
      </c>
      <c r="AB1487" s="186"/>
      <c r="AC1487" s="186"/>
      <c r="AD1487" s="268" t="s">
        <v>3769</v>
      </c>
      <c r="AE1487" s="268" t="s">
        <v>485</v>
      </c>
      <c r="AF1487" s="144">
        <f t="shared" si="131"/>
        <v>2.8</v>
      </c>
      <c r="AG1487" s="144" t="str">
        <f t="shared" si="129"/>
        <v/>
      </c>
      <c r="AH1487" s="146">
        <f t="shared" si="133"/>
        <v>1.0369999999999999</v>
      </c>
      <c r="AI1487" s="146" t="str">
        <f t="shared" si="134"/>
        <v/>
      </c>
      <c r="AJ1487" s="309">
        <v>2.8</v>
      </c>
      <c r="AK1487" s="309"/>
      <c r="AL1487" s="309"/>
      <c r="AM1487" s="309"/>
      <c r="AN1487" s="309"/>
      <c r="AO1487" s="309"/>
      <c r="AP1487" s="309"/>
      <c r="AQ1487" s="309"/>
      <c r="AR1487" s="320"/>
      <c r="AS1487" s="227">
        <f>AJ1487</f>
        <v>2.8</v>
      </c>
      <c r="AT1487" s="238"/>
      <c r="AU1487" s="320"/>
      <c r="AV1487" s="346" t="s">
        <v>3772</v>
      </c>
      <c r="AW1487" s="357">
        <v>1.0369999999999999</v>
      </c>
      <c r="AX1487" s="294"/>
      <c r="AY1487" s="294"/>
      <c r="AZ1487" s="294"/>
      <c r="BA1487" s="294"/>
      <c r="BB1487" s="294"/>
      <c r="BC1487" s="294"/>
      <c r="BD1487" s="294"/>
      <c r="BE1487" s="294"/>
      <c r="BF1487" s="383">
        <f t="shared" si="132"/>
        <v>1.0369999999999999</v>
      </c>
      <c r="BG1487" s="383"/>
      <c r="BH1487" s="375" t="s">
        <v>3773</v>
      </c>
      <c r="BI1487" s="376"/>
      <c r="BJ1487" s="409"/>
    </row>
    <row r="1488" spans="1:62" ht="15" customHeight="1" thickBot="1" x14ac:dyDescent="0.25">
      <c r="A1488" s="156">
        <v>1489</v>
      </c>
      <c r="B1488" s="247">
        <v>1</v>
      </c>
      <c r="C1488" s="148" t="s">
        <v>975</v>
      </c>
      <c r="D1488" s="148" t="s">
        <v>1984</v>
      </c>
      <c r="E1488" s="148"/>
      <c r="F1488" s="148" t="s">
        <v>3774</v>
      </c>
      <c r="G1488" s="148"/>
      <c r="H1488" s="148" t="s">
        <v>1064</v>
      </c>
      <c r="I1488" s="161">
        <v>2009</v>
      </c>
      <c r="J1488" s="161" t="s">
        <v>3775</v>
      </c>
      <c r="K1488" s="161"/>
      <c r="L1488" s="161" t="s">
        <v>83</v>
      </c>
      <c r="M1488" s="453" t="s">
        <v>4375</v>
      </c>
      <c r="N1488" s="186" t="s">
        <v>122</v>
      </c>
      <c r="O1488" s="186" t="s">
        <v>292</v>
      </c>
      <c r="P1488" s="186" t="s">
        <v>292</v>
      </c>
      <c r="Q1488" s="186" t="s">
        <v>122</v>
      </c>
      <c r="R1488" s="186" t="s">
        <v>122</v>
      </c>
      <c r="S1488" s="186" t="s">
        <v>122</v>
      </c>
      <c r="T1488" s="186" t="s">
        <v>292</v>
      </c>
      <c r="U1488" s="186" t="s">
        <v>292</v>
      </c>
      <c r="V1488" s="186" t="s">
        <v>292</v>
      </c>
      <c r="W1488" s="186" t="s">
        <v>292</v>
      </c>
      <c r="X1488" s="186" t="s">
        <v>292</v>
      </c>
      <c r="Y1488" s="186" t="s">
        <v>292</v>
      </c>
      <c r="Z1488" s="186"/>
      <c r="AA1488" s="186"/>
      <c r="AB1488" s="186"/>
      <c r="AC1488" s="186"/>
      <c r="AD1488" s="268" t="s">
        <v>3776</v>
      </c>
      <c r="AE1488" s="268"/>
      <c r="AF1488" s="144" t="str">
        <f t="shared" si="131"/>
        <v/>
      </c>
      <c r="AG1488" s="144" t="str">
        <f t="shared" si="129"/>
        <v/>
      </c>
      <c r="AH1488" s="146">
        <f t="shared" si="133"/>
        <v>2.8600000000000003</v>
      </c>
      <c r="AI1488" s="146">
        <f t="shared" si="134"/>
        <v>2.89</v>
      </c>
      <c r="AJ1488" s="309"/>
      <c r="AK1488" s="309"/>
      <c r="AL1488" s="309"/>
      <c r="AM1488" s="309"/>
      <c r="AN1488" s="309"/>
      <c r="AO1488" s="309"/>
      <c r="AP1488" s="309"/>
      <c r="AQ1488" s="309"/>
      <c r="AR1488" s="320"/>
      <c r="AS1488" s="227"/>
      <c r="AT1488" s="238">
        <v>55.4</v>
      </c>
      <c r="AU1488" s="320"/>
      <c r="AV1488" s="346"/>
      <c r="AW1488" s="357">
        <f>2.72+0.14</f>
        <v>2.8600000000000003</v>
      </c>
      <c r="AX1488" s="294"/>
      <c r="AY1488" s="294">
        <v>0.03</v>
      </c>
      <c r="AZ1488" s="294">
        <v>0.2</v>
      </c>
      <c r="BA1488" s="294">
        <v>0.51</v>
      </c>
      <c r="BB1488" s="294"/>
      <c r="BC1488" s="294"/>
      <c r="BD1488" s="294"/>
      <c r="BE1488" s="294"/>
      <c r="BF1488" s="383">
        <f t="shared" ref="BF1488:BF1519" si="135">AW1488</f>
        <v>2.8600000000000003</v>
      </c>
      <c r="BG1488" s="383">
        <f t="shared" ref="BG1488:BG1509" si="136">SUM(AW1488:BE1488)</f>
        <v>3.6000000000000005</v>
      </c>
      <c r="BH1488" s="375"/>
      <c r="BI1488" s="376"/>
      <c r="BJ1488" s="409"/>
    </row>
    <row r="1489" spans="1:62" ht="15" customHeight="1" thickBot="1" x14ac:dyDescent="0.25">
      <c r="A1489" s="156">
        <v>1490</v>
      </c>
      <c r="B1489" s="247">
        <v>1</v>
      </c>
      <c r="C1489" s="148" t="s">
        <v>975</v>
      </c>
      <c r="D1489" s="148" t="s">
        <v>1984</v>
      </c>
      <c r="E1489" s="148"/>
      <c r="F1489" s="148" t="s">
        <v>3777</v>
      </c>
      <c r="G1489" s="148"/>
      <c r="H1489" s="148" t="s">
        <v>1064</v>
      </c>
      <c r="I1489" s="161">
        <v>2009</v>
      </c>
      <c r="J1489" s="161" t="s">
        <v>3775</v>
      </c>
      <c r="K1489" s="161"/>
      <c r="L1489" s="161" t="s">
        <v>83</v>
      </c>
      <c r="M1489" s="453" t="s">
        <v>4375</v>
      </c>
      <c r="N1489" s="186" t="s">
        <v>122</v>
      </c>
      <c r="O1489" s="186" t="s">
        <v>292</v>
      </c>
      <c r="P1489" s="186" t="s">
        <v>292</v>
      </c>
      <c r="Q1489" s="186" t="s">
        <v>122</v>
      </c>
      <c r="R1489" s="186" t="s">
        <v>122</v>
      </c>
      <c r="S1489" s="186" t="s">
        <v>122</v>
      </c>
      <c r="T1489" s="186" t="s">
        <v>292</v>
      </c>
      <c r="U1489" s="186" t="s">
        <v>292</v>
      </c>
      <c r="V1489" s="186" t="s">
        <v>292</v>
      </c>
      <c r="W1489" s="186" t="s">
        <v>292</v>
      </c>
      <c r="X1489" s="186" t="s">
        <v>292</v>
      </c>
      <c r="Y1489" s="186" t="s">
        <v>292</v>
      </c>
      <c r="Z1489" s="186"/>
      <c r="AA1489" s="186"/>
      <c r="AB1489" s="186"/>
      <c r="AC1489" s="186"/>
      <c r="AD1489" s="268" t="s">
        <v>3776</v>
      </c>
      <c r="AE1489" s="268"/>
      <c r="AF1489" s="144" t="str">
        <f t="shared" si="131"/>
        <v/>
      </c>
      <c r="AG1489" s="144" t="str">
        <f t="shared" si="129"/>
        <v/>
      </c>
      <c r="AH1489" s="146">
        <f t="shared" si="133"/>
        <v>2.8600000000000003</v>
      </c>
      <c r="AI1489" s="146">
        <f t="shared" si="134"/>
        <v>2.89</v>
      </c>
      <c r="AJ1489" s="309"/>
      <c r="AK1489" s="309"/>
      <c r="AL1489" s="309"/>
      <c r="AM1489" s="309"/>
      <c r="AN1489" s="309"/>
      <c r="AO1489" s="309"/>
      <c r="AP1489" s="309"/>
      <c r="AQ1489" s="309"/>
      <c r="AR1489" s="320"/>
      <c r="AS1489" s="237"/>
      <c r="AT1489" s="238">
        <v>49.9</v>
      </c>
      <c r="AU1489" s="320"/>
      <c r="AV1489" s="346"/>
      <c r="AW1489" s="357">
        <f>2.72+0.14</f>
        <v>2.8600000000000003</v>
      </c>
      <c r="AX1489" s="294"/>
      <c r="AY1489" s="294">
        <v>0.03</v>
      </c>
      <c r="AZ1489" s="294">
        <v>0.2</v>
      </c>
      <c r="BA1489" s="294">
        <v>0.2</v>
      </c>
      <c r="BB1489" s="294"/>
      <c r="BC1489" s="294"/>
      <c r="BD1489" s="294"/>
      <c r="BE1489" s="294"/>
      <c r="BF1489" s="383">
        <f t="shared" si="135"/>
        <v>2.8600000000000003</v>
      </c>
      <c r="BG1489" s="383">
        <f t="shared" si="136"/>
        <v>3.2900000000000005</v>
      </c>
      <c r="BH1489" s="375"/>
      <c r="BI1489" s="376"/>
      <c r="BJ1489" s="409"/>
    </row>
    <row r="1490" spans="1:62" ht="15" customHeight="1" thickBot="1" x14ac:dyDescent="0.25">
      <c r="A1490" s="156">
        <v>1491</v>
      </c>
      <c r="B1490" s="247">
        <v>1</v>
      </c>
      <c r="C1490" s="148" t="s">
        <v>975</v>
      </c>
      <c r="D1490" s="148" t="s">
        <v>1984</v>
      </c>
      <c r="E1490" s="148"/>
      <c r="F1490" s="148" t="s">
        <v>3778</v>
      </c>
      <c r="G1490" s="148"/>
      <c r="H1490" s="148" t="s">
        <v>1064</v>
      </c>
      <c r="I1490" s="161">
        <v>2009</v>
      </c>
      <c r="J1490" s="161" t="s">
        <v>3775</v>
      </c>
      <c r="K1490" s="161"/>
      <c r="L1490" s="161" t="s">
        <v>83</v>
      </c>
      <c r="M1490" s="453" t="s">
        <v>4375</v>
      </c>
      <c r="N1490" s="186" t="s">
        <v>122</v>
      </c>
      <c r="O1490" s="186" t="s">
        <v>292</v>
      </c>
      <c r="P1490" s="186" t="s">
        <v>292</v>
      </c>
      <c r="Q1490" s="186" t="s">
        <v>122</v>
      </c>
      <c r="R1490" s="186" t="s">
        <v>122</v>
      </c>
      <c r="S1490" s="186" t="s">
        <v>122</v>
      </c>
      <c r="T1490" s="186" t="s">
        <v>292</v>
      </c>
      <c r="U1490" s="186" t="s">
        <v>292</v>
      </c>
      <c r="V1490" s="186" t="s">
        <v>292</v>
      </c>
      <c r="W1490" s="186" t="s">
        <v>292</v>
      </c>
      <c r="X1490" s="186" t="s">
        <v>292</v>
      </c>
      <c r="Y1490" s="186" t="s">
        <v>292</v>
      </c>
      <c r="Z1490" s="186"/>
      <c r="AA1490" s="186"/>
      <c r="AB1490" s="186"/>
      <c r="AC1490" s="186"/>
      <c r="AD1490" s="268" t="s">
        <v>3776</v>
      </c>
      <c r="AE1490" s="268"/>
      <c r="AF1490" s="144" t="str">
        <f t="shared" si="131"/>
        <v/>
      </c>
      <c r="AG1490" s="144" t="str">
        <f t="shared" si="129"/>
        <v/>
      </c>
      <c r="AH1490" s="146">
        <f t="shared" si="133"/>
        <v>2.8600000000000003</v>
      </c>
      <c r="AI1490" s="146">
        <f t="shared" si="134"/>
        <v>2.89</v>
      </c>
      <c r="AJ1490" s="309"/>
      <c r="AK1490" s="309"/>
      <c r="AL1490" s="309"/>
      <c r="AM1490" s="309"/>
      <c r="AN1490" s="309"/>
      <c r="AO1490" s="309"/>
      <c r="AP1490" s="309"/>
      <c r="AQ1490" s="309"/>
      <c r="AR1490" s="320"/>
      <c r="AS1490" s="237"/>
      <c r="AT1490" s="238">
        <v>62.3</v>
      </c>
      <c r="AU1490" s="320"/>
      <c r="AV1490" s="346"/>
      <c r="AW1490" s="357">
        <f>2.72+0.14</f>
        <v>2.8600000000000003</v>
      </c>
      <c r="AX1490" s="294"/>
      <c r="AY1490" s="294">
        <v>0.03</v>
      </c>
      <c r="AZ1490" s="294">
        <v>0.2</v>
      </c>
      <c r="BA1490" s="294">
        <v>1.05</v>
      </c>
      <c r="BB1490" s="294"/>
      <c r="BC1490" s="294"/>
      <c r="BD1490" s="294"/>
      <c r="BE1490" s="294"/>
      <c r="BF1490" s="383">
        <f t="shared" si="135"/>
        <v>2.8600000000000003</v>
      </c>
      <c r="BG1490" s="383">
        <f t="shared" si="136"/>
        <v>4.1400000000000006</v>
      </c>
      <c r="BH1490" s="375"/>
      <c r="BI1490" s="376"/>
      <c r="BJ1490" s="409"/>
    </row>
    <row r="1491" spans="1:62" ht="15" customHeight="1" thickBot="1" x14ac:dyDescent="0.25">
      <c r="A1491" s="156">
        <v>1492</v>
      </c>
      <c r="B1491" s="247">
        <v>1</v>
      </c>
      <c r="C1491" s="148" t="s">
        <v>975</v>
      </c>
      <c r="D1491" s="148" t="s">
        <v>1984</v>
      </c>
      <c r="E1491" s="148"/>
      <c r="F1491" s="148" t="s">
        <v>3779</v>
      </c>
      <c r="G1491" s="148"/>
      <c r="H1491" s="148" t="s">
        <v>1064</v>
      </c>
      <c r="I1491" s="161">
        <v>2009</v>
      </c>
      <c r="J1491" s="161" t="s">
        <v>3775</v>
      </c>
      <c r="K1491" s="161"/>
      <c r="L1491" s="161" t="s">
        <v>83</v>
      </c>
      <c r="M1491" s="453" t="s">
        <v>4375</v>
      </c>
      <c r="N1491" s="186" t="s">
        <v>122</v>
      </c>
      <c r="O1491" s="186" t="s">
        <v>292</v>
      </c>
      <c r="P1491" s="186" t="s">
        <v>292</v>
      </c>
      <c r="Q1491" s="186" t="s">
        <v>122</v>
      </c>
      <c r="R1491" s="186" t="s">
        <v>122</v>
      </c>
      <c r="S1491" s="186" t="s">
        <v>122</v>
      </c>
      <c r="T1491" s="186" t="s">
        <v>292</v>
      </c>
      <c r="U1491" s="186" t="s">
        <v>292</v>
      </c>
      <c r="V1491" s="186" t="s">
        <v>292</v>
      </c>
      <c r="W1491" s="186" t="s">
        <v>292</v>
      </c>
      <c r="X1491" s="186" t="s">
        <v>292</v>
      </c>
      <c r="Y1491" s="186" t="s">
        <v>292</v>
      </c>
      <c r="Z1491" s="186"/>
      <c r="AA1491" s="186"/>
      <c r="AB1491" s="186"/>
      <c r="AC1491" s="186"/>
      <c r="AD1491" s="268" t="s">
        <v>3776</v>
      </c>
      <c r="AE1491" s="268"/>
      <c r="AF1491" s="144" t="str">
        <f t="shared" si="131"/>
        <v/>
      </c>
      <c r="AG1491" s="144" t="str">
        <f t="shared" ref="AG1491:AG1554" si="137">IF(AND(SUM(AJ1491:AL1491)&lt;&gt;0,SUM(AJ1491:AL1491)&lt;&gt;AJ1491),SUM(AJ1491:AL1491),"")</f>
        <v/>
      </c>
      <c r="AH1491" s="146">
        <f t="shared" si="133"/>
        <v>2.8600000000000003</v>
      </c>
      <c r="AI1491" s="146">
        <f t="shared" si="134"/>
        <v>2.89</v>
      </c>
      <c r="AJ1491" s="309"/>
      <c r="AK1491" s="309"/>
      <c r="AL1491" s="309"/>
      <c r="AM1491" s="309"/>
      <c r="AN1491" s="309"/>
      <c r="AO1491" s="309"/>
      <c r="AP1491" s="309"/>
      <c r="AQ1491" s="309"/>
      <c r="AR1491" s="320"/>
      <c r="AS1491" s="237"/>
      <c r="AT1491" s="238">
        <v>210.2</v>
      </c>
      <c r="AU1491" s="320"/>
      <c r="AV1491" s="346"/>
      <c r="AW1491" s="357">
        <f>2.72+0.14</f>
        <v>2.8600000000000003</v>
      </c>
      <c r="AX1491" s="294"/>
      <c r="AY1491" s="294">
        <v>0.03</v>
      </c>
      <c r="AZ1491" s="294">
        <v>0.14000000000000001</v>
      </c>
      <c r="BA1491" s="294">
        <v>10.83</v>
      </c>
      <c r="BB1491" s="294"/>
      <c r="BC1491" s="294"/>
      <c r="BD1491" s="294"/>
      <c r="BE1491" s="294"/>
      <c r="BF1491" s="383">
        <f t="shared" si="135"/>
        <v>2.8600000000000003</v>
      </c>
      <c r="BG1491" s="383">
        <f t="shared" si="136"/>
        <v>13.86</v>
      </c>
      <c r="BH1491" s="375"/>
      <c r="BI1491" s="376"/>
      <c r="BJ1491" s="409"/>
    </row>
    <row r="1492" spans="1:62" ht="15" customHeight="1" thickBot="1" x14ac:dyDescent="0.25">
      <c r="A1492" s="156">
        <v>1493</v>
      </c>
      <c r="B1492" s="247">
        <v>1</v>
      </c>
      <c r="C1492" s="148" t="s">
        <v>975</v>
      </c>
      <c r="D1492" s="148" t="s">
        <v>1984</v>
      </c>
      <c r="E1492" s="148"/>
      <c r="F1492" s="148" t="s">
        <v>3780</v>
      </c>
      <c r="G1492" s="148"/>
      <c r="H1492" s="148" t="s">
        <v>1064</v>
      </c>
      <c r="I1492" s="161">
        <v>2009</v>
      </c>
      <c r="J1492" s="161" t="s">
        <v>3775</v>
      </c>
      <c r="K1492" s="161"/>
      <c r="L1492" s="161" t="s">
        <v>83</v>
      </c>
      <c r="M1492" s="453" t="s">
        <v>4375</v>
      </c>
      <c r="N1492" s="186" t="s">
        <v>122</v>
      </c>
      <c r="O1492" s="186" t="s">
        <v>292</v>
      </c>
      <c r="P1492" s="186" t="s">
        <v>292</v>
      </c>
      <c r="Q1492" s="186" t="s">
        <v>122</v>
      </c>
      <c r="R1492" s="186" t="s">
        <v>122</v>
      </c>
      <c r="S1492" s="186" t="s">
        <v>122</v>
      </c>
      <c r="T1492" s="186" t="s">
        <v>292</v>
      </c>
      <c r="U1492" s="186" t="s">
        <v>292</v>
      </c>
      <c r="V1492" s="186" t="s">
        <v>292</v>
      </c>
      <c r="W1492" s="186" t="s">
        <v>292</v>
      </c>
      <c r="X1492" s="186" t="s">
        <v>292</v>
      </c>
      <c r="Y1492" s="186" t="s">
        <v>292</v>
      </c>
      <c r="Z1492" s="186"/>
      <c r="AA1492" s="186"/>
      <c r="AB1492" s="186"/>
      <c r="AC1492" s="186"/>
      <c r="AD1492" s="268" t="s">
        <v>3776</v>
      </c>
      <c r="AE1492" s="268"/>
      <c r="AF1492" s="144" t="str">
        <f t="shared" si="131"/>
        <v/>
      </c>
      <c r="AG1492" s="144" t="str">
        <f t="shared" si="137"/>
        <v/>
      </c>
      <c r="AH1492" s="146">
        <f t="shared" si="133"/>
        <v>2.8600000000000003</v>
      </c>
      <c r="AI1492" s="146">
        <f t="shared" si="134"/>
        <v>2.91</v>
      </c>
      <c r="AJ1492" s="309"/>
      <c r="AK1492" s="309"/>
      <c r="AL1492" s="309"/>
      <c r="AM1492" s="309"/>
      <c r="AN1492" s="309"/>
      <c r="AO1492" s="309"/>
      <c r="AP1492" s="309"/>
      <c r="AQ1492" s="309"/>
      <c r="AR1492" s="320"/>
      <c r="AS1492" s="237"/>
      <c r="AT1492" s="238">
        <v>61.5</v>
      </c>
      <c r="AU1492" s="320"/>
      <c r="AV1492" s="346"/>
      <c r="AW1492" s="357">
        <f>2.72+0.14</f>
        <v>2.8600000000000003</v>
      </c>
      <c r="AX1492" s="294"/>
      <c r="AY1492" s="294">
        <v>0.05</v>
      </c>
      <c r="AZ1492" s="294">
        <v>0.11</v>
      </c>
      <c r="BA1492" s="294">
        <v>1.18</v>
      </c>
      <c r="BB1492" s="294"/>
      <c r="BC1492" s="294"/>
      <c r="BD1492" s="294"/>
      <c r="BE1492" s="294"/>
      <c r="BF1492" s="383">
        <f t="shared" si="135"/>
        <v>2.8600000000000003</v>
      </c>
      <c r="BG1492" s="383">
        <f t="shared" si="136"/>
        <v>4.2</v>
      </c>
      <c r="BH1492" s="375"/>
      <c r="BI1492" s="376"/>
      <c r="BJ1492" s="409"/>
    </row>
    <row r="1493" spans="1:62" ht="15" customHeight="1" thickBot="1" x14ac:dyDescent="0.25">
      <c r="A1493" s="156">
        <v>1494</v>
      </c>
      <c r="B1493" s="247">
        <v>1</v>
      </c>
      <c r="C1493" s="148" t="s">
        <v>975</v>
      </c>
      <c r="D1493" s="148" t="s">
        <v>1984</v>
      </c>
      <c r="E1493" s="148"/>
      <c r="F1493" s="148" t="s">
        <v>3781</v>
      </c>
      <c r="G1493" s="148"/>
      <c r="H1493" s="148" t="s">
        <v>1064</v>
      </c>
      <c r="I1493" s="161">
        <v>2009</v>
      </c>
      <c r="J1493" s="161" t="s">
        <v>3775</v>
      </c>
      <c r="K1493" s="161"/>
      <c r="L1493" s="161" t="s">
        <v>83</v>
      </c>
      <c r="M1493" s="453" t="s">
        <v>4375</v>
      </c>
      <c r="N1493" s="186" t="s">
        <v>122</v>
      </c>
      <c r="O1493" s="186" t="s">
        <v>292</v>
      </c>
      <c r="P1493" s="186" t="s">
        <v>292</v>
      </c>
      <c r="Q1493" s="186" t="s">
        <v>122</v>
      </c>
      <c r="R1493" s="186" t="s">
        <v>122</v>
      </c>
      <c r="S1493" s="186" t="s">
        <v>122</v>
      </c>
      <c r="T1493" s="186" t="s">
        <v>292</v>
      </c>
      <c r="U1493" s="186" t="s">
        <v>292</v>
      </c>
      <c r="V1493" s="186" t="s">
        <v>292</v>
      </c>
      <c r="W1493" s="186" t="s">
        <v>292</v>
      </c>
      <c r="X1493" s="186" t="s">
        <v>292</v>
      </c>
      <c r="Y1493" s="186" t="s">
        <v>292</v>
      </c>
      <c r="Z1493" s="186"/>
      <c r="AA1493" s="186"/>
      <c r="AB1493" s="186"/>
      <c r="AC1493" s="186"/>
      <c r="AD1493" s="268" t="s">
        <v>3776</v>
      </c>
      <c r="AE1493" s="268"/>
      <c r="AF1493" s="144" t="str">
        <f t="shared" si="131"/>
        <v/>
      </c>
      <c r="AG1493" s="144" t="str">
        <f t="shared" si="137"/>
        <v/>
      </c>
      <c r="AH1493" s="146">
        <f t="shared" si="133"/>
        <v>2</v>
      </c>
      <c r="AI1493" s="146">
        <f t="shared" si="134"/>
        <v>2.14</v>
      </c>
      <c r="AJ1493" s="309"/>
      <c r="AK1493" s="309"/>
      <c r="AL1493" s="309"/>
      <c r="AM1493" s="309"/>
      <c r="AN1493" s="309"/>
      <c r="AO1493" s="309"/>
      <c r="AP1493" s="309"/>
      <c r="AQ1493" s="309"/>
      <c r="AR1493" s="320"/>
      <c r="AS1493" s="237"/>
      <c r="AT1493" s="238">
        <v>40.700000000000003</v>
      </c>
      <c r="AU1493" s="320"/>
      <c r="AV1493" s="346"/>
      <c r="AW1493" s="357">
        <f>1.9+0.1</f>
        <v>2</v>
      </c>
      <c r="AX1493" s="294"/>
      <c r="AY1493" s="294">
        <v>0.14000000000000001</v>
      </c>
      <c r="AZ1493" s="294">
        <v>0.09</v>
      </c>
      <c r="BA1493" s="294">
        <v>0.26</v>
      </c>
      <c r="BB1493" s="294"/>
      <c r="BC1493" s="294"/>
      <c r="BD1493" s="294"/>
      <c r="BE1493" s="294"/>
      <c r="BF1493" s="383">
        <f t="shared" si="135"/>
        <v>2</v>
      </c>
      <c r="BG1493" s="383">
        <f t="shared" si="136"/>
        <v>2.4900000000000002</v>
      </c>
      <c r="BH1493" s="375"/>
      <c r="BI1493" s="376"/>
      <c r="BJ1493" s="409"/>
    </row>
    <row r="1494" spans="1:62" ht="15" customHeight="1" thickBot="1" x14ac:dyDescent="0.25">
      <c r="A1494" s="156">
        <v>1495</v>
      </c>
      <c r="B1494" s="247">
        <v>1</v>
      </c>
      <c r="C1494" s="148" t="s">
        <v>975</v>
      </c>
      <c r="D1494" s="148" t="s">
        <v>1984</v>
      </c>
      <c r="E1494" s="148"/>
      <c r="F1494" s="148" t="s">
        <v>3782</v>
      </c>
      <c r="G1494" s="148"/>
      <c r="H1494" s="148" t="s">
        <v>1064</v>
      </c>
      <c r="I1494" s="161">
        <v>2009</v>
      </c>
      <c r="J1494" s="161" t="s">
        <v>3775</v>
      </c>
      <c r="K1494" s="161"/>
      <c r="L1494" s="161" t="s">
        <v>83</v>
      </c>
      <c r="M1494" s="453" t="s">
        <v>4375</v>
      </c>
      <c r="N1494" s="186" t="s">
        <v>122</v>
      </c>
      <c r="O1494" s="186" t="s">
        <v>292</v>
      </c>
      <c r="P1494" s="186" t="s">
        <v>292</v>
      </c>
      <c r="Q1494" s="186" t="s">
        <v>122</v>
      </c>
      <c r="R1494" s="186" t="s">
        <v>122</v>
      </c>
      <c r="S1494" s="186" t="s">
        <v>122</v>
      </c>
      <c r="T1494" s="186" t="s">
        <v>292</v>
      </c>
      <c r="U1494" s="186" t="s">
        <v>292</v>
      </c>
      <c r="V1494" s="186" t="s">
        <v>292</v>
      </c>
      <c r="W1494" s="186" t="s">
        <v>292</v>
      </c>
      <c r="X1494" s="186" t="s">
        <v>292</v>
      </c>
      <c r="Y1494" s="186" t="s">
        <v>292</v>
      </c>
      <c r="Z1494" s="186"/>
      <c r="AA1494" s="186"/>
      <c r="AB1494" s="186"/>
      <c r="AC1494" s="186"/>
      <c r="AD1494" s="268" t="s">
        <v>3776</v>
      </c>
      <c r="AE1494" s="268"/>
      <c r="AF1494" s="144" t="str">
        <f t="shared" si="131"/>
        <v/>
      </c>
      <c r="AG1494" s="144" t="str">
        <f t="shared" si="137"/>
        <v/>
      </c>
      <c r="AH1494" s="146">
        <f t="shared" si="133"/>
        <v>2</v>
      </c>
      <c r="AI1494" s="146">
        <f t="shared" si="134"/>
        <v>2.1800000000000002</v>
      </c>
      <c r="AJ1494" s="309"/>
      <c r="AK1494" s="309"/>
      <c r="AL1494" s="309"/>
      <c r="AM1494" s="309"/>
      <c r="AN1494" s="309"/>
      <c r="AO1494" s="309"/>
      <c r="AP1494" s="309"/>
      <c r="AQ1494" s="309"/>
      <c r="AR1494" s="320"/>
      <c r="AS1494" s="237"/>
      <c r="AT1494" s="238">
        <v>40.700000000000003</v>
      </c>
      <c r="AU1494" s="320"/>
      <c r="AV1494" s="346"/>
      <c r="AW1494" s="357">
        <f>1.9+0.1</f>
        <v>2</v>
      </c>
      <c r="AX1494" s="294"/>
      <c r="AY1494" s="294">
        <v>0.18</v>
      </c>
      <c r="AZ1494" s="294">
        <v>7.0000000000000007E-2</v>
      </c>
      <c r="BA1494" s="294">
        <v>0.21</v>
      </c>
      <c r="BB1494" s="294"/>
      <c r="BC1494" s="294"/>
      <c r="BD1494" s="294"/>
      <c r="BE1494" s="294"/>
      <c r="BF1494" s="383">
        <f t="shared" si="135"/>
        <v>2</v>
      </c>
      <c r="BG1494" s="383">
        <f t="shared" si="136"/>
        <v>2.46</v>
      </c>
      <c r="BH1494" s="375"/>
      <c r="BI1494" s="376"/>
      <c r="BJ1494" s="409"/>
    </row>
    <row r="1495" spans="1:62" ht="15" customHeight="1" thickBot="1" x14ac:dyDescent="0.25">
      <c r="A1495" s="156">
        <v>1496</v>
      </c>
      <c r="B1495" s="247">
        <v>1</v>
      </c>
      <c r="C1495" s="148" t="s">
        <v>975</v>
      </c>
      <c r="D1495" s="141" t="s">
        <v>1989</v>
      </c>
      <c r="E1495" s="148"/>
      <c r="F1495" s="148" t="s">
        <v>3783</v>
      </c>
      <c r="G1495" s="148"/>
      <c r="H1495" s="148" t="s">
        <v>1064</v>
      </c>
      <c r="I1495" s="161">
        <v>2009</v>
      </c>
      <c r="J1495" s="161" t="s">
        <v>3775</v>
      </c>
      <c r="K1495" s="161"/>
      <c r="L1495" s="161" t="s">
        <v>83</v>
      </c>
      <c r="M1495" s="453" t="s">
        <v>4375</v>
      </c>
      <c r="N1495" s="186" t="s">
        <v>122</v>
      </c>
      <c r="O1495" s="186" t="s">
        <v>292</v>
      </c>
      <c r="P1495" s="186" t="s">
        <v>292</v>
      </c>
      <c r="Q1495" s="186" t="s">
        <v>122</v>
      </c>
      <c r="R1495" s="186" t="s">
        <v>122</v>
      </c>
      <c r="S1495" s="186" t="s">
        <v>122</v>
      </c>
      <c r="T1495" s="186" t="s">
        <v>292</v>
      </c>
      <c r="U1495" s="186" t="s">
        <v>292</v>
      </c>
      <c r="V1495" s="186" t="s">
        <v>292</v>
      </c>
      <c r="W1495" s="186" t="s">
        <v>292</v>
      </c>
      <c r="X1495" s="186" t="s">
        <v>292</v>
      </c>
      <c r="Y1495" s="186" t="s">
        <v>292</v>
      </c>
      <c r="Z1495" s="186"/>
      <c r="AA1495" s="186"/>
      <c r="AB1495" s="186"/>
      <c r="AC1495" s="186"/>
      <c r="AD1495" s="268" t="s">
        <v>3776</v>
      </c>
      <c r="AE1495" s="268"/>
      <c r="AF1495" s="144" t="str">
        <f t="shared" si="131"/>
        <v/>
      </c>
      <c r="AG1495" s="144" t="str">
        <f t="shared" si="137"/>
        <v/>
      </c>
      <c r="AH1495" s="146">
        <f t="shared" si="133"/>
        <v>1.24</v>
      </c>
      <c r="AI1495" s="146" t="str">
        <f t="shared" si="134"/>
        <v/>
      </c>
      <c r="AJ1495" s="309"/>
      <c r="AK1495" s="309"/>
      <c r="AL1495" s="309"/>
      <c r="AM1495" s="309"/>
      <c r="AN1495" s="309"/>
      <c r="AO1495" s="309"/>
      <c r="AP1495" s="309"/>
      <c r="AQ1495" s="309"/>
      <c r="AR1495" s="320"/>
      <c r="AS1495" s="237"/>
      <c r="AT1495" s="238">
        <v>45.1</v>
      </c>
      <c r="AU1495" s="320"/>
      <c r="AV1495" s="346"/>
      <c r="AW1495" s="357">
        <v>1.24</v>
      </c>
      <c r="AX1495" s="294"/>
      <c r="AY1495" s="294">
        <v>0</v>
      </c>
      <c r="AZ1495" s="294">
        <v>0.11</v>
      </c>
      <c r="BA1495" s="294">
        <v>1.19</v>
      </c>
      <c r="BB1495" s="294"/>
      <c r="BC1495" s="294"/>
      <c r="BD1495" s="294"/>
      <c r="BE1495" s="294"/>
      <c r="BF1495" s="383">
        <f t="shared" si="135"/>
        <v>1.24</v>
      </c>
      <c r="BG1495" s="383">
        <f t="shared" si="136"/>
        <v>2.54</v>
      </c>
      <c r="BH1495" s="375"/>
      <c r="BI1495" s="376"/>
      <c r="BJ1495" s="409"/>
    </row>
    <row r="1496" spans="1:62" ht="15" customHeight="1" thickBot="1" x14ac:dyDescent="0.25">
      <c r="A1496" s="156">
        <v>1497</v>
      </c>
      <c r="B1496" s="247">
        <v>1</v>
      </c>
      <c r="C1496" s="148" t="s">
        <v>975</v>
      </c>
      <c r="D1496" s="148" t="s">
        <v>1986</v>
      </c>
      <c r="E1496" s="148"/>
      <c r="F1496" s="148" t="s">
        <v>3784</v>
      </c>
      <c r="G1496" s="148"/>
      <c r="H1496" s="148" t="s">
        <v>1064</v>
      </c>
      <c r="I1496" s="161">
        <v>2009</v>
      </c>
      <c r="J1496" s="161" t="s">
        <v>3775</v>
      </c>
      <c r="K1496" s="161"/>
      <c r="L1496" s="161" t="s">
        <v>83</v>
      </c>
      <c r="M1496" s="453" t="s">
        <v>4375</v>
      </c>
      <c r="N1496" s="186" t="s">
        <v>122</v>
      </c>
      <c r="O1496" s="186" t="s">
        <v>292</v>
      </c>
      <c r="P1496" s="186" t="s">
        <v>292</v>
      </c>
      <c r="Q1496" s="186" t="s">
        <v>122</v>
      </c>
      <c r="R1496" s="186" t="s">
        <v>122</v>
      </c>
      <c r="S1496" s="186" t="s">
        <v>122</v>
      </c>
      <c r="T1496" s="186" t="s">
        <v>292</v>
      </c>
      <c r="U1496" s="186" t="s">
        <v>292</v>
      </c>
      <c r="V1496" s="186" t="s">
        <v>292</v>
      </c>
      <c r="W1496" s="186" t="s">
        <v>292</v>
      </c>
      <c r="X1496" s="186" t="s">
        <v>292</v>
      </c>
      <c r="Y1496" s="186" t="s">
        <v>292</v>
      </c>
      <c r="Z1496" s="186"/>
      <c r="AA1496" s="186"/>
      <c r="AB1496" s="186"/>
      <c r="AC1496" s="186"/>
      <c r="AD1496" s="268" t="s">
        <v>3776</v>
      </c>
      <c r="AE1496" s="268"/>
      <c r="AF1496" s="144" t="str">
        <f t="shared" si="131"/>
        <v/>
      </c>
      <c r="AG1496" s="144" t="str">
        <f t="shared" si="137"/>
        <v/>
      </c>
      <c r="AH1496" s="146">
        <f t="shared" si="133"/>
        <v>2.8600000000000003</v>
      </c>
      <c r="AI1496" s="146" t="str">
        <f t="shared" si="134"/>
        <v/>
      </c>
      <c r="AJ1496" s="309"/>
      <c r="AK1496" s="309"/>
      <c r="AL1496" s="309"/>
      <c r="AM1496" s="309"/>
      <c r="AN1496" s="309"/>
      <c r="AO1496" s="309"/>
      <c r="AP1496" s="309"/>
      <c r="AQ1496" s="309"/>
      <c r="AR1496" s="320"/>
      <c r="AS1496" s="237"/>
      <c r="AT1496" s="238">
        <v>42.6</v>
      </c>
      <c r="AU1496" s="320"/>
      <c r="AV1496" s="346"/>
      <c r="AW1496" s="357">
        <f>1.81+1.05</f>
        <v>2.8600000000000003</v>
      </c>
      <c r="AX1496" s="294"/>
      <c r="AY1496" s="294">
        <v>0</v>
      </c>
      <c r="AZ1496" s="294">
        <v>0.19</v>
      </c>
      <c r="BA1496" s="294">
        <v>0.56999999999999995</v>
      </c>
      <c r="BB1496" s="294"/>
      <c r="BC1496" s="294"/>
      <c r="BD1496" s="294"/>
      <c r="BE1496" s="294"/>
      <c r="BF1496" s="383">
        <f t="shared" si="135"/>
        <v>2.8600000000000003</v>
      </c>
      <c r="BG1496" s="383">
        <f t="shared" si="136"/>
        <v>3.62</v>
      </c>
      <c r="BH1496" s="375"/>
      <c r="BI1496" s="376"/>
      <c r="BJ1496" s="409"/>
    </row>
    <row r="1497" spans="1:62" ht="15" customHeight="1" thickBot="1" x14ac:dyDescent="0.25">
      <c r="A1497" s="156">
        <v>1498</v>
      </c>
      <c r="B1497" s="247">
        <v>1</v>
      </c>
      <c r="C1497" s="148" t="s">
        <v>975</v>
      </c>
      <c r="D1497" s="148" t="s">
        <v>1986</v>
      </c>
      <c r="E1497" s="148"/>
      <c r="F1497" s="148" t="s">
        <v>3785</v>
      </c>
      <c r="G1497" s="148"/>
      <c r="H1497" s="148" t="s">
        <v>1064</v>
      </c>
      <c r="I1497" s="161">
        <v>2009</v>
      </c>
      <c r="J1497" s="161" t="s">
        <v>3775</v>
      </c>
      <c r="K1497" s="161"/>
      <c r="L1497" s="161" t="s">
        <v>83</v>
      </c>
      <c r="M1497" s="453" t="s">
        <v>4375</v>
      </c>
      <c r="N1497" s="186" t="s">
        <v>122</v>
      </c>
      <c r="O1497" s="186" t="s">
        <v>292</v>
      </c>
      <c r="P1497" s="186" t="s">
        <v>292</v>
      </c>
      <c r="Q1497" s="186" t="s">
        <v>122</v>
      </c>
      <c r="R1497" s="186" t="s">
        <v>122</v>
      </c>
      <c r="S1497" s="186" t="s">
        <v>122</v>
      </c>
      <c r="T1497" s="186" t="s">
        <v>292</v>
      </c>
      <c r="U1497" s="186" t="s">
        <v>292</v>
      </c>
      <c r="V1497" s="186" t="s">
        <v>292</v>
      </c>
      <c r="W1497" s="186" t="s">
        <v>292</v>
      </c>
      <c r="X1497" s="186" t="s">
        <v>292</v>
      </c>
      <c r="Y1497" s="186" t="s">
        <v>292</v>
      </c>
      <c r="Z1497" s="186"/>
      <c r="AA1497" s="186"/>
      <c r="AB1497" s="186"/>
      <c r="AC1497" s="186"/>
      <c r="AD1497" s="268" t="s">
        <v>3776</v>
      </c>
      <c r="AE1497" s="268"/>
      <c r="AF1497" s="144" t="str">
        <f t="shared" si="131"/>
        <v/>
      </c>
      <c r="AG1497" s="144" t="str">
        <f t="shared" si="137"/>
        <v/>
      </c>
      <c r="AH1497" s="146">
        <f t="shared" si="133"/>
        <v>2.0099999999999998</v>
      </c>
      <c r="AI1497" s="146">
        <f t="shared" si="134"/>
        <v>2.13</v>
      </c>
      <c r="AJ1497" s="309"/>
      <c r="AK1497" s="309"/>
      <c r="AL1497" s="309"/>
      <c r="AM1497" s="309"/>
      <c r="AN1497" s="309"/>
      <c r="AO1497" s="309"/>
      <c r="AP1497" s="309"/>
      <c r="AQ1497" s="309"/>
      <c r="AR1497" s="320"/>
      <c r="AS1497" s="237"/>
      <c r="AT1497" s="238">
        <v>28.6</v>
      </c>
      <c r="AU1497" s="320"/>
      <c r="AV1497" s="346"/>
      <c r="AW1497" s="357">
        <f>1.27+0.74</f>
        <v>2.0099999999999998</v>
      </c>
      <c r="AX1497" s="294"/>
      <c r="AY1497" s="294">
        <v>0.12</v>
      </c>
      <c r="AZ1497" s="294">
        <v>0.09</v>
      </c>
      <c r="BA1497" s="294">
        <v>0.13</v>
      </c>
      <c r="BB1497" s="294"/>
      <c r="BC1497" s="294"/>
      <c r="BD1497" s="294"/>
      <c r="BE1497" s="294"/>
      <c r="BF1497" s="383">
        <f t="shared" si="135"/>
        <v>2.0099999999999998</v>
      </c>
      <c r="BG1497" s="383">
        <f t="shared" si="136"/>
        <v>2.3499999999999996</v>
      </c>
      <c r="BH1497" s="375"/>
      <c r="BI1497" s="376"/>
      <c r="BJ1497" s="409"/>
    </row>
    <row r="1498" spans="1:62" ht="15" customHeight="1" thickBot="1" x14ac:dyDescent="0.25">
      <c r="A1498" s="156">
        <v>1499</v>
      </c>
      <c r="B1498" s="247">
        <v>1</v>
      </c>
      <c r="C1498" s="148" t="s">
        <v>975</v>
      </c>
      <c r="D1498" s="148" t="s">
        <v>1986</v>
      </c>
      <c r="E1498" s="148"/>
      <c r="F1498" s="148" t="s">
        <v>3786</v>
      </c>
      <c r="G1498" s="148"/>
      <c r="H1498" s="148" t="s">
        <v>1064</v>
      </c>
      <c r="I1498" s="161">
        <v>2009</v>
      </c>
      <c r="J1498" s="161" t="s">
        <v>3775</v>
      </c>
      <c r="K1498" s="161"/>
      <c r="L1498" s="161" t="s">
        <v>83</v>
      </c>
      <c r="M1498" s="453" t="s">
        <v>4375</v>
      </c>
      <c r="N1498" s="186" t="s">
        <v>122</v>
      </c>
      <c r="O1498" s="186" t="s">
        <v>292</v>
      </c>
      <c r="P1498" s="186" t="s">
        <v>292</v>
      </c>
      <c r="Q1498" s="186" t="s">
        <v>122</v>
      </c>
      <c r="R1498" s="186" t="s">
        <v>122</v>
      </c>
      <c r="S1498" s="186" t="s">
        <v>122</v>
      </c>
      <c r="T1498" s="186" t="s">
        <v>292</v>
      </c>
      <c r="U1498" s="186" t="s">
        <v>292</v>
      </c>
      <c r="V1498" s="186" t="s">
        <v>292</v>
      </c>
      <c r="W1498" s="186" t="s">
        <v>292</v>
      </c>
      <c r="X1498" s="186" t="s">
        <v>292</v>
      </c>
      <c r="Y1498" s="186" t="s">
        <v>292</v>
      </c>
      <c r="Z1498" s="186"/>
      <c r="AA1498" s="186"/>
      <c r="AB1498" s="186"/>
      <c r="AC1498" s="186"/>
      <c r="AD1498" s="268" t="s">
        <v>3776</v>
      </c>
      <c r="AE1498" s="268"/>
      <c r="AF1498" s="144" t="str">
        <f t="shared" si="131"/>
        <v/>
      </c>
      <c r="AG1498" s="144" t="str">
        <f t="shared" si="137"/>
        <v/>
      </c>
      <c r="AH1498" s="146">
        <f t="shared" si="133"/>
        <v>2.0099999999999998</v>
      </c>
      <c r="AI1498" s="146">
        <f t="shared" si="134"/>
        <v>2.13</v>
      </c>
      <c r="AJ1498" s="309"/>
      <c r="AK1498" s="309"/>
      <c r="AL1498" s="309"/>
      <c r="AM1498" s="309"/>
      <c r="AN1498" s="309"/>
      <c r="AO1498" s="309"/>
      <c r="AP1498" s="309"/>
      <c r="AQ1498" s="309"/>
      <c r="AR1498" s="320"/>
      <c r="AS1498" s="237"/>
      <c r="AT1498" s="238">
        <v>31.3</v>
      </c>
      <c r="AU1498" s="320"/>
      <c r="AV1498" s="346"/>
      <c r="AW1498" s="357">
        <f>1.27+0.74</f>
        <v>2.0099999999999998</v>
      </c>
      <c r="AX1498" s="294"/>
      <c r="AY1498" s="294">
        <v>0.12</v>
      </c>
      <c r="AZ1498" s="294">
        <v>0.09</v>
      </c>
      <c r="BA1498" s="294">
        <v>0.28000000000000003</v>
      </c>
      <c r="BB1498" s="294"/>
      <c r="BC1498" s="294"/>
      <c r="BD1498" s="294"/>
      <c r="BE1498" s="294"/>
      <c r="BF1498" s="383">
        <f t="shared" si="135"/>
        <v>2.0099999999999998</v>
      </c>
      <c r="BG1498" s="383">
        <f t="shared" si="136"/>
        <v>2.5</v>
      </c>
      <c r="BH1498" s="375"/>
      <c r="BI1498" s="376"/>
      <c r="BJ1498" s="409"/>
    </row>
    <row r="1499" spans="1:62" ht="15" customHeight="1" thickBot="1" x14ac:dyDescent="0.25">
      <c r="A1499" s="156">
        <v>1500</v>
      </c>
      <c r="B1499" s="247">
        <v>1</v>
      </c>
      <c r="C1499" s="148" t="s">
        <v>975</v>
      </c>
      <c r="D1499" s="148" t="s">
        <v>1986</v>
      </c>
      <c r="E1499" s="148"/>
      <c r="F1499" s="148" t="s">
        <v>3787</v>
      </c>
      <c r="G1499" s="148"/>
      <c r="H1499" s="148" t="s">
        <v>1064</v>
      </c>
      <c r="I1499" s="161">
        <v>2009</v>
      </c>
      <c r="J1499" s="161" t="s">
        <v>3775</v>
      </c>
      <c r="K1499" s="161"/>
      <c r="L1499" s="161" t="s">
        <v>83</v>
      </c>
      <c r="M1499" s="453" t="s">
        <v>4375</v>
      </c>
      <c r="N1499" s="186" t="s">
        <v>122</v>
      </c>
      <c r="O1499" s="186" t="s">
        <v>292</v>
      </c>
      <c r="P1499" s="186" t="s">
        <v>292</v>
      </c>
      <c r="Q1499" s="186" t="s">
        <v>122</v>
      </c>
      <c r="R1499" s="186" t="s">
        <v>122</v>
      </c>
      <c r="S1499" s="186" t="s">
        <v>122</v>
      </c>
      <c r="T1499" s="186" t="s">
        <v>292</v>
      </c>
      <c r="U1499" s="186" t="s">
        <v>292</v>
      </c>
      <c r="V1499" s="186" t="s">
        <v>292</v>
      </c>
      <c r="W1499" s="186" t="s">
        <v>292</v>
      </c>
      <c r="X1499" s="186" t="s">
        <v>292</v>
      </c>
      <c r="Y1499" s="186" t="s">
        <v>292</v>
      </c>
      <c r="Z1499" s="186"/>
      <c r="AA1499" s="186"/>
      <c r="AB1499" s="186"/>
      <c r="AC1499" s="186"/>
      <c r="AD1499" s="268" t="s">
        <v>3776</v>
      </c>
      <c r="AE1499" s="268"/>
      <c r="AF1499" s="144" t="str">
        <f t="shared" si="131"/>
        <v/>
      </c>
      <c r="AG1499" s="144" t="str">
        <f t="shared" si="137"/>
        <v/>
      </c>
      <c r="AH1499" s="146">
        <f t="shared" si="133"/>
        <v>2.0099999999999998</v>
      </c>
      <c r="AI1499" s="146">
        <f t="shared" si="134"/>
        <v>2.1799999999999997</v>
      </c>
      <c r="AJ1499" s="309"/>
      <c r="AK1499" s="309"/>
      <c r="AL1499" s="309"/>
      <c r="AM1499" s="309"/>
      <c r="AN1499" s="309"/>
      <c r="AO1499" s="309"/>
      <c r="AP1499" s="309"/>
      <c r="AQ1499" s="309"/>
      <c r="AR1499" s="320"/>
      <c r="AS1499" s="237"/>
      <c r="AT1499" s="238">
        <v>31.5</v>
      </c>
      <c r="AU1499" s="320"/>
      <c r="AV1499" s="346"/>
      <c r="AW1499" s="357">
        <f>1.27+0.74</f>
        <v>2.0099999999999998</v>
      </c>
      <c r="AX1499" s="294"/>
      <c r="AY1499" s="294">
        <v>0.17</v>
      </c>
      <c r="AZ1499" s="294">
        <v>7.0000000000000007E-2</v>
      </c>
      <c r="BA1499" s="294">
        <v>0.26</v>
      </c>
      <c r="BB1499" s="294"/>
      <c r="BC1499" s="294"/>
      <c r="BD1499" s="294"/>
      <c r="BE1499" s="294"/>
      <c r="BF1499" s="383">
        <f t="shared" si="135"/>
        <v>2.0099999999999998</v>
      </c>
      <c r="BG1499" s="383">
        <f t="shared" si="136"/>
        <v>2.5099999999999998</v>
      </c>
      <c r="BH1499" s="375"/>
      <c r="BI1499" s="376"/>
      <c r="BJ1499" s="409"/>
    </row>
    <row r="1500" spans="1:62" ht="15" customHeight="1" thickBot="1" x14ac:dyDescent="0.25">
      <c r="A1500" s="156">
        <v>1501</v>
      </c>
      <c r="B1500" s="247">
        <v>1</v>
      </c>
      <c r="C1500" s="148" t="s">
        <v>975</v>
      </c>
      <c r="D1500" s="148" t="s">
        <v>1986</v>
      </c>
      <c r="E1500" s="148"/>
      <c r="F1500" s="148" t="s">
        <v>3788</v>
      </c>
      <c r="G1500" s="148"/>
      <c r="H1500" s="148" t="s">
        <v>1064</v>
      </c>
      <c r="I1500" s="161">
        <v>2009</v>
      </c>
      <c r="J1500" s="161" t="s">
        <v>3775</v>
      </c>
      <c r="K1500" s="161"/>
      <c r="L1500" s="161" t="s">
        <v>83</v>
      </c>
      <c r="M1500" s="453" t="s">
        <v>4375</v>
      </c>
      <c r="N1500" s="186" t="s">
        <v>122</v>
      </c>
      <c r="O1500" s="186" t="s">
        <v>292</v>
      </c>
      <c r="P1500" s="186" t="s">
        <v>292</v>
      </c>
      <c r="Q1500" s="186" t="s">
        <v>122</v>
      </c>
      <c r="R1500" s="186" t="s">
        <v>122</v>
      </c>
      <c r="S1500" s="186" t="s">
        <v>122</v>
      </c>
      <c r="T1500" s="186" t="s">
        <v>292</v>
      </c>
      <c r="U1500" s="186" t="s">
        <v>292</v>
      </c>
      <c r="V1500" s="186" t="s">
        <v>292</v>
      </c>
      <c r="W1500" s="186" t="s">
        <v>292</v>
      </c>
      <c r="X1500" s="186" t="s">
        <v>292</v>
      </c>
      <c r="Y1500" s="186" t="s">
        <v>292</v>
      </c>
      <c r="Z1500" s="186"/>
      <c r="AA1500" s="186"/>
      <c r="AB1500" s="186"/>
      <c r="AC1500" s="186"/>
      <c r="AD1500" s="268" t="s">
        <v>3776</v>
      </c>
      <c r="AE1500" s="268"/>
      <c r="AF1500" s="144" t="str">
        <f t="shared" si="131"/>
        <v/>
      </c>
      <c r="AG1500" s="144" t="str">
        <f t="shared" si="137"/>
        <v/>
      </c>
      <c r="AH1500" s="146">
        <f t="shared" si="133"/>
        <v>1.7400000000000002</v>
      </c>
      <c r="AI1500" s="146">
        <f t="shared" si="134"/>
        <v>2.31</v>
      </c>
      <c r="AJ1500" s="309"/>
      <c r="AK1500" s="309"/>
      <c r="AL1500" s="309"/>
      <c r="AM1500" s="309"/>
      <c r="AN1500" s="309"/>
      <c r="AO1500" s="309"/>
      <c r="AP1500" s="309"/>
      <c r="AQ1500" s="309"/>
      <c r="AR1500" s="320"/>
      <c r="AS1500" s="237"/>
      <c r="AT1500" s="238">
        <v>45.7</v>
      </c>
      <c r="AU1500" s="320"/>
      <c r="AV1500" s="346"/>
      <c r="AW1500" s="357">
        <f>1.1+0.64</f>
        <v>1.7400000000000002</v>
      </c>
      <c r="AX1500" s="294"/>
      <c r="AY1500" s="294">
        <v>0.56999999999999995</v>
      </c>
      <c r="AZ1500" s="294">
        <v>0.13</v>
      </c>
      <c r="BA1500" s="294">
        <v>1.34</v>
      </c>
      <c r="BB1500" s="294"/>
      <c r="BC1500" s="294"/>
      <c r="BD1500" s="294"/>
      <c r="BE1500" s="294"/>
      <c r="BF1500" s="383">
        <f t="shared" si="135"/>
        <v>1.7400000000000002</v>
      </c>
      <c r="BG1500" s="383">
        <f t="shared" si="136"/>
        <v>3.7800000000000002</v>
      </c>
      <c r="BH1500" s="375"/>
      <c r="BI1500" s="376"/>
      <c r="BJ1500" s="409"/>
    </row>
    <row r="1501" spans="1:62" ht="15" customHeight="1" thickBot="1" x14ac:dyDescent="0.25">
      <c r="A1501" s="156">
        <v>1502</v>
      </c>
      <c r="B1501" s="247">
        <v>1</v>
      </c>
      <c r="C1501" s="148" t="s">
        <v>975</v>
      </c>
      <c r="D1501" s="148" t="s">
        <v>1986</v>
      </c>
      <c r="E1501" s="148"/>
      <c r="F1501" s="148" t="s">
        <v>3789</v>
      </c>
      <c r="G1501" s="148"/>
      <c r="H1501" s="148" t="s">
        <v>1064</v>
      </c>
      <c r="I1501" s="161">
        <v>2009</v>
      </c>
      <c r="J1501" s="161" t="s">
        <v>3775</v>
      </c>
      <c r="K1501" s="161"/>
      <c r="L1501" s="161" t="s">
        <v>83</v>
      </c>
      <c r="M1501" s="453" t="s">
        <v>4375</v>
      </c>
      <c r="N1501" s="186" t="s">
        <v>122</v>
      </c>
      <c r="O1501" s="186" t="s">
        <v>292</v>
      </c>
      <c r="P1501" s="186" t="s">
        <v>292</v>
      </c>
      <c r="Q1501" s="186" t="s">
        <v>122</v>
      </c>
      <c r="R1501" s="186" t="s">
        <v>122</v>
      </c>
      <c r="S1501" s="186" t="s">
        <v>122</v>
      </c>
      <c r="T1501" s="186" t="s">
        <v>292</v>
      </c>
      <c r="U1501" s="186" t="s">
        <v>292</v>
      </c>
      <c r="V1501" s="186" t="s">
        <v>292</v>
      </c>
      <c r="W1501" s="186" t="s">
        <v>292</v>
      </c>
      <c r="X1501" s="186" t="s">
        <v>292</v>
      </c>
      <c r="Y1501" s="186" t="s">
        <v>292</v>
      </c>
      <c r="Z1501" s="186"/>
      <c r="AA1501" s="186"/>
      <c r="AB1501" s="186"/>
      <c r="AC1501" s="186"/>
      <c r="AD1501" s="268" t="s">
        <v>3776</v>
      </c>
      <c r="AE1501" s="268"/>
      <c r="AF1501" s="144" t="str">
        <f t="shared" si="131"/>
        <v/>
      </c>
      <c r="AG1501" s="144" t="str">
        <f t="shared" si="137"/>
        <v/>
      </c>
      <c r="AH1501" s="146">
        <f t="shared" si="133"/>
        <v>1.7000000000000002</v>
      </c>
      <c r="AI1501" s="146">
        <f t="shared" si="134"/>
        <v>1.9100000000000001</v>
      </c>
      <c r="AJ1501" s="309"/>
      <c r="AK1501" s="309"/>
      <c r="AL1501" s="309"/>
      <c r="AM1501" s="309"/>
      <c r="AN1501" s="309"/>
      <c r="AO1501" s="309"/>
      <c r="AP1501" s="309"/>
      <c r="AQ1501" s="309"/>
      <c r="AR1501" s="320"/>
      <c r="AS1501" s="237"/>
      <c r="AT1501" s="238">
        <v>26.6</v>
      </c>
      <c r="AU1501" s="320"/>
      <c r="AV1501" s="346"/>
      <c r="AW1501" s="357">
        <f>1.08+0.62</f>
        <v>1.7000000000000002</v>
      </c>
      <c r="AX1501" s="294"/>
      <c r="AY1501" s="294">
        <v>0.21</v>
      </c>
      <c r="AZ1501" s="294">
        <v>0.05</v>
      </c>
      <c r="BA1501" s="294">
        <v>0.24</v>
      </c>
      <c r="BB1501" s="294"/>
      <c r="BC1501" s="294"/>
      <c r="BD1501" s="294"/>
      <c r="BE1501" s="294"/>
      <c r="BF1501" s="383">
        <f t="shared" si="135"/>
        <v>1.7000000000000002</v>
      </c>
      <c r="BG1501" s="383">
        <f t="shared" si="136"/>
        <v>2.2000000000000002</v>
      </c>
      <c r="BH1501" s="375"/>
      <c r="BI1501" s="376"/>
      <c r="BJ1501" s="409"/>
    </row>
    <row r="1502" spans="1:62" ht="15" customHeight="1" thickBot="1" x14ac:dyDescent="0.25">
      <c r="A1502" s="156">
        <v>1503</v>
      </c>
      <c r="B1502" s="247">
        <v>1</v>
      </c>
      <c r="C1502" s="148" t="s">
        <v>975</v>
      </c>
      <c r="D1502" s="148" t="s">
        <v>1986</v>
      </c>
      <c r="E1502" s="148"/>
      <c r="F1502" s="148" t="s">
        <v>3790</v>
      </c>
      <c r="G1502" s="148"/>
      <c r="H1502" s="148" t="s">
        <v>1064</v>
      </c>
      <c r="I1502" s="161">
        <v>2009</v>
      </c>
      <c r="J1502" s="161" t="s">
        <v>3775</v>
      </c>
      <c r="K1502" s="161"/>
      <c r="L1502" s="161" t="s">
        <v>83</v>
      </c>
      <c r="M1502" s="453" t="s">
        <v>4375</v>
      </c>
      <c r="N1502" s="186" t="s">
        <v>122</v>
      </c>
      <c r="O1502" s="186" t="s">
        <v>292</v>
      </c>
      <c r="P1502" s="186" t="s">
        <v>292</v>
      </c>
      <c r="Q1502" s="186" t="s">
        <v>122</v>
      </c>
      <c r="R1502" s="186" t="s">
        <v>122</v>
      </c>
      <c r="S1502" s="186" t="s">
        <v>122</v>
      </c>
      <c r="T1502" s="186" t="s">
        <v>292</v>
      </c>
      <c r="U1502" s="186" t="s">
        <v>292</v>
      </c>
      <c r="V1502" s="186" t="s">
        <v>292</v>
      </c>
      <c r="W1502" s="186" t="s">
        <v>292</v>
      </c>
      <c r="X1502" s="186" t="s">
        <v>292</v>
      </c>
      <c r="Y1502" s="186" t="s">
        <v>292</v>
      </c>
      <c r="Z1502" s="186"/>
      <c r="AA1502" s="186"/>
      <c r="AB1502" s="186"/>
      <c r="AC1502" s="186"/>
      <c r="AD1502" s="268" t="s">
        <v>3776</v>
      </c>
      <c r="AE1502" s="268"/>
      <c r="AF1502" s="144" t="str">
        <f t="shared" si="131"/>
        <v/>
      </c>
      <c r="AG1502" s="144" t="str">
        <f t="shared" si="137"/>
        <v/>
      </c>
      <c r="AH1502" s="146">
        <f t="shared" si="133"/>
        <v>1.7000000000000002</v>
      </c>
      <c r="AI1502" s="146">
        <f t="shared" si="134"/>
        <v>2.06</v>
      </c>
      <c r="AJ1502" s="309"/>
      <c r="AK1502" s="309"/>
      <c r="AL1502" s="309"/>
      <c r="AM1502" s="309"/>
      <c r="AN1502" s="309"/>
      <c r="AO1502" s="309"/>
      <c r="AP1502" s="309"/>
      <c r="AQ1502" s="309"/>
      <c r="AR1502" s="320"/>
      <c r="AS1502" s="237"/>
      <c r="AT1502" s="238">
        <v>28</v>
      </c>
      <c r="AU1502" s="320"/>
      <c r="AV1502" s="346"/>
      <c r="AW1502" s="357">
        <f>1.08+0.62</f>
        <v>1.7000000000000002</v>
      </c>
      <c r="AX1502" s="294"/>
      <c r="AY1502" s="294">
        <v>0.36</v>
      </c>
      <c r="AZ1502" s="294">
        <v>0.03</v>
      </c>
      <c r="BA1502" s="294">
        <v>0.17</v>
      </c>
      <c r="BB1502" s="294"/>
      <c r="BC1502" s="294"/>
      <c r="BD1502" s="294"/>
      <c r="BE1502" s="294"/>
      <c r="BF1502" s="383">
        <f t="shared" si="135"/>
        <v>1.7000000000000002</v>
      </c>
      <c r="BG1502" s="383">
        <f t="shared" si="136"/>
        <v>2.2599999999999998</v>
      </c>
      <c r="BH1502" s="375"/>
      <c r="BI1502" s="376"/>
      <c r="BJ1502" s="409"/>
    </row>
    <row r="1503" spans="1:62" ht="15" customHeight="1" thickBot="1" x14ac:dyDescent="0.25">
      <c r="A1503" s="156">
        <v>1504</v>
      </c>
      <c r="B1503" s="247">
        <v>1</v>
      </c>
      <c r="C1503" s="148" t="s">
        <v>975</v>
      </c>
      <c r="D1503" s="148" t="s">
        <v>1986</v>
      </c>
      <c r="E1503" s="148"/>
      <c r="F1503" s="148" t="s">
        <v>3791</v>
      </c>
      <c r="G1503" s="148"/>
      <c r="H1503" s="148" t="s">
        <v>1064</v>
      </c>
      <c r="I1503" s="161">
        <v>2009</v>
      </c>
      <c r="J1503" s="161" t="s">
        <v>3775</v>
      </c>
      <c r="K1503" s="161"/>
      <c r="L1503" s="161" t="s">
        <v>83</v>
      </c>
      <c r="M1503" s="453" t="s">
        <v>4375</v>
      </c>
      <c r="N1503" s="186" t="s">
        <v>122</v>
      </c>
      <c r="O1503" s="186" t="s">
        <v>292</v>
      </c>
      <c r="P1503" s="186" t="s">
        <v>292</v>
      </c>
      <c r="Q1503" s="186" t="s">
        <v>122</v>
      </c>
      <c r="R1503" s="186" t="s">
        <v>122</v>
      </c>
      <c r="S1503" s="186" t="s">
        <v>122</v>
      </c>
      <c r="T1503" s="186" t="s">
        <v>292</v>
      </c>
      <c r="U1503" s="186" t="s">
        <v>292</v>
      </c>
      <c r="V1503" s="186" t="s">
        <v>292</v>
      </c>
      <c r="W1503" s="186" t="s">
        <v>292</v>
      </c>
      <c r="X1503" s="186" t="s">
        <v>292</v>
      </c>
      <c r="Y1503" s="186" t="s">
        <v>292</v>
      </c>
      <c r="Z1503" s="186"/>
      <c r="AA1503" s="186"/>
      <c r="AB1503" s="186"/>
      <c r="AC1503" s="186"/>
      <c r="AD1503" s="268" t="s">
        <v>3776</v>
      </c>
      <c r="AE1503" s="268"/>
      <c r="AF1503" s="144" t="str">
        <f t="shared" si="131"/>
        <v/>
      </c>
      <c r="AG1503" s="144" t="str">
        <f t="shared" si="137"/>
        <v/>
      </c>
      <c r="AH1503" s="146">
        <f t="shared" si="133"/>
        <v>2.13</v>
      </c>
      <c r="AI1503" s="146">
        <f t="shared" si="134"/>
        <v>2.2999999999999998</v>
      </c>
      <c r="AJ1503" s="309"/>
      <c r="AK1503" s="309"/>
      <c r="AL1503" s="309"/>
      <c r="AM1503" s="309"/>
      <c r="AN1503" s="309"/>
      <c r="AO1503" s="309"/>
      <c r="AP1503" s="309"/>
      <c r="AQ1503" s="309"/>
      <c r="AR1503" s="320"/>
      <c r="AS1503" s="237"/>
      <c r="AT1503" s="238">
        <v>32.700000000000003</v>
      </c>
      <c r="AU1503" s="320"/>
      <c r="AV1503" s="346"/>
      <c r="AW1503" s="357">
        <f>1.44+0.69</f>
        <v>2.13</v>
      </c>
      <c r="AX1503" s="294"/>
      <c r="AY1503" s="294">
        <v>0.17</v>
      </c>
      <c r="AZ1503" s="294">
        <v>7.0000000000000007E-2</v>
      </c>
      <c r="BA1503" s="294">
        <v>0.19</v>
      </c>
      <c r="BB1503" s="294"/>
      <c r="BC1503" s="294"/>
      <c r="BD1503" s="294"/>
      <c r="BE1503" s="294"/>
      <c r="BF1503" s="383">
        <f t="shared" si="135"/>
        <v>2.13</v>
      </c>
      <c r="BG1503" s="383">
        <f t="shared" si="136"/>
        <v>2.5599999999999996</v>
      </c>
      <c r="BH1503" s="375"/>
      <c r="BI1503" s="376"/>
      <c r="BJ1503" s="409"/>
    </row>
    <row r="1504" spans="1:62" ht="15" customHeight="1" thickBot="1" x14ac:dyDescent="0.25">
      <c r="A1504" s="156">
        <v>1505</v>
      </c>
      <c r="B1504" s="247">
        <v>1</v>
      </c>
      <c r="C1504" s="148" t="s">
        <v>975</v>
      </c>
      <c r="D1504" s="148" t="s">
        <v>1986</v>
      </c>
      <c r="E1504" s="148"/>
      <c r="F1504" s="148" t="s">
        <v>3792</v>
      </c>
      <c r="G1504" s="148"/>
      <c r="H1504" s="148" t="s">
        <v>1064</v>
      </c>
      <c r="I1504" s="161">
        <v>2009</v>
      </c>
      <c r="J1504" s="161" t="s">
        <v>3775</v>
      </c>
      <c r="K1504" s="161"/>
      <c r="L1504" s="161" t="s">
        <v>83</v>
      </c>
      <c r="M1504" s="453" t="s">
        <v>4375</v>
      </c>
      <c r="N1504" s="186" t="s">
        <v>122</v>
      </c>
      <c r="O1504" s="186" t="s">
        <v>292</v>
      </c>
      <c r="P1504" s="186" t="s">
        <v>292</v>
      </c>
      <c r="Q1504" s="186" t="s">
        <v>122</v>
      </c>
      <c r="R1504" s="186" t="s">
        <v>122</v>
      </c>
      <c r="S1504" s="186" t="s">
        <v>122</v>
      </c>
      <c r="T1504" s="186" t="s">
        <v>292</v>
      </c>
      <c r="U1504" s="186" t="s">
        <v>292</v>
      </c>
      <c r="V1504" s="186" t="s">
        <v>292</v>
      </c>
      <c r="W1504" s="186" t="s">
        <v>292</v>
      </c>
      <c r="X1504" s="186" t="s">
        <v>292</v>
      </c>
      <c r="Y1504" s="186" t="s">
        <v>292</v>
      </c>
      <c r="Z1504" s="186"/>
      <c r="AA1504" s="186"/>
      <c r="AB1504" s="186"/>
      <c r="AC1504" s="186"/>
      <c r="AD1504" s="268" t="s">
        <v>3776</v>
      </c>
      <c r="AE1504" s="268"/>
      <c r="AF1504" s="144" t="str">
        <f t="shared" si="131"/>
        <v/>
      </c>
      <c r="AG1504" s="144" t="str">
        <f t="shared" si="137"/>
        <v/>
      </c>
      <c r="AH1504" s="146">
        <f t="shared" si="133"/>
        <v>3.33</v>
      </c>
      <c r="AI1504" s="146">
        <f t="shared" si="134"/>
        <v>3.36</v>
      </c>
      <c r="AJ1504" s="309"/>
      <c r="AK1504" s="309"/>
      <c r="AL1504" s="309"/>
      <c r="AM1504" s="309"/>
      <c r="AN1504" s="309"/>
      <c r="AO1504" s="309"/>
      <c r="AP1504" s="309"/>
      <c r="AQ1504" s="309"/>
      <c r="AR1504" s="320"/>
      <c r="AS1504" s="237"/>
      <c r="AT1504" s="238">
        <v>40.9</v>
      </c>
      <c r="AU1504" s="320"/>
      <c r="AV1504" s="346"/>
      <c r="AW1504" s="357">
        <f>2.26+1.07</f>
        <v>3.33</v>
      </c>
      <c r="AX1504" s="294"/>
      <c r="AY1504" s="294">
        <v>0.03</v>
      </c>
      <c r="AZ1504" s="294">
        <v>0.16</v>
      </c>
      <c r="BA1504" s="294">
        <v>0.2</v>
      </c>
      <c r="BB1504" s="294"/>
      <c r="BC1504" s="294"/>
      <c r="BD1504" s="294"/>
      <c r="BE1504" s="294"/>
      <c r="BF1504" s="383">
        <f t="shared" si="135"/>
        <v>3.33</v>
      </c>
      <c r="BG1504" s="383">
        <f t="shared" si="136"/>
        <v>3.72</v>
      </c>
      <c r="BH1504" s="375"/>
      <c r="BI1504" s="376"/>
      <c r="BJ1504" s="409"/>
    </row>
    <row r="1505" spans="1:62" ht="15" customHeight="1" thickBot="1" x14ac:dyDescent="0.25">
      <c r="A1505" s="156">
        <v>1506</v>
      </c>
      <c r="B1505" s="247">
        <v>1</v>
      </c>
      <c r="C1505" s="148" t="s">
        <v>975</v>
      </c>
      <c r="D1505" s="148" t="s">
        <v>1986</v>
      </c>
      <c r="E1505" s="148"/>
      <c r="F1505" s="148" t="s">
        <v>3793</v>
      </c>
      <c r="G1505" s="148"/>
      <c r="H1505" s="148" t="s">
        <v>1064</v>
      </c>
      <c r="I1505" s="161">
        <v>2009</v>
      </c>
      <c r="J1505" s="161" t="s">
        <v>3775</v>
      </c>
      <c r="K1505" s="161"/>
      <c r="L1505" s="161" t="s">
        <v>83</v>
      </c>
      <c r="M1505" s="453" t="s">
        <v>4375</v>
      </c>
      <c r="N1505" s="186" t="s">
        <v>122</v>
      </c>
      <c r="O1505" s="186" t="s">
        <v>292</v>
      </c>
      <c r="P1505" s="186" t="s">
        <v>292</v>
      </c>
      <c r="Q1505" s="186" t="s">
        <v>122</v>
      </c>
      <c r="R1505" s="186" t="s">
        <v>122</v>
      </c>
      <c r="S1505" s="186" t="s">
        <v>122</v>
      </c>
      <c r="T1505" s="186" t="s">
        <v>292</v>
      </c>
      <c r="U1505" s="186" t="s">
        <v>292</v>
      </c>
      <c r="V1505" s="186" t="s">
        <v>292</v>
      </c>
      <c r="W1505" s="186" t="s">
        <v>292</v>
      </c>
      <c r="X1505" s="186" t="s">
        <v>292</v>
      </c>
      <c r="Y1505" s="186" t="s">
        <v>292</v>
      </c>
      <c r="Z1505" s="186"/>
      <c r="AA1505" s="186"/>
      <c r="AB1505" s="186"/>
      <c r="AC1505" s="186"/>
      <c r="AD1505" s="268" t="s">
        <v>3776</v>
      </c>
      <c r="AE1505" s="268"/>
      <c r="AF1505" s="144" t="str">
        <f t="shared" si="131"/>
        <v/>
      </c>
      <c r="AG1505" s="144" t="str">
        <f t="shared" si="137"/>
        <v/>
      </c>
      <c r="AH1505" s="146">
        <f t="shared" si="133"/>
        <v>3.33</v>
      </c>
      <c r="AI1505" s="146" t="str">
        <f t="shared" si="134"/>
        <v/>
      </c>
      <c r="AJ1505" s="309"/>
      <c r="AK1505" s="309"/>
      <c r="AL1505" s="309"/>
      <c r="AM1505" s="309"/>
      <c r="AN1505" s="309"/>
      <c r="AO1505" s="309"/>
      <c r="AP1505" s="309"/>
      <c r="AQ1505" s="309"/>
      <c r="AR1505" s="320"/>
      <c r="AS1505" s="237"/>
      <c r="AT1505" s="238">
        <v>44.7</v>
      </c>
      <c r="AU1505" s="320"/>
      <c r="AV1505" s="346"/>
      <c r="AW1505" s="357">
        <f>2.26+1.07</f>
        <v>3.33</v>
      </c>
      <c r="AX1505" s="294"/>
      <c r="AY1505" s="294">
        <v>0</v>
      </c>
      <c r="AZ1505" s="294">
        <v>0.21</v>
      </c>
      <c r="BA1505" s="294">
        <v>0.3</v>
      </c>
      <c r="BB1505" s="294"/>
      <c r="BC1505" s="294"/>
      <c r="BD1505" s="294"/>
      <c r="BE1505" s="294"/>
      <c r="BF1505" s="383">
        <f t="shared" si="135"/>
        <v>3.33</v>
      </c>
      <c r="BG1505" s="383">
        <f t="shared" si="136"/>
        <v>3.84</v>
      </c>
      <c r="BH1505" s="375"/>
      <c r="BI1505" s="376"/>
      <c r="BJ1505" s="409"/>
    </row>
    <row r="1506" spans="1:62" ht="15" customHeight="1" thickBot="1" x14ac:dyDescent="0.25">
      <c r="A1506" s="156">
        <v>1507</v>
      </c>
      <c r="B1506" s="247">
        <v>1</v>
      </c>
      <c r="C1506" s="148" t="s">
        <v>975</v>
      </c>
      <c r="D1506" s="148" t="s">
        <v>1986</v>
      </c>
      <c r="E1506" s="148"/>
      <c r="F1506" s="148" t="s">
        <v>3794</v>
      </c>
      <c r="G1506" s="148"/>
      <c r="H1506" s="148" t="s">
        <v>1064</v>
      </c>
      <c r="I1506" s="161">
        <v>2009</v>
      </c>
      <c r="J1506" s="161" t="s">
        <v>3775</v>
      </c>
      <c r="K1506" s="161"/>
      <c r="L1506" s="161" t="s">
        <v>83</v>
      </c>
      <c r="M1506" s="453" t="s">
        <v>4375</v>
      </c>
      <c r="N1506" s="186" t="s">
        <v>122</v>
      </c>
      <c r="O1506" s="186" t="s">
        <v>292</v>
      </c>
      <c r="P1506" s="186" t="s">
        <v>292</v>
      </c>
      <c r="Q1506" s="186" t="s">
        <v>122</v>
      </c>
      <c r="R1506" s="186" t="s">
        <v>122</v>
      </c>
      <c r="S1506" s="186" t="s">
        <v>122</v>
      </c>
      <c r="T1506" s="186" t="s">
        <v>292</v>
      </c>
      <c r="U1506" s="186" t="s">
        <v>292</v>
      </c>
      <c r="V1506" s="186" t="s">
        <v>292</v>
      </c>
      <c r="W1506" s="186" t="s">
        <v>292</v>
      </c>
      <c r="X1506" s="186" t="s">
        <v>292</v>
      </c>
      <c r="Y1506" s="186" t="s">
        <v>292</v>
      </c>
      <c r="Z1506" s="186"/>
      <c r="AA1506" s="186"/>
      <c r="AB1506" s="186"/>
      <c r="AC1506" s="186"/>
      <c r="AD1506" s="268" t="s">
        <v>3776</v>
      </c>
      <c r="AE1506" s="268"/>
      <c r="AF1506" s="144" t="str">
        <f t="shared" si="131"/>
        <v/>
      </c>
      <c r="AG1506" s="144" t="str">
        <f t="shared" si="137"/>
        <v/>
      </c>
      <c r="AH1506" s="146">
        <f t="shared" si="133"/>
        <v>0.52</v>
      </c>
      <c r="AI1506" s="146">
        <f t="shared" si="134"/>
        <v>0.61</v>
      </c>
      <c r="AJ1506" s="309"/>
      <c r="AK1506" s="309"/>
      <c r="AL1506" s="309"/>
      <c r="AM1506" s="309"/>
      <c r="AN1506" s="309"/>
      <c r="AO1506" s="309"/>
      <c r="AP1506" s="309"/>
      <c r="AQ1506" s="309"/>
      <c r="AR1506" s="320"/>
      <c r="AS1506" s="237"/>
      <c r="AT1506" s="238">
        <v>16.100000000000001</v>
      </c>
      <c r="AU1506" s="320"/>
      <c r="AV1506" s="346"/>
      <c r="AW1506" s="357">
        <f>0.45+0.07</f>
        <v>0.52</v>
      </c>
      <c r="AX1506" s="294"/>
      <c r="AY1506" s="294">
        <v>0.09</v>
      </c>
      <c r="AZ1506" s="294">
        <v>0.12</v>
      </c>
      <c r="BA1506" s="294">
        <v>0.24</v>
      </c>
      <c r="BB1506" s="294"/>
      <c r="BC1506" s="294"/>
      <c r="BD1506" s="294"/>
      <c r="BE1506" s="294"/>
      <c r="BF1506" s="383">
        <f t="shared" si="135"/>
        <v>0.52</v>
      </c>
      <c r="BG1506" s="383">
        <f t="shared" si="136"/>
        <v>0.97</v>
      </c>
      <c r="BH1506" s="375"/>
      <c r="BI1506" s="376"/>
      <c r="BJ1506" s="409"/>
    </row>
    <row r="1507" spans="1:62" ht="15" customHeight="1" thickBot="1" x14ac:dyDescent="0.25">
      <c r="A1507" s="156">
        <v>1508</v>
      </c>
      <c r="B1507" s="247">
        <v>1</v>
      </c>
      <c r="C1507" s="148" t="s">
        <v>975</v>
      </c>
      <c r="D1507" s="148" t="s">
        <v>1986</v>
      </c>
      <c r="E1507" s="148"/>
      <c r="F1507" s="148" t="s">
        <v>3795</v>
      </c>
      <c r="G1507" s="148"/>
      <c r="H1507" s="148" t="s">
        <v>1064</v>
      </c>
      <c r="I1507" s="161">
        <v>2009</v>
      </c>
      <c r="J1507" s="161" t="s">
        <v>3775</v>
      </c>
      <c r="K1507" s="161"/>
      <c r="L1507" s="161" t="s">
        <v>83</v>
      </c>
      <c r="M1507" s="453" t="s">
        <v>4375</v>
      </c>
      <c r="N1507" s="186" t="s">
        <v>122</v>
      </c>
      <c r="O1507" s="186" t="s">
        <v>292</v>
      </c>
      <c r="P1507" s="186" t="s">
        <v>292</v>
      </c>
      <c r="Q1507" s="186" t="s">
        <v>122</v>
      </c>
      <c r="R1507" s="186" t="s">
        <v>122</v>
      </c>
      <c r="S1507" s="186" t="s">
        <v>122</v>
      </c>
      <c r="T1507" s="186" t="s">
        <v>292</v>
      </c>
      <c r="U1507" s="186" t="s">
        <v>292</v>
      </c>
      <c r="V1507" s="186" t="s">
        <v>292</v>
      </c>
      <c r="W1507" s="186" t="s">
        <v>292</v>
      </c>
      <c r="X1507" s="186" t="s">
        <v>292</v>
      </c>
      <c r="Y1507" s="186" t="s">
        <v>292</v>
      </c>
      <c r="Z1507" s="186"/>
      <c r="AA1507" s="186"/>
      <c r="AB1507" s="186"/>
      <c r="AC1507" s="186"/>
      <c r="AD1507" s="268" t="s">
        <v>3776</v>
      </c>
      <c r="AE1507" s="268"/>
      <c r="AF1507" s="144" t="str">
        <f t="shared" si="131"/>
        <v/>
      </c>
      <c r="AG1507" s="144" t="str">
        <f t="shared" si="137"/>
        <v/>
      </c>
      <c r="AH1507" s="146">
        <f t="shared" si="133"/>
        <v>0.32</v>
      </c>
      <c r="AI1507" s="146">
        <f t="shared" si="134"/>
        <v>0.48</v>
      </c>
      <c r="AJ1507" s="309"/>
      <c r="AK1507" s="309"/>
      <c r="AL1507" s="309"/>
      <c r="AM1507" s="309"/>
      <c r="AN1507" s="309"/>
      <c r="AO1507" s="309"/>
      <c r="AP1507" s="309"/>
      <c r="AQ1507" s="309"/>
      <c r="AR1507" s="320"/>
      <c r="AS1507" s="237"/>
      <c r="AT1507" s="238">
        <v>23.8</v>
      </c>
      <c r="AU1507" s="320"/>
      <c r="AV1507" s="346"/>
      <c r="AW1507" s="357">
        <f>0.28+0.04</f>
        <v>0.32</v>
      </c>
      <c r="AX1507" s="294"/>
      <c r="AY1507" s="294">
        <v>0.16</v>
      </c>
      <c r="AZ1507" s="294">
        <v>7.0000000000000007E-2</v>
      </c>
      <c r="BA1507" s="294">
        <v>0.83</v>
      </c>
      <c r="BB1507" s="294"/>
      <c r="BC1507" s="294"/>
      <c r="BD1507" s="294"/>
      <c r="BE1507" s="294"/>
      <c r="BF1507" s="383">
        <f t="shared" si="135"/>
        <v>0.32</v>
      </c>
      <c r="BG1507" s="383">
        <f t="shared" si="136"/>
        <v>1.38</v>
      </c>
      <c r="BH1507" s="375"/>
      <c r="BI1507" s="376"/>
      <c r="BJ1507" s="409"/>
    </row>
    <row r="1508" spans="1:62" ht="15" customHeight="1" thickBot="1" x14ac:dyDescent="0.25">
      <c r="A1508" s="156">
        <v>1509</v>
      </c>
      <c r="B1508" s="247">
        <v>1</v>
      </c>
      <c r="C1508" s="148" t="s">
        <v>975</v>
      </c>
      <c r="D1508" s="148" t="s">
        <v>1986</v>
      </c>
      <c r="E1508" s="148"/>
      <c r="F1508" s="148" t="s">
        <v>3796</v>
      </c>
      <c r="G1508" s="148"/>
      <c r="H1508" s="148" t="s">
        <v>1064</v>
      </c>
      <c r="I1508" s="161">
        <v>2009</v>
      </c>
      <c r="J1508" s="161" t="s">
        <v>3775</v>
      </c>
      <c r="K1508" s="161"/>
      <c r="L1508" s="161" t="s">
        <v>83</v>
      </c>
      <c r="M1508" s="453" t="s">
        <v>4375</v>
      </c>
      <c r="N1508" s="186" t="s">
        <v>122</v>
      </c>
      <c r="O1508" s="186" t="s">
        <v>292</v>
      </c>
      <c r="P1508" s="186" t="s">
        <v>292</v>
      </c>
      <c r="Q1508" s="186" t="s">
        <v>122</v>
      </c>
      <c r="R1508" s="186" t="s">
        <v>122</v>
      </c>
      <c r="S1508" s="186" t="s">
        <v>122</v>
      </c>
      <c r="T1508" s="186" t="s">
        <v>292</v>
      </c>
      <c r="U1508" s="186" t="s">
        <v>292</v>
      </c>
      <c r="V1508" s="186" t="s">
        <v>292</v>
      </c>
      <c r="W1508" s="186" t="s">
        <v>292</v>
      </c>
      <c r="X1508" s="186" t="s">
        <v>292</v>
      </c>
      <c r="Y1508" s="186" t="s">
        <v>292</v>
      </c>
      <c r="Z1508" s="186"/>
      <c r="AA1508" s="186"/>
      <c r="AB1508" s="186"/>
      <c r="AC1508" s="186"/>
      <c r="AD1508" s="268" t="s">
        <v>3776</v>
      </c>
      <c r="AE1508" s="268"/>
      <c r="AF1508" s="144" t="str">
        <f t="shared" si="131"/>
        <v/>
      </c>
      <c r="AG1508" s="144" t="str">
        <f t="shared" si="137"/>
        <v/>
      </c>
      <c r="AH1508" s="146">
        <f t="shared" si="133"/>
        <v>0.54</v>
      </c>
      <c r="AI1508" s="146">
        <f t="shared" si="134"/>
        <v>0.63</v>
      </c>
      <c r="AJ1508" s="309"/>
      <c r="AK1508" s="309"/>
      <c r="AL1508" s="309"/>
      <c r="AM1508" s="309"/>
      <c r="AN1508" s="309"/>
      <c r="AO1508" s="309"/>
      <c r="AP1508" s="309"/>
      <c r="AQ1508" s="309"/>
      <c r="AR1508" s="320"/>
      <c r="AS1508" s="237"/>
      <c r="AT1508" s="238">
        <v>29</v>
      </c>
      <c r="AU1508" s="320"/>
      <c r="AV1508" s="346"/>
      <c r="AW1508" s="357">
        <f>0.47+0.07</f>
        <v>0.54</v>
      </c>
      <c r="AX1508" s="294"/>
      <c r="AY1508" s="294">
        <v>0.09</v>
      </c>
      <c r="AZ1508" s="294">
        <v>0.12</v>
      </c>
      <c r="BA1508" s="294">
        <v>1.18</v>
      </c>
      <c r="BB1508" s="294"/>
      <c r="BC1508" s="294"/>
      <c r="BD1508" s="294"/>
      <c r="BE1508" s="294"/>
      <c r="BF1508" s="383">
        <f t="shared" si="135"/>
        <v>0.54</v>
      </c>
      <c r="BG1508" s="383">
        <f t="shared" si="136"/>
        <v>1.93</v>
      </c>
      <c r="BH1508" s="375"/>
      <c r="BI1508" s="376"/>
      <c r="BJ1508" s="409"/>
    </row>
    <row r="1509" spans="1:62" ht="15" customHeight="1" thickBot="1" x14ac:dyDescent="0.25">
      <c r="A1509" s="156">
        <v>1510</v>
      </c>
      <c r="B1509" s="247">
        <v>1</v>
      </c>
      <c r="C1509" s="148" t="s">
        <v>975</v>
      </c>
      <c r="D1509" s="148" t="s">
        <v>1986</v>
      </c>
      <c r="E1509" s="148"/>
      <c r="F1509" s="148" t="s">
        <v>3797</v>
      </c>
      <c r="G1509" s="148"/>
      <c r="H1509" s="148" t="s">
        <v>1064</v>
      </c>
      <c r="I1509" s="161">
        <v>2009</v>
      </c>
      <c r="J1509" s="161" t="s">
        <v>3775</v>
      </c>
      <c r="K1509" s="161"/>
      <c r="L1509" s="161" t="s">
        <v>83</v>
      </c>
      <c r="M1509" s="453" t="s">
        <v>4376</v>
      </c>
      <c r="N1509" s="186" t="s">
        <v>122</v>
      </c>
      <c r="O1509" s="186" t="s">
        <v>292</v>
      </c>
      <c r="P1509" s="186" t="s">
        <v>292</v>
      </c>
      <c r="Q1509" s="186" t="s">
        <v>122</v>
      </c>
      <c r="R1509" s="186" t="s">
        <v>122</v>
      </c>
      <c r="S1509" s="186" t="s">
        <v>122</v>
      </c>
      <c r="T1509" s="186" t="s">
        <v>292</v>
      </c>
      <c r="U1509" s="186" t="s">
        <v>292</v>
      </c>
      <c r="V1509" s="186" t="s">
        <v>292</v>
      </c>
      <c r="W1509" s="186" t="s">
        <v>292</v>
      </c>
      <c r="X1509" s="186" t="s">
        <v>292</v>
      </c>
      <c r="Y1509" s="186" t="s">
        <v>292</v>
      </c>
      <c r="Z1509" s="186"/>
      <c r="AA1509" s="186"/>
      <c r="AB1509" s="186"/>
      <c r="AC1509" s="186"/>
      <c r="AD1509" s="268" t="s">
        <v>3776</v>
      </c>
      <c r="AE1509" s="268"/>
      <c r="AF1509" s="144" t="str">
        <f t="shared" si="131"/>
        <v/>
      </c>
      <c r="AG1509" s="144" t="str">
        <f t="shared" si="137"/>
        <v/>
      </c>
      <c r="AH1509" s="146">
        <f t="shared" si="133"/>
        <v>0.54</v>
      </c>
      <c r="AI1509" s="146">
        <f t="shared" si="134"/>
        <v>0.63</v>
      </c>
      <c r="AJ1509" s="309"/>
      <c r="AK1509" s="309"/>
      <c r="AL1509" s="309"/>
      <c r="AM1509" s="309"/>
      <c r="AN1509" s="309"/>
      <c r="AO1509" s="309"/>
      <c r="AP1509" s="309"/>
      <c r="AQ1509" s="309"/>
      <c r="AR1509" s="320"/>
      <c r="AS1509" s="237"/>
      <c r="AT1509" s="238">
        <v>16.3</v>
      </c>
      <c r="AU1509" s="320"/>
      <c r="AV1509" s="346"/>
      <c r="AW1509" s="357">
        <f>0.47+0.07</f>
        <v>0.54</v>
      </c>
      <c r="AX1509" s="294"/>
      <c r="AY1509" s="294">
        <v>0.09</v>
      </c>
      <c r="AZ1509" s="294">
        <v>0.12</v>
      </c>
      <c r="BA1509" s="294">
        <v>0.24</v>
      </c>
      <c r="BB1509" s="294"/>
      <c r="BC1509" s="294"/>
      <c r="BD1509" s="294"/>
      <c r="BE1509" s="294"/>
      <c r="BF1509" s="383">
        <f t="shared" si="135"/>
        <v>0.54</v>
      </c>
      <c r="BG1509" s="383">
        <f t="shared" si="136"/>
        <v>0.99</v>
      </c>
      <c r="BH1509" s="375"/>
      <c r="BI1509" s="376"/>
      <c r="BJ1509" s="409"/>
    </row>
    <row r="1510" spans="1:62" ht="15" customHeight="1" thickBot="1" x14ac:dyDescent="0.25">
      <c r="A1510" s="156">
        <v>1511</v>
      </c>
      <c r="B1510" s="247">
        <v>1</v>
      </c>
      <c r="C1510" s="148" t="s">
        <v>2933</v>
      </c>
      <c r="D1510" s="148" t="s">
        <v>3451</v>
      </c>
      <c r="E1510" s="148"/>
      <c r="F1510" s="148" t="s">
        <v>3798</v>
      </c>
      <c r="G1510" s="148"/>
      <c r="H1510" s="148" t="s">
        <v>55</v>
      </c>
      <c r="I1510" s="161">
        <v>2010</v>
      </c>
      <c r="J1510" s="161" t="s">
        <v>3799</v>
      </c>
      <c r="K1510" s="161"/>
      <c r="L1510" s="161" t="s">
        <v>19</v>
      </c>
      <c r="M1510" s="453" t="s">
        <v>4377</v>
      </c>
      <c r="N1510" s="186" t="s">
        <v>122</v>
      </c>
      <c r="O1510" s="186" t="s">
        <v>292</v>
      </c>
      <c r="P1510" s="186" t="s">
        <v>292</v>
      </c>
      <c r="Q1510" s="186" t="s">
        <v>292</v>
      </c>
      <c r="R1510" s="186" t="s">
        <v>292</v>
      </c>
      <c r="S1510" s="186" t="s">
        <v>292</v>
      </c>
      <c r="T1510" s="186" t="s">
        <v>292</v>
      </c>
      <c r="U1510" s="186" t="s">
        <v>292</v>
      </c>
      <c r="V1510" s="186" t="s">
        <v>292</v>
      </c>
      <c r="W1510" s="186" t="s">
        <v>292</v>
      </c>
      <c r="X1510" s="186" t="s">
        <v>292</v>
      </c>
      <c r="Y1510" s="186" t="s">
        <v>292</v>
      </c>
      <c r="Z1510" s="186"/>
      <c r="AA1510" s="186"/>
      <c r="AB1510" s="186"/>
      <c r="AC1510" s="186"/>
      <c r="AD1510" s="268" t="s">
        <v>944</v>
      </c>
      <c r="AE1510" s="268" t="s">
        <v>3800</v>
      </c>
      <c r="AF1510" s="144" t="str">
        <f t="shared" si="131"/>
        <v/>
      </c>
      <c r="AG1510" s="144" t="str">
        <f t="shared" si="137"/>
        <v/>
      </c>
      <c r="AH1510" s="146">
        <f t="shared" si="133"/>
        <v>16.633559102984464</v>
      </c>
      <c r="AI1510" s="146" t="str">
        <f t="shared" si="134"/>
        <v/>
      </c>
      <c r="AJ1510" s="309"/>
      <c r="AK1510" s="309"/>
      <c r="AL1510" s="309"/>
      <c r="AM1510" s="309"/>
      <c r="AN1510" s="309"/>
      <c r="AO1510" s="309"/>
      <c r="AP1510" s="309"/>
      <c r="AQ1510" s="309"/>
      <c r="AR1510" s="320"/>
      <c r="AS1510" s="237"/>
      <c r="AT1510" s="238"/>
      <c r="AU1510" s="320"/>
      <c r="AV1510" s="346"/>
      <c r="AW1510" s="357">
        <f>5.56/0.658/0.508</f>
        <v>16.633559102984464</v>
      </c>
      <c r="AX1510" s="294"/>
      <c r="AY1510" s="294"/>
      <c r="AZ1510" s="294"/>
      <c r="BA1510" s="294"/>
      <c r="BB1510" s="294"/>
      <c r="BC1510" s="294"/>
      <c r="BD1510" s="294"/>
      <c r="BE1510" s="294"/>
      <c r="BF1510" s="383">
        <f t="shared" si="135"/>
        <v>16.633559102984464</v>
      </c>
      <c r="BG1510" s="383"/>
      <c r="BH1510" s="375"/>
      <c r="BI1510" s="376"/>
      <c r="BJ1510" s="409"/>
    </row>
    <row r="1511" spans="1:62" ht="15" customHeight="1" thickBot="1" x14ac:dyDescent="0.25">
      <c r="A1511" s="156">
        <v>1512</v>
      </c>
      <c r="B1511" s="247">
        <v>1</v>
      </c>
      <c r="C1511" s="148" t="s">
        <v>2933</v>
      </c>
      <c r="D1511" s="148" t="s">
        <v>3451</v>
      </c>
      <c r="E1511" s="148"/>
      <c r="F1511" s="148" t="s">
        <v>3801</v>
      </c>
      <c r="G1511" s="148"/>
      <c r="H1511" s="148" t="s">
        <v>55</v>
      </c>
      <c r="I1511" s="161">
        <v>2010</v>
      </c>
      <c r="J1511" s="161" t="s">
        <v>3799</v>
      </c>
      <c r="K1511" s="161"/>
      <c r="L1511" s="161" t="s">
        <v>19</v>
      </c>
      <c r="M1511" s="453" t="s">
        <v>4377</v>
      </c>
      <c r="N1511" s="186" t="s">
        <v>122</v>
      </c>
      <c r="O1511" s="186" t="s">
        <v>292</v>
      </c>
      <c r="P1511" s="186" t="s">
        <v>292</v>
      </c>
      <c r="Q1511" s="186" t="s">
        <v>292</v>
      </c>
      <c r="R1511" s="186" t="s">
        <v>292</v>
      </c>
      <c r="S1511" s="186" t="s">
        <v>292</v>
      </c>
      <c r="T1511" s="186" t="s">
        <v>292</v>
      </c>
      <c r="U1511" s="186" t="s">
        <v>292</v>
      </c>
      <c r="V1511" s="186" t="s">
        <v>292</v>
      </c>
      <c r="W1511" s="186" t="s">
        <v>292</v>
      </c>
      <c r="X1511" s="186" t="s">
        <v>292</v>
      </c>
      <c r="Y1511" s="186" t="s">
        <v>292</v>
      </c>
      <c r="Z1511" s="186"/>
      <c r="AA1511" s="186"/>
      <c r="AB1511" s="186"/>
      <c r="AC1511" s="186"/>
      <c r="AD1511" s="268" t="s">
        <v>944</v>
      </c>
      <c r="AE1511" s="268" t="s">
        <v>3800</v>
      </c>
      <c r="AF1511" s="144" t="str">
        <f t="shared" si="131"/>
        <v/>
      </c>
      <c r="AG1511" s="144" t="str">
        <f t="shared" si="137"/>
        <v/>
      </c>
      <c r="AH1511" s="146">
        <f t="shared" si="133"/>
        <v>15.227484862264557</v>
      </c>
      <c r="AI1511" s="146" t="str">
        <f t="shared" si="134"/>
        <v/>
      </c>
      <c r="AJ1511" s="309"/>
      <c r="AK1511" s="309"/>
      <c r="AL1511" s="309"/>
      <c r="AM1511" s="309"/>
      <c r="AN1511" s="309"/>
      <c r="AO1511" s="309"/>
      <c r="AP1511" s="309"/>
      <c r="AQ1511" s="309"/>
      <c r="AR1511" s="320"/>
      <c r="AS1511" s="237"/>
      <c r="AT1511" s="238"/>
      <c r="AU1511" s="320"/>
      <c r="AV1511" s="346"/>
      <c r="AW1511" s="357">
        <f>5.09/0.658/0.508</f>
        <v>15.227484862264557</v>
      </c>
      <c r="AX1511" s="294"/>
      <c r="AY1511" s="294"/>
      <c r="AZ1511" s="294"/>
      <c r="BA1511" s="294"/>
      <c r="BB1511" s="294"/>
      <c r="BC1511" s="294"/>
      <c r="BD1511" s="294"/>
      <c r="BE1511" s="294"/>
      <c r="BF1511" s="383">
        <f t="shared" si="135"/>
        <v>15.227484862264557</v>
      </c>
      <c r="BG1511" s="383"/>
      <c r="BH1511" s="375"/>
      <c r="BI1511" s="376"/>
      <c r="BJ1511" s="409"/>
    </row>
    <row r="1512" spans="1:62" ht="15" customHeight="1" thickBot="1" x14ac:dyDescent="0.25">
      <c r="A1512" s="156">
        <v>1513</v>
      </c>
      <c r="B1512" s="247">
        <v>1</v>
      </c>
      <c r="C1512" s="148" t="s">
        <v>259</v>
      </c>
      <c r="D1512" s="148" t="s">
        <v>3832</v>
      </c>
      <c r="E1512" s="148"/>
      <c r="F1512" s="148"/>
      <c r="G1512" s="148"/>
      <c r="H1512" s="148" t="s">
        <v>55</v>
      </c>
      <c r="I1512" s="161">
        <v>2010</v>
      </c>
      <c r="J1512" s="161" t="s">
        <v>3799</v>
      </c>
      <c r="K1512" s="161"/>
      <c r="L1512" s="161" t="s">
        <v>19</v>
      </c>
      <c r="M1512" s="453" t="s">
        <v>4377</v>
      </c>
      <c r="N1512" s="186" t="s">
        <v>122</v>
      </c>
      <c r="O1512" s="186" t="s">
        <v>292</v>
      </c>
      <c r="P1512" s="186" t="s">
        <v>292</v>
      </c>
      <c r="Q1512" s="186" t="s">
        <v>292</v>
      </c>
      <c r="R1512" s="186" t="s">
        <v>292</v>
      </c>
      <c r="S1512" s="186" t="s">
        <v>292</v>
      </c>
      <c r="T1512" s="186" t="s">
        <v>292</v>
      </c>
      <c r="U1512" s="186" t="s">
        <v>292</v>
      </c>
      <c r="V1512" s="186" t="s">
        <v>292</v>
      </c>
      <c r="W1512" s="186" t="s">
        <v>292</v>
      </c>
      <c r="X1512" s="186" t="s">
        <v>292</v>
      </c>
      <c r="Y1512" s="186" t="s">
        <v>292</v>
      </c>
      <c r="Z1512" s="186"/>
      <c r="AA1512" s="186"/>
      <c r="AB1512" s="186"/>
      <c r="AC1512" s="186"/>
      <c r="AD1512" s="268" t="s">
        <v>1410</v>
      </c>
      <c r="AE1512" s="268"/>
      <c r="AF1512" s="144" t="str">
        <f t="shared" si="131"/>
        <v/>
      </c>
      <c r="AG1512" s="144" t="str">
        <f t="shared" si="137"/>
        <v/>
      </c>
      <c r="AH1512" s="146">
        <f t="shared" si="133"/>
        <v>0.4</v>
      </c>
      <c r="AI1512" s="146" t="str">
        <f t="shared" si="134"/>
        <v/>
      </c>
      <c r="AJ1512" s="309"/>
      <c r="AK1512" s="309"/>
      <c r="AL1512" s="309"/>
      <c r="AM1512" s="309"/>
      <c r="AN1512" s="309"/>
      <c r="AO1512" s="309"/>
      <c r="AP1512" s="309"/>
      <c r="AQ1512" s="309"/>
      <c r="AR1512" s="320"/>
      <c r="AS1512" s="237"/>
      <c r="AT1512" s="238"/>
      <c r="AU1512" s="320"/>
      <c r="AV1512" s="346"/>
      <c r="AW1512" s="357">
        <v>0.4</v>
      </c>
      <c r="AX1512" s="294"/>
      <c r="AY1512" s="294"/>
      <c r="AZ1512" s="294"/>
      <c r="BA1512" s="294"/>
      <c r="BB1512" s="294"/>
      <c r="BC1512" s="294"/>
      <c r="BD1512" s="294"/>
      <c r="BE1512" s="294"/>
      <c r="BF1512" s="383">
        <f t="shared" si="135"/>
        <v>0.4</v>
      </c>
      <c r="BG1512" s="383"/>
      <c r="BH1512" s="375"/>
      <c r="BI1512" s="376"/>
      <c r="BJ1512" s="409"/>
    </row>
    <row r="1513" spans="1:62" ht="15" customHeight="1" thickBot="1" x14ac:dyDescent="0.25">
      <c r="A1513" s="156">
        <v>1514</v>
      </c>
      <c r="B1513" s="247">
        <v>1</v>
      </c>
      <c r="C1513" s="148" t="s">
        <v>975</v>
      </c>
      <c r="D1513" s="148" t="s">
        <v>1986</v>
      </c>
      <c r="E1513" s="148"/>
      <c r="F1513" s="148" t="s">
        <v>3802</v>
      </c>
      <c r="G1513" s="148"/>
      <c r="H1513" s="148" t="s">
        <v>1064</v>
      </c>
      <c r="I1513" s="161">
        <v>2010</v>
      </c>
      <c r="J1513" s="161" t="s">
        <v>3803</v>
      </c>
      <c r="K1513" s="161"/>
      <c r="L1513" s="161" t="s">
        <v>19</v>
      </c>
      <c r="M1513" s="453" t="s">
        <v>4378</v>
      </c>
      <c r="N1513" s="186" t="s">
        <v>122</v>
      </c>
      <c r="O1513" s="186" t="s">
        <v>292</v>
      </c>
      <c r="P1513" s="186" t="s">
        <v>292</v>
      </c>
      <c r="Q1513" s="186" t="s">
        <v>122</v>
      </c>
      <c r="R1513" s="186" t="s">
        <v>122</v>
      </c>
      <c r="S1513" s="186" t="s">
        <v>122</v>
      </c>
      <c r="T1513" s="186" t="s">
        <v>292</v>
      </c>
      <c r="U1513" s="186" t="s">
        <v>292</v>
      </c>
      <c r="V1513" s="186" t="s">
        <v>292</v>
      </c>
      <c r="W1513" s="186" t="s">
        <v>292</v>
      </c>
      <c r="X1513" s="186" t="s">
        <v>292</v>
      </c>
      <c r="Y1513" s="186" t="s">
        <v>292</v>
      </c>
      <c r="Z1513" s="186"/>
      <c r="AA1513" s="186"/>
      <c r="AB1513" s="186"/>
      <c r="AC1513" s="186"/>
      <c r="AD1513" s="268" t="s">
        <v>3804</v>
      </c>
      <c r="AE1513" s="268"/>
      <c r="AF1513" s="144" t="str">
        <f t="shared" si="131"/>
        <v/>
      </c>
      <c r="AG1513" s="144" t="str">
        <f t="shared" si="137"/>
        <v/>
      </c>
      <c r="AH1513" s="146">
        <f t="shared" si="133"/>
        <v>0.82300000000000006</v>
      </c>
      <c r="AI1513" s="146">
        <f t="shared" si="134"/>
        <v>0.82517000000000007</v>
      </c>
      <c r="AJ1513" s="309"/>
      <c r="AK1513" s="309"/>
      <c r="AL1513" s="309"/>
      <c r="AM1513" s="309"/>
      <c r="AN1513" s="309"/>
      <c r="AO1513" s="309"/>
      <c r="AP1513" s="309"/>
      <c r="AQ1513" s="309"/>
      <c r="AR1513" s="320"/>
      <c r="AS1513" s="237"/>
      <c r="AT1513" s="238"/>
      <c r="AU1513" s="320"/>
      <c r="AV1513" s="346"/>
      <c r="AW1513" s="357">
        <f>0.017+0.806</f>
        <v>0.82300000000000006</v>
      </c>
      <c r="AX1513" s="294"/>
      <c r="AY1513" s="294">
        <f>0.00217</f>
        <v>2.1700000000000001E-3</v>
      </c>
      <c r="AZ1513" s="294">
        <v>8.4000000000000005E-2</v>
      </c>
      <c r="BA1513" s="294">
        <v>0.13800000000000001</v>
      </c>
      <c r="BB1513" s="294"/>
      <c r="BC1513" s="294"/>
      <c r="BD1513" s="294"/>
      <c r="BE1513" s="294"/>
      <c r="BF1513" s="383">
        <f t="shared" si="135"/>
        <v>0.82300000000000006</v>
      </c>
      <c r="BG1513" s="383">
        <f>SUM(AW1513:BE1513)</f>
        <v>1.0471699999999999</v>
      </c>
      <c r="BH1513" s="375"/>
      <c r="BI1513" s="376"/>
      <c r="BJ1513" s="409"/>
    </row>
    <row r="1514" spans="1:62" ht="15" customHeight="1" thickBot="1" x14ac:dyDescent="0.25">
      <c r="A1514" s="156">
        <v>1515</v>
      </c>
      <c r="B1514" s="247">
        <v>1</v>
      </c>
      <c r="C1514" s="148" t="s">
        <v>2933</v>
      </c>
      <c r="D1514" s="148" t="s">
        <v>3451</v>
      </c>
      <c r="E1514" s="148"/>
      <c r="F1514" s="148" t="s">
        <v>3805</v>
      </c>
      <c r="G1514" s="148"/>
      <c r="H1514" s="148" t="s">
        <v>700</v>
      </c>
      <c r="I1514" s="161">
        <v>2010</v>
      </c>
      <c r="J1514" s="161" t="s">
        <v>3806</v>
      </c>
      <c r="K1514" s="161"/>
      <c r="L1514" s="161" t="s">
        <v>19</v>
      </c>
      <c r="M1514" s="453" t="s">
        <v>4379</v>
      </c>
      <c r="N1514" s="186" t="s">
        <v>122</v>
      </c>
      <c r="O1514" s="186" t="s">
        <v>292</v>
      </c>
      <c r="P1514" s="186" t="s">
        <v>122</v>
      </c>
      <c r="Q1514" s="186" t="s">
        <v>122</v>
      </c>
      <c r="R1514" s="186" t="s">
        <v>122</v>
      </c>
      <c r="S1514" s="186" t="s">
        <v>122</v>
      </c>
      <c r="T1514" s="186" t="s">
        <v>122</v>
      </c>
      <c r="U1514" s="186" t="s">
        <v>292</v>
      </c>
      <c r="V1514" s="186" t="s">
        <v>122</v>
      </c>
      <c r="W1514" s="186" t="s">
        <v>122</v>
      </c>
      <c r="X1514" s="186" t="s">
        <v>292</v>
      </c>
      <c r="Y1514" s="186" t="s">
        <v>292</v>
      </c>
      <c r="Z1514" s="186"/>
      <c r="AA1514" s="186" t="s">
        <v>3807</v>
      </c>
      <c r="AB1514" s="186"/>
      <c r="AC1514" s="186"/>
      <c r="AD1514" s="268" t="s">
        <v>3808</v>
      </c>
      <c r="AE1514" s="268" t="s">
        <v>3809</v>
      </c>
      <c r="AF1514" s="144" t="str">
        <f t="shared" si="131"/>
        <v/>
      </c>
      <c r="AG1514" s="144" t="str">
        <f t="shared" si="137"/>
        <v/>
      </c>
      <c r="AH1514" s="146">
        <f t="shared" si="133"/>
        <v>15.200000000000001</v>
      </c>
      <c r="AI1514" s="146">
        <f t="shared" si="134"/>
        <v>15.770000000000001</v>
      </c>
      <c r="AJ1514" s="309"/>
      <c r="AK1514" s="309"/>
      <c r="AL1514" s="309"/>
      <c r="AM1514" s="309"/>
      <c r="AN1514" s="309"/>
      <c r="AO1514" s="309"/>
      <c r="AP1514" s="309"/>
      <c r="AQ1514" s="309"/>
      <c r="AR1514" s="320"/>
      <c r="AS1514" s="237"/>
      <c r="AT1514" s="238"/>
      <c r="AU1514" s="320"/>
      <c r="AV1514" s="346"/>
      <c r="AW1514" s="357">
        <f>0.8*BG1514</f>
        <v>15.200000000000001</v>
      </c>
      <c r="AX1514" s="294"/>
      <c r="AY1514" s="294">
        <f>0.03*BG1514</f>
        <v>0.56999999999999995</v>
      </c>
      <c r="AZ1514" s="294"/>
      <c r="BA1514" s="294">
        <f>0.05*BG1514</f>
        <v>0.95000000000000007</v>
      </c>
      <c r="BB1514" s="294"/>
      <c r="BC1514" s="294">
        <f>0.12*BG1514</f>
        <v>2.2799999999999998</v>
      </c>
      <c r="BD1514" s="294"/>
      <c r="BE1514" s="294"/>
      <c r="BF1514" s="383">
        <f t="shared" si="135"/>
        <v>15.200000000000001</v>
      </c>
      <c r="BG1514" s="383">
        <v>19</v>
      </c>
      <c r="BH1514" s="375"/>
      <c r="BI1514" s="376"/>
      <c r="BJ1514" s="409"/>
    </row>
    <row r="1515" spans="1:62" ht="15" customHeight="1" thickBot="1" x14ac:dyDescent="0.25">
      <c r="A1515" s="156">
        <v>1516</v>
      </c>
      <c r="B1515" s="247">
        <v>1</v>
      </c>
      <c r="C1515" s="148" t="s">
        <v>162</v>
      </c>
      <c r="D1515" s="148" t="s">
        <v>828</v>
      </c>
      <c r="E1515" s="148"/>
      <c r="F1515" s="148"/>
      <c r="G1515" s="148"/>
      <c r="H1515" s="148" t="s">
        <v>55</v>
      </c>
      <c r="I1515" s="161">
        <v>2010</v>
      </c>
      <c r="J1515" s="161" t="s">
        <v>3810</v>
      </c>
      <c r="K1515" s="161"/>
      <c r="L1515" s="161" t="s">
        <v>19</v>
      </c>
      <c r="M1515" s="453" t="s">
        <v>4380</v>
      </c>
      <c r="N1515" s="186" t="s">
        <v>122</v>
      </c>
      <c r="O1515" s="186" t="s">
        <v>292</v>
      </c>
      <c r="P1515" s="186" t="s">
        <v>292</v>
      </c>
      <c r="Q1515" s="186" t="s">
        <v>292</v>
      </c>
      <c r="R1515" s="186" t="s">
        <v>292</v>
      </c>
      <c r="S1515" s="186" t="s">
        <v>292</v>
      </c>
      <c r="T1515" s="186" t="s">
        <v>292</v>
      </c>
      <c r="U1515" s="186" t="s">
        <v>292</v>
      </c>
      <c r="V1515" s="186" t="s">
        <v>292</v>
      </c>
      <c r="W1515" s="186" t="s">
        <v>292</v>
      </c>
      <c r="X1515" s="186" t="s">
        <v>292</v>
      </c>
      <c r="Y1515" s="186" t="s">
        <v>122</v>
      </c>
      <c r="Z1515" s="186"/>
      <c r="AA1515" s="186"/>
      <c r="AB1515" s="186"/>
      <c r="AC1515" s="186"/>
      <c r="AD1515" s="268" t="s">
        <v>3811</v>
      </c>
      <c r="AE1515" s="268"/>
      <c r="AF1515" s="144" t="str">
        <f t="shared" si="131"/>
        <v/>
      </c>
      <c r="AG1515" s="144" t="str">
        <f t="shared" si="137"/>
        <v/>
      </c>
      <c r="AH1515" s="146">
        <f t="shared" si="133"/>
        <v>2.54</v>
      </c>
      <c r="AI1515" s="146" t="str">
        <f t="shared" si="134"/>
        <v/>
      </c>
      <c r="AJ1515" s="309"/>
      <c r="AK1515" s="309"/>
      <c r="AL1515" s="309"/>
      <c r="AM1515" s="309"/>
      <c r="AN1515" s="309"/>
      <c r="AO1515" s="309"/>
      <c r="AP1515" s="309"/>
      <c r="AQ1515" s="309"/>
      <c r="AR1515" s="320"/>
      <c r="AS1515" s="237"/>
      <c r="AT1515" s="238"/>
      <c r="AU1515" s="320"/>
      <c r="AV1515" s="346"/>
      <c r="AW1515" s="357">
        <v>2.54</v>
      </c>
      <c r="AX1515" s="294"/>
      <c r="AY1515" s="294"/>
      <c r="AZ1515" s="294"/>
      <c r="BA1515" s="294"/>
      <c r="BB1515" s="294"/>
      <c r="BC1515" s="294"/>
      <c r="BD1515" s="294"/>
      <c r="BE1515" s="294"/>
      <c r="BF1515" s="383">
        <f t="shared" si="135"/>
        <v>2.54</v>
      </c>
      <c r="BG1515" s="383"/>
      <c r="BH1515" s="375"/>
      <c r="BI1515" s="376"/>
      <c r="BJ1515" s="409"/>
    </row>
    <row r="1516" spans="1:62" ht="15" customHeight="1" thickBot="1" x14ac:dyDescent="0.25">
      <c r="A1516" s="156">
        <v>1517</v>
      </c>
      <c r="B1516" s="247">
        <v>1</v>
      </c>
      <c r="C1516" s="148" t="s">
        <v>162</v>
      </c>
      <c r="D1516" s="148" t="s">
        <v>1805</v>
      </c>
      <c r="E1516" s="148"/>
      <c r="F1516" s="148"/>
      <c r="G1516" s="148"/>
      <c r="H1516" s="148" t="s">
        <v>55</v>
      </c>
      <c r="I1516" s="161">
        <v>2010</v>
      </c>
      <c r="J1516" s="161" t="s">
        <v>3810</v>
      </c>
      <c r="K1516" s="161"/>
      <c r="L1516" s="161" t="s">
        <v>19</v>
      </c>
      <c r="M1516" s="453" t="s">
        <v>4380</v>
      </c>
      <c r="N1516" s="186" t="s">
        <v>122</v>
      </c>
      <c r="O1516" s="186" t="s">
        <v>292</v>
      </c>
      <c r="P1516" s="186" t="s">
        <v>292</v>
      </c>
      <c r="Q1516" s="186" t="s">
        <v>292</v>
      </c>
      <c r="R1516" s="186" t="s">
        <v>292</v>
      </c>
      <c r="S1516" s="186" t="s">
        <v>292</v>
      </c>
      <c r="T1516" s="186" t="s">
        <v>292</v>
      </c>
      <c r="U1516" s="186" t="s">
        <v>292</v>
      </c>
      <c r="V1516" s="186" t="s">
        <v>292</v>
      </c>
      <c r="W1516" s="186" t="s">
        <v>292</v>
      </c>
      <c r="X1516" s="186" t="s">
        <v>292</v>
      </c>
      <c r="Y1516" s="186" t="s">
        <v>122</v>
      </c>
      <c r="Z1516" s="186"/>
      <c r="AA1516" s="186"/>
      <c r="AB1516" s="186"/>
      <c r="AC1516" s="186"/>
      <c r="AD1516" s="268" t="s">
        <v>3811</v>
      </c>
      <c r="AE1516" s="268"/>
      <c r="AF1516" s="144" t="str">
        <f t="shared" si="131"/>
        <v/>
      </c>
      <c r="AG1516" s="144" t="str">
        <f t="shared" si="137"/>
        <v/>
      </c>
      <c r="AH1516" s="146">
        <f t="shared" si="133"/>
        <v>1.37</v>
      </c>
      <c r="AI1516" s="146" t="str">
        <f t="shared" si="134"/>
        <v/>
      </c>
      <c r="AJ1516" s="309"/>
      <c r="AK1516" s="309"/>
      <c r="AL1516" s="309"/>
      <c r="AM1516" s="309"/>
      <c r="AN1516" s="309"/>
      <c r="AO1516" s="309"/>
      <c r="AP1516" s="309"/>
      <c r="AQ1516" s="309"/>
      <c r="AR1516" s="320"/>
      <c r="AS1516" s="237"/>
      <c r="AT1516" s="238"/>
      <c r="AU1516" s="320"/>
      <c r="AV1516" s="346"/>
      <c r="AW1516" s="357">
        <v>1.37</v>
      </c>
      <c r="AX1516" s="294"/>
      <c r="AY1516" s="294"/>
      <c r="AZ1516" s="294"/>
      <c r="BA1516" s="294"/>
      <c r="BB1516" s="294"/>
      <c r="BC1516" s="294"/>
      <c r="BD1516" s="294"/>
      <c r="BE1516" s="294"/>
      <c r="BF1516" s="383">
        <f t="shared" si="135"/>
        <v>1.37</v>
      </c>
      <c r="BG1516" s="383"/>
      <c r="BH1516" s="375"/>
      <c r="BI1516" s="376"/>
      <c r="BJ1516" s="409"/>
    </row>
    <row r="1517" spans="1:62" ht="15" customHeight="1" thickBot="1" x14ac:dyDescent="0.25">
      <c r="A1517" s="156">
        <v>1518</v>
      </c>
      <c r="B1517" s="247">
        <v>1</v>
      </c>
      <c r="C1517" s="148" t="s">
        <v>162</v>
      </c>
      <c r="D1517" s="148" t="s">
        <v>3812</v>
      </c>
      <c r="E1517" s="148"/>
      <c r="F1517" s="148"/>
      <c r="G1517" s="148"/>
      <c r="H1517" s="148" t="s">
        <v>55</v>
      </c>
      <c r="I1517" s="161">
        <v>2010</v>
      </c>
      <c r="J1517" s="161" t="s">
        <v>3810</v>
      </c>
      <c r="K1517" s="161"/>
      <c r="L1517" s="161" t="s">
        <v>19</v>
      </c>
      <c r="M1517" s="453" t="s">
        <v>4380</v>
      </c>
      <c r="N1517" s="186" t="s">
        <v>122</v>
      </c>
      <c r="O1517" s="186" t="s">
        <v>292</v>
      </c>
      <c r="P1517" s="186" t="s">
        <v>292</v>
      </c>
      <c r="Q1517" s="186" t="s">
        <v>292</v>
      </c>
      <c r="R1517" s="186" t="s">
        <v>292</v>
      </c>
      <c r="S1517" s="186" t="s">
        <v>292</v>
      </c>
      <c r="T1517" s="186" t="s">
        <v>292</v>
      </c>
      <c r="U1517" s="186" t="s">
        <v>292</v>
      </c>
      <c r="V1517" s="186" t="s">
        <v>292</v>
      </c>
      <c r="W1517" s="186" t="s">
        <v>292</v>
      </c>
      <c r="X1517" s="186" t="s">
        <v>292</v>
      </c>
      <c r="Y1517" s="186" t="s">
        <v>122</v>
      </c>
      <c r="Z1517" s="186"/>
      <c r="AA1517" s="186"/>
      <c r="AB1517" s="186"/>
      <c r="AC1517" s="186"/>
      <c r="AD1517" s="268" t="s">
        <v>3811</v>
      </c>
      <c r="AE1517" s="268"/>
      <c r="AF1517" s="144" t="str">
        <f t="shared" ref="AF1517:AF1580" si="138">IF(AS1517&lt;&gt;0,AS1517,"")</f>
        <v/>
      </c>
      <c r="AG1517" s="144" t="str">
        <f t="shared" si="137"/>
        <v/>
      </c>
      <c r="AH1517" s="146">
        <f t="shared" si="133"/>
        <v>0.24</v>
      </c>
      <c r="AI1517" s="146" t="str">
        <f t="shared" si="134"/>
        <v/>
      </c>
      <c r="AJ1517" s="309"/>
      <c r="AK1517" s="309"/>
      <c r="AL1517" s="309"/>
      <c r="AM1517" s="309"/>
      <c r="AN1517" s="309"/>
      <c r="AO1517" s="309"/>
      <c r="AP1517" s="309"/>
      <c r="AQ1517" s="309"/>
      <c r="AR1517" s="320"/>
      <c r="AS1517" s="237"/>
      <c r="AT1517" s="238"/>
      <c r="AU1517" s="320"/>
      <c r="AV1517" s="346"/>
      <c r="AW1517" s="357">
        <v>0.24</v>
      </c>
      <c r="AX1517" s="294"/>
      <c r="AY1517" s="294"/>
      <c r="AZ1517" s="294"/>
      <c r="BA1517" s="294"/>
      <c r="BB1517" s="294"/>
      <c r="BC1517" s="294"/>
      <c r="BD1517" s="294"/>
      <c r="BE1517" s="294"/>
      <c r="BF1517" s="383">
        <f t="shared" si="135"/>
        <v>0.24</v>
      </c>
      <c r="BG1517" s="383"/>
      <c r="BH1517" s="375"/>
      <c r="BI1517" s="376"/>
      <c r="BJ1517" s="409"/>
    </row>
    <row r="1518" spans="1:62" ht="15" customHeight="1" thickBot="1" x14ac:dyDescent="0.25">
      <c r="A1518" s="156">
        <v>1519</v>
      </c>
      <c r="B1518" s="247">
        <v>1</v>
      </c>
      <c r="C1518" s="148" t="s">
        <v>162</v>
      </c>
      <c r="D1518" s="148" t="s">
        <v>882</v>
      </c>
      <c r="E1518" s="148"/>
      <c r="F1518" s="148"/>
      <c r="G1518" s="148"/>
      <c r="H1518" s="148" t="s">
        <v>55</v>
      </c>
      <c r="I1518" s="161">
        <v>2010</v>
      </c>
      <c r="J1518" s="161" t="s">
        <v>3810</v>
      </c>
      <c r="K1518" s="161"/>
      <c r="L1518" s="161" t="s">
        <v>19</v>
      </c>
      <c r="M1518" s="453" t="s">
        <v>4380</v>
      </c>
      <c r="N1518" s="186" t="s">
        <v>122</v>
      </c>
      <c r="O1518" s="186" t="s">
        <v>292</v>
      </c>
      <c r="P1518" s="186" t="s">
        <v>292</v>
      </c>
      <c r="Q1518" s="186" t="s">
        <v>292</v>
      </c>
      <c r="R1518" s="186" t="s">
        <v>292</v>
      </c>
      <c r="S1518" s="186" t="s">
        <v>292</v>
      </c>
      <c r="T1518" s="186" t="s">
        <v>292</v>
      </c>
      <c r="U1518" s="186" t="s">
        <v>292</v>
      </c>
      <c r="V1518" s="186" t="s">
        <v>292</v>
      </c>
      <c r="W1518" s="186" t="s">
        <v>292</v>
      </c>
      <c r="X1518" s="186" t="s">
        <v>292</v>
      </c>
      <c r="Y1518" s="186" t="s">
        <v>122</v>
      </c>
      <c r="Z1518" s="186"/>
      <c r="AA1518" s="186"/>
      <c r="AB1518" s="186"/>
      <c r="AC1518" s="186"/>
      <c r="AD1518" s="268" t="s">
        <v>3811</v>
      </c>
      <c r="AE1518" s="268"/>
      <c r="AF1518" s="144" t="str">
        <f t="shared" si="138"/>
        <v/>
      </c>
      <c r="AG1518" s="144" t="str">
        <f t="shared" si="137"/>
        <v/>
      </c>
      <c r="AH1518" s="146">
        <f t="shared" si="133"/>
        <v>1.73</v>
      </c>
      <c r="AI1518" s="146" t="str">
        <f t="shared" si="134"/>
        <v/>
      </c>
      <c r="AJ1518" s="309"/>
      <c r="AK1518" s="309"/>
      <c r="AL1518" s="309"/>
      <c r="AM1518" s="309"/>
      <c r="AN1518" s="309"/>
      <c r="AO1518" s="309"/>
      <c r="AP1518" s="309"/>
      <c r="AQ1518" s="309"/>
      <c r="AR1518" s="320"/>
      <c r="AS1518" s="237"/>
      <c r="AT1518" s="238"/>
      <c r="AU1518" s="320"/>
      <c r="AV1518" s="346"/>
      <c r="AW1518" s="357">
        <v>1.73</v>
      </c>
      <c r="AX1518" s="294"/>
      <c r="AY1518" s="294"/>
      <c r="AZ1518" s="294"/>
      <c r="BA1518" s="294"/>
      <c r="BB1518" s="294"/>
      <c r="BC1518" s="294"/>
      <c r="BD1518" s="294"/>
      <c r="BE1518" s="294"/>
      <c r="BF1518" s="383">
        <f t="shared" si="135"/>
        <v>1.73</v>
      </c>
      <c r="BG1518" s="383"/>
      <c r="BH1518" s="375"/>
      <c r="BI1518" s="376"/>
      <c r="BJ1518" s="409"/>
    </row>
    <row r="1519" spans="1:62" ht="15" customHeight="1" thickBot="1" x14ac:dyDescent="0.25">
      <c r="A1519" s="156">
        <v>1520</v>
      </c>
      <c r="B1519" s="247">
        <v>1</v>
      </c>
      <c r="C1519" s="148" t="s">
        <v>162</v>
      </c>
      <c r="D1519" s="148" t="s">
        <v>3813</v>
      </c>
      <c r="E1519" s="148"/>
      <c r="F1519" s="148"/>
      <c r="G1519" s="148"/>
      <c r="H1519" s="148" t="s">
        <v>55</v>
      </c>
      <c r="I1519" s="161">
        <v>2010</v>
      </c>
      <c r="J1519" s="161" t="s">
        <v>3810</v>
      </c>
      <c r="K1519" s="161"/>
      <c r="L1519" s="161" t="s">
        <v>19</v>
      </c>
      <c r="M1519" s="453" t="s">
        <v>4380</v>
      </c>
      <c r="N1519" s="186" t="s">
        <v>122</v>
      </c>
      <c r="O1519" s="186" t="s">
        <v>292</v>
      </c>
      <c r="P1519" s="186" t="s">
        <v>292</v>
      </c>
      <c r="Q1519" s="186" t="s">
        <v>292</v>
      </c>
      <c r="R1519" s="186" t="s">
        <v>292</v>
      </c>
      <c r="S1519" s="186" t="s">
        <v>292</v>
      </c>
      <c r="T1519" s="186" t="s">
        <v>292</v>
      </c>
      <c r="U1519" s="186" t="s">
        <v>292</v>
      </c>
      <c r="V1519" s="186" t="s">
        <v>292</v>
      </c>
      <c r="W1519" s="186" t="s">
        <v>292</v>
      </c>
      <c r="X1519" s="186" t="s">
        <v>292</v>
      </c>
      <c r="Y1519" s="186" t="s">
        <v>122</v>
      </c>
      <c r="Z1519" s="186"/>
      <c r="AA1519" s="186"/>
      <c r="AB1519" s="186"/>
      <c r="AC1519" s="186"/>
      <c r="AD1519" s="268" t="s">
        <v>3811</v>
      </c>
      <c r="AE1519" s="268"/>
      <c r="AF1519" s="144" t="str">
        <f t="shared" si="138"/>
        <v/>
      </c>
      <c r="AG1519" s="144" t="str">
        <f t="shared" si="137"/>
        <v/>
      </c>
      <c r="AH1519" s="146">
        <f t="shared" si="133"/>
        <v>0.23</v>
      </c>
      <c r="AI1519" s="146" t="str">
        <f t="shared" si="134"/>
        <v/>
      </c>
      <c r="AJ1519" s="309"/>
      <c r="AK1519" s="309"/>
      <c r="AL1519" s="309"/>
      <c r="AM1519" s="309"/>
      <c r="AN1519" s="309"/>
      <c r="AO1519" s="309"/>
      <c r="AP1519" s="309"/>
      <c r="AQ1519" s="309"/>
      <c r="AR1519" s="320"/>
      <c r="AS1519" s="237"/>
      <c r="AT1519" s="238"/>
      <c r="AU1519" s="320"/>
      <c r="AV1519" s="346"/>
      <c r="AW1519" s="357">
        <v>0.23</v>
      </c>
      <c r="AX1519" s="294"/>
      <c r="AY1519" s="294"/>
      <c r="AZ1519" s="294"/>
      <c r="BA1519" s="294"/>
      <c r="BB1519" s="294"/>
      <c r="BC1519" s="294"/>
      <c r="BD1519" s="294"/>
      <c r="BE1519" s="294"/>
      <c r="BF1519" s="383">
        <f t="shared" si="135"/>
        <v>0.23</v>
      </c>
      <c r="BG1519" s="383"/>
      <c r="BH1519" s="375"/>
      <c r="BI1519" s="376"/>
      <c r="BJ1519" s="409"/>
    </row>
    <row r="1520" spans="1:62" ht="15" customHeight="1" thickBot="1" x14ac:dyDescent="0.25">
      <c r="A1520" s="156">
        <v>1521</v>
      </c>
      <c r="B1520" s="247">
        <v>1</v>
      </c>
      <c r="C1520" s="148" t="s">
        <v>162</v>
      </c>
      <c r="D1520" s="148" t="s">
        <v>3814</v>
      </c>
      <c r="E1520" s="148"/>
      <c r="F1520" s="148"/>
      <c r="G1520" s="148"/>
      <c r="H1520" s="148" t="s">
        <v>55</v>
      </c>
      <c r="I1520" s="161">
        <v>2010</v>
      </c>
      <c r="J1520" s="161" t="s">
        <v>3810</v>
      </c>
      <c r="K1520" s="161"/>
      <c r="L1520" s="161" t="s">
        <v>19</v>
      </c>
      <c r="M1520" s="453" t="s">
        <v>4380</v>
      </c>
      <c r="N1520" s="186" t="s">
        <v>122</v>
      </c>
      <c r="O1520" s="186" t="s">
        <v>292</v>
      </c>
      <c r="P1520" s="186" t="s">
        <v>292</v>
      </c>
      <c r="Q1520" s="186" t="s">
        <v>292</v>
      </c>
      <c r="R1520" s="186" t="s">
        <v>292</v>
      </c>
      <c r="S1520" s="186" t="s">
        <v>292</v>
      </c>
      <c r="T1520" s="186" t="s">
        <v>292</v>
      </c>
      <c r="U1520" s="186" t="s">
        <v>292</v>
      </c>
      <c r="V1520" s="186" t="s">
        <v>292</v>
      </c>
      <c r="W1520" s="186" t="s">
        <v>292</v>
      </c>
      <c r="X1520" s="186" t="s">
        <v>292</v>
      </c>
      <c r="Y1520" s="186" t="s">
        <v>122</v>
      </c>
      <c r="Z1520" s="186"/>
      <c r="AA1520" s="186"/>
      <c r="AB1520" s="186"/>
      <c r="AC1520" s="186"/>
      <c r="AD1520" s="268" t="s">
        <v>3811</v>
      </c>
      <c r="AE1520" s="268"/>
      <c r="AF1520" s="144" t="str">
        <f t="shared" si="138"/>
        <v/>
      </c>
      <c r="AG1520" s="144" t="str">
        <f t="shared" si="137"/>
        <v/>
      </c>
      <c r="AH1520" s="146">
        <f t="shared" si="133"/>
        <v>0.59</v>
      </c>
      <c r="AI1520" s="146" t="str">
        <f t="shared" si="134"/>
        <v/>
      </c>
      <c r="AJ1520" s="309"/>
      <c r="AK1520" s="309"/>
      <c r="AL1520" s="309"/>
      <c r="AM1520" s="309"/>
      <c r="AN1520" s="309"/>
      <c r="AO1520" s="309"/>
      <c r="AP1520" s="309"/>
      <c r="AQ1520" s="309"/>
      <c r="AR1520" s="320"/>
      <c r="AS1520" s="237"/>
      <c r="AT1520" s="238"/>
      <c r="AU1520" s="320"/>
      <c r="AV1520" s="346"/>
      <c r="AW1520" s="357">
        <v>0.59</v>
      </c>
      <c r="AX1520" s="294"/>
      <c r="AY1520" s="294"/>
      <c r="AZ1520" s="294"/>
      <c r="BA1520" s="294"/>
      <c r="BB1520" s="294"/>
      <c r="BC1520" s="294"/>
      <c r="BD1520" s="294"/>
      <c r="BE1520" s="294"/>
      <c r="BF1520" s="383">
        <f t="shared" ref="BF1520:BF1551" si="139">AW1520</f>
        <v>0.59</v>
      </c>
      <c r="BG1520" s="383"/>
      <c r="BH1520" s="375"/>
      <c r="BI1520" s="376"/>
      <c r="BJ1520" s="409"/>
    </row>
    <row r="1521" spans="1:62" ht="15" customHeight="1" thickBot="1" x14ac:dyDescent="0.25">
      <c r="A1521" s="156">
        <v>1522</v>
      </c>
      <c r="B1521" s="247">
        <v>1</v>
      </c>
      <c r="C1521" s="148" t="s">
        <v>162</v>
      </c>
      <c r="D1521" s="148" t="s">
        <v>3511</v>
      </c>
      <c r="E1521" s="148"/>
      <c r="F1521" s="148"/>
      <c r="G1521" s="148"/>
      <c r="H1521" s="148" t="s">
        <v>55</v>
      </c>
      <c r="I1521" s="161">
        <v>2010</v>
      </c>
      <c r="J1521" s="161" t="s">
        <v>3810</v>
      </c>
      <c r="K1521" s="161"/>
      <c r="L1521" s="161" t="s">
        <v>19</v>
      </c>
      <c r="M1521" s="453" t="s">
        <v>4380</v>
      </c>
      <c r="N1521" s="186" t="s">
        <v>122</v>
      </c>
      <c r="O1521" s="186" t="s">
        <v>292</v>
      </c>
      <c r="P1521" s="186" t="s">
        <v>292</v>
      </c>
      <c r="Q1521" s="186" t="s">
        <v>292</v>
      </c>
      <c r="R1521" s="186" t="s">
        <v>292</v>
      </c>
      <c r="S1521" s="186" t="s">
        <v>292</v>
      </c>
      <c r="T1521" s="186" t="s">
        <v>292</v>
      </c>
      <c r="U1521" s="186" t="s">
        <v>292</v>
      </c>
      <c r="V1521" s="186" t="s">
        <v>292</v>
      </c>
      <c r="W1521" s="186" t="s">
        <v>292</v>
      </c>
      <c r="X1521" s="186" t="s">
        <v>292</v>
      </c>
      <c r="Y1521" s="186" t="s">
        <v>122</v>
      </c>
      <c r="Z1521" s="186"/>
      <c r="AA1521" s="186"/>
      <c r="AB1521" s="186"/>
      <c r="AC1521" s="186"/>
      <c r="AD1521" s="268" t="s">
        <v>3811</v>
      </c>
      <c r="AE1521" s="268"/>
      <c r="AF1521" s="144" t="str">
        <f t="shared" si="138"/>
        <v/>
      </c>
      <c r="AG1521" s="144" t="str">
        <f t="shared" si="137"/>
        <v/>
      </c>
      <c r="AH1521" s="146">
        <f t="shared" si="133"/>
        <v>0.2</v>
      </c>
      <c r="AI1521" s="146" t="str">
        <f t="shared" si="134"/>
        <v/>
      </c>
      <c r="AJ1521" s="309"/>
      <c r="AK1521" s="309"/>
      <c r="AL1521" s="309"/>
      <c r="AM1521" s="309"/>
      <c r="AN1521" s="309"/>
      <c r="AO1521" s="309"/>
      <c r="AP1521" s="309"/>
      <c r="AQ1521" s="309"/>
      <c r="AR1521" s="320"/>
      <c r="AS1521" s="237"/>
      <c r="AT1521" s="238"/>
      <c r="AU1521" s="320"/>
      <c r="AV1521" s="346"/>
      <c r="AW1521" s="357">
        <v>0.2</v>
      </c>
      <c r="AX1521" s="294"/>
      <c r="AY1521" s="294"/>
      <c r="AZ1521" s="294"/>
      <c r="BA1521" s="294"/>
      <c r="BB1521" s="294"/>
      <c r="BC1521" s="294"/>
      <c r="BD1521" s="294"/>
      <c r="BE1521" s="294"/>
      <c r="BF1521" s="383">
        <f t="shared" si="139"/>
        <v>0.2</v>
      </c>
      <c r="BG1521" s="383"/>
      <c r="BH1521" s="375"/>
      <c r="BI1521" s="376"/>
      <c r="BJ1521" s="409"/>
    </row>
    <row r="1522" spans="1:62" ht="15" customHeight="1" thickBot="1" x14ac:dyDescent="0.25">
      <c r="A1522" s="156">
        <v>1523</v>
      </c>
      <c r="B1522" s="247">
        <v>1</v>
      </c>
      <c r="C1522" s="148" t="s">
        <v>162</v>
      </c>
      <c r="D1522" s="148" t="s">
        <v>876</v>
      </c>
      <c r="E1522" s="148"/>
      <c r="F1522" s="148"/>
      <c r="G1522" s="148"/>
      <c r="H1522" s="148" t="s">
        <v>55</v>
      </c>
      <c r="I1522" s="161">
        <v>2010</v>
      </c>
      <c r="J1522" s="161" t="s">
        <v>3810</v>
      </c>
      <c r="K1522" s="161"/>
      <c r="L1522" s="161" t="s">
        <v>19</v>
      </c>
      <c r="M1522" s="453" t="s">
        <v>4380</v>
      </c>
      <c r="N1522" s="186" t="s">
        <v>122</v>
      </c>
      <c r="O1522" s="186" t="s">
        <v>292</v>
      </c>
      <c r="P1522" s="186" t="s">
        <v>292</v>
      </c>
      <c r="Q1522" s="186" t="s">
        <v>292</v>
      </c>
      <c r="R1522" s="186" t="s">
        <v>292</v>
      </c>
      <c r="S1522" s="186" t="s">
        <v>292</v>
      </c>
      <c r="T1522" s="186" t="s">
        <v>292</v>
      </c>
      <c r="U1522" s="186" t="s">
        <v>292</v>
      </c>
      <c r="V1522" s="186" t="s">
        <v>292</v>
      </c>
      <c r="W1522" s="186" t="s">
        <v>292</v>
      </c>
      <c r="X1522" s="186" t="s">
        <v>292</v>
      </c>
      <c r="Y1522" s="186" t="s">
        <v>122</v>
      </c>
      <c r="Z1522" s="186"/>
      <c r="AA1522" s="186"/>
      <c r="AB1522" s="186"/>
      <c r="AC1522" s="186"/>
      <c r="AD1522" s="268" t="s">
        <v>3811</v>
      </c>
      <c r="AE1522" s="268"/>
      <c r="AF1522" s="144" t="str">
        <f t="shared" si="138"/>
        <v/>
      </c>
      <c r="AG1522" s="144" t="str">
        <f t="shared" si="137"/>
        <v/>
      </c>
      <c r="AH1522" s="146">
        <f t="shared" si="133"/>
        <v>0.38</v>
      </c>
      <c r="AI1522" s="146" t="str">
        <f t="shared" si="134"/>
        <v/>
      </c>
      <c r="AJ1522" s="309"/>
      <c r="AK1522" s="309"/>
      <c r="AL1522" s="309"/>
      <c r="AM1522" s="309"/>
      <c r="AN1522" s="309"/>
      <c r="AO1522" s="309"/>
      <c r="AP1522" s="309"/>
      <c r="AQ1522" s="309"/>
      <c r="AR1522" s="320"/>
      <c r="AS1522" s="237"/>
      <c r="AT1522" s="238"/>
      <c r="AU1522" s="320"/>
      <c r="AV1522" s="346"/>
      <c r="AW1522" s="357">
        <v>0.38</v>
      </c>
      <c r="AX1522" s="294"/>
      <c r="AY1522" s="294"/>
      <c r="AZ1522" s="294"/>
      <c r="BA1522" s="294"/>
      <c r="BB1522" s="294"/>
      <c r="BC1522" s="294"/>
      <c r="BD1522" s="294"/>
      <c r="BE1522" s="294"/>
      <c r="BF1522" s="383">
        <f t="shared" si="139"/>
        <v>0.38</v>
      </c>
      <c r="BG1522" s="383"/>
      <c r="BH1522" s="375"/>
      <c r="BI1522" s="376"/>
      <c r="BJ1522" s="409"/>
    </row>
    <row r="1523" spans="1:62" ht="15" customHeight="1" thickBot="1" x14ac:dyDescent="0.25">
      <c r="A1523" s="156">
        <v>1524</v>
      </c>
      <c r="B1523" s="247">
        <v>1</v>
      </c>
      <c r="C1523" s="148" t="s">
        <v>162</v>
      </c>
      <c r="D1523" s="148" t="s">
        <v>2748</v>
      </c>
      <c r="E1523" s="148"/>
      <c r="F1523" s="148"/>
      <c r="G1523" s="148"/>
      <c r="H1523" s="148" t="s">
        <v>55</v>
      </c>
      <c r="I1523" s="161">
        <v>2010</v>
      </c>
      <c r="J1523" s="161" t="s">
        <v>3810</v>
      </c>
      <c r="K1523" s="161"/>
      <c r="L1523" s="161" t="s">
        <v>19</v>
      </c>
      <c r="M1523" s="453" t="s">
        <v>4380</v>
      </c>
      <c r="N1523" s="186" t="s">
        <v>122</v>
      </c>
      <c r="O1523" s="186" t="s">
        <v>292</v>
      </c>
      <c r="P1523" s="186" t="s">
        <v>292</v>
      </c>
      <c r="Q1523" s="186" t="s">
        <v>292</v>
      </c>
      <c r="R1523" s="186" t="s">
        <v>292</v>
      </c>
      <c r="S1523" s="186" t="s">
        <v>292</v>
      </c>
      <c r="T1523" s="186" t="s">
        <v>292</v>
      </c>
      <c r="U1523" s="186" t="s">
        <v>292</v>
      </c>
      <c r="V1523" s="186" t="s">
        <v>292</v>
      </c>
      <c r="W1523" s="186" t="s">
        <v>292</v>
      </c>
      <c r="X1523" s="186" t="s">
        <v>292</v>
      </c>
      <c r="Y1523" s="186" t="s">
        <v>122</v>
      </c>
      <c r="Z1523" s="186"/>
      <c r="AA1523" s="186"/>
      <c r="AB1523" s="186"/>
      <c r="AC1523" s="186"/>
      <c r="AD1523" s="268" t="s">
        <v>3811</v>
      </c>
      <c r="AE1523" s="268"/>
      <c r="AF1523" s="144" t="str">
        <f t="shared" si="138"/>
        <v/>
      </c>
      <c r="AG1523" s="144" t="str">
        <f t="shared" si="137"/>
        <v/>
      </c>
      <c r="AH1523" s="146">
        <f t="shared" si="133"/>
        <v>0.18</v>
      </c>
      <c r="AI1523" s="146" t="str">
        <f t="shared" si="134"/>
        <v/>
      </c>
      <c r="AJ1523" s="309"/>
      <c r="AK1523" s="309"/>
      <c r="AL1523" s="309"/>
      <c r="AM1523" s="309"/>
      <c r="AN1523" s="309"/>
      <c r="AO1523" s="309"/>
      <c r="AP1523" s="309"/>
      <c r="AQ1523" s="309"/>
      <c r="AR1523" s="320"/>
      <c r="AS1523" s="237"/>
      <c r="AT1523" s="238"/>
      <c r="AU1523" s="320"/>
      <c r="AV1523" s="346"/>
      <c r="AW1523" s="357">
        <v>0.18</v>
      </c>
      <c r="AX1523" s="294"/>
      <c r="AY1523" s="294"/>
      <c r="AZ1523" s="294"/>
      <c r="BA1523" s="294"/>
      <c r="BB1523" s="294"/>
      <c r="BC1523" s="294"/>
      <c r="BD1523" s="294"/>
      <c r="BE1523" s="294"/>
      <c r="BF1523" s="383">
        <f t="shared" si="139"/>
        <v>0.18</v>
      </c>
      <c r="BG1523" s="383"/>
      <c r="BH1523" s="375"/>
      <c r="BI1523" s="376"/>
      <c r="BJ1523" s="409"/>
    </row>
    <row r="1524" spans="1:62" ht="15" customHeight="1" thickBot="1" x14ac:dyDescent="0.25">
      <c r="A1524" s="156">
        <v>1525</v>
      </c>
      <c r="B1524" s="247">
        <v>1</v>
      </c>
      <c r="C1524" s="148" t="s">
        <v>162</v>
      </c>
      <c r="D1524" s="148" t="s">
        <v>3815</v>
      </c>
      <c r="E1524" s="148"/>
      <c r="F1524" s="148"/>
      <c r="G1524" s="148"/>
      <c r="H1524" s="148" t="s">
        <v>55</v>
      </c>
      <c r="I1524" s="161">
        <v>2010</v>
      </c>
      <c r="J1524" s="161" t="s">
        <v>3810</v>
      </c>
      <c r="K1524" s="161"/>
      <c r="L1524" s="161" t="s">
        <v>19</v>
      </c>
      <c r="M1524" s="453" t="s">
        <v>4380</v>
      </c>
      <c r="N1524" s="186" t="s">
        <v>122</v>
      </c>
      <c r="O1524" s="186" t="s">
        <v>292</v>
      </c>
      <c r="P1524" s="186" t="s">
        <v>292</v>
      </c>
      <c r="Q1524" s="186" t="s">
        <v>292</v>
      </c>
      <c r="R1524" s="186" t="s">
        <v>292</v>
      </c>
      <c r="S1524" s="186" t="s">
        <v>292</v>
      </c>
      <c r="T1524" s="186" t="s">
        <v>292</v>
      </c>
      <c r="U1524" s="186" t="s">
        <v>292</v>
      </c>
      <c r="V1524" s="186" t="s">
        <v>292</v>
      </c>
      <c r="W1524" s="186" t="s">
        <v>292</v>
      </c>
      <c r="X1524" s="186" t="s">
        <v>292</v>
      </c>
      <c r="Y1524" s="186" t="s">
        <v>122</v>
      </c>
      <c r="Z1524" s="186"/>
      <c r="AA1524" s="186"/>
      <c r="AB1524" s="186"/>
      <c r="AC1524" s="186"/>
      <c r="AD1524" s="268" t="s">
        <v>3811</v>
      </c>
      <c r="AE1524" s="268"/>
      <c r="AF1524" s="144" t="str">
        <f t="shared" si="138"/>
        <v/>
      </c>
      <c r="AG1524" s="144" t="str">
        <f t="shared" si="137"/>
        <v/>
      </c>
      <c r="AH1524" s="146">
        <f t="shared" si="133"/>
        <v>0.66</v>
      </c>
      <c r="AI1524" s="146" t="str">
        <f t="shared" si="134"/>
        <v/>
      </c>
      <c r="AJ1524" s="309"/>
      <c r="AK1524" s="309"/>
      <c r="AL1524" s="309"/>
      <c r="AM1524" s="309"/>
      <c r="AN1524" s="309"/>
      <c r="AO1524" s="309"/>
      <c r="AP1524" s="309"/>
      <c r="AQ1524" s="309"/>
      <c r="AR1524" s="320"/>
      <c r="AS1524" s="237"/>
      <c r="AT1524" s="238"/>
      <c r="AU1524" s="320"/>
      <c r="AV1524" s="346"/>
      <c r="AW1524" s="357">
        <v>0.66</v>
      </c>
      <c r="AX1524" s="294"/>
      <c r="AY1524" s="294"/>
      <c r="AZ1524" s="294"/>
      <c r="BA1524" s="294"/>
      <c r="BB1524" s="294"/>
      <c r="BC1524" s="294"/>
      <c r="BD1524" s="294"/>
      <c r="BE1524" s="294"/>
      <c r="BF1524" s="383">
        <f t="shared" si="139"/>
        <v>0.66</v>
      </c>
      <c r="BG1524" s="383"/>
      <c r="BH1524" s="375"/>
      <c r="BI1524" s="376"/>
      <c r="BJ1524" s="409"/>
    </row>
    <row r="1525" spans="1:62" ht="15" customHeight="1" thickBot="1" x14ac:dyDescent="0.25">
      <c r="A1525" s="156">
        <v>1526</v>
      </c>
      <c r="B1525" s="247">
        <v>1</v>
      </c>
      <c r="C1525" s="148" t="s">
        <v>162</v>
      </c>
      <c r="D1525" s="148" t="s">
        <v>846</v>
      </c>
      <c r="E1525" s="148"/>
      <c r="F1525" s="148"/>
      <c r="G1525" s="148"/>
      <c r="H1525" s="148" t="s">
        <v>55</v>
      </c>
      <c r="I1525" s="161">
        <v>2010</v>
      </c>
      <c r="J1525" s="161" t="s">
        <v>3810</v>
      </c>
      <c r="K1525" s="161"/>
      <c r="L1525" s="161" t="s">
        <v>19</v>
      </c>
      <c r="M1525" s="453" t="s">
        <v>4380</v>
      </c>
      <c r="N1525" s="186" t="s">
        <v>122</v>
      </c>
      <c r="O1525" s="186" t="s">
        <v>292</v>
      </c>
      <c r="P1525" s="186" t="s">
        <v>292</v>
      </c>
      <c r="Q1525" s="186" t="s">
        <v>292</v>
      </c>
      <c r="R1525" s="186" t="s">
        <v>292</v>
      </c>
      <c r="S1525" s="186" t="s">
        <v>292</v>
      </c>
      <c r="T1525" s="186" t="s">
        <v>292</v>
      </c>
      <c r="U1525" s="186" t="s">
        <v>292</v>
      </c>
      <c r="V1525" s="186" t="s">
        <v>292</v>
      </c>
      <c r="W1525" s="186" t="s">
        <v>292</v>
      </c>
      <c r="X1525" s="186" t="s">
        <v>292</v>
      </c>
      <c r="Y1525" s="186" t="s">
        <v>122</v>
      </c>
      <c r="Z1525" s="186"/>
      <c r="AA1525" s="186"/>
      <c r="AB1525" s="186"/>
      <c r="AC1525" s="186"/>
      <c r="AD1525" s="268" t="s">
        <v>3811</v>
      </c>
      <c r="AE1525" s="268"/>
      <c r="AF1525" s="144" t="str">
        <f t="shared" si="138"/>
        <v/>
      </c>
      <c r="AG1525" s="144" t="str">
        <f t="shared" si="137"/>
        <v/>
      </c>
      <c r="AH1525" s="146">
        <f t="shared" si="133"/>
        <v>0.13</v>
      </c>
      <c r="AI1525" s="146" t="str">
        <f t="shared" si="134"/>
        <v/>
      </c>
      <c r="AJ1525" s="309"/>
      <c r="AK1525" s="309"/>
      <c r="AL1525" s="309"/>
      <c r="AM1525" s="309"/>
      <c r="AN1525" s="309"/>
      <c r="AO1525" s="309"/>
      <c r="AP1525" s="309"/>
      <c r="AQ1525" s="309"/>
      <c r="AR1525" s="320"/>
      <c r="AS1525" s="237"/>
      <c r="AT1525" s="238"/>
      <c r="AU1525" s="320"/>
      <c r="AV1525" s="346"/>
      <c r="AW1525" s="357">
        <v>0.13</v>
      </c>
      <c r="AX1525" s="294"/>
      <c r="AY1525" s="294"/>
      <c r="AZ1525" s="294"/>
      <c r="BA1525" s="294"/>
      <c r="BB1525" s="294"/>
      <c r="BC1525" s="294"/>
      <c r="BD1525" s="294"/>
      <c r="BE1525" s="294"/>
      <c r="BF1525" s="383">
        <f t="shared" si="139"/>
        <v>0.13</v>
      </c>
      <c r="BG1525" s="383"/>
      <c r="BH1525" s="375"/>
      <c r="BI1525" s="376"/>
      <c r="BJ1525" s="409"/>
    </row>
    <row r="1526" spans="1:62" ht="15" customHeight="1" thickBot="1" x14ac:dyDescent="0.25">
      <c r="A1526" s="156">
        <v>1527</v>
      </c>
      <c r="B1526" s="247">
        <v>1</v>
      </c>
      <c r="C1526" s="148" t="s">
        <v>162</v>
      </c>
      <c r="D1526" s="148" t="s">
        <v>3816</v>
      </c>
      <c r="E1526" s="148"/>
      <c r="F1526" s="148" t="s">
        <v>3817</v>
      </c>
      <c r="G1526" s="148"/>
      <c r="H1526" s="148" t="s">
        <v>55</v>
      </c>
      <c r="I1526" s="161">
        <v>2010</v>
      </c>
      <c r="J1526" s="161" t="s">
        <v>3810</v>
      </c>
      <c r="K1526" s="161"/>
      <c r="L1526" s="161" t="s">
        <v>19</v>
      </c>
      <c r="M1526" s="453" t="s">
        <v>4380</v>
      </c>
      <c r="N1526" s="186" t="s">
        <v>122</v>
      </c>
      <c r="O1526" s="186" t="s">
        <v>292</v>
      </c>
      <c r="P1526" s="186" t="s">
        <v>292</v>
      </c>
      <c r="Q1526" s="186" t="s">
        <v>292</v>
      </c>
      <c r="R1526" s="186" t="s">
        <v>292</v>
      </c>
      <c r="S1526" s="186" t="s">
        <v>292</v>
      </c>
      <c r="T1526" s="186" t="s">
        <v>292</v>
      </c>
      <c r="U1526" s="186" t="s">
        <v>292</v>
      </c>
      <c r="V1526" s="186" t="s">
        <v>292</v>
      </c>
      <c r="W1526" s="186" t="s">
        <v>292</v>
      </c>
      <c r="X1526" s="186" t="s">
        <v>292</v>
      </c>
      <c r="Y1526" s="186" t="s">
        <v>122</v>
      </c>
      <c r="Z1526" s="186"/>
      <c r="AA1526" s="186"/>
      <c r="AB1526" s="186"/>
      <c r="AC1526" s="186"/>
      <c r="AD1526" s="268" t="s">
        <v>3811</v>
      </c>
      <c r="AE1526" s="268"/>
      <c r="AF1526" s="144" t="str">
        <f t="shared" si="138"/>
        <v/>
      </c>
      <c r="AG1526" s="144" t="str">
        <f t="shared" si="137"/>
        <v/>
      </c>
      <c r="AH1526" s="146">
        <f t="shared" si="133"/>
        <v>3.94</v>
      </c>
      <c r="AI1526" s="146" t="str">
        <f t="shared" si="134"/>
        <v/>
      </c>
      <c r="AJ1526" s="309"/>
      <c r="AK1526" s="309"/>
      <c r="AL1526" s="309"/>
      <c r="AM1526" s="309"/>
      <c r="AN1526" s="309"/>
      <c r="AO1526" s="309"/>
      <c r="AP1526" s="309"/>
      <c r="AQ1526" s="309"/>
      <c r="AR1526" s="320"/>
      <c r="AS1526" s="237"/>
      <c r="AT1526" s="238"/>
      <c r="AU1526" s="320"/>
      <c r="AV1526" s="346"/>
      <c r="AW1526" s="357">
        <v>3.94</v>
      </c>
      <c r="AX1526" s="294"/>
      <c r="AY1526" s="294"/>
      <c r="AZ1526" s="294"/>
      <c r="BA1526" s="294"/>
      <c r="BB1526" s="294"/>
      <c r="BC1526" s="294"/>
      <c r="BD1526" s="294"/>
      <c r="BE1526" s="294"/>
      <c r="BF1526" s="383">
        <f t="shared" si="139"/>
        <v>3.94</v>
      </c>
      <c r="BG1526" s="383"/>
      <c r="BH1526" s="375"/>
      <c r="BI1526" s="376"/>
      <c r="BJ1526" s="409"/>
    </row>
    <row r="1527" spans="1:62" ht="15" customHeight="1" thickBot="1" x14ac:dyDescent="0.25">
      <c r="A1527" s="156">
        <v>1528</v>
      </c>
      <c r="B1527" s="247">
        <v>1</v>
      </c>
      <c r="C1527" s="148" t="s">
        <v>162</v>
      </c>
      <c r="D1527" s="148" t="s">
        <v>3816</v>
      </c>
      <c r="E1527" s="148"/>
      <c r="F1527" s="148" t="s">
        <v>3818</v>
      </c>
      <c r="G1527" s="148"/>
      <c r="H1527" s="148" t="s">
        <v>55</v>
      </c>
      <c r="I1527" s="161">
        <v>2010</v>
      </c>
      <c r="J1527" s="161" t="s">
        <v>3810</v>
      </c>
      <c r="K1527" s="161"/>
      <c r="L1527" s="161" t="s">
        <v>19</v>
      </c>
      <c r="M1527" s="453" t="s">
        <v>4380</v>
      </c>
      <c r="N1527" s="186" t="s">
        <v>122</v>
      </c>
      <c r="O1527" s="186" t="s">
        <v>292</v>
      </c>
      <c r="P1527" s="186" t="s">
        <v>292</v>
      </c>
      <c r="Q1527" s="186" t="s">
        <v>292</v>
      </c>
      <c r="R1527" s="186" t="s">
        <v>292</v>
      </c>
      <c r="S1527" s="186" t="s">
        <v>292</v>
      </c>
      <c r="T1527" s="186" t="s">
        <v>292</v>
      </c>
      <c r="U1527" s="186" t="s">
        <v>292</v>
      </c>
      <c r="V1527" s="186" t="s">
        <v>292</v>
      </c>
      <c r="W1527" s="186" t="s">
        <v>292</v>
      </c>
      <c r="X1527" s="186" t="s">
        <v>292</v>
      </c>
      <c r="Y1527" s="186" t="s">
        <v>122</v>
      </c>
      <c r="Z1527" s="186"/>
      <c r="AA1527" s="186"/>
      <c r="AB1527" s="186"/>
      <c r="AC1527" s="186"/>
      <c r="AD1527" s="268" t="s">
        <v>3811</v>
      </c>
      <c r="AE1527" s="268"/>
      <c r="AF1527" s="144" t="str">
        <f t="shared" si="138"/>
        <v/>
      </c>
      <c r="AG1527" s="144" t="str">
        <f t="shared" si="137"/>
        <v/>
      </c>
      <c r="AH1527" s="146">
        <f t="shared" si="133"/>
        <v>2.46</v>
      </c>
      <c r="AI1527" s="146" t="str">
        <f t="shared" si="134"/>
        <v/>
      </c>
      <c r="AJ1527" s="309"/>
      <c r="AK1527" s="309"/>
      <c r="AL1527" s="309"/>
      <c r="AM1527" s="309"/>
      <c r="AN1527" s="309"/>
      <c r="AO1527" s="309"/>
      <c r="AP1527" s="309"/>
      <c r="AQ1527" s="309"/>
      <c r="AR1527" s="320"/>
      <c r="AS1527" s="237"/>
      <c r="AT1527" s="238"/>
      <c r="AU1527" s="320"/>
      <c r="AV1527" s="346"/>
      <c r="AW1527" s="357">
        <v>2.46</v>
      </c>
      <c r="AX1527" s="294"/>
      <c r="AY1527" s="294"/>
      <c r="AZ1527" s="294"/>
      <c r="BA1527" s="294"/>
      <c r="BB1527" s="294"/>
      <c r="BC1527" s="294"/>
      <c r="BD1527" s="294"/>
      <c r="BE1527" s="294"/>
      <c r="BF1527" s="383">
        <f t="shared" si="139"/>
        <v>2.46</v>
      </c>
      <c r="BG1527" s="383"/>
      <c r="BH1527" s="375"/>
      <c r="BI1527" s="376"/>
      <c r="BJ1527" s="409"/>
    </row>
    <row r="1528" spans="1:62" ht="15" customHeight="1" thickBot="1" x14ac:dyDescent="0.25">
      <c r="A1528" s="156">
        <v>1529</v>
      </c>
      <c r="B1528" s="247">
        <v>1</v>
      </c>
      <c r="C1528" s="148" t="s">
        <v>162</v>
      </c>
      <c r="D1528" s="148" t="s">
        <v>2057</v>
      </c>
      <c r="E1528" s="148"/>
      <c r="F1528" s="148"/>
      <c r="G1528" s="148"/>
      <c r="H1528" s="148" t="s">
        <v>55</v>
      </c>
      <c r="I1528" s="161">
        <v>2010</v>
      </c>
      <c r="J1528" s="161" t="s">
        <v>3810</v>
      </c>
      <c r="K1528" s="161"/>
      <c r="L1528" s="161" t="s">
        <v>19</v>
      </c>
      <c r="M1528" s="453" t="s">
        <v>4380</v>
      </c>
      <c r="N1528" s="186" t="s">
        <v>122</v>
      </c>
      <c r="O1528" s="186" t="s">
        <v>292</v>
      </c>
      <c r="P1528" s="186" t="s">
        <v>292</v>
      </c>
      <c r="Q1528" s="186" t="s">
        <v>292</v>
      </c>
      <c r="R1528" s="186" t="s">
        <v>292</v>
      </c>
      <c r="S1528" s="186" t="s">
        <v>292</v>
      </c>
      <c r="T1528" s="186" t="s">
        <v>292</v>
      </c>
      <c r="U1528" s="186" t="s">
        <v>292</v>
      </c>
      <c r="V1528" s="186" t="s">
        <v>292</v>
      </c>
      <c r="W1528" s="186" t="s">
        <v>292</v>
      </c>
      <c r="X1528" s="186" t="s">
        <v>292</v>
      </c>
      <c r="Y1528" s="186" t="s">
        <v>122</v>
      </c>
      <c r="Z1528" s="186"/>
      <c r="AA1528" s="186"/>
      <c r="AB1528" s="186"/>
      <c r="AC1528" s="186"/>
      <c r="AD1528" s="268" t="s">
        <v>3811</v>
      </c>
      <c r="AE1528" s="268"/>
      <c r="AF1528" s="144" t="str">
        <f t="shared" si="138"/>
        <v/>
      </c>
      <c r="AG1528" s="144" t="str">
        <f t="shared" si="137"/>
        <v/>
      </c>
      <c r="AH1528" s="146">
        <f t="shared" si="133"/>
        <v>0.32</v>
      </c>
      <c r="AI1528" s="146" t="str">
        <f t="shared" si="134"/>
        <v/>
      </c>
      <c r="AJ1528" s="309"/>
      <c r="AK1528" s="309"/>
      <c r="AL1528" s="309"/>
      <c r="AM1528" s="309"/>
      <c r="AN1528" s="309"/>
      <c r="AO1528" s="309"/>
      <c r="AP1528" s="309"/>
      <c r="AQ1528" s="309"/>
      <c r="AR1528" s="320"/>
      <c r="AS1528" s="237"/>
      <c r="AT1528" s="238"/>
      <c r="AU1528" s="320"/>
      <c r="AV1528" s="346"/>
      <c r="AW1528" s="357">
        <v>0.32</v>
      </c>
      <c r="AX1528" s="294"/>
      <c r="AY1528" s="294"/>
      <c r="AZ1528" s="294"/>
      <c r="BA1528" s="294"/>
      <c r="BB1528" s="294"/>
      <c r="BC1528" s="294"/>
      <c r="BD1528" s="294"/>
      <c r="BE1528" s="294"/>
      <c r="BF1528" s="383">
        <f t="shared" si="139"/>
        <v>0.32</v>
      </c>
      <c r="BG1528" s="383"/>
      <c r="BH1528" s="375"/>
      <c r="BI1528" s="376"/>
      <c r="BJ1528" s="409"/>
    </row>
    <row r="1529" spans="1:62" ht="15" customHeight="1" thickBot="1" x14ac:dyDescent="0.25">
      <c r="A1529" s="156">
        <v>1530</v>
      </c>
      <c r="B1529" s="247">
        <v>1</v>
      </c>
      <c r="C1529" s="148" t="s">
        <v>162</v>
      </c>
      <c r="D1529" s="148" t="s">
        <v>3819</v>
      </c>
      <c r="E1529" s="148"/>
      <c r="F1529" s="148"/>
      <c r="G1529" s="148"/>
      <c r="H1529" s="148" t="s">
        <v>55</v>
      </c>
      <c r="I1529" s="161">
        <v>2010</v>
      </c>
      <c r="J1529" s="161" t="s">
        <v>3810</v>
      </c>
      <c r="K1529" s="161"/>
      <c r="L1529" s="161" t="s">
        <v>19</v>
      </c>
      <c r="M1529" s="453" t="s">
        <v>4380</v>
      </c>
      <c r="N1529" s="186" t="s">
        <v>122</v>
      </c>
      <c r="O1529" s="186" t="s">
        <v>292</v>
      </c>
      <c r="P1529" s="186" t="s">
        <v>292</v>
      </c>
      <c r="Q1529" s="186" t="s">
        <v>292</v>
      </c>
      <c r="R1529" s="186" t="s">
        <v>292</v>
      </c>
      <c r="S1529" s="186" t="s">
        <v>292</v>
      </c>
      <c r="T1529" s="186" t="s">
        <v>292</v>
      </c>
      <c r="U1529" s="186" t="s">
        <v>292</v>
      </c>
      <c r="V1529" s="186" t="s">
        <v>292</v>
      </c>
      <c r="W1529" s="186" t="s">
        <v>292</v>
      </c>
      <c r="X1529" s="186" t="s">
        <v>292</v>
      </c>
      <c r="Y1529" s="186" t="s">
        <v>122</v>
      </c>
      <c r="Z1529" s="186"/>
      <c r="AA1529" s="186"/>
      <c r="AB1529" s="186"/>
      <c r="AC1529" s="186"/>
      <c r="AD1529" s="268" t="s">
        <v>3811</v>
      </c>
      <c r="AE1529" s="268"/>
      <c r="AF1529" s="144" t="str">
        <f t="shared" si="138"/>
        <v/>
      </c>
      <c r="AG1529" s="144" t="str">
        <f t="shared" si="137"/>
        <v/>
      </c>
      <c r="AH1529" s="146">
        <f t="shared" si="133"/>
        <v>0.25</v>
      </c>
      <c r="AI1529" s="146" t="str">
        <f t="shared" si="134"/>
        <v/>
      </c>
      <c r="AJ1529" s="309"/>
      <c r="AK1529" s="309"/>
      <c r="AL1529" s="309"/>
      <c r="AM1529" s="309"/>
      <c r="AN1529" s="309"/>
      <c r="AO1529" s="309"/>
      <c r="AP1529" s="309"/>
      <c r="AQ1529" s="309"/>
      <c r="AR1529" s="320"/>
      <c r="AS1529" s="237"/>
      <c r="AT1529" s="238"/>
      <c r="AU1529" s="320"/>
      <c r="AV1529" s="346"/>
      <c r="AW1529" s="357">
        <v>0.25</v>
      </c>
      <c r="AX1529" s="294"/>
      <c r="AY1529" s="294"/>
      <c r="AZ1529" s="294"/>
      <c r="BA1529" s="294"/>
      <c r="BB1529" s="294"/>
      <c r="BC1529" s="294"/>
      <c r="BD1529" s="294"/>
      <c r="BE1529" s="294"/>
      <c r="BF1529" s="383">
        <f t="shared" si="139"/>
        <v>0.25</v>
      </c>
      <c r="BG1529" s="383"/>
      <c r="BH1529" s="375"/>
      <c r="BI1529" s="376"/>
      <c r="BJ1529" s="409"/>
    </row>
    <row r="1530" spans="1:62" ht="15" customHeight="1" thickBot="1" x14ac:dyDescent="0.25">
      <c r="A1530" s="156">
        <v>1531</v>
      </c>
      <c r="B1530" s="247">
        <v>1</v>
      </c>
      <c r="C1530" s="148" t="s">
        <v>236</v>
      </c>
      <c r="D1530" s="148" t="s">
        <v>3820</v>
      </c>
      <c r="E1530" s="148"/>
      <c r="F1530" s="148"/>
      <c r="G1530" s="148"/>
      <c r="H1530" s="148" t="s">
        <v>55</v>
      </c>
      <c r="I1530" s="161">
        <v>2010</v>
      </c>
      <c r="J1530" s="161" t="s">
        <v>3810</v>
      </c>
      <c r="K1530" s="161"/>
      <c r="L1530" s="161" t="s">
        <v>19</v>
      </c>
      <c r="M1530" s="453" t="s">
        <v>4380</v>
      </c>
      <c r="N1530" s="186" t="s">
        <v>122</v>
      </c>
      <c r="O1530" s="186" t="s">
        <v>292</v>
      </c>
      <c r="P1530" s="186" t="s">
        <v>292</v>
      </c>
      <c r="Q1530" s="186" t="s">
        <v>292</v>
      </c>
      <c r="R1530" s="186" t="s">
        <v>292</v>
      </c>
      <c r="S1530" s="186" t="s">
        <v>292</v>
      </c>
      <c r="T1530" s="186" t="s">
        <v>292</v>
      </c>
      <c r="U1530" s="186" t="s">
        <v>292</v>
      </c>
      <c r="V1530" s="186" t="s">
        <v>292</v>
      </c>
      <c r="W1530" s="186" t="s">
        <v>292</v>
      </c>
      <c r="X1530" s="186" t="s">
        <v>292</v>
      </c>
      <c r="Y1530" s="186" t="s">
        <v>122</v>
      </c>
      <c r="Z1530" s="186"/>
      <c r="AA1530" s="186"/>
      <c r="AB1530" s="186"/>
      <c r="AC1530" s="186"/>
      <c r="AD1530" s="268" t="s">
        <v>3811</v>
      </c>
      <c r="AE1530" s="268"/>
      <c r="AF1530" s="144" t="str">
        <f t="shared" si="138"/>
        <v/>
      </c>
      <c r="AG1530" s="144" t="str">
        <f t="shared" si="137"/>
        <v/>
      </c>
      <c r="AH1530" s="146">
        <f t="shared" si="133"/>
        <v>0.38</v>
      </c>
      <c r="AI1530" s="146" t="str">
        <f t="shared" si="134"/>
        <v/>
      </c>
      <c r="AJ1530" s="309"/>
      <c r="AK1530" s="309"/>
      <c r="AL1530" s="309"/>
      <c r="AM1530" s="309"/>
      <c r="AN1530" s="309"/>
      <c r="AO1530" s="309"/>
      <c r="AP1530" s="309"/>
      <c r="AQ1530" s="309"/>
      <c r="AR1530" s="320"/>
      <c r="AS1530" s="237"/>
      <c r="AT1530" s="238"/>
      <c r="AU1530" s="320"/>
      <c r="AV1530" s="346"/>
      <c r="AW1530" s="357">
        <v>0.38</v>
      </c>
      <c r="AX1530" s="294"/>
      <c r="AY1530" s="294"/>
      <c r="AZ1530" s="294"/>
      <c r="BA1530" s="294"/>
      <c r="BB1530" s="294"/>
      <c r="BC1530" s="294"/>
      <c r="BD1530" s="294"/>
      <c r="BE1530" s="294"/>
      <c r="BF1530" s="383">
        <f t="shared" si="139"/>
        <v>0.38</v>
      </c>
      <c r="BG1530" s="383"/>
      <c r="BH1530" s="375"/>
      <c r="BI1530" s="376"/>
      <c r="BJ1530" s="409"/>
    </row>
    <row r="1531" spans="1:62" ht="15" customHeight="1" thickBot="1" x14ac:dyDescent="0.25">
      <c r="A1531" s="156">
        <v>1532</v>
      </c>
      <c r="B1531" s="247">
        <v>1</v>
      </c>
      <c r="C1531" s="148" t="s">
        <v>162</v>
      </c>
      <c r="D1531" s="148" t="s">
        <v>3821</v>
      </c>
      <c r="E1531" s="148"/>
      <c r="F1531" s="148"/>
      <c r="G1531" s="148"/>
      <c r="H1531" s="148" t="s">
        <v>55</v>
      </c>
      <c r="I1531" s="161">
        <v>2010</v>
      </c>
      <c r="J1531" s="161" t="s">
        <v>3810</v>
      </c>
      <c r="K1531" s="161"/>
      <c r="L1531" s="161" t="s">
        <v>19</v>
      </c>
      <c r="M1531" s="453" t="s">
        <v>4380</v>
      </c>
      <c r="N1531" s="186" t="s">
        <v>122</v>
      </c>
      <c r="O1531" s="186" t="s">
        <v>292</v>
      </c>
      <c r="P1531" s="186" t="s">
        <v>292</v>
      </c>
      <c r="Q1531" s="186" t="s">
        <v>292</v>
      </c>
      <c r="R1531" s="186" t="s">
        <v>292</v>
      </c>
      <c r="S1531" s="186" t="s">
        <v>292</v>
      </c>
      <c r="T1531" s="186" t="s">
        <v>292</v>
      </c>
      <c r="U1531" s="186" t="s">
        <v>292</v>
      </c>
      <c r="V1531" s="186" t="s">
        <v>292</v>
      </c>
      <c r="W1531" s="186" t="s">
        <v>292</v>
      </c>
      <c r="X1531" s="186" t="s">
        <v>292</v>
      </c>
      <c r="Y1531" s="186" t="s">
        <v>122</v>
      </c>
      <c r="Z1531" s="186"/>
      <c r="AA1531" s="186"/>
      <c r="AB1531" s="186"/>
      <c r="AC1531" s="186"/>
      <c r="AD1531" s="268" t="s">
        <v>3811</v>
      </c>
      <c r="AE1531" s="268"/>
      <c r="AF1531" s="144" t="str">
        <f t="shared" si="138"/>
        <v/>
      </c>
      <c r="AG1531" s="144" t="str">
        <f t="shared" si="137"/>
        <v/>
      </c>
      <c r="AH1531" s="146">
        <f t="shared" si="133"/>
        <v>0.06</v>
      </c>
      <c r="AI1531" s="146" t="str">
        <f t="shared" si="134"/>
        <v/>
      </c>
      <c r="AJ1531" s="309"/>
      <c r="AK1531" s="309"/>
      <c r="AL1531" s="309"/>
      <c r="AM1531" s="309"/>
      <c r="AN1531" s="309"/>
      <c r="AO1531" s="309"/>
      <c r="AP1531" s="309"/>
      <c r="AQ1531" s="309"/>
      <c r="AR1531" s="320"/>
      <c r="AS1531" s="237"/>
      <c r="AT1531" s="238"/>
      <c r="AU1531" s="320"/>
      <c r="AV1531" s="346"/>
      <c r="AW1531" s="357">
        <v>0.06</v>
      </c>
      <c r="AX1531" s="294"/>
      <c r="AY1531" s="294"/>
      <c r="AZ1531" s="294"/>
      <c r="BA1531" s="294"/>
      <c r="BB1531" s="294"/>
      <c r="BC1531" s="294"/>
      <c r="BD1531" s="294"/>
      <c r="BE1531" s="294"/>
      <c r="BF1531" s="383">
        <f t="shared" si="139"/>
        <v>0.06</v>
      </c>
      <c r="BG1531" s="383"/>
      <c r="BH1531" s="375"/>
      <c r="BI1531" s="376"/>
      <c r="BJ1531" s="409"/>
    </row>
    <row r="1532" spans="1:62" ht="15" customHeight="1" thickBot="1" x14ac:dyDescent="0.25">
      <c r="A1532" s="156">
        <v>1533</v>
      </c>
      <c r="B1532" s="247">
        <v>1</v>
      </c>
      <c r="C1532" s="148" t="s">
        <v>162</v>
      </c>
      <c r="D1532" s="148" t="s">
        <v>872</v>
      </c>
      <c r="E1532" s="148"/>
      <c r="F1532" s="148"/>
      <c r="G1532" s="148"/>
      <c r="H1532" s="148" t="s">
        <v>55</v>
      </c>
      <c r="I1532" s="161">
        <v>2010</v>
      </c>
      <c r="J1532" s="161" t="s">
        <v>3810</v>
      </c>
      <c r="K1532" s="161"/>
      <c r="L1532" s="161" t="s">
        <v>19</v>
      </c>
      <c r="M1532" s="453" t="s">
        <v>4380</v>
      </c>
      <c r="N1532" s="186" t="s">
        <v>122</v>
      </c>
      <c r="O1532" s="186" t="s">
        <v>292</v>
      </c>
      <c r="P1532" s="186" t="s">
        <v>292</v>
      </c>
      <c r="Q1532" s="186" t="s">
        <v>292</v>
      </c>
      <c r="R1532" s="186" t="s">
        <v>292</v>
      </c>
      <c r="S1532" s="186" t="s">
        <v>292</v>
      </c>
      <c r="T1532" s="186" t="s">
        <v>292</v>
      </c>
      <c r="U1532" s="186" t="s">
        <v>292</v>
      </c>
      <c r="V1532" s="186" t="s">
        <v>292</v>
      </c>
      <c r="W1532" s="186" t="s">
        <v>292</v>
      </c>
      <c r="X1532" s="186" t="s">
        <v>292</v>
      </c>
      <c r="Y1532" s="186" t="s">
        <v>122</v>
      </c>
      <c r="Z1532" s="186"/>
      <c r="AA1532" s="186"/>
      <c r="AB1532" s="186"/>
      <c r="AC1532" s="186"/>
      <c r="AD1532" s="268" t="s">
        <v>3811</v>
      </c>
      <c r="AE1532" s="268"/>
      <c r="AF1532" s="144" t="str">
        <f t="shared" si="138"/>
        <v/>
      </c>
      <c r="AG1532" s="144" t="str">
        <f t="shared" si="137"/>
        <v/>
      </c>
      <c r="AH1532" s="146">
        <f t="shared" si="133"/>
        <v>0.21</v>
      </c>
      <c r="AI1532" s="146" t="str">
        <f t="shared" si="134"/>
        <v/>
      </c>
      <c r="AJ1532" s="309"/>
      <c r="AK1532" s="309"/>
      <c r="AL1532" s="309"/>
      <c r="AM1532" s="309"/>
      <c r="AN1532" s="309"/>
      <c r="AO1532" s="309"/>
      <c r="AP1532" s="309"/>
      <c r="AQ1532" s="309"/>
      <c r="AR1532" s="320"/>
      <c r="AS1532" s="237"/>
      <c r="AT1532" s="238"/>
      <c r="AU1532" s="320"/>
      <c r="AV1532" s="346"/>
      <c r="AW1532" s="357">
        <v>0.21</v>
      </c>
      <c r="AX1532" s="294"/>
      <c r="AY1532" s="294"/>
      <c r="AZ1532" s="294"/>
      <c r="BA1532" s="294"/>
      <c r="BB1532" s="294"/>
      <c r="BC1532" s="294"/>
      <c r="BD1532" s="294"/>
      <c r="BE1532" s="294"/>
      <c r="BF1532" s="383">
        <f t="shared" si="139"/>
        <v>0.21</v>
      </c>
      <c r="BG1532" s="383"/>
      <c r="BH1532" s="375"/>
      <c r="BI1532" s="376"/>
      <c r="BJ1532" s="409"/>
    </row>
    <row r="1533" spans="1:62" ht="15" customHeight="1" thickBot="1" x14ac:dyDescent="0.25">
      <c r="A1533" s="156">
        <v>1534</v>
      </c>
      <c r="B1533" s="247">
        <v>1</v>
      </c>
      <c r="C1533" s="148" t="s">
        <v>162</v>
      </c>
      <c r="D1533" s="148" t="s">
        <v>2206</v>
      </c>
      <c r="E1533" s="148"/>
      <c r="F1533" s="148"/>
      <c r="G1533" s="148"/>
      <c r="H1533" s="148" t="s">
        <v>55</v>
      </c>
      <c r="I1533" s="161">
        <v>2010</v>
      </c>
      <c r="J1533" s="161" t="s">
        <v>3810</v>
      </c>
      <c r="K1533" s="161"/>
      <c r="L1533" s="161" t="s">
        <v>19</v>
      </c>
      <c r="M1533" s="453" t="s">
        <v>4380</v>
      </c>
      <c r="N1533" s="186" t="s">
        <v>122</v>
      </c>
      <c r="O1533" s="186" t="s">
        <v>292</v>
      </c>
      <c r="P1533" s="186" t="s">
        <v>292</v>
      </c>
      <c r="Q1533" s="186" t="s">
        <v>292</v>
      </c>
      <c r="R1533" s="186" t="s">
        <v>292</v>
      </c>
      <c r="S1533" s="186" t="s">
        <v>292</v>
      </c>
      <c r="T1533" s="186" t="s">
        <v>292</v>
      </c>
      <c r="U1533" s="186" t="s">
        <v>292</v>
      </c>
      <c r="V1533" s="186" t="s">
        <v>292</v>
      </c>
      <c r="W1533" s="186" t="s">
        <v>292</v>
      </c>
      <c r="X1533" s="186" t="s">
        <v>292</v>
      </c>
      <c r="Y1533" s="186" t="s">
        <v>122</v>
      </c>
      <c r="Z1533" s="186"/>
      <c r="AA1533" s="186"/>
      <c r="AB1533" s="186"/>
      <c r="AC1533" s="186"/>
      <c r="AD1533" s="268" t="s">
        <v>3811</v>
      </c>
      <c r="AE1533" s="268"/>
      <c r="AF1533" s="144" t="str">
        <f t="shared" si="138"/>
        <v/>
      </c>
      <c r="AG1533" s="144" t="str">
        <f t="shared" si="137"/>
        <v/>
      </c>
      <c r="AH1533" s="146">
        <f t="shared" si="133"/>
        <v>0.27</v>
      </c>
      <c r="AI1533" s="146" t="str">
        <f t="shared" si="134"/>
        <v/>
      </c>
      <c r="AJ1533" s="309"/>
      <c r="AK1533" s="309"/>
      <c r="AL1533" s="309"/>
      <c r="AM1533" s="309"/>
      <c r="AN1533" s="309"/>
      <c r="AO1533" s="309"/>
      <c r="AP1533" s="309"/>
      <c r="AQ1533" s="309"/>
      <c r="AR1533" s="320"/>
      <c r="AS1533" s="237"/>
      <c r="AT1533" s="238"/>
      <c r="AU1533" s="320"/>
      <c r="AV1533" s="346"/>
      <c r="AW1533" s="357">
        <v>0.27</v>
      </c>
      <c r="AX1533" s="294"/>
      <c r="AY1533" s="294"/>
      <c r="AZ1533" s="294"/>
      <c r="BA1533" s="294"/>
      <c r="BB1533" s="294"/>
      <c r="BC1533" s="294"/>
      <c r="BD1533" s="294"/>
      <c r="BE1533" s="294"/>
      <c r="BF1533" s="383">
        <f t="shared" si="139"/>
        <v>0.27</v>
      </c>
      <c r="BG1533" s="383"/>
      <c r="BH1533" s="375"/>
      <c r="BI1533" s="376"/>
      <c r="BJ1533" s="409"/>
    </row>
    <row r="1534" spans="1:62" ht="15" customHeight="1" thickBot="1" x14ac:dyDescent="0.25">
      <c r="A1534" s="156">
        <v>1535</v>
      </c>
      <c r="B1534" s="247">
        <v>1</v>
      </c>
      <c r="C1534" s="148" t="s">
        <v>162</v>
      </c>
      <c r="D1534" s="148" t="s">
        <v>2746</v>
      </c>
      <c r="E1534" s="148"/>
      <c r="F1534" s="148"/>
      <c r="G1534" s="148"/>
      <c r="H1534" s="148" t="s">
        <v>55</v>
      </c>
      <c r="I1534" s="161">
        <v>2010</v>
      </c>
      <c r="J1534" s="161" t="s">
        <v>3810</v>
      </c>
      <c r="K1534" s="161"/>
      <c r="L1534" s="161" t="s">
        <v>19</v>
      </c>
      <c r="M1534" s="453" t="s">
        <v>4380</v>
      </c>
      <c r="N1534" s="186" t="s">
        <v>122</v>
      </c>
      <c r="O1534" s="186" t="s">
        <v>292</v>
      </c>
      <c r="P1534" s="186" t="s">
        <v>292</v>
      </c>
      <c r="Q1534" s="186" t="s">
        <v>292</v>
      </c>
      <c r="R1534" s="186" t="s">
        <v>292</v>
      </c>
      <c r="S1534" s="186" t="s">
        <v>292</v>
      </c>
      <c r="T1534" s="186" t="s">
        <v>292</v>
      </c>
      <c r="U1534" s="186" t="s">
        <v>292</v>
      </c>
      <c r="V1534" s="186" t="s">
        <v>292</v>
      </c>
      <c r="W1534" s="186" t="s">
        <v>292</v>
      </c>
      <c r="X1534" s="186" t="s">
        <v>292</v>
      </c>
      <c r="Y1534" s="186" t="s">
        <v>122</v>
      </c>
      <c r="Z1534" s="186"/>
      <c r="AA1534" s="186"/>
      <c r="AB1534" s="186"/>
      <c r="AC1534" s="186"/>
      <c r="AD1534" s="268" t="s">
        <v>3811</v>
      </c>
      <c r="AE1534" s="268"/>
      <c r="AF1534" s="144" t="str">
        <f t="shared" si="138"/>
        <v/>
      </c>
      <c r="AG1534" s="144" t="str">
        <f t="shared" si="137"/>
        <v/>
      </c>
      <c r="AH1534" s="146">
        <f t="shared" si="133"/>
        <v>0.63</v>
      </c>
      <c r="AI1534" s="146" t="str">
        <f t="shared" si="134"/>
        <v/>
      </c>
      <c r="AJ1534" s="309"/>
      <c r="AK1534" s="309"/>
      <c r="AL1534" s="309"/>
      <c r="AM1534" s="309"/>
      <c r="AN1534" s="309"/>
      <c r="AO1534" s="309"/>
      <c r="AP1534" s="309"/>
      <c r="AQ1534" s="309"/>
      <c r="AR1534" s="320"/>
      <c r="AS1534" s="237"/>
      <c r="AT1534" s="238"/>
      <c r="AU1534" s="320"/>
      <c r="AV1534" s="346"/>
      <c r="AW1534" s="357">
        <v>0.63</v>
      </c>
      <c r="AX1534" s="294"/>
      <c r="AY1534" s="294"/>
      <c r="AZ1534" s="294"/>
      <c r="BA1534" s="294"/>
      <c r="BB1534" s="294"/>
      <c r="BC1534" s="294"/>
      <c r="BD1534" s="294"/>
      <c r="BE1534" s="294"/>
      <c r="BF1534" s="383">
        <f t="shared" si="139"/>
        <v>0.63</v>
      </c>
      <c r="BG1534" s="383"/>
      <c r="BH1534" s="375"/>
      <c r="BI1534" s="376"/>
      <c r="BJ1534" s="409"/>
    </row>
    <row r="1535" spans="1:62" ht="15" customHeight="1" thickBot="1" x14ac:dyDescent="0.25">
      <c r="A1535" s="156">
        <v>1536</v>
      </c>
      <c r="B1535" s="247">
        <v>1</v>
      </c>
      <c r="C1535" s="148" t="s">
        <v>162</v>
      </c>
      <c r="D1535" s="148" t="s">
        <v>3822</v>
      </c>
      <c r="E1535" s="148"/>
      <c r="F1535" s="148"/>
      <c r="G1535" s="148"/>
      <c r="H1535" s="148" t="s">
        <v>55</v>
      </c>
      <c r="I1535" s="161">
        <v>2010</v>
      </c>
      <c r="J1535" s="161" t="s">
        <v>3810</v>
      </c>
      <c r="K1535" s="161"/>
      <c r="L1535" s="161" t="s">
        <v>19</v>
      </c>
      <c r="M1535" s="453" t="s">
        <v>4380</v>
      </c>
      <c r="N1535" s="186" t="s">
        <v>122</v>
      </c>
      <c r="O1535" s="186" t="s">
        <v>292</v>
      </c>
      <c r="P1535" s="186" t="s">
        <v>292</v>
      </c>
      <c r="Q1535" s="186" t="s">
        <v>292</v>
      </c>
      <c r="R1535" s="186" t="s">
        <v>292</v>
      </c>
      <c r="S1535" s="186" t="s">
        <v>292</v>
      </c>
      <c r="T1535" s="186" t="s">
        <v>292</v>
      </c>
      <c r="U1535" s="186" t="s">
        <v>292</v>
      </c>
      <c r="V1535" s="186" t="s">
        <v>292</v>
      </c>
      <c r="W1535" s="186" t="s">
        <v>292</v>
      </c>
      <c r="X1535" s="186" t="s">
        <v>292</v>
      </c>
      <c r="Y1535" s="186" t="s">
        <v>122</v>
      </c>
      <c r="Z1535" s="186"/>
      <c r="AA1535" s="186"/>
      <c r="AB1535" s="186"/>
      <c r="AC1535" s="186"/>
      <c r="AD1535" s="268" t="s">
        <v>3811</v>
      </c>
      <c r="AE1535" s="268"/>
      <c r="AF1535" s="144" t="str">
        <f t="shared" si="138"/>
        <v/>
      </c>
      <c r="AG1535" s="144" t="str">
        <f t="shared" si="137"/>
        <v/>
      </c>
      <c r="AH1535" s="146">
        <f t="shared" si="133"/>
        <v>1.38</v>
      </c>
      <c r="AI1535" s="146" t="str">
        <f t="shared" si="134"/>
        <v/>
      </c>
      <c r="AJ1535" s="309"/>
      <c r="AK1535" s="309"/>
      <c r="AL1535" s="309"/>
      <c r="AM1535" s="309"/>
      <c r="AN1535" s="309"/>
      <c r="AO1535" s="309"/>
      <c r="AP1535" s="309"/>
      <c r="AQ1535" s="309"/>
      <c r="AR1535" s="320"/>
      <c r="AS1535" s="237"/>
      <c r="AT1535" s="238"/>
      <c r="AU1535" s="320"/>
      <c r="AV1535" s="346"/>
      <c r="AW1535" s="357">
        <v>1.38</v>
      </c>
      <c r="AX1535" s="294"/>
      <c r="AY1535" s="294"/>
      <c r="AZ1535" s="294"/>
      <c r="BA1535" s="294"/>
      <c r="BB1535" s="294"/>
      <c r="BC1535" s="294"/>
      <c r="BD1535" s="294"/>
      <c r="BE1535" s="294"/>
      <c r="BF1535" s="383">
        <f t="shared" si="139"/>
        <v>1.38</v>
      </c>
      <c r="BG1535" s="383"/>
      <c r="BH1535" s="375"/>
      <c r="BI1535" s="376"/>
      <c r="BJ1535" s="409"/>
    </row>
    <row r="1536" spans="1:62" ht="15" customHeight="1" thickBot="1" x14ac:dyDescent="0.25">
      <c r="A1536" s="156">
        <v>1537</v>
      </c>
      <c r="B1536" s="247">
        <v>1</v>
      </c>
      <c r="C1536" s="148" t="s">
        <v>162</v>
      </c>
      <c r="D1536" s="148" t="s">
        <v>839</v>
      </c>
      <c r="E1536" s="148"/>
      <c r="F1536" s="148"/>
      <c r="G1536" s="148"/>
      <c r="H1536" s="148" t="s">
        <v>55</v>
      </c>
      <c r="I1536" s="161">
        <v>2010</v>
      </c>
      <c r="J1536" s="161" t="s">
        <v>3810</v>
      </c>
      <c r="K1536" s="161"/>
      <c r="L1536" s="161" t="s">
        <v>19</v>
      </c>
      <c r="M1536" s="453" t="s">
        <v>4380</v>
      </c>
      <c r="N1536" s="186" t="s">
        <v>122</v>
      </c>
      <c r="O1536" s="186" t="s">
        <v>292</v>
      </c>
      <c r="P1536" s="186" t="s">
        <v>292</v>
      </c>
      <c r="Q1536" s="186" t="s">
        <v>292</v>
      </c>
      <c r="R1536" s="186" t="s">
        <v>292</v>
      </c>
      <c r="S1536" s="186" t="s">
        <v>292</v>
      </c>
      <c r="T1536" s="186" t="s">
        <v>292</v>
      </c>
      <c r="U1536" s="186" t="s">
        <v>292</v>
      </c>
      <c r="V1536" s="186" t="s">
        <v>292</v>
      </c>
      <c r="W1536" s="186" t="s">
        <v>292</v>
      </c>
      <c r="X1536" s="186" t="s">
        <v>292</v>
      </c>
      <c r="Y1536" s="186" t="s">
        <v>122</v>
      </c>
      <c r="Z1536" s="186"/>
      <c r="AA1536" s="186"/>
      <c r="AB1536" s="186"/>
      <c r="AC1536" s="186"/>
      <c r="AD1536" s="268" t="s">
        <v>3811</v>
      </c>
      <c r="AE1536" s="268"/>
      <c r="AF1536" s="144" t="str">
        <f t="shared" si="138"/>
        <v/>
      </c>
      <c r="AG1536" s="144" t="str">
        <f t="shared" si="137"/>
        <v/>
      </c>
      <c r="AH1536" s="146">
        <f t="shared" si="133"/>
        <v>0.22</v>
      </c>
      <c r="AI1536" s="146" t="str">
        <f t="shared" si="134"/>
        <v/>
      </c>
      <c r="AJ1536" s="309"/>
      <c r="AK1536" s="309"/>
      <c r="AL1536" s="309"/>
      <c r="AM1536" s="309"/>
      <c r="AN1536" s="309"/>
      <c r="AO1536" s="309"/>
      <c r="AP1536" s="309"/>
      <c r="AQ1536" s="309"/>
      <c r="AR1536" s="320"/>
      <c r="AS1536" s="237"/>
      <c r="AT1536" s="238"/>
      <c r="AU1536" s="320"/>
      <c r="AV1536" s="346"/>
      <c r="AW1536" s="357">
        <v>0.22</v>
      </c>
      <c r="AX1536" s="294"/>
      <c r="AY1536" s="294"/>
      <c r="AZ1536" s="294"/>
      <c r="BA1536" s="294"/>
      <c r="BB1536" s="294"/>
      <c r="BC1536" s="294"/>
      <c r="BD1536" s="294"/>
      <c r="BE1536" s="294"/>
      <c r="BF1536" s="383">
        <f t="shared" si="139"/>
        <v>0.22</v>
      </c>
      <c r="BG1536" s="383"/>
      <c r="BH1536" s="375"/>
      <c r="BI1536" s="376"/>
      <c r="BJ1536" s="409"/>
    </row>
    <row r="1537" spans="1:62" ht="15" customHeight="1" thickBot="1" x14ac:dyDescent="0.25">
      <c r="A1537" s="156">
        <v>1538</v>
      </c>
      <c r="B1537" s="247">
        <v>1</v>
      </c>
      <c r="C1537" s="148" t="s">
        <v>162</v>
      </c>
      <c r="D1537" s="148" t="s">
        <v>3823</v>
      </c>
      <c r="E1537" s="148"/>
      <c r="F1537" s="148"/>
      <c r="G1537" s="148"/>
      <c r="H1537" s="148" t="s">
        <v>55</v>
      </c>
      <c r="I1537" s="161">
        <v>2010</v>
      </c>
      <c r="J1537" s="161" t="s">
        <v>3810</v>
      </c>
      <c r="K1537" s="161"/>
      <c r="L1537" s="161" t="s">
        <v>19</v>
      </c>
      <c r="M1537" s="453" t="s">
        <v>4380</v>
      </c>
      <c r="N1537" s="186" t="s">
        <v>122</v>
      </c>
      <c r="O1537" s="186" t="s">
        <v>292</v>
      </c>
      <c r="P1537" s="186" t="s">
        <v>292</v>
      </c>
      <c r="Q1537" s="186" t="s">
        <v>292</v>
      </c>
      <c r="R1537" s="186" t="s">
        <v>292</v>
      </c>
      <c r="S1537" s="186" t="s">
        <v>292</v>
      </c>
      <c r="T1537" s="186" t="s">
        <v>292</v>
      </c>
      <c r="U1537" s="186" t="s">
        <v>292</v>
      </c>
      <c r="V1537" s="186" t="s">
        <v>292</v>
      </c>
      <c r="W1537" s="186" t="s">
        <v>292</v>
      </c>
      <c r="X1537" s="186" t="s">
        <v>292</v>
      </c>
      <c r="Y1537" s="186" t="s">
        <v>122</v>
      </c>
      <c r="Z1537" s="186"/>
      <c r="AA1537" s="186"/>
      <c r="AB1537" s="186"/>
      <c r="AC1537" s="186"/>
      <c r="AD1537" s="268" t="s">
        <v>3811</v>
      </c>
      <c r="AE1537" s="268"/>
      <c r="AF1537" s="144" t="str">
        <f t="shared" si="138"/>
        <v/>
      </c>
      <c r="AG1537" s="144" t="str">
        <f t="shared" si="137"/>
        <v/>
      </c>
      <c r="AH1537" s="146">
        <f t="shared" si="133"/>
        <v>1.17</v>
      </c>
      <c r="AI1537" s="146" t="str">
        <f t="shared" si="134"/>
        <v/>
      </c>
      <c r="AJ1537" s="309"/>
      <c r="AK1537" s="309"/>
      <c r="AL1537" s="309"/>
      <c r="AM1537" s="309"/>
      <c r="AN1537" s="309"/>
      <c r="AO1537" s="309"/>
      <c r="AP1537" s="309"/>
      <c r="AQ1537" s="309"/>
      <c r="AR1537" s="320"/>
      <c r="AS1537" s="237"/>
      <c r="AT1537" s="238"/>
      <c r="AU1537" s="320"/>
      <c r="AV1537" s="346"/>
      <c r="AW1537" s="357">
        <v>1.17</v>
      </c>
      <c r="AX1537" s="294"/>
      <c r="AY1537" s="294"/>
      <c r="AZ1537" s="294"/>
      <c r="BA1537" s="294"/>
      <c r="BB1537" s="294"/>
      <c r="BC1537" s="294"/>
      <c r="BD1537" s="294"/>
      <c r="BE1537" s="294"/>
      <c r="BF1537" s="383">
        <f t="shared" si="139"/>
        <v>1.17</v>
      </c>
      <c r="BG1537" s="383"/>
      <c r="BH1537" s="375"/>
      <c r="BI1537" s="376"/>
      <c r="BJ1537" s="409"/>
    </row>
    <row r="1538" spans="1:62" ht="15" customHeight="1" thickBot="1" x14ac:dyDescent="0.25">
      <c r="A1538" s="156">
        <v>1539</v>
      </c>
      <c r="B1538" s="247">
        <v>1</v>
      </c>
      <c r="C1538" s="148" t="s">
        <v>2933</v>
      </c>
      <c r="D1538" s="148" t="s">
        <v>2745</v>
      </c>
      <c r="E1538" s="148"/>
      <c r="F1538" s="148" t="s">
        <v>3824</v>
      </c>
      <c r="G1538" s="148"/>
      <c r="H1538" s="148" t="s">
        <v>165</v>
      </c>
      <c r="I1538" s="161">
        <v>2010</v>
      </c>
      <c r="J1538" s="161" t="s">
        <v>3825</v>
      </c>
      <c r="K1538" s="161"/>
      <c r="L1538" s="161" t="s">
        <v>19</v>
      </c>
      <c r="M1538" s="453" t="s">
        <v>4381</v>
      </c>
      <c r="N1538" s="186" t="s">
        <v>122</v>
      </c>
      <c r="O1538" s="186" t="s">
        <v>292</v>
      </c>
      <c r="P1538" s="186" t="s">
        <v>292</v>
      </c>
      <c r="Q1538" s="186" t="s">
        <v>292</v>
      </c>
      <c r="R1538" s="186" t="s">
        <v>292</v>
      </c>
      <c r="S1538" s="186" t="s">
        <v>292</v>
      </c>
      <c r="T1538" s="186" t="s">
        <v>292</v>
      </c>
      <c r="U1538" s="186" t="s">
        <v>292</v>
      </c>
      <c r="V1538" s="186" t="s">
        <v>292</v>
      </c>
      <c r="W1538" s="186" t="s">
        <v>292</v>
      </c>
      <c r="X1538" s="186" t="s">
        <v>292</v>
      </c>
      <c r="Y1538" s="186" t="s">
        <v>292</v>
      </c>
      <c r="Z1538" s="186"/>
      <c r="AA1538" s="186"/>
      <c r="AB1538" s="186"/>
      <c r="AC1538" s="186"/>
      <c r="AD1538" s="268" t="s">
        <v>3826</v>
      </c>
      <c r="AE1538" s="268" t="s">
        <v>3827</v>
      </c>
      <c r="AF1538" s="144">
        <f t="shared" si="138"/>
        <v>77.034572414789267</v>
      </c>
      <c r="AG1538" s="144" t="str">
        <f t="shared" si="137"/>
        <v/>
      </c>
      <c r="AH1538" s="146">
        <f t="shared" ref="AH1538:AH1601" si="140">IF(BF1538&lt;&gt;0,BF1538,"")</f>
        <v>41.092410605328567</v>
      </c>
      <c r="AI1538" s="146" t="str">
        <f t="shared" ref="AI1538:AI1601" si="141">IF(AND(SUM(AW1538:AY1538)&lt;&gt;0,SUM(AW1538:AY1538)&lt;&gt;AW1538),SUM(AW1538:AY1538),"")</f>
        <v/>
      </c>
      <c r="AJ1538" s="309">
        <f>30932/1000/0.667/0.602</f>
        <v>77.034572414789267</v>
      </c>
      <c r="AK1538" s="309"/>
      <c r="AL1538" s="309"/>
      <c r="AM1538" s="309"/>
      <c r="AN1538" s="309"/>
      <c r="AO1538" s="309"/>
      <c r="AP1538" s="309"/>
      <c r="AQ1538" s="309"/>
      <c r="AR1538" s="320"/>
      <c r="AS1538" s="237">
        <f t="shared" ref="AS1538:AS1549" si="142">AJ1538</f>
        <v>77.034572414789267</v>
      </c>
      <c r="AT1538" s="238"/>
      <c r="AU1538" s="320"/>
      <c r="AV1538" s="346"/>
      <c r="AW1538" s="357">
        <f>16.5/0.667/0.602</f>
        <v>41.092410605328567</v>
      </c>
      <c r="AX1538" s="294"/>
      <c r="AY1538" s="294"/>
      <c r="AZ1538" s="294"/>
      <c r="BA1538" s="294"/>
      <c r="BB1538" s="294"/>
      <c r="BC1538" s="294"/>
      <c r="BD1538" s="294"/>
      <c r="BE1538" s="294"/>
      <c r="BF1538" s="383">
        <f t="shared" si="139"/>
        <v>41.092410605328567</v>
      </c>
      <c r="BG1538" s="383"/>
      <c r="BH1538" s="375"/>
      <c r="BI1538" s="376"/>
      <c r="BJ1538" s="409"/>
    </row>
    <row r="1539" spans="1:62" ht="15" customHeight="1" thickBot="1" x14ac:dyDescent="0.25">
      <c r="A1539" s="156">
        <v>1540</v>
      </c>
      <c r="B1539" s="247">
        <v>1</v>
      </c>
      <c r="C1539" s="148" t="s">
        <v>2933</v>
      </c>
      <c r="D1539" s="148" t="s">
        <v>2745</v>
      </c>
      <c r="E1539" s="148"/>
      <c r="F1539" s="148" t="s">
        <v>3828</v>
      </c>
      <c r="G1539" s="148"/>
      <c r="H1539" s="148" t="s">
        <v>165</v>
      </c>
      <c r="I1539" s="161">
        <v>2010</v>
      </c>
      <c r="J1539" s="161" t="s">
        <v>3825</v>
      </c>
      <c r="K1539" s="161"/>
      <c r="L1539" s="161" t="s">
        <v>19</v>
      </c>
      <c r="M1539" s="453" t="s">
        <v>4381</v>
      </c>
      <c r="N1539" s="186" t="s">
        <v>122</v>
      </c>
      <c r="O1539" s="186" t="s">
        <v>292</v>
      </c>
      <c r="P1539" s="186" t="s">
        <v>292</v>
      </c>
      <c r="Q1539" s="186" t="s">
        <v>292</v>
      </c>
      <c r="R1539" s="186" t="s">
        <v>292</v>
      </c>
      <c r="S1539" s="186" t="s">
        <v>292</v>
      </c>
      <c r="T1539" s="186" t="s">
        <v>292</v>
      </c>
      <c r="U1539" s="186" t="s">
        <v>292</v>
      </c>
      <c r="V1539" s="186" t="s">
        <v>292</v>
      </c>
      <c r="W1539" s="186" t="s">
        <v>292</v>
      </c>
      <c r="X1539" s="186" t="s">
        <v>292</v>
      </c>
      <c r="Y1539" s="186" t="s">
        <v>292</v>
      </c>
      <c r="Z1539" s="186"/>
      <c r="AA1539" s="186"/>
      <c r="AB1539" s="186"/>
      <c r="AC1539" s="186"/>
      <c r="AD1539" s="268" t="s">
        <v>3826</v>
      </c>
      <c r="AE1539" s="268" t="s">
        <v>3827</v>
      </c>
      <c r="AF1539" s="144">
        <f t="shared" si="138"/>
        <v>73.694880134683487</v>
      </c>
      <c r="AG1539" s="144" t="str">
        <f t="shared" si="137"/>
        <v/>
      </c>
      <c r="AH1539" s="146">
        <f t="shared" si="140"/>
        <v>42.586680081885966</v>
      </c>
      <c r="AI1539" s="146" t="str">
        <f t="shared" si="141"/>
        <v/>
      </c>
      <c r="AJ1539" s="309">
        <f>29591/1000/0.667/0.602</f>
        <v>73.694880134683487</v>
      </c>
      <c r="AK1539" s="309"/>
      <c r="AL1539" s="309"/>
      <c r="AM1539" s="309"/>
      <c r="AN1539" s="309"/>
      <c r="AO1539" s="309"/>
      <c r="AP1539" s="309"/>
      <c r="AQ1539" s="309"/>
      <c r="AR1539" s="320"/>
      <c r="AS1539" s="227">
        <f t="shared" si="142"/>
        <v>73.694880134683487</v>
      </c>
      <c r="AT1539" s="238"/>
      <c r="AU1539" s="320"/>
      <c r="AV1539" s="346"/>
      <c r="AW1539" s="357">
        <f>17.1/0.667/0.602</f>
        <v>42.586680081885966</v>
      </c>
      <c r="AX1539" s="294"/>
      <c r="AY1539" s="294"/>
      <c r="AZ1539" s="294"/>
      <c r="BA1539" s="294"/>
      <c r="BB1539" s="294"/>
      <c r="BC1539" s="294"/>
      <c r="BD1539" s="294"/>
      <c r="BE1539" s="294"/>
      <c r="BF1539" s="383">
        <f t="shared" si="139"/>
        <v>42.586680081885966</v>
      </c>
      <c r="BG1539" s="383"/>
      <c r="BH1539" s="375"/>
      <c r="BI1539" s="376"/>
      <c r="BJ1539" s="409"/>
    </row>
    <row r="1540" spans="1:62" ht="15" customHeight="1" thickBot="1" x14ac:dyDescent="0.25">
      <c r="A1540" s="156">
        <v>1541</v>
      </c>
      <c r="B1540" s="247">
        <v>1</v>
      </c>
      <c r="C1540" s="148" t="s">
        <v>2933</v>
      </c>
      <c r="D1540" s="148" t="s">
        <v>2745</v>
      </c>
      <c r="E1540" s="148"/>
      <c r="F1540" s="148" t="s">
        <v>3829</v>
      </c>
      <c r="G1540" s="148"/>
      <c r="H1540" s="148" t="s">
        <v>165</v>
      </c>
      <c r="I1540" s="161">
        <v>2010</v>
      </c>
      <c r="J1540" s="161" t="s">
        <v>3825</v>
      </c>
      <c r="K1540" s="161"/>
      <c r="L1540" s="161" t="s">
        <v>19</v>
      </c>
      <c r="M1540" s="453" t="s">
        <v>4381</v>
      </c>
      <c r="N1540" s="186" t="s">
        <v>122</v>
      </c>
      <c r="O1540" s="186" t="s">
        <v>292</v>
      </c>
      <c r="P1540" s="186" t="s">
        <v>292</v>
      </c>
      <c r="Q1540" s="186" t="s">
        <v>292</v>
      </c>
      <c r="R1540" s="186" t="s">
        <v>292</v>
      </c>
      <c r="S1540" s="186" t="s">
        <v>292</v>
      </c>
      <c r="T1540" s="186" t="s">
        <v>292</v>
      </c>
      <c r="U1540" s="186" t="s">
        <v>292</v>
      </c>
      <c r="V1540" s="186" t="s">
        <v>292</v>
      </c>
      <c r="W1540" s="186" t="s">
        <v>292</v>
      </c>
      <c r="X1540" s="186" t="s">
        <v>292</v>
      </c>
      <c r="Y1540" s="186" t="s">
        <v>292</v>
      </c>
      <c r="Z1540" s="186"/>
      <c r="AA1540" s="186"/>
      <c r="AB1540" s="186"/>
      <c r="AC1540" s="186"/>
      <c r="AD1540" s="268" t="s">
        <v>3826</v>
      </c>
      <c r="AE1540" s="268" t="s">
        <v>3827</v>
      </c>
      <c r="AF1540" s="144">
        <f t="shared" si="138"/>
        <v>72.110954489532631</v>
      </c>
      <c r="AG1540" s="144" t="str">
        <f t="shared" si="137"/>
        <v/>
      </c>
      <c r="AH1540" s="146">
        <f t="shared" si="140"/>
        <v>37.107692001175486</v>
      </c>
      <c r="AI1540" s="146" t="str">
        <f t="shared" si="141"/>
        <v/>
      </c>
      <c r="AJ1540" s="309">
        <f>28955/1000/0.667/0.602</f>
        <v>72.110954489532631</v>
      </c>
      <c r="AK1540" s="309"/>
      <c r="AL1540" s="309"/>
      <c r="AM1540" s="309"/>
      <c r="AN1540" s="309"/>
      <c r="AO1540" s="309"/>
      <c r="AP1540" s="309"/>
      <c r="AQ1540" s="309"/>
      <c r="AR1540" s="320"/>
      <c r="AS1540" s="227">
        <f t="shared" si="142"/>
        <v>72.110954489532631</v>
      </c>
      <c r="AT1540" s="238"/>
      <c r="AU1540" s="320"/>
      <c r="AV1540" s="346"/>
      <c r="AW1540" s="357">
        <f>14.9/0.667/0.602</f>
        <v>37.107692001175486</v>
      </c>
      <c r="AX1540" s="294"/>
      <c r="AY1540" s="294"/>
      <c r="AZ1540" s="294"/>
      <c r="BA1540" s="294"/>
      <c r="BB1540" s="294"/>
      <c r="BC1540" s="294"/>
      <c r="BD1540" s="294"/>
      <c r="BE1540" s="294"/>
      <c r="BF1540" s="383">
        <f t="shared" si="139"/>
        <v>37.107692001175486</v>
      </c>
      <c r="BG1540" s="383"/>
      <c r="BH1540" s="375"/>
      <c r="BI1540" s="376"/>
      <c r="BJ1540" s="409"/>
    </row>
    <row r="1541" spans="1:62" ht="15" customHeight="1" thickBot="1" x14ac:dyDescent="0.25">
      <c r="A1541" s="156">
        <v>1542</v>
      </c>
      <c r="B1541" s="247">
        <v>1</v>
      </c>
      <c r="C1541" s="148" t="s">
        <v>2933</v>
      </c>
      <c r="D1541" s="148" t="s">
        <v>2745</v>
      </c>
      <c r="E1541" s="148"/>
      <c r="F1541" s="148" t="s">
        <v>3830</v>
      </c>
      <c r="G1541" s="148"/>
      <c r="H1541" s="148" t="s">
        <v>165</v>
      </c>
      <c r="I1541" s="161">
        <v>2010</v>
      </c>
      <c r="J1541" s="161" t="s">
        <v>3825</v>
      </c>
      <c r="K1541" s="161"/>
      <c r="L1541" s="161" t="s">
        <v>19</v>
      </c>
      <c r="M1541" s="453" t="s">
        <v>4381</v>
      </c>
      <c r="N1541" s="186" t="s">
        <v>122</v>
      </c>
      <c r="O1541" s="186" t="s">
        <v>292</v>
      </c>
      <c r="P1541" s="186" t="s">
        <v>292</v>
      </c>
      <c r="Q1541" s="186" t="s">
        <v>292</v>
      </c>
      <c r="R1541" s="186" t="s">
        <v>292</v>
      </c>
      <c r="S1541" s="186" t="s">
        <v>292</v>
      </c>
      <c r="T1541" s="186" t="s">
        <v>292</v>
      </c>
      <c r="U1541" s="186" t="s">
        <v>292</v>
      </c>
      <c r="V1541" s="186" t="s">
        <v>292</v>
      </c>
      <c r="W1541" s="186" t="s">
        <v>292</v>
      </c>
      <c r="X1541" s="186" t="s">
        <v>292</v>
      </c>
      <c r="Y1541" s="186" t="s">
        <v>292</v>
      </c>
      <c r="Z1541" s="186"/>
      <c r="AA1541" s="186"/>
      <c r="AB1541" s="186"/>
      <c r="AC1541" s="186"/>
      <c r="AD1541" s="268" t="s">
        <v>3826</v>
      </c>
      <c r="AE1541" s="268" t="s">
        <v>3827</v>
      </c>
      <c r="AF1541" s="144">
        <f t="shared" si="138"/>
        <v>66.497482155932005</v>
      </c>
      <c r="AG1541" s="144" t="str">
        <f t="shared" si="137"/>
        <v/>
      </c>
      <c r="AH1541" s="146">
        <f t="shared" si="140"/>
        <v>36.360557262896791</v>
      </c>
      <c r="AI1541" s="146" t="str">
        <f t="shared" si="141"/>
        <v/>
      </c>
      <c r="AJ1541" s="309">
        <f>26701/1000/0.667/0.602</f>
        <v>66.497482155932005</v>
      </c>
      <c r="AK1541" s="309"/>
      <c r="AL1541" s="309"/>
      <c r="AM1541" s="309"/>
      <c r="AN1541" s="309"/>
      <c r="AO1541" s="309"/>
      <c r="AP1541" s="309"/>
      <c r="AQ1541" s="309"/>
      <c r="AR1541" s="320"/>
      <c r="AS1541" s="227">
        <f t="shared" si="142"/>
        <v>66.497482155932005</v>
      </c>
      <c r="AT1541" s="238"/>
      <c r="AU1541" s="320"/>
      <c r="AV1541" s="346"/>
      <c r="AW1541" s="357">
        <f>14.6/0.667/0.602</f>
        <v>36.360557262896791</v>
      </c>
      <c r="AX1541" s="294"/>
      <c r="AY1541" s="294"/>
      <c r="AZ1541" s="294"/>
      <c r="BA1541" s="294"/>
      <c r="BB1541" s="294"/>
      <c r="BC1541" s="294"/>
      <c r="BD1541" s="294"/>
      <c r="BE1541" s="294"/>
      <c r="BF1541" s="383">
        <f t="shared" si="139"/>
        <v>36.360557262896791</v>
      </c>
      <c r="BG1541" s="383"/>
      <c r="BH1541" s="375"/>
      <c r="BI1541" s="376"/>
      <c r="BJ1541" s="409"/>
    </row>
    <row r="1542" spans="1:62" ht="15" customHeight="1" thickBot="1" x14ac:dyDescent="0.25">
      <c r="A1542" s="156">
        <v>1543</v>
      </c>
      <c r="B1542" s="247">
        <v>1</v>
      </c>
      <c r="C1542" s="148" t="s">
        <v>2933</v>
      </c>
      <c r="D1542" s="148" t="s">
        <v>2745</v>
      </c>
      <c r="E1542" s="148"/>
      <c r="F1542" s="148" t="s">
        <v>3831</v>
      </c>
      <c r="G1542" s="148"/>
      <c r="H1542" s="148" t="s">
        <v>165</v>
      </c>
      <c r="I1542" s="161">
        <v>2010</v>
      </c>
      <c r="J1542" s="161" t="s">
        <v>3825</v>
      </c>
      <c r="K1542" s="161"/>
      <c r="L1542" s="161" t="s">
        <v>19</v>
      </c>
      <c r="M1542" s="453" t="s">
        <v>4381</v>
      </c>
      <c r="N1542" s="186" t="s">
        <v>122</v>
      </c>
      <c r="O1542" s="186" t="s">
        <v>292</v>
      </c>
      <c r="P1542" s="186" t="s">
        <v>292</v>
      </c>
      <c r="Q1542" s="186" t="s">
        <v>292</v>
      </c>
      <c r="R1542" s="186" t="s">
        <v>292</v>
      </c>
      <c r="S1542" s="186" t="s">
        <v>292</v>
      </c>
      <c r="T1542" s="186" t="s">
        <v>292</v>
      </c>
      <c r="U1542" s="186" t="s">
        <v>292</v>
      </c>
      <c r="V1542" s="186" t="s">
        <v>292</v>
      </c>
      <c r="W1542" s="186" t="s">
        <v>292</v>
      </c>
      <c r="X1542" s="186" t="s">
        <v>292</v>
      </c>
      <c r="Y1542" s="186" t="s">
        <v>292</v>
      </c>
      <c r="Z1542" s="186"/>
      <c r="AA1542" s="186"/>
      <c r="AB1542" s="186"/>
      <c r="AC1542" s="186"/>
      <c r="AD1542" s="268" t="s">
        <v>3826</v>
      </c>
      <c r="AE1542" s="268" t="s">
        <v>3827</v>
      </c>
      <c r="AF1542" s="144">
        <f t="shared" si="138"/>
        <v>75.632449555952917</v>
      </c>
      <c r="AG1542" s="144" t="str">
        <f t="shared" si="137"/>
        <v/>
      </c>
      <c r="AH1542" s="146">
        <f t="shared" si="140"/>
        <v>47.318533424317742</v>
      </c>
      <c r="AI1542" s="146" t="str">
        <f t="shared" si="141"/>
        <v/>
      </c>
      <c r="AJ1542" s="309">
        <f>30369/1000/0.667/0.602</f>
        <v>75.632449555952917</v>
      </c>
      <c r="AK1542" s="309"/>
      <c r="AL1542" s="309"/>
      <c r="AM1542" s="309"/>
      <c r="AN1542" s="309"/>
      <c r="AO1542" s="309"/>
      <c r="AP1542" s="309"/>
      <c r="AQ1542" s="309"/>
      <c r="AR1542" s="320"/>
      <c r="AS1542" s="227">
        <f t="shared" si="142"/>
        <v>75.632449555952917</v>
      </c>
      <c r="AT1542" s="238"/>
      <c r="AU1542" s="320"/>
      <c r="AV1542" s="346"/>
      <c r="AW1542" s="357">
        <f>19/0.667/0.602</f>
        <v>47.318533424317742</v>
      </c>
      <c r="AX1542" s="294"/>
      <c r="AY1542" s="294"/>
      <c r="AZ1542" s="294"/>
      <c r="BA1542" s="294"/>
      <c r="BB1542" s="294"/>
      <c r="BC1542" s="294"/>
      <c r="BD1542" s="294"/>
      <c r="BE1542" s="294"/>
      <c r="BF1542" s="383">
        <f t="shared" si="139"/>
        <v>47.318533424317742</v>
      </c>
      <c r="BG1542" s="383"/>
      <c r="BH1542" s="375"/>
      <c r="BI1542" s="376"/>
      <c r="BJ1542" s="409"/>
    </row>
    <row r="1543" spans="1:62" ht="15" customHeight="1" thickBot="1" x14ac:dyDescent="0.25">
      <c r="A1543" s="156">
        <v>1544</v>
      </c>
      <c r="B1543" s="247">
        <v>1</v>
      </c>
      <c r="C1543" s="148" t="s">
        <v>259</v>
      </c>
      <c r="D1543" s="148" t="s">
        <v>3832</v>
      </c>
      <c r="E1543" s="148"/>
      <c r="F1543" s="148" t="s">
        <v>3833</v>
      </c>
      <c r="G1543" s="148"/>
      <c r="H1543" s="148" t="s">
        <v>108</v>
      </c>
      <c r="I1543" s="161">
        <v>2010</v>
      </c>
      <c r="J1543" s="161" t="s">
        <v>3834</v>
      </c>
      <c r="K1543" s="161"/>
      <c r="L1543" s="161" t="s">
        <v>19</v>
      </c>
      <c r="M1543" s="453" t="s">
        <v>4280</v>
      </c>
      <c r="N1543" s="186" t="s">
        <v>122</v>
      </c>
      <c r="O1543" s="186" t="s">
        <v>292</v>
      </c>
      <c r="P1543" s="186" t="s">
        <v>292</v>
      </c>
      <c r="Q1543" s="186" t="s">
        <v>292</v>
      </c>
      <c r="R1543" s="186" t="s">
        <v>292</v>
      </c>
      <c r="S1543" s="186" t="s">
        <v>292</v>
      </c>
      <c r="T1543" s="186" t="s">
        <v>292</v>
      </c>
      <c r="U1543" s="186" t="s">
        <v>292</v>
      </c>
      <c r="V1543" s="186" t="s">
        <v>292</v>
      </c>
      <c r="W1543" s="186" t="s">
        <v>292</v>
      </c>
      <c r="X1543" s="186" t="s">
        <v>292</v>
      </c>
      <c r="Y1543" s="186" t="s">
        <v>292</v>
      </c>
      <c r="Z1543" s="186"/>
      <c r="AA1543" s="186"/>
      <c r="AB1543" s="186"/>
      <c r="AC1543" s="186"/>
      <c r="AD1543" s="268" t="s">
        <v>1410</v>
      </c>
      <c r="AE1543" s="268"/>
      <c r="AF1543" s="144">
        <f t="shared" si="138"/>
        <v>2.4</v>
      </c>
      <c r="AG1543" s="144" t="str">
        <f t="shared" si="137"/>
        <v/>
      </c>
      <c r="AH1543" s="146">
        <f t="shared" si="140"/>
        <v>0.7</v>
      </c>
      <c r="AI1543" s="146" t="str">
        <f t="shared" si="141"/>
        <v/>
      </c>
      <c r="AJ1543" s="309">
        <v>2.4</v>
      </c>
      <c r="AK1543" s="309"/>
      <c r="AL1543" s="309"/>
      <c r="AM1543" s="309"/>
      <c r="AN1543" s="309"/>
      <c r="AO1543" s="309"/>
      <c r="AP1543" s="309"/>
      <c r="AQ1543" s="309"/>
      <c r="AR1543" s="320"/>
      <c r="AS1543" s="227">
        <f t="shared" si="142"/>
        <v>2.4</v>
      </c>
      <c r="AT1543" s="238"/>
      <c r="AU1543" s="320"/>
      <c r="AV1543" s="346"/>
      <c r="AW1543" s="357">
        <v>0.7</v>
      </c>
      <c r="AX1543" s="294"/>
      <c r="AY1543" s="294"/>
      <c r="AZ1543" s="294"/>
      <c r="BA1543" s="294"/>
      <c r="BB1543" s="294"/>
      <c r="BC1543" s="294"/>
      <c r="BD1543" s="294"/>
      <c r="BE1543" s="294"/>
      <c r="BF1543" s="383">
        <f t="shared" si="139"/>
        <v>0.7</v>
      </c>
      <c r="BG1543" s="383"/>
      <c r="BH1543" s="375"/>
      <c r="BI1543" s="376"/>
      <c r="BJ1543" s="409"/>
    </row>
    <row r="1544" spans="1:62" ht="15" customHeight="1" thickBot="1" x14ac:dyDescent="0.25">
      <c r="A1544" s="156">
        <v>1545</v>
      </c>
      <c r="B1544" s="247">
        <v>1</v>
      </c>
      <c r="C1544" s="148" t="s">
        <v>259</v>
      </c>
      <c r="D1544" s="148" t="s">
        <v>3835</v>
      </c>
      <c r="E1544" s="148"/>
      <c r="F1544" s="148" t="s">
        <v>3833</v>
      </c>
      <c r="G1544" s="148"/>
      <c r="H1544" s="148" t="s">
        <v>108</v>
      </c>
      <c r="I1544" s="161">
        <v>2010</v>
      </c>
      <c r="J1544" s="161" t="s">
        <v>3834</v>
      </c>
      <c r="K1544" s="161"/>
      <c r="L1544" s="161" t="s">
        <v>19</v>
      </c>
      <c r="M1544" s="453" t="s">
        <v>4280</v>
      </c>
      <c r="N1544" s="186" t="s">
        <v>122</v>
      </c>
      <c r="O1544" s="186" t="s">
        <v>292</v>
      </c>
      <c r="P1544" s="186" t="s">
        <v>292</v>
      </c>
      <c r="Q1544" s="186" t="s">
        <v>292</v>
      </c>
      <c r="R1544" s="186" t="s">
        <v>292</v>
      </c>
      <c r="S1544" s="186" t="s">
        <v>292</v>
      </c>
      <c r="T1544" s="186" t="s">
        <v>292</v>
      </c>
      <c r="U1544" s="186" t="s">
        <v>292</v>
      </c>
      <c r="V1544" s="186" t="s">
        <v>292</v>
      </c>
      <c r="W1544" s="186" t="s">
        <v>292</v>
      </c>
      <c r="X1544" s="186" t="s">
        <v>292</v>
      </c>
      <c r="Y1544" s="186" t="s">
        <v>292</v>
      </c>
      <c r="Z1544" s="186"/>
      <c r="AA1544" s="186"/>
      <c r="AB1544" s="186"/>
      <c r="AC1544" s="186"/>
      <c r="AD1544" s="268" t="s">
        <v>1410</v>
      </c>
      <c r="AE1544" s="268"/>
      <c r="AF1544" s="144">
        <f t="shared" si="138"/>
        <v>4.9000000000000004</v>
      </c>
      <c r="AG1544" s="144" t="str">
        <f t="shared" si="137"/>
        <v/>
      </c>
      <c r="AH1544" s="146">
        <f t="shared" si="140"/>
        <v>1.4</v>
      </c>
      <c r="AI1544" s="146" t="str">
        <f t="shared" si="141"/>
        <v/>
      </c>
      <c r="AJ1544" s="309">
        <v>4.9000000000000004</v>
      </c>
      <c r="AK1544" s="309"/>
      <c r="AL1544" s="309"/>
      <c r="AM1544" s="309"/>
      <c r="AN1544" s="309"/>
      <c r="AO1544" s="309"/>
      <c r="AP1544" s="309"/>
      <c r="AQ1544" s="309"/>
      <c r="AR1544" s="320"/>
      <c r="AS1544" s="227">
        <f t="shared" si="142"/>
        <v>4.9000000000000004</v>
      </c>
      <c r="AT1544" s="238"/>
      <c r="AU1544" s="320"/>
      <c r="AV1544" s="346"/>
      <c r="AW1544" s="357">
        <v>1.4</v>
      </c>
      <c r="AX1544" s="294"/>
      <c r="AY1544" s="294"/>
      <c r="AZ1544" s="294"/>
      <c r="BA1544" s="294"/>
      <c r="BB1544" s="294"/>
      <c r="BC1544" s="294"/>
      <c r="BD1544" s="294"/>
      <c r="BE1544" s="294"/>
      <c r="BF1544" s="383">
        <f t="shared" si="139"/>
        <v>1.4</v>
      </c>
      <c r="BG1544" s="383"/>
      <c r="BH1544" s="375"/>
      <c r="BI1544" s="376"/>
      <c r="BJ1544" s="409"/>
    </row>
    <row r="1545" spans="1:62" ht="15" customHeight="1" thickBot="1" x14ac:dyDescent="0.25">
      <c r="A1545" s="156">
        <v>1546</v>
      </c>
      <c r="B1545" s="247">
        <v>1</v>
      </c>
      <c r="C1545" s="148" t="s">
        <v>162</v>
      </c>
      <c r="D1545" s="148" t="s">
        <v>2206</v>
      </c>
      <c r="E1545" s="148"/>
      <c r="F1545" s="148" t="s">
        <v>3833</v>
      </c>
      <c r="G1545" s="148"/>
      <c r="H1545" s="148" t="s">
        <v>108</v>
      </c>
      <c r="I1545" s="161">
        <v>2010</v>
      </c>
      <c r="J1545" s="161" t="s">
        <v>3834</v>
      </c>
      <c r="K1545" s="161"/>
      <c r="L1545" s="161" t="s">
        <v>19</v>
      </c>
      <c r="M1545" s="453" t="s">
        <v>4280</v>
      </c>
      <c r="N1545" s="186" t="s">
        <v>122</v>
      </c>
      <c r="O1545" s="186" t="s">
        <v>292</v>
      </c>
      <c r="P1545" s="186" t="s">
        <v>292</v>
      </c>
      <c r="Q1545" s="186" t="s">
        <v>292</v>
      </c>
      <c r="R1545" s="186" t="s">
        <v>292</v>
      </c>
      <c r="S1545" s="186" t="s">
        <v>292</v>
      </c>
      <c r="T1545" s="186" t="s">
        <v>292</v>
      </c>
      <c r="U1545" s="186" t="s">
        <v>292</v>
      </c>
      <c r="V1545" s="186" t="s">
        <v>292</v>
      </c>
      <c r="W1545" s="186" t="s">
        <v>292</v>
      </c>
      <c r="X1545" s="186" t="s">
        <v>292</v>
      </c>
      <c r="Y1545" s="186" t="s">
        <v>292</v>
      </c>
      <c r="Z1545" s="186"/>
      <c r="AA1545" s="186"/>
      <c r="AB1545" s="186"/>
      <c r="AC1545" s="186"/>
      <c r="AD1545" s="268" t="s">
        <v>1410</v>
      </c>
      <c r="AE1545" s="268"/>
      <c r="AF1545" s="144">
        <f t="shared" si="138"/>
        <v>1.4</v>
      </c>
      <c r="AG1545" s="144" t="str">
        <f t="shared" si="137"/>
        <v/>
      </c>
      <c r="AH1545" s="146">
        <f t="shared" si="140"/>
        <v>0.19</v>
      </c>
      <c r="AI1545" s="146" t="str">
        <f t="shared" si="141"/>
        <v/>
      </c>
      <c r="AJ1545" s="309">
        <v>1.4</v>
      </c>
      <c r="AK1545" s="309"/>
      <c r="AL1545" s="309"/>
      <c r="AM1545" s="309"/>
      <c r="AN1545" s="309"/>
      <c r="AO1545" s="309"/>
      <c r="AP1545" s="309"/>
      <c r="AQ1545" s="309"/>
      <c r="AR1545" s="320"/>
      <c r="AS1545" s="227">
        <f t="shared" si="142"/>
        <v>1.4</v>
      </c>
      <c r="AT1545" s="238"/>
      <c r="AU1545" s="320"/>
      <c r="AV1545" s="346"/>
      <c r="AW1545" s="357">
        <v>0.19</v>
      </c>
      <c r="AX1545" s="294"/>
      <c r="AY1545" s="294"/>
      <c r="AZ1545" s="294"/>
      <c r="BA1545" s="294"/>
      <c r="BB1545" s="294"/>
      <c r="BC1545" s="294"/>
      <c r="BD1545" s="294"/>
      <c r="BE1545" s="294"/>
      <c r="BF1545" s="383">
        <f t="shared" si="139"/>
        <v>0.19</v>
      </c>
      <c r="BG1545" s="383"/>
      <c r="BH1545" s="375"/>
      <c r="BI1545" s="376"/>
      <c r="BJ1545" s="409"/>
    </row>
    <row r="1546" spans="1:62" ht="15" customHeight="1" thickBot="1" x14ac:dyDescent="0.25">
      <c r="A1546" s="156">
        <v>1547</v>
      </c>
      <c r="B1546" s="247">
        <v>1</v>
      </c>
      <c r="C1546" s="148" t="s">
        <v>259</v>
      </c>
      <c r="D1546" s="148" t="s">
        <v>3832</v>
      </c>
      <c r="E1546" s="148"/>
      <c r="F1546" s="148" t="s">
        <v>3836</v>
      </c>
      <c r="G1546" s="148"/>
      <c r="H1546" s="148" t="s">
        <v>108</v>
      </c>
      <c r="I1546" s="161">
        <v>2010</v>
      </c>
      <c r="J1546" s="161" t="s">
        <v>3834</v>
      </c>
      <c r="K1546" s="161"/>
      <c r="L1546" s="161" t="s">
        <v>19</v>
      </c>
      <c r="M1546" s="453" t="s">
        <v>4280</v>
      </c>
      <c r="N1546" s="186" t="s">
        <v>122</v>
      </c>
      <c r="O1546" s="186" t="s">
        <v>292</v>
      </c>
      <c r="P1546" s="186" t="s">
        <v>292</v>
      </c>
      <c r="Q1546" s="186" t="s">
        <v>292</v>
      </c>
      <c r="R1546" s="186" t="s">
        <v>292</v>
      </c>
      <c r="S1546" s="186" t="s">
        <v>292</v>
      </c>
      <c r="T1546" s="186" t="s">
        <v>292</v>
      </c>
      <c r="U1546" s="186" t="s">
        <v>292</v>
      </c>
      <c r="V1546" s="186" t="s">
        <v>292</v>
      </c>
      <c r="W1546" s="186" t="s">
        <v>292</v>
      </c>
      <c r="X1546" s="186" t="s">
        <v>292</v>
      </c>
      <c r="Y1546" s="186" t="s">
        <v>292</v>
      </c>
      <c r="Z1546" s="186"/>
      <c r="AA1546" s="186"/>
      <c r="AB1546" s="186"/>
      <c r="AC1546" s="186"/>
      <c r="AD1546" s="268" t="s">
        <v>1410</v>
      </c>
      <c r="AE1546" s="268"/>
      <c r="AF1546" s="144">
        <f t="shared" si="138"/>
        <v>2</v>
      </c>
      <c r="AG1546" s="144" t="str">
        <f t="shared" si="137"/>
        <v/>
      </c>
      <c r="AH1546" s="146">
        <f t="shared" si="140"/>
        <v>0.8</v>
      </c>
      <c r="AI1546" s="146" t="str">
        <f t="shared" si="141"/>
        <v/>
      </c>
      <c r="AJ1546" s="309">
        <v>2</v>
      </c>
      <c r="AK1546" s="309"/>
      <c r="AL1546" s="309"/>
      <c r="AM1546" s="309"/>
      <c r="AN1546" s="309"/>
      <c r="AO1546" s="309"/>
      <c r="AP1546" s="309"/>
      <c r="AQ1546" s="309"/>
      <c r="AR1546" s="320"/>
      <c r="AS1546" s="227">
        <f t="shared" si="142"/>
        <v>2</v>
      </c>
      <c r="AT1546" s="238"/>
      <c r="AU1546" s="320"/>
      <c r="AV1546" s="346"/>
      <c r="AW1546" s="357">
        <v>0.8</v>
      </c>
      <c r="AX1546" s="294"/>
      <c r="AY1546" s="294"/>
      <c r="AZ1546" s="294"/>
      <c r="BA1546" s="294"/>
      <c r="BB1546" s="294"/>
      <c r="BC1546" s="294"/>
      <c r="BD1546" s="294"/>
      <c r="BE1546" s="294"/>
      <c r="BF1546" s="383">
        <f t="shared" si="139"/>
        <v>0.8</v>
      </c>
      <c r="BG1546" s="383"/>
      <c r="BH1546" s="375"/>
      <c r="BI1546" s="376"/>
      <c r="BJ1546" s="409"/>
    </row>
    <row r="1547" spans="1:62" ht="15" customHeight="1" thickBot="1" x14ac:dyDescent="0.25">
      <c r="A1547" s="156">
        <v>1548</v>
      </c>
      <c r="B1547" s="247">
        <v>1</v>
      </c>
      <c r="C1547" s="148" t="s">
        <v>162</v>
      </c>
      <c r="D1547" s="148" t="s">
        <v>2206</v>
      </c>
      <c r="E1547" s="148"/>
      <c r="F1547" s="148" t="s">
        <v>3836</v>
      </c>
      <c r="G1547" s="148"/>
      <c r="H1547" s="148" t="s">
        <v>108</v>
      </c>
      <c r="I1547" s="161">
        <v>2010</v>
      </c>
      <c r="J1547" s="161" t="s">
        <v>3834</v>
      </c>
      <c r="K1547" s="161"/>
      <c r="L1547" s="161" t="s">
        <v>19</v>
      </c>
      <c r="M1547" s="453" t="s">
        <v>4280</v>
      </c>
      <c r="N1547" s="186" t="s">
        <v>122</v>
      </c>
      <c r="O1547" s="186" t="s">
        <v>292</v>
      </c>
      <c r="P1547" s="186" t="s">
        <v>292</v>
      </c>
      <c r="Q1547" s="186" t="s">
        <v>292</v>
      </c>
      <c r="R1547" s="186" t="s">
        <v>292</v>
      </c>
      <c r="S1547" s="186" t="s">
        <v>292</v>
      </c>
      <c r="T1547" s="186" t="s">
        <v>292</v>
      </c>
      <c r="U1547" s="186" t="s">
        <v>292</v>
      </c>
      <c r="V1547" s="186" t="s">
        <v>292</v>
      </c>
      <c r="W1547" s="186" t="s">
        <v>292</v>
      </c>
      <c r="X1547" s="186" t="s">
        <v>292</v>
      </c>
      <c r="Y1547" s="186" t="s">
        <v>292</v>
      </c>
      <c r="Z1547" s="186"/>
      <c r="AA1547" s="186"/>
      <c r="AB1547" s="186"/>
      <c r="AC1547" s="186"/>
      <c r="AD1547" s="268" t="s">
        <v>1410</v>
      </c>
      <c r="AE1547" s="268"/>
      <c r="AF1547" s="144">
        <f t="shared" si="138"/>
        <v>1.6</v>
      </c>
      <c r="AG1547" s="144" t="str">
        <f t="shared" si="137"/>
        <v/>
      </c>
      <c r="AH1547" s="146">
        <f t="shared" si="140"/>
        <v>0.2</v>
      </c>
      <c r="AI1547" s="146" t="str">
        <f t="shared" si="141"/>
        <v/>
      </c>
      <c r="AJ1547" s="309">
        <v>1.6</v>
      </c>
      <c r="AK1547" s="309"/>
      <c r="AL1547" s="309"/>
      <c r="AM1547" s="309"/>
      <c r="AN1547" s="309"/>
      <c r="AO1547" s="309"/>
      <c r="AP1547" s="309"/>
      <c r="AQ1547" s="309"/>
      <c r="AR1547" s="320"/>
      <c r="AS1547" s="227">
        <f t="shared" si="142"/>
        <v>1.6</v>
      </c>
      <c r="AT1547" s="238"/>
      <c r="AU1547" s="320"/>
      <c r="AV1547" s="346"/>
      <c r="AW1547" s="357">
        <v>0.2</v>
      </c>
      <c r="AX1547" s="294"/>
      <c r="AY1547" s="294"/>
      <c r="AZ1547" s="294"/>
      <c r="BA1547" s="294"/>
      <c r="BB1547" s="294"/>
      <c r="BC1547" s="294"/>
      <c r="BD1547" s="294"/>
      <c r="BE1547" s="294"/>
      <c r="BF1547" s="383">
        <f t="shared" si="139"/>
        <v>0.2</v>
      </c>
      <c r="BG1547" s="383"/>
      <c r="BH1547" s="375"/>
      <c r="BI1547" s="376"/>
      <c r="BJ1547" s="409"/>
    </row>
    <row r="1548" spans="1:62" ht="15" customHeight="1" thickBot="1" x14ac:dyDescent="0.25">
      <c r="A1548" s="156">
        <v>1549</v>
      </c>
      <c r="B1548" s="247">
        <v>1</v>
      </c>
      <c r="C1548" s="148" t="s">
        <v>975</v>
      </c>
      <c r="D1548" s="148" t="s">
        <v>1984</v>
      </c>
      <c r="E1548" s="148"/>
      <c r="F1548" s="148" t="s">
        <v>3837</v>
      </c>
      <c r="G1548" s="148"/>
      <c r="H1548" s="148" t="s">
        <v>3548</v>
      </c>
      <c r="I1548" s="161">
        <v>2011</v>
      </c>
      <c r="J1548" s="161" t="s">
        <v>3838</v>
      </c>
      <c r="K1548" s="161"/>
      <c r="L1548" s="161" t="s">
        <v>19</v>
      </c>
      <c r="M1548" s="453" t="s">
        <v>4382</v>
      </c>
      <c r="N1548" s="186" t="s">
        <v>122</v>
      </c>
      <c r="O1548" s="186" t="s">
        <v>292</v>
      </c>
      <c r="P1548" s="186" t="s">
        <v>292</v>
      </c>
      <c r="Q1548" s="186" t="s">
        <v>292</v>
      </c>
      <c r="R1548" s="186" t="s">
        <v>292</v>
      </c>
      <c r="S1548" s="186" t="s">
        <v>292</v>
      </c>
      <c r="T1548" s="186" t="s">
        <v>292</v>
      </c>
      <c r="U1548" s="186" t="s">
        <v>292</v>
      </c>
      <c r="V1548" s="186" t="s">
        <v>292</v>
      </c>
      <c r="W1548" s="186" t="s">
        <v>292</v>
      </c>
      <c r="X1548" s="186" t="s">
        <v>292</v>
      </c>
      <c r="Y1548" s="186" t="s">
        <v>292</v>
      </c>
      <c r="Z1548" s="186"/>
      <c r="AA1548" s="186"/>
      <c r="AB1548" s="186"/>
      <c r="AC1548" s="186"/>
      <c r="AD1548" s="268" t="s">
        <v>3839</v>
      </c>
      <c r="AE1548" s="268" t="s">
        <v>3132</v>
      </c>
      <c r="AF1548" s="144">
        <f t="shared" si="138"/>
        <v>20.307692307692307</v>
      </c>
      <c r="AG1548" s="144" t="str">
        <f t="shared" si="137"/>
        <v/>
      </c>
      <c r="AH1548" s="146">
        <f t="shared" si="140"/>
        <v>13.738461538461538</v>
      </c>
      <c r="AI1548" s="146" t="str">
        <f t="shared" si="141"/>
        <v/>
      </c>
      <c r="AJ1548" s="309">
        <f>13.2/0.65</f>
        <v>20.307692307692307</v>
      </c>
      <c r="AK1548" s="309"/>
      <c r="AL1548" s="309"/>
      <c r="AM1548" s="309"/>
      <c r="AN1548" s="309"/>
      <c r="AO1548" s="309"/>
      <c r="AP1548" s="309"/>
      <c r="AQ1548" s="309"/>
      <c r="AR1548" s="320"/>
      <c r="AS1548" s="227">
        <f t="shared" si="142"/>
        <v>20.307692307692307</v>
      </c>
      <c r="AT1548" s="238"/>
      <c r="AU1548" s="320"/>
      <c r="AV1548" s="346"/>
      <c r="AW1548" s="357">
        <f>8.93/0.65</f>
        <v>13.738461538461538</v>
      </c>
      <c r="AX1548" s="294"/>
      <c r="AY1548" s="294"/>
      <c r="AZ1548" s="294"/>
      <c r="BA1548" s="294"/>
      <c r="BB1548" s="294"/>
      <c r="BC1548" s="294"/>
      <c r="BD1548" s="294"/>
      <c r="BE1548" s="294"/>
      <c r="BF1548" s="383">
        <f t="shared" si="139"/>
        <v>13.738461538461538</v>
      </c>
      <c r="BG1548" s="383"/>
      <c r="BH1548" s="375"/>
      <c r="BI1548" s="376"/>
      <c r="BJ1548" s="409"/>
    </row>
    <row r="1549" spans="1:62" ht="15" customHeight="1" thickBot="1" x14ac:dyDescent="0.25">
      <c r="A1549" s="156">
        <v>1550</v>
      </c>
      <c r="B1549" s="247">
        <v>1</v>
      </c>
      <c r="C1549" s="148" t="s">
        <v>2933</v>
      </c>
      <c r="D1549" s="148" t="s">
        <v>3451</v>
      </c>
      <c r="E1549" s="148"/>
      <c r="F1549" s="148"/>
      <c r="G1549" s="148"/>
      <c r="H1549" s="148" t="s">
        <v>55</v>
      </c>
      <c r="I1549" s="161">
        <v>2011</v>
      </c>
      <c r="J1549" s="161" t="s">
        <v>3840</v>
      </c>
      <c r="K1549" s="161"/>
      <c r="L1549" s="161" t="s">
        <v>19</v>
      </c>
      <c r="M1549" s="453" t="s">
        <v>4383</v>
      </c>
      <c r="N1549" s="186" t="s">
        <v>122</v>
      </c>
      <c r="O1549" s="186" t="s">
        <v>292</v>
      </c>
      <c r="P1549" s="186" t="s">
        <v>292</v>
      </c>
      <c r="Q1549" s="186" t="s">
        <v>292</v>
      </c>
      <c r="R1549" s="186" t="s">
        <v>292</v>
      </c>
      <c r="S1549" s="186" t="s">
        <v>292</v>
      </c>
      <c r="T1549" s="186" t="s">
        <v>292</v>
      </c>
      <c r="U1549" s="186" t="s">
        <v>292</v>
      </c>
      <c r="V1549" s="186" t="s">
        <v>292</v>
      </c>
      <c r="W1549" s="186" t="s">
        <v>292</v>
      </c>
      <c r="X1549" s="186" t="s">
        <v>292</v>
      </c>
      <c r="Y1549" s="186" t="s">
        <v>292</v>
      </c>
      <c r="Z1549" s="186"/>
      <c r="AA1549" s="186"/>
      <c r="AB1549" s="186"/>
      <c r="AC1549" s="186"/>
      <c r="AD1549" s="268" t="s">
        <v>3841</v>
      </c>
      <c r="AE1549" s="268" t="s">
        <v>3800</v>
      </c>
      <c r="AF1549" s="144" t="str">
        <f t="shared" si="138"/>
        <v/>
      </c>
      <c r="AG1549" s="144" t="str">
        <f t="shared" si="137"/>
        <v/>
      </c>
      <c r="AH1549" s="146">
        <f t="shared" si="140"/>
        <v>34.10477945575952</v>
      </c>
      <c r="AI1549" s="146" t="str">
        <f t="shared" si="141"/>
        <v/>
      </c>
      <c r="AJ1549" s="309"/>
      <c r="AK1549" s="309"/>
      <c r="AL1549" s="309"/>
      <c r="AM1549" s="309"/>
      <c r="AN1549" s="309"/>
      <c r="AO1549" s="309"/>
      <c r="AP1549" s="309"/>
      <c r="AQ1549" s="309"/>
      <c r="AR1549" s="320"/>
      <c r="AS1549" s="227">
        <f t="shared" si="142"/>
        <v>0</v>
      </c>
      <c r="AT1549" s="238"/>
      <c r="AU1549" s="320"/>
      <c r="AV1549" s="346"/>
      <c r="AW1549" s="357">
        <f>11.4/0.658/0.508</f>
        <v>34.10477945575952</v>
      </c>
      <c r="AX1549" s="294"/>
      <c r="AY1549" s="294"/>
      <c r="AZ1549" s="294"/>
      <c r="BA1549" s="294"/>
      <c r="BB1549" s="294"/>
      <c r="BC1549" s="294"/>
      <c r="BD1549" s="294"/>
      <c r="BE1549" s="294"/>
      <c r="BF1549" s="383">
        <f t="shared" si="139"/>
        <v>34.10477945575952</v>
      </c>
      <c r="BG1549" s="383"/>
      <c r="BH1549" s="375"/>
      <c r="BI1549" s="376"/>
      <c r="BJ1549" s="409"/>
    </row>
    <row r="1550" spans="1:62" ht="15" customHeight="1" thickBot="1" x14ac:dyDescent="0.25">
      <c r="A1550" s="156">
        <v>1551</v>
      </c>
      <c r="B1550" s="247">
        <v>1</v>
      </c>
      <c r="C1550" s="148" t="s">
        <v>2933</v>
      </c>
      <c r="D1550" s="148" t="s">
        <v>2745</v>
      </c>
      <c r="E1550" s="148"/>
      <c r="F1550" s="148"/>
      <c r="G1550" s="148"/>
      <c r="H1550" s="148" t="s">
        <v>55</v>
      </c>
      <c r="I1550" s="161">
        <v>2011</v>
      </c>
      <c r="J1550" s="161" t="s">
        <v>3840</v>
      </c>
      <c r="K1550" s="161"/>
      <c r="L1550" s="161" t="s">
        <v>19</v>
      </c>
      <c r="M1550" s="453" t="s">
        <v>4383</v>
      </c>
      <c r="N1550" s="186" t="s">
        <v>122</v>
      </c>
      <c r="O1550" s="186" t="s">
        <v>292</v>
      </c>
      <c r="P1550" s="186" t="s">
        <v>292</v>
      </c>
      <c r="Q1550" s="186" t="s">
        <v>292</v>
      </c>
      <c r="R1550" s="186" t="s">
        <v>292</v>
      </c>
      <c r="S1550" s="186" t="s">
        <v>292</v>
      </c>
      <c r="T1550" s="186" t="s">
        <v>292</v>
      </c>
      <c r="U1550" s="186" t="s">
        <v>292</v>
      </c>
      <c r="V1550" s="186" t="s">
        <v>292</v>
      </c>
      <c r="W1550" s="186" t="s">
        <v>292</v>
      </c>
      <c r="X1550" s="186" t="s">
        <v>292</v>
      </c>
      <c r="Y1550" s="186" t="s">
        <v>292</v>
      </c>
      <c r="Z1550" s="186"/>
      <c r="AA1550" s="186"/>
      <c r="AB1550" s="186"/>
      <c r="AC1550" s="186"/>
      <c r="AD1550" s="268" t="s">
        <v>3841</v>
      </c>
      <c r="AE1550" s="268" t="s">
        <v>3652</v>
      </c>
      <c r="AF1550" s="144" t="str">
        <f t="shared" si="138"/>
        <v/>
      </c>
      <c r="AG1550" s="144" t="str">
        <f t="shared" si="137"/>
        <v/>
      </c>
      <c r="AH1550" s="146">
        <f t="shared" si="140"/>
        <v>56.782240109181295</v>
      </c>
      <c r="AI1550" s="146" t="str">
        <f t="shared" si="141"/>
        <v/>
      </c>
      <c r="AJ1550" s="309"/>
      <c r="AK1550" s="309"/>
      <c r="AL1550" s="309"/>
      <c r="AM1550" s="309"/>
      <c r="AN1550" s="309"/>
      <c r="AO1550" s="309"/>
      <c r="AP1550" s="309"/>
      <c r="AQ1550" s="309"/>
      <c r="AR1550" s="320"/>
      <c r="AS1550" s="227"/>
      <c r="AT1550" s="238"/>
      <c r="AU1550" s="320"/>
      <c r="AV1550" s="346"/>
      <c r="AW1550" s="357">
        <f>22.8/0.667/0.602</f>
        <v>56.782240109181295</v>
      </c>
      <c r="AX1550" s="294"/>
      <c r="AY1550" s="294"/>
      <c r="AZ1550" s="294"/>
      <c r="BA1550" s="294"/>
      <c r="BB1550" s="294"/>
      <c r="BC1550" s="294"/>
      <c r="BD1550" s="294"/>
      <c r="BE1550" s="294"/>
      <c r="BF1550" s="383">
        <f t="shared" si="139"/>
        <v>56.782240109181295</v>
      </c>
      <c r="BG1550" s="383"/>
      <c r="BH1550" s="375"/>
      <c r="BI1550" s="376"/>
      <c r="BJ1550" s="409"/>
    </row>
    <row r="1551" spans="1:62" ht="15" customHeight="1" thickBot="1" x14ac:dyDescent="0.25">
      <c r="A1551" s="156">
        <v>1552</v>
      </c>
      <c r="B1551" s="247">
        <v>1</v>
      </c>
      <c r="C1551" s="148" t="s">
        <v>3589</v>
      </c>
      <c r="D1551" s="148" t="s">
        <v>12</v>
      </c>
      <c r="E1551" s="148"/>
      <c r="F1551" s="148" t="s">
        <v>3842</v>
      </c>
      <c r="G1551" s="148"/>
      <c r="H1551" s="148" t="s">
        <v>55</v>
      </c>
      <c r="I1551" s="161">
        <v>2011</v>
      </c>
      <c r="J1551" s="161" t="s">
        <v>3840</v>
      </c>
      <c r="K1551" s="161"/>
      <c r="L1551" s="161" t="s">
        <v>19</v>
      </c>
      <c r="M1551" s="453" t="s">
        <v>4383</v>
      </c>
      <c r="N1551" s="186" t="s">
        <v>122</v>
      </c>
      <c r="O1551" s="186" t="s">
        <v>292</v>
      </c>
      <c r="P1551" s="186" t="s">
        <v>292</v>
      </c>
      <c r="Q1551" s="186" t="s">
        <v>292</v>
      </c>
      <c r="R1551" s="186" t="s">
        <v>292</v>
      </c>
      <c r="S1551" s="186" t="s">
        <v>292</v>
      </c>
      <c r="T1551" s="186" t="s">
        <v>292</v>
      </c>
      <c r="U1551" s="186" t="s">
        <v>292</v>
      </c>
      <c r="V1551" s="186" t="s">
        <v>292</v>
      </c>
      <c r="W1551" s="186" t="s">
        <v>292</v>
      </c>
      <c r="X1551" s="186" t="s">
        <v>292</v>
      </c>
      <c r="Y1551" s="186" t="s">
        <v>292</v>
      </c>
      <c r="Z1551" s="186"/>
      <c r="AA1551" s="186"/>
      <c r="AB1551" s="186"/>
      <c r="AC1551" s="186"/>
      <c r="AD1551" s="268" t="s">
        <v>343</v>
      </c>
      <c r="AE1551" s="268"/>
      <c r="AF1551" s="144" t="str">
        <f t="shared" si="138"/>
        <v/>
      </c>
      <c r="AG1551" s="144" t="str">
        <f t="shared" si="137"/>
        <v/>
      </c>
      <c r="AH1551" s="146">
        <f t="shared" si="140"/>
        <v>9</v>
      </c>
      <c r="AI1551" s="146" t="str">
        <f t="shared" si="141"/>
        <v/>
      </c>
      <c r="AJ1551" s="309"/>
      <c r="AK1551" s="309"/>
      <c r="AL1551" s="309"/>
      <c r="AM1551" s="309"/>
      <c r="AN1551" s="309"/>
      <c r="AO1551" s="309"/>
      <c r="AP1551" s="309"/>
      <c r="AQ1551" s="309"/>
      <c r="AR1551" s="320"/>
      <c r="AS1551" s="237"/>
      <c r="AT1551" s="238"/>
      <c r="AU1551" s="320"/>
      <c r="AV1551" s="346"/>
      <c r="AW1551" s="357">
        <v>9</v>
      </c>
      <c r="AX1551" s="294"/>
      <c r="AY1551" s="294"/>
      <c r="AZ1551" s="294"/>
      <c r="BA1551" s="294"/>
      <c r="BB1551" s="294"/>
      <c r="BC1551" s="294"/>
      <c r="BD1551" s="294"/>
      <c r="BE1551" s="294"/>
      <c r="BF1551" s="383">
        <f t="shared" si="139"/>
        <v>9</v>
      </c>
      <c r="BG1551" s="383"/>
      <c r="BH1551" s="375"/>
      <c r="BI1551" s="376"/>
      <c r="BJ1551" s="409"/>
    </row>
    <row r="1552" spans="1:62" ht="15" customHeight="1" thickBot="1" x14ac:dyDescent="0.25">
      <c r="A1552" s="156">
        <v>1553</v>
      </c>
      <c r="B1552" s="247">
        <v>1</v>
      </c>
      <c r="C1552" s="148" t="s">
        <v>3589</v>
      </c>
      <c r="D1552" s="148" t="s">
        <v>12</v>
      </c>
      <c r="E1552" s="148"/>
      <c r="F1552" s="148" t="s">
        <v>3843</v>
      </c>
      <c r="G1552" s="148"/>
      <c r="H1552" s="148" t="s">
        <v>55</v>
      </c>
      <c r="I1552" s="161">
        <v>2011</v>
      </c>
      <c r="J1552" s="161" t="s">
        <v>3840</v>
      </c>
      <c r="K1552" s="161"/>
      <c r="L1552" s="161" t="s">
        <v>19</v>
      </c>
      <c r="M1552" s="453" t="s">
        <v>4383</v>
      </c>
      <c r="N1552" s="186" t="s">
        <v>122</v>
      </c>
      <c r="O1552" s="186" t="s">
        <v>292</v>
      </c>
      <c r="P1552" s="186" t="s">
        <v>292</v>
      </c>
      <c r="Q1552" s="186" t="s">
        <v>292</v>
      </c>
      <c r="R1552" s="186" t="s">
        <v>292</v>
      </c>
      <c r="S1552" s="186" t="s">
        <v>292</v>
      </c>
      <c r="T1552" s="186" t="s">
        <v>292</v>
      </c>
      <c r="U1552" s="186" t="s">
        <v>292</v>
      </c>
      <c r="V1552" s="186" t="s">
        <v>292</v>
      </c>
      <c r="W1552" s="186" t="s">
        <v>292</v>
      </c>
      <c r="X1552" s="186" t="s">
        <v>292</v>
      </c>
      <c r="Y1552" s="186" t="s">
        <v>292</v>
      </c>
      <c r="Z1552" s="186"/>
      <c r="AA1552" s="186"/>
      <c r="AB1552" s="186"/>
      <c r="AC1552" s="186"/>
      <c r="AD1552" s="268" t="s">
        <v>343</v>
      </c>
      <c r="AE1552" s="268"/>
      <c r="AF1552" s="144" t="str">
        <f t="shared" si="138"/>
        <v/>
      </c>
      <c r="AG1552" s="144" t="str">
        <f t="shared" si="137"/>
        <v/>
      </c>
      <c r="AH1552" s="146">
        <f t="shared" si="140"/>
        <v>8.5</v>
      </c>
      <c r="AI1552" s="146" t="str">
        <f t="shared" si="141"/>
        <v/>
      </c>
      <c r="AJ1552" s="309"/>
      <c r="AK1552" s="309"/>
      <c r="AL1552" s="309"/>
      <c r="AM1552" s="309"/>
      <c r="AN1552" s="309"/>
      <c r="AO1552" s="309"/>
      <c r="AP1552" s="309"/>
      <c r="AQ1552" s="309"/>
      <c r="AR1552" s="320"/>
      <c r="AS1552" s="237"/>
      <c r="AT1552" s="238"/>
      <c r="AU1552" s="320"/>
      <c r="AV1552" s="346"/>
      <c r="AW1552" s="357">
        <v>8.5</v>
      </c>
      <c r="AX1552" s="294"/>
      <c r="AY1552" s="294"/>
      <c r="AZ1552" s="294"/>
      <c r="BA1552" s="294"/>
      <c r="BB1552" s="294"/>
      <c r="BC1552" s="294"/>
      <c r="BD1552" s="294"/>
      <c r="BE1552" s="294"/>
      <c r="BF1552" s="383">
        <f t="shared" ref="BF1552:BF1583" si="143">AW1552</f>
        <v>8.5</v>
      </c>
      <c r="BG1552" s="383"/>
      <c r="BH1552" s="375"/>
      <c r="BI1552" s="376"/>
      <c r="BJ1552" s="409"/>
    </row>
    <row r="1553" spans="1:62" ht="15" customHeight="1" thickBot="1" x14ac:dyDescent="0.25">
      <c r="A1553" s="156">
        <v>1554</v>
      </c>
      <c r="B1553" s="247">
        <v>1</v>
      </c>
      <c r="C1553" s="148" t="s">
        <v>259</v>
      </c>
      <c r="D1553" s="148" t="s">
        <v>3832</v>
      </c>
      <c r="E1553" s="148"/>
      <c r="F1553" s="148"/>
      <c r="G1553" s="148"/>
      <c r="H1553" s="148" t="s">
        <v>55</v>
      </c>
      <c r="I1553" s="161">
        <v>2011</v>
      </c>
      <c r="J1553" s="161" t="s">
        <v>3840</v>
      </c>
      <c r="K1553" s="161"/>
      <c r="L1553" s="161" t="s">
        <v>19</v>
      </c>
      <c r="M1553" s="453" t="s">
        <v>4383</v>
      </c>
      <c r="N1553" s="186" t="s">
        <v>122</v>
      </c>
      <c r="O1553" s="186" t="s">
        <v>292</v>
      </c>
      <c r="P1553" s="186" t="s">
        <v>292</v>
      </c>
      <c r="Q1553" s="186" t="s">
        <v>292</v>
      </c>
      <c r="R1553" s="186" t="s">
        <v>292</v>
      </c>
      <c r="S1553" s="186" t="s">
        <v>292</v>
      </c>
      <c r="T1553" s="186" t="s">
        <v>292</v>
      </c>
      <c r="U1553" s="186" t="s">
        <v>292</v>
      </c>
      <c r="V1553" s="186" t="s">
        <v>292</v>
      </c>
      <c r="W1553" s="186" t="s">
        <v>292</v>
      </c>
      <c r="X1553" s="186" t="s">
        <v>292</v>
      </c>
      <c r="Y1553" s="186" t="s">
        <v>292</v>
      </c>
      <c r="Z1553" s="186"/>
      <c r="AA1553" s="186"/>
      <c r="AB1553" s="186"/>
      <c r="AC1553" s="186"/>
      <c r="AD1553" s="268" t="s">
        <v>3844</v>
      </c>
      <c r="AE1553" s="268"/>
      <c r="AF1553" s="144" t="str">
        <f t="shared" si="138"/>
        <v/>
      </c>
      <c r="AG1553" s="144" t="str">
        <f t="shared" si="137"/>
        <v/>
      </c>
      <c r="AH1553" s="146">
        <f t="shared" si="140"/>
        <v>0.04</v>
      </c>
      <c r="AI1553" s="146" t="str">
        <f t="shared" si="141"/>
        <v/>
      </c>
      <c r="AJ1553" s="309"/>
      <c r="AK1553" s="309"/>
      <c r="AL1553" s="309"/>
      <c r="AM1553" s="309"/>
      <c r="AN1553" s="309"/>
      <c r="AO1553" s="309"/>
      <c r="AP1553" s="309"/>
      <c r="AQ1553" s="309"/>
      <c r="AR1553" s="320"/>
      <c r="AS1553" s="237"/>
      <c r="AT1553" s="238"/>
      <c r="AU1553" s="320"/>
      <c r="AV1553" s="346"/>
      <c r="AW1553" s="357">
        <v>0.04</v>
      </c>
      <c r="AX1553" s="294"/>
      <c r="AY1553" s="294"/>
      <c r="AZ1553" s="294"/>
      <c r="BA1553" s="294"/>
      <c r="BB1553" s="294"/>
      <c r="BC1553" s="294"/>
      <c r="BD1553" s="294"/>
      <c r="BE1553" s="294"/>
      <c r="BF1553" s="383">
        <f t="shared" si="143"/>
        <v>0.04</v>
      </c>
      <c r="BG1553" s="383"/>
      <c r="BH1553" s="375"/>
      <c r="BI1553" s="376"/>
      <c r="BJ1553" s="409"/>
    </row>
    <row r="1554" spans="1:62" ht="15" customHeight="1" thickBot="1" x14ac:dyDescent="0.25">
      <c r="A1554" s="156">
        <v>1555</v>
      </c>
      <c r="B1554" s="247">
        <v>1</v>
      </c>
      <c r="C1554" s="148" t="s">
        <v>259</v>
      </c>
      <c r="D1554" s="148" t="s">
        <v>3845</v>
      </c>
      <c r="E1554" s="148"/>
      <c r="F1554" s="148"/>
      <c r="G1554" s="148"/>
      <c r="H1554" s="148" t="s">
        <v>55</v>
      </c>
      <c r="I1554" s="161">
        <v>2011</v>
      </c>
      <c r="J1554" s="161" t="s">
        <v>3840</v>
      </c>
      <c r="K1554" s="161"/>
      <c r="L1554" s="161" t="s">
        <v>19</v>
      </c>
      <c r="M1554" s="453" t="s">
        <v>4383</v>
      </c>
      <c r="N1554" s="186" t="s">
        <v>122</v>
      </c>
      <c r="O1554" s="186" t="s">
        <v>292</v>
      </c>
      <c r="P1554" s="186" t="s">
        <v>292</v>
      </c>
      <c r="Q1554" s="186" t="s">
        <v>292</v>
      </c>
      <c r="R1554" s="186" t="s">
        <v>292</v>
      </c>
      <c r="S1554" s="186" t="s">
        <v>292</v>
      </c>
      <c r="T1554" s="186" t="s">
        <v>292</v>
      </c>
      <c r="U1554" s="186" t="s">
        <v>292</v>
      </c>
      <c r="V1554" s="186" t="s">
        <v>292</v>
      </c>
      <c r="W1554" s="186" t="s">
        <v>292</v>
      </c>
      <c r="X1554" s="186" t="s">
        <v>292</v>
      </c>
      <c r="Y1554" s="186" t="s">
        <v>292</v>
      </c>
      <c r="Z1554" s="186"/>
      <c r="AA1554" s="186"/>
      <c r="AB1554" s="186"/>
      <c r="AC1554" s="186"/>
      <c r="AD1554" s="268" t="s">
        <v>3846</v>
      </c>
      <c r="AE1554" s="268"/>
      <c r="AF1554" s="144" t="str">
        <f t="shared" si="138"/>
        <v/>
      </c>
      <c r="AG1554" s="144" t="str">
        <f t="shared" si="137"/>
        <v/>
      </c>
      <c r="AH1554" s="146">
        <f t="shared" si="140"/>
        <v>0.15</v>
      </c>
      <c r="AI1554" s="146" t="str">
        <f t="shared" si="141"/>
        <v/>
      </c>
      <c r="AJ1554" s="309"/>
      <c r="AK1554" s="309"/>
      <c r="AL1554" s="309"/>
      <c r="AM1554" s="309"/>
      <c r="AN1554" s="309"/>
      <c r="AO1554" s="309"/>
      <c r="AP1554" s="309"/>
      <c r="AQ1554" s="309"/>
      <c r="AR1554" s="320"/>
      <c r="AS1554" s="237"/>
      <c r="AT1554" s="238"/>
      <c r="AU1554" s="320"/>
      <c r="AV1554" s="346"/>
      <c r="AW1554" s="357">
        <v>0.15</v>
      </c>
      <c r="AX1554" s="294"/>
      <c r="AY1554" s="294"/>
      <c r="AZ1554" s="294"/>
      <c r="BA1554" s="294"/>
      <c r="BB1554" s="294"/>
      <c r="BC1554" s="294"/>
      <c r="BD1554" s="294"/>
      <c r="BE1554" s="294"/>
      <c r="BF1554" s="383">
        <f t="shared" si="143"/>
        <v>0.15</v>
      </c>
      <c r="BG1554" s="383"/>
      <c r="BH1554" s="375"/>
      <c r="BI1554" s="376"/>
      <c r="BJ1554" s="409"/>
    </row>
    <row r="1555" spans="1:62" ht="15" customHeight="1" thickBot="1" x14ac:dyDescent="0.25">
      <c r="A1555" s="156">
        <v>1556</v>
      </c>
      <c r="B1555" s="247">
        <v>1</v>
      </c>
      <c r="C1555" s="148" t="s">
        <v>3589</v>
      </c>
      <c r="D1555" s="148" t="s">
        <v>12</v>
      </c>
      <c r="E1555" s="148"/>
      <c r="F1555" s="148" t="s">
        <v>3847</v>
      </c>
      <c r="G1555" s="148"/>
      <c r="H1555" s="148" t="s">
        <v>3848</v>
      </c>
      <c r="I1555" s="161">
        <v>2011</v>
      </c>
      <c r="J1555" s="161" t="s">
        <v>3849</v>
      </c>
      <c r="K1555" s="161"/>
      <c r="L1555" s="161" t="s">
        <v>19</v>
      </c>
      <c r="M1555" s="453" t="s">
        <v>4384</v>
      </c>
      <c r="N1555" s="186" t="s">
        <v>122</v>
      </c>
      <c r="O1555" s="186" t="s">
        <v>292</v>
      </c>
      <c r="P1555" s="186" t="s">
        <v>292</v>
      </c>
      <c r="Q1555" s="186" t="s">
        <v>292</v>
      </c>
      <c r="R1555" s="186" t="s">
        <v>292</v>
      </c>
      <c r="S1555" s="186" t="s">
        <v>292</v>
      </c>
      <c r="T1555" s="186" t="s">
        <v>292</v>
      </c>
      <c r="U1555" s="186" t="s">
        <v>292</v>
      </c>
      <c r="V1555" s="186" t="s">
        <v>292</v>
      </c>
      <c r="W1555" s="186" t="s">
        <v>292</v>
      </c>
      <c r="X1555" s="186" t="s">
        <v>292</v>
      </c>
      <c r="Y1555" s="186" t="s">
        <v>292</v>
      </c>
      <c r="Z1555" s="186"/>
      <c r="AA1555" s="186"/>
      <c r="AB1555" s="186"/>
      <c r="AC1555" s="186"/>
      <c r="AD1555" s="268" t="s">
        <v>343</v>
      </c>
      <c r="AE1555" s="268"/>
      <c r="AF1555" s="144" t="str">
        <f t="shared" si="138"/>
        <v/>
      </c>
      <c r="AG1555" s="144" t="str">
        <f t="shared" ref="AG1555:AG1618" si="144">IF(AND(SUM(AJ1555:AL1555)&lt;&gt;0,SUM(AJ1555:AL1555)&lt;&gt;AJ1555),SUM(AJ1555:AL1555),"")</f>
        <v/>
      </c>
      <c r="AH1555" s="146">
        <f t="shared" si="140"/>
        <v>1.04</v>
      </c>
      <c r="AI1555" s="146" t="str">
        <f t="shared" si="141"/>
        <v/>
      </c>
      <c r="AJ1555" s="309"/>
      <c r="AK1555" s="309"/>
      <c r="AL1555" s="309"/>
      <c r="AM1555" s="309"/>
      <c r="AN1555" s="309"/>
      <c r="AO1555" s="309"/>
      <c r="AP1555" s="309"/>
      <c r="AQ1555" s="309"/>
      <c r="AR1555" s="320"/>
      <c r="AS1555" s="237"/>
      <c r="AT1555" s="238"/>
      <c r="AU1555" s="320"/>
      <c r="AV1555" s="346"/>
      <c r="AW1555" s="357">
        <v>1.04</v>
      </c>
      <c r="AX1555" s="294"/>
      <c r="AY1555" s="294"/>
      <c r="AZ1555" s="294"/>
      <c r="BA1555" s="294"/>
      <c r="BB1555" s="294"/>
      <c r="BC1555" s="294"/>
      <c r="BD1555" s="294"/>
      <c r="BE1555" s="294"/>
      <c r="BF1555" s="383">
        <f t="shared" si="143"/>
        <v>1.04</v>
      </c>
      <c r="BG1555" s="383"/>
      <c r="BH1555" s="375" t="s">
        <v>3850</v>
      </c>
      <c r="BI1555" s="376"/>
      <c r="BJ1555" s="409"/>
    </row>
    <row r="1556" spans="1:62" ht="15" customHeight="1" thickBot="1" x14ac:dyDescent="0.25">
      <c r="A1556" s="156">
        <v>1557</v>
      </c>
      <c r="B1556" s="247">
        <v>1</v>
      </c>
      <c r="C1556" s="148" t="s">
        <v>2933</v>
      </c>
      <c r="D1556" s="148" t="s">
        <v>2745</v>
      </c>
      <c r="E1556" s="148"/>
      <c r="F1556" s="148" t="s">
        <v>3851</v>
      </c>
      <c r="G1556" s="148"/>
      <c r="H1556" s="148" t="s">
        <v>376</v>
      </c>
      <c r="I1556" s="161">
        <v>2011</v>
      </c>
      <c r="J1556" s="161" t="s">
        <v>3852</v>
      </c>
      <c r="K1556" s="161"/>
      <c r="L1556" s="161" t="s">
        <v>19</v>
      </c>
      <c r="M1556" s="453" t="s">
        <v>4385</v>
      </c>
      <c r="N1556" s="186" t="s">
        <v>122</v>
      </c>
      <c r="O1556" s="186" t="s">
        <v>292</v>
      </c>
      <c r="P1556" s="186" t="s">
        <v>292</v>
      </c>
      <c r="Q1556" s="186" t="s">
        <v>292</v>
      </c>
      <c r="R1556" s="186" t="s">
        <v>292</v>
      </c>
      <c r="S1556" s="186" t="s">
        <v>292</v>
      </c>
      <c r="T1556" s="186" t="s">
        <v>292</v>
      </c>
      <c r="U1556" s="186" t="s">
        <v>292</v>
      </c>
      <c r="V1556" s="186" t="s">
        <v>292</v>
      </c>
      <c r="W1556" s="186" t="s">
        <v>292</v>
      </c>
      <c r="X1556" s="186" t="s">
        <v>292</v>
      </c>
      <c r="Y1556" s="186" t="s">
        <v>292</v>
      </c>
      <c r="Z1556" s="186"/>
      <c r="AA1556" s="186" t="s">
        <v>3853</v>
      </c>
      <c r="AB1556" s="186"/>
      <c r="AC1556" s="186"/>
      <c r="AD1556" s="268" t="s">
        <v>3854</v>
      </c>
      <c r="AE1556" s="268" t="s">
        <v>3855</v>
      </c>
      <c r="AF1556" s="144" t="str">
        <f t="shared" si="138"/>
        <v/>
      </c>
      <c r="AG1556" s="144" t="str">
        <f t="shared" si="144"/>
        <v/>
      </c>
      <c r="AH1556" s="146">
        <f t="shared" si="140"/>
        <v>34.482758620689651</v>
      </c>
      <c r="AI1556" s="146" t="str">
        <f t="shared" si="141"/>
        <v/>
      </c>
      <c r="AJ1556" s="309"/>
      <c r="AK1556" s="309"/>
      <c r="AL1556" s="309"/>
      <c r="AM1556" s="309"/>
      <c r="AN1556" s="309"/>
      <c r="AO1556" s="309"/>
      <c r="AP1556" s="309"/>
      <c r="AQ1556" s="309"/>
      <c r="AR1556" s="320"/>
      <c r="AS1556" s="237"/>
      <c r="AT1556" s="238"/>
      <c r="AU1556" s="320"/>
      <c r="AV1556" s="346"/>
      <c r="AW1556" s="357">
        <f>23/0.667</f>
        <v>34.482758620689651</v>
      </c>
      <c r="AX1556" s="294"/>
      <c r="AY1556" s="294"/>
      <c r="AZ1556" s="294"/>
      <c r="BA1556" s="294"/>
      <c r="BB1556" s="294"/>
      <c r="BC1556" s="294"/>
      <c r="BD1556" s="294"/>
      <c r="BE1556" s="294"/>
      <c r="BF1556" s="383">
        <f t="shared" si="143"/>
        <v>34.482758620689651</v>
      </c>
      <c r="BG1556" s="383"/>
      <c r="BH1556" s="375"/>
      <c r="BI1556" s="376"/>
      <c r="BJ1556" s="409"/>
    </row>
    <row r="1557" spans="1:62" ht="15" customHeight="1" thickBot="1" x14ac:dyDescent="0.25">
      <c r="A1557" s="156">
        <v>1558</v>
      </c>
      <c r="B1557" s="247">
        <v>1</v>
      </c>
      <c r="C1557" s="148" t="s">
        <v>2933</v>
      </c>
      <c r="D1557" s="148" t="s">
        <v>2745</v>
      </c>
      <c r="E1557" s="148"/>
      <c r="F1557" s="148" t="s">
        <v>3856</v>
      </c>
      <c r="G1557" s="148"/>
      <c r="H1557" s="148" t="s">
        <v>376</v>
      </c>
      <c r="I1557" s="161">
        <v>2011</v>
      </c>
      <c r="J1557" s="161" t="s">
        <v>3852</v>
      </c>
      <c r="K1557" s="161"/>
      <c r="L1557" s="161" t="s">
        <v>19</v>
      </c>
      <c r="M1557" s="453" t="s">
        <v>4385</v>
      </c>
      <c r="N1557" s="186" t="s">
        <v>122</v>
      </c>
      <c r="O1557" s="186" t="s">
        <v>292</v>
      </c>
      <c r="P1557" s="186" t="s">
        <v>292</v>
      </c>
      <c r="Q1557" s="186" t="s">
        <v>292</v>
      </c>
      <c r="R1557" s="186" t="s">
        <v>292</v>
      </c>
      <c r="S1557" s="186" t="s">
        <v>292</v>
      </c>
      <c r="T1557" s="186" t="s">
        <v>292</v>
      </c>
      <c r="U1557" s="186" t="s">
        <v>292</v>
      </c>
      <c r="V1557" s="186" t="s">
        <v>292</v>
      </c>
      <c r="W1557" s="186" t="s">
        <v>292</v>
      </c>
      <c r="X1557" s="186" t="s">
        <v>292</v>
      </c>
      <c r="Y1557" s="186" t="s">
        <v>292</v>
      </c>
      <c r="Z1557" s="186"/>
      <c r="AA1557" s="186" t="s">
        <v>3853</v>
      </c>
      <c r="AB1557" s="186"/>
      <c r="AC1557" s="186"/>
      <c r="AD1557" s="268" t="s">
        <v>3854</v>
      </c>
      <c r="AE1557" s="268" t="s">
        <v>3855</v>
      </c>
      <c r="AF1557" s="144" t="str">
        <f t="shared" si="138"/>
        <v/>
      </c>
      <c r="AG1557" s="144" t="str">
        <f t="shared" si="144"/>
        <v/>
      </c>
      <c r="AH1557" s="146">
        <f t="shared" si="140"/>
        <v>29.535232383808093</v>
      </c>
      <c r="AI1557" s="146" t="str">
        <f t="shared" si="141"/>
        <v/>
      </c>
      <c r="AJ1557" s="309"/>
      <c r="AK1557" s="309"/>
      <c r="AL1557" s="309"/>
      <c r="AM1557" s="309"/>
      <c r="AN1557" s="309"/>
      <c r="AO1557" s="309"/>
      <c r="AP1557" s="309"/>
      <c r="AQ1557" s="309"/>
      <c r="AR1557" s="320"/>
      <c r="AS1557" s="237"/>
      <c r="AT1557" s="238"/>
      <c r="AU1557" s="320"/>
      <c r="AV1557" s="346"/>
      <c r="AW1557" s="357">
        <f>19.7/0.667</f>
        <v>29.535232383808093</v>
      </c>
      <c r="AX1557" s="294"/>
      <c r="AY1557" s="294"/>
      <c r="AZ1557" s="294"/>
      <c r="BA1557" s="294"/>
      <c r="BB1557" s="294"/>
      <c r="BC1557" s="294"/>
      <c r="BD1557" s="294"/>
      <c r="BE1557" s="294"/>
      <c r="BF1557" s="383">
        <f t="shared" si="143"/>
        <v>29.535232383808093</v>
      </c>
      <c r="BG1557" s="383"/>
      <c r="BH1557" s="375"/>
      <c r="BI1557" s="376"/>
      <c r="BJ1557" s="409"/>
    </row>
    <row r="1558" spans="1:62" ht="15" customHeight="1" thickBot="1" x14ac:dyDescent="0.25">
      <c r="A1558" s="156">
        <v>1559</v>
      </c>
      <c r="B1558" s="247">
        <v>1</v>
      </c>
      <c r="C1558" s="148" t="s">
        <v>2933</v>
      </c>
      <c r="D1558" s="148" t="s">
        <v>2745</v>
      </c>
      <c r="E1558" s="148"/>
      <c r="F1558" s="148" t="s">
        <v>3857</v>
      </c>
      <c r="G1558" s="148"/>
      <c r="H1558" s="148" t="s">
        <v>376</v>
      </c>
      <c r="I1558" s="161">
        <v>2011</v>
      </c>
      <c r="J1558" s="161" t="s">
        <v>3852</v>
      </c>
      <c r="K1558" s="161"/>
      <c r="L1558" s="161" t="s">
        <v>19</v>
      </c>
      <c r="M1558" s="453" t="s">
        <v>4385</v>
      </c>
      <c r="N1558" s="186" t="s">
        <v>122</v>
      </c>
      <c r="O1558" s="186" t="s">
        <v>292</v>
      </c>
      <c r="P1558" s="186" t="s">
        <v>292</v>
      </c>
      <c r="Q1558" s="186" t="s">
        <v>292</v>
      </c>
      <c r="R1558" s="186" t="s">
        <v>292</v>
      </c>
      <c r="S1558" s="186" t="s">
        <v>292</v>
      </c>
      <c r="T1558" s="186" t="s">
        <v>292</v>
      </c>
      <c r="U1558" s="186" t="s">
        <v>292</v>
      </c>
      <c r="V1558" s="186" t="s">
        <v>292</v>
      </c>
      <c r="W1558" s="186" t="s">
        <v>292</v>
      </c>
      <c r="X1558" s="186" t="s">
        <v>292</v>
      </c>
      <c r="Y1558" s="186" t="s">
        <v>292</v>
      </c>
      <c r="Z1558" s="186"/>
      <c r="AA1558" s="186" t="s">
        <v>3853</v>
      </c>
      <c r="AB1558" s="186"/>
      <c r="AC1558" s="186"/>
      <c r="AD1558" s="268" t="s">
        <v>3854</v>
      </c>
      <c r="AE1558" s="268" t="s">
        <v>3855</v>
      </c>
      <c r="AF1558" s="144" t="str">
        <f t="shared" si="138"/>
        <v/>
      </c>
      <c r="AG1558" s="144" t="str">
        <f t="shared" si="144"/>
        <v/>
      </c>
      <c r="AH1558" s="146">
        <f t="shared" si="140"/>
        <v>32.983508245877061</v>
      </c>
      <c r="AI1558" s="146" t="str">
        <f t="shared" si="141"/>
        <v/>
      </c>
      <c r="AJ1558" s="309"/>
      <c r="AK1558" s="309"/>
      <c r="AL1558" s="309"/>
      <c r="AM1558" s="309"/>
      <c r="AN1558" s="309"/>
      <c r="AO1558" s="309"/>
      <c r="AP1558" s="309"/>
      <c r="AQ1558" s="309"/>
      <c r="AR1558" s="320"/>
      <c r="AS1558" s="237"/>
      <c r="AT1558" s="238"/>
      <c r="AU1558" s="320"/>
      <c r="AV1558" s="346"/>
      <c r="AW1558" s="357">
        <f>22/0.667</f>
        <v>32.983508245877061</v>
      </c>
      <c r="AX1558" s="294"/>
      <c r="AY1558" s="294"/>
      <c r="AZ1558" s="294"/>
      <c r="BA1558" s="294"/>
      <c r="BB1558" s="294"/>
      <c r="BC1558" s="294"/>
      <c r="BD1558" s="294"/>
      <c r="BE1558" s="294"/>
      <c r="BF1558" s="383">
        <f t="shared" si="143"/>
        <v>32.983508245877061</v>
      </c>
      <c r="BG1558" s="383"/>
      <c r="BH1558" s="375"/>
      <c r="BI1558" s="376"/>
      <c r="BJ1558" s="409"/>
    </row>
    <row r="1559" spans="1:62" ht="15" customHeight="1" thickBot="1" x14ac:dyDescent="0.25">
      <c r="A1559" s="156">
        <v>1560</v>
      </c>
      <c r="B1559" s="247">
        <v>1</v>
      </c>
      <c r="C1559" s="148" t="s">
        <v>2933</v>
      </c>
      <c r="D1559" s="148" t="s">
        <v>2745</v>
      </c>
      <c r="E1559" s="148"/>
      <c r="F1559" s="148" t="s">
        <v>3858</v>
      </c>
      <c r="G1559" s="148"/>
      <c r="H1559" s="148" t="s">
        <v>376</v>
      </c>
      <c r="I1559" s="161">
        <v>2011</v>
      </c>
      <c r="J1559" s="161" t="s">
        <v>3852</v>
      </c>
      <c r="K1559" s="161"/>
      <c r="L1559" s="161" t="s">
        <v>19</v>
      </c>
      <c r="M1559" s="453" t="s">
        <v>4385</v>
      </c>
      <c r="N1559" s="186" t="s">
        <v>122</v>
      </c>
      <c r="O1559" s="186" t="s">
        <v>292</v>
      </c>
      <c r="P1559" s="186" t="s">
        <v>292</v>
      </c>
      <c r="Q1559" s="186" t="s">
        <v>292</v>
      </c>
      <c r="R1559" s="186" t="s">
        <v>292</v>
      </c>
      <c r="S1559" s="186" t="s">
        <v>292</v>
      </c>
      <c r="T1559" s="186" t="s">
        <v>292</v>
      </c>
      <c r="U1559" s="186" t="s">
        <v>292</v>
      </c>
      <c r="V1559" s="186" t="s">
        <v>292</v>
      </c>
      <c r="W1559" s="186" t="s">
        <v>292</v>
      </c>
      <c r="X1559" s="186" t="s">
        <v>292</v>
      </c>
      <c r="Y1559" s="186" t="s">
        <v>292</v>
      </c>
      <c r="Z1559" s="186"/>
      <c r="AA1559" s="186" t="s">
        <v>3853</v>
      </c>
      <c r="AB1559" s="186"/>
      <c r="AC1559" s="186"/>
      <c r="AD1559" s="268" t="s">
        <v>3854</v>
      </c>
      <c r="AE1559" s="268" t="s">
        <v>3855</v>
      </c>
      <c r="AF1559" s="144" t="str">
        <f t="shared" si="138"/>
        <v/>
      </c>
      <c r="AG1559" s="144" t="str">
        <f t="shared" si="144"/>
        <v/>
      </c>
      <c r="AH1559" s="146">
        <f t="shared" si="140"/>
        <v>28.335832083958017</v>
      </c>
      <c r="AI1559" s="146" t="str">
        <f t="shared" si="141"/>
        <v/>
      </c>
      <c r="AJ1559" s="309"/>
      <c r="AK1559" s="309"/>
      <c r="AL1559" s="309"/>
      <c r="AM1559" s="309"/>
      <c r="AN1559" s="309"/>
      <c r="AO1559" s="309"/>
      <c r="AP1559" s="309"/>
      <c r="AQ1559" s="309"/>
      <c r="AR1559" s="320"/>
      <c r="AS1559" s="237"/>
      <c r="AT1559" s="238"/>
      <c r="AU1559" s="320"/>
      <c r="AV1559" s="346"/>
      <c r="AW1559" s="357">
        <f>18.9/0.667</f>
        <v>28.335832083958017</v>
      </c>
      <c r="AX1559" s="294"/>
      <c r="AY1559" s="294"/>
      <c r="AZ1559" s="294"/>
      <c r="BA1559" s="294"/>
      <c r="BB1559" s="294"/>
      <c r="BC1559" s="294"/>
      <c r="BD1559" s="294"/>
      <c r="BE1559" s="294"/>
      <c r="BF1559" s="383">
        <f t="shared" si="143"/>
        <v>28.335832083958017</v>
      </c>
      <c r="BG1559" s="383"/>
      <c r="BH1559" s="375"/>
      <c r="BI1559" s="376"/>
      <c r="BJ1559" s="409"/>
    </row>
    <row r="1560" spans="1:62" ht="15" customHeight="1" thickBot="1" x14ac:dyDescent="0.25">
      <c r="A1560" s="156">
        <v>1561</v>
      </c>
      <c r="B1560" s="247">
        <v>1</v>
      </c>
      <c r="C1560" s="148" t="s">
        <v>2933</v>
      </c>
      <c r="D1560" s="148" t="s">
        <v>2745</v>
      </c>
      <c r="E1560" s="148"/>
      <c r="F1560" s="148" t="s">
        <v>3859</v>
      </c>
      <c r="G1560" s="148"/>
      <c r="H1560" s="148" t="s">
        <v>376</v>
      </c>
      <c r="I1560" s="161">
        <v>2011</v>
      </c>
      <c r="J1560" s="161" t="s">
        <v>3852</v>
      </c>
      <c r="K1560" s="161"/>
      <c r="L1560" s="161" t="s">
        <v>19</v>
      </c>
      <c r="M1560" s="453" t="s">
        <v>4385</v>
      </c>
      <c r="N1560" s="186" t="s">
        <v>122</v>
      </c>
      <c r="O1560" s="186" t="s">
        <v>292</v>
      </c>
      <c r="P1560" s="186" t="s">
        <v>292</v>
      </c>
      <c r="Q1560" s="186" t="s">
        <v>292</v>
      </c>
      <c r="R1560" s="186" t="s">
        <v>292</v>
      </c>
      <c r="S1560" s="186" t="s">
        <v>292</v>
      </c>
      <c r="T1560" s="186" t="s">
        <v>292</v>
      </c>
      <c r="U1560" s="186" t="s">
        <v>292</v>
      </c>
      <c r="V1560" s="186" t="s">
        <v>292</v>
      </c>
      <c r="W1560" s="186" t="s">
        <v>292</v>
      </c>
      <c r="X1560" s="186" t="s">
        <v>292</v>
      </c>
      <c r="Y1560" s="186" t="s">
        <v>292</v>
      </c>
      <c r="Z1560" s="186"/>
      <c r="AA1560" s="186" t="s">
        <v>3853</v>
      </c>
      <c r="AB1560" s="186"/>
      <c r="AC1560" s="186"/>
      <c r="AD1560" s="268" t="s">
        <v>3854</v>
      </c>
      <c r="AE1560" s="268" t="s">
        <v>3855</v>
      </c>
      <c r="AF1560" s="144" t="str">
        <f t="shared" si="138"/>
        <v/>
      </c>
      <c r="AG1560" s="144" t="str">
        <f t="shared" si="144"/>
        <v/>
      </c>
      <c r="AH1560" s="146">
        <f t="shared" si="140"/>
        <v>30.584707646176909</v>
      </c>
      <c r="AI1560" s="146" t="str">
        <f t="shared" si="141"/>
        <v/>
      </c>
      <c r="AJ1560" s="309"/>
      <c r="AK1560" s="309"/>
      <c r="AL1560" s="309"/>
      <c r="AM1560" s="309"/>
      <c r="AN1560" s="309"/>
      <c r="AO1560" s="309"/>
      <c r="AP1560" s="309"/>
      <c r="AQ1560" s="309"/>
      <c r="AR1560" s="320"/>
      <c r="AS1560" s="237"/>
      <c r="AT1560" s="238"/>
      <c r="AU1560" s="320"/>
      <c r="AV1560" s="346"/>
      <c r="AW1560" s="357">
        <f>20.4/0.667</f>
        <v>30.584707646176909</v>
      </c>
      <c r="AX1560" s="294"/>
      <c r="AY1560" s="294"/>
      <c r="AZ1560" s="294"/>
      <c r="BA1560" s="294"/>
      <c r="BB1560" s="294"/>
      <c r="BC1560" s="294"/>
      <c r="BD1560" s="294"/>
      <c r="BE1560" s="294"/>
      <c r="BF1560" s="383">
        <f t="shared" si="143"/>
        <v>30.584707646176909</v>
      </c>
      <c r="BG1560" s="383"/>
      <c r="BH1560" s="375"/>
      <c r="BI1560" s="376"/>
      <c r="BJ1560" s="409"/>
    </row>
    <row r="1561" spans="1:62" ht="15" customHeight="1" thickBot="1" x14ac:dyDescent="0.25">
      <c r="A1561" s="156">
        <v>1562</v>
      </c>
      <c r="B1561" s="247">
        <v>1</v>
      </c>
      <c r="C1561" s="148" t="s">
        <v>3589</v>
      </c>
      <c r="D1561" s="148" t="s">
        <v>12</v>
      </c>
      <c r="E1561" s="148"/>
      <c r="F1561" s="148" t="s">
        <v>3860</v>
      </c>
      <c r="G1561" s="148"/>
      <c r="H1561" s="148" t="s">
        <v>3861</v>
      </c>
      <c r="I1561" s="161">
        <v>2011</v>
      </c>
      <c r="J1561" s="161" t="s">
        <v>3862</v>
      </c>
      <c r="K1561" s="161"/>
      <c r="L1561" s="161" t="s">
        <v>19</v>
      </c>
      <c r="M1561" s="453" t="s">
        <v>4386</v>
      </c>
      <c r="N1561" s="186" t="s">
        <v>122</v>
      </c>
      <c r="O1561" s="186" t="s">
        <v>292</v>
      </c>
      <c r="P1561" s="186" t="s">
        <v>292</v>
      </c>
      <c r="Q1561" s="186" t="s">
        <v>292</v>
      </c>
      <c r="R1561" s="186" t="s">
        <v>292</v>
      </c>
      <c r="S1561" s="186" t="s">
        <v>292</v>
      </c>
      <c r="T1561" s="186" t="s">
        <v>292</v>
      </c>
      <c r="U1561" s="186" t="s">
        <v>292</v>
      </c>
      <c r="V1561" s="186" t="s">
        <v>292</v>
      </c>
      <c r="W1561" s="186" t="s">
        <v>292</v>
      </c>
      <c r="X1561" s="186" t="s">
        <v>292</v>
      </c>
      <c r="Y1561" s="186" t="s">
        <v>292</v>
      </c>
      <c r="Z1561" s="186"/>
      <c r="AA1561" s="186"/>
      <c r="AB1561" s="186"/>
      <c r="AC1561" s="186"/>
      <c r="AD1561" s="268" t="s">
        <v>3593</v>
      </c>
      <c r="AE1561" s="268"/>
      <c r="AF1561" s="144" t="str">
        <f t="shared" si="138"/>
        <v/>
      </c>
      <c r="AG1561" s="144" t="str">
        <f t="shared" si="144"/>
        <v/>
      </c>
      <c r="AH1561" s="146">
        <f t="shared" si="140"/>
        <v>1.24</v>
      </c>
      <c r="AI1561" s="146" t="str">
        <f t="shared" si="141"/>
        <v/>
      </c>
      <c r="AJ1561" s="309"/>
      <c r="AK1561" s="309"/>
      <c r="AL1561" s="309"/>
      <c r="AM1561" s="309"/>
      <c r="AN1561" s="309"/>
      <c r="AO1561" s="309"/>
      <c r="AP1561" s="309"/>
      <c r="AQ1561" s="309"/>
      <c r="AR1561" s="320"/>
      <c r="AS1561" s="237"/>
      <c r="AT1561" s="238"/>
      <c r="AU1561" s="320"/>
      <c r="AV1561" s="346"/>
      <c r="AW1561" s="357">
        <f>1.35-0.11</f>
        <v>1.24</v>
      </c>
      <c r="AX1561" s="294"/>
      <c r="AY1561" s="294"/>
      <c r="AZ1561" s="294"/>
      <c r="BA1561" s="294"/>
      <c r="BB1561" s="294"/>
      <c r="BC1561" s="294"/>
      <c r="BD1561" s="294"/>
      <c r="BE1561" s="294"/>
      <c r="BF1561" s="383">
        <f t="shared" si="143"/>
        <v>1.24</v>
      </c>
      <c r="BG1561" s="383"/>
      <c r="BH1561" s="375" t="s">
        <v>3863</v>
      </c>
      <c r="BI1561" s="376"/>
      <c r="BJ1561" s="409"/>
    </row>
    <row r="1562" spans="1:62" ht="15" customHeight="1" thickBot="1" x14ac:dyDescent="0.25">
      <c r="A1562" s="156">
        <v>1563</v>
      </c>
      <c r="B1562" s="247">
        <v>1</v>
      </c>
      <c r="C1562" s="148" t="s">
        <v>3589</v>
      </c>
      <c r="D1562" s="148" t="s">
        <v>12</v>
      </c>
      <c r="E1562" s="148"/>
      <c r="F1562" s="148" t="s">
        <v>3864</v>
      </c>
      <c r="G1562" s="148"/>
      <c r="H1562" s="148" t="s">
        <v>351</v>
      </c>
      <c r="I1562" s="161">
        <v>2011</v>
      </c>
      <c r="J1562" s="161" t="s">
        <v>3865</v>
      </c>
      <c r="K1562" s="161"/>
      <c r="L1562" s="161" t="s">
        <v>19</v>
      </c>
      <c r="M1562" s="453" t="s">
        <v>4387</v>
      </c>
      <c r="N1562" s="186" t="s">
        <v>122</v>
      </c>
      <c r="O1562" s="186" t="s">
        <v>292</v>
      </c>
      <c r="P1562" s="186" t="s">
        <v>122</v>
      </c>
      <c r="Q1562" s="186" t="s">
        <v>122</v>
      </c>
      <c r="R1562" s="186" t="s">
        <v>122</v>
      </c>
      <c r="S1562" s="186" t="s">
        <v>122</v>
      </c>
      <c r="T1562" s="186" t="s">
        <v>122</v>
      </c>
      <c r="U1562" s="186" t="s">
        <v>122</v>
      </c>
      <c r="V1562" s="186" t="s">
        <v>122</v>
      </c>
      <c r="W1562" s="186" t="s">
        <v>292</v>
      </c>
      <c r="X1562" s="186" t="s">
        <v>292</v>
      </c>
      <c r="Y1562" s="186" t="s">
        <v>292</v>
      </c>
      <c r="Z1562" s="186"/>
      <c r="AA1562" s="186" t="s">
        <v>3866</v>
      </c>
      <c r="AB1562" s="186"/>
      <c r="AC1562" s="186"/>
      <c r="AD1562" s="268" t="s">
        <v>3867</v>
      </c>
      <c r="AE1562" s="268" t="s">
        <v>3868</v>
      </c>
      <c r="AF1562" s="144">
        <f t="shared" si="138"/>
        <v>5.5993499999999994</v>
      </c>
      <c r="AG1562" s="144">
        <f t="shared" si="144"/>
        <v>9.4024251999999997</v>
      </c>
      <c r="AH1562" s="146">
        <f t="shared" si="140"/>
        <v>1.516275</v>
      </c>
      <c r="AI1562" s="146">
        <f t="shared" si="141"/>
        <v>1.72224</v>
      </c>
      <c r="AJ1562" s="309">
        <f>5.41*1.035</f>
        <v>5.5993499999999994</v>
      </c>
      <c r="AK1562" s="309">
        <f>0.478*1.035</f>
        <v>0.49472999999999995</v>
      </c>
      <c r="AL1562" s="309">
        <f>(2.8+0.394)*1.0358</f>
        <v>3.3083452000000002</v>
      </c>
      <c r="AM1562" s="309">
        <f>2.73*1.035</f>
        <v>2.8255499999999998</v>
      </c>
      <c r="AN1562" s="309">
        <f>3.54*1.035</f>
        <v>3.6638999999999999</v>
      </c>
      <c r="AO1562" s="309">
        <f>0.65*1.035</f>
        <v>0.67274999999999996</v>
      </c>
      <c r="AP1562" s="309">
        <f>2.267*1.035</f>
        <v>2.3463449999999999</v>
      </c>
      <c r="AQ1562" s="309">
        <f>0.0098*1.035</f>
        <v>1.0142999999999999E-2</v>
      </c>
      <c r="AR1562" s="320"/>
      <c r="AS1562" s="237">
        <f t="shared" ref="AS1562:AS1578" si="145">AJ1562</f>
        <v>5.5993499999999994</v>
      </c>
      <c r="AT1562" s="238">
        <f>SUM(AJ1562:AQ1562)</f>
        <v>18.921113199999997</v>
      </c>
      <c r="AU1562" s="320"/>
      <c r="AV1562" s="346"/>
      <c r="AW1562" s="357">
        <f>1.465*1.035</f>
        <v>1.516275</v>
      </c>
      <c r="AX1562" s="294">
        <f>0.034*1.035</f>
        <v>3.5189999999999999E-2</v>
      </c>
      <c r="AY1562" s="294">
        <f>0.165*1.035</f>
        <v>0.17077499999999998</v>
      </c>
      <c r="AZ1562" s="294">
        <f>0.1327*1.035</f>
        <v>0.13734450000000001</v>
      </c>
      <c r="BA1562" s="294">
        <f>0.2367*1.035</f>
        <v>0.24498449999999997</v>
      </c>
      <c r="BB1562" s="294">
        <f>0.0391*1.035</f>
        <v>4.0468499999999998E-2</v>
      </c>
      <c r="BC1562" s="294">
        <f>0.1436*1.035</f>
        <v>0.14862599999999998</v>
      </c>
      <c r="BD1562" s="294">
        <f>0.089*1.035</f>
        <v>9.2114999999999989E-2</v>
      </c>
      <c r="BE1562" s="294"/>
      <c r="BF1562" s="383">
        <f t="shared" si="143"/>
        <v>1.516275</v>
      </c>
      <c r="BG1562" s="383">
        <f>SUM(AW1562:BD1562)</f>
        <v>2.3857785000000002</v>
      </c>
      <c r="BH1562" s="375"/>
      <c r="BI1562" s="376"/>
      <c r="BJ1562" s="409"/>
    </row>
    <row r="1563" spans="1:62" ht="15" customHeight="1" thickBot="1" x14ac:dyDescent="0.25">
      <c r="A1563" s="156">
        <v>1564</v>
      </c>
      <c r="B1563" s="247">
        <v>1</v>
      </c>
      <c r="C1563" s="148" t="s">
        <v>11</v>
      </c>
      <c r="D1563" s="148" t="s">
        <v>12</v>
      </c>
      <c r="E1563" s="148" t="s">
        <v>13</v>
      </c>
      <c r="F1563" s="148" t="s">
        <v>3869</v>
      </c>
      <c r="G1563" s="148"/>
      <c r="H1563" s="148" t="s">
        <v>87</v>
      </c>
      <c r="I1563" s="161">
        <v>2013</v>
      </c>
      <c r="J1563" s="161" t="s">
        <v>3870</v>
      </c>
      <c r="K1563" s="161" t="s">
        <v>3871</v>
      </c>
      <c r="L1563" s="161" t="s">
        <v>19</v>
      </c>
      <c r="M1563" s="453" t="s">
        <v>4388</v>
      </c>
      <c r="N1563" s="186" t="s">
        <v>122</v>
      </c>
      <c r="O1563" s="186" t="s">
        <v>292</v>
      </c>
      <c r="P1563" s="186" t="s">
        <v>292</v>
      </c>
      <c r="Q1563" s="186" t="s">
        <v>292</v>
      </c>
      <c r="R1563" s="186" t="s">
        <v>292</v>
      </c>
      <c r="S1563" s="186" t="s">
        <v>292</v>
      </c>
      <c r="T1563" s="186" t="s">
        <v>292</v>
      </c>
      <c r="U1563" s="186" t="s">
        <v>292</v>
      </c>
      <c r="V1563" s="186" t="s">
        <v>292</v>
      </c>
      <c r="W1563" s="186" t="s">
        <v>292</v>
      </c>
      <c r="X1563" s="186" t="s">
        <v>292</v>
      </c>
      <c r="Y1563" s="186" t="s">
        <v>292</v>
      </c>
      <c r="Z1563" s="186"/>
      <c r="AA1563" s="186" t="s">
        <v>303</v>
      </c>
      <c r="AB1563" s="186"/>
      <c r="AC1563" s="186"/>
      <c r="AD1563" s="268" t="s">
        <v>343</v>
      </c>
      <c r="AE1563" s="268"/>
      <c r="AF1563" s="144">
        <f t="shared" si="138"/>
        <v>5.97</v>
      </c>
      <c r="AG1563" s="144" t="str">
        <f t="shared" si="144"/>
        <v/>
      </c>
      <c r="AH1563" s="146">
        <f t="shared" si="140"/>
        <v>1.3</v>
      </c>
      <c r="AI1563" s="146" t="str">
        <f t="shared" si="141"/>
        <v/>
      </c>
      <c r="AJ1563" s="309">
        <v>5.97</v>
      </c>
      <c r="AK1563" s="309"/>
      <c r="AL1563" s="309"/>
      <c r="AM1563" s="309"/>
      <c r="AN1563" s="309"/>
      <c r="AO1563" s="309"/>
      <c r="AP1563" s="309"/>
      <c r="AQ1563" s="309"/>
      <c r="AR1563" s="320"/>
      <c r="AS1563" s="237">
        <f t="shared" si="145"/>
        <v>5.97</v>
      </c>
      <c r="AT1563" s="238"/>
      <c r="AU1563" s="320"/>
      <c r="AV1563" s="346" t="s">
        <v>3872</v>
      </c>
      <c r="AW1563" s="357">
        <v>1.3</v>
      </c>
      <c r="AX1563" s="294"/>
      <c r="AY1563" s="294"/>
      <c r="AZ1563" s="294"/>
      <c r="BA1563" s="294"/>
      <c r="BB1563" s="294"/>
      <c r="BC1563" s="294"/>
      <c r="BD1563" s="294"/>
      <c r="BE1563" s="294"/>
      <c r="BF1563" s="383">
        <f t="shared" si="143"/>
        <v>1.3</v>
      </c>
      <c r="BG1563" s="383"/>
      <c r="BH1563" s="375">
        <v>0.19</v>
      </c>
      <c r="BI1563" s="376"/>
      <c r="BJ1563" s="409"/>
    </row>
    <row r="1564" spans="1:62" ht="15" customHeight="1" thickBot="1" x14ac:dyDescent="0.25">
      <c r="A1564" s="156">
        <v>1565</v>
      </c>
      <c r="B1564" s="247">
        <v>1</v>
      </c>
      <c r="C1564" s="148" t="s">
        <v>11</v>
      </c>
      <c r="D1564" s="148" t="s">
        <v>12</v>
      </c>
      <c r="E1564" s="148" t="s">
        <v>13</v>
      </c>
      <c r="F1564" s="148" t="s">
        <v>379</v>
      </c>
      <c r="G1564" s="148"/>
      <c r="H1564" s="148" t="s">
        <v>80</v>
      </c>
      <c r="I1564" s="161">
        <v>2013</v>
      </c>
      <c r="J1564" s="161" t="s">
        <v>3873</v>
      </c>
      <c r="K1564" s="161" t="s">
        <v>3874</v>
      </c>
      <c r="L1564" s="161" t="s">
        <v>19</v>
      </c>
      <c r="M1564" s="453" t="s">
        <v>4389</v>
      </c>
      <c r="N1564" s="186" t="s">
        <v>122</v>
      </c>
      <c r="O1564" s="186" t="s">
        <v>292</v>
      </c>
      <c r="P1564" s="186" t="s">
        <v>292</v>
      </c>
      <c r="Q1564" s="186" t="s">
        <v>292</v>
      </c>
      <c r="R1564" s="186" t="s">
        <v>292</v>
      </c>
      <c r="S1564" s="186" t="s">
        <v>292</v>
      </c>
      <c r="T1564" s="186" t="s">
        <v>292</v>
      </c>
      <c r="U1564" s="186" t="s">
        <v>292</v>
      </c>
      <c r="V1564" s="186" t="s">
        <v>292</v>
      </c>
      <c r="W1564" s="186" t="s">
        <v>292</v>
      </c>
      <c r="X1564" s="186" t="s">
        <v>292</v>
      </c>
      <c r="Y1564" s="186" t="s">
        <v>292</v>
      </c>
      <c r="Z1564" s="186"/>
      <c r="AA1564" s="186" t="s">
        <v>3875</v>
      </c>
      <c r="AB1564" s="186"/>
      <c r="AC1564" s="186"/>
      <c r="AD1564" s="268" t="s">
        <v>3593</v>
      </c>
      <c r="AE1564" s="268"/>
      <c r="AF1564" s="144">
        <f t="shared" si="138"/>
        <v>2.87</v>
      </c>
      <c r="AG1564" s="144" t="str">
        <f t="shared" si="144"/>
        <v/>
      </c>
      <c r="AH1564" s="146">
        <f t="shared" si="140"/>
        <v>1.43</v>
      </c>
      <c r="AI1564" s="146" t="str">
        <f t="shared" si="141"/>
        <v/>
      </c>
      <c r="AJ1564" s="309">
        <v>2.87</v>
      </c>
      <c r="AK1564" s="309"/>
      <c r="AL1564" s="309"/>
      <c r="AM1564" s="309"/>
      <c r="AN1564" s="309"/>
      <c r="AO1564" s="309"/>
      <c r="AP1564" s="309"/>
      <c r="AQ1564" s="309"/>
      <c r="AR1564" s="320"/>
      <c r="AS1564" s="237">
        <f t="shared" si="145"/>
        <v>2.87</v>
      </c>
      <c r="AT1564" s="238"/>
      <c r="AU1564" s="320"/>
      <c r="AV1564" s="347" t="s">
        <v>3876</v>
      </c>
      <c r="AW1564" s="357">
        <v>1.43</v>
      </c>
      <c r="AX1564" s="294"/>
      <c r="AY1564" s="294"/>
      <c r="AZ1564" s="294"/>
      <c r="BA1564" s="294"/>
      <c r="BB1564" s="294"/>
      <c r="BC1564" s="294"/>
      <c r="BD1564" s="294"/>
      <c r="BE1564" s="294"/>
      <c r="BF1564" s="383">
        <f t="shared" si="143"/>
        <v>1.43</v>
      </c>
      <c r="BG1564" s="383"/>
      <c r="BH1564" s="375"/>
      <c r="BI1564" s="376"/>
      <c r="BJ1564" s="409"/>
    </row>
    <row r="1565" spans="1:62" ht="15" customHeight="1" thickBot="1" x14ac:dyDescent="0.25">
      <c r="A1565" s="156">
        <v>1566</v>
      </c>
      <c r="B1565" s="247">
        <v>1</v>
      </c>
      <c r="C1565" s="148" t="s">
        <v>11</v>
      </c>
      <c r="D1565" s="253" t="s">
        <v>12</v>
      </c>
      <c r="E1565" s="148" t="s">
        <v>13</v>
      </c>
      <c r="F1565" s="148" t="s">
        <v>379</v>
      </c>
      <c r="G1565" s="148"/>
      <c r="H1565" s="148" t="s">
        <v>80</v>
      </c>
      <c r="I1565" s="161">
        <v>2013</v>
      </c>
      <c r="J1565" s="161" t="s">
        <v>3873</v>
      </c>
      <c r="K1565" s="161" t="s">
        <v>3874</v>
      </c>
      <c r="L1565" s="161" t="s">
        <v>19</v>
      </c>
      <c r="M1565" s="453" t="s">
        <v>4389</v>
      </c>
      <c r="N1565" s="186" t="s">
        <v>122</v>
      </c>
      <c r="O1565" s="186" t="s">
        <v>292</v>
      </c>
      <c r="P1565" s="186" t="s">
        <v>292</v>
      </c>
      <c r="Q1565" s="186" t="s">
        <v>292</v>
      </c>
      <c r="R1565" s="186" t="s">
        <v>292</v>
      </c>
      <c r="S1565" s="186" t="s">
        <v>292</v>
      </c>
      <c r="T1565" s="186" t="s">
        <v>292</v>
      </c>
      <c r="U1565" s="186" t="s">
        <v>292</v>
      </c>
      <c r="V1565" s="186" t="s">
        <v>292</v>
      </c>
      <c r="W1565" s="186" t="s">
        <v>292</v>
      </c>
      <c r="X1565" s="186" t="s">
        <v>292</v>
      </c>
      <c r="Y1565" s="186" t="s">
        <v>292</v>
      </c>
      <c r="Z1565" s="186"/>
      <c r="AA1565" s="186" t="s">
        <v>3875</v>
      </c>
      <c r="AB1565" s="186"/>
      <c r="AC1565" s="186"/>
      <c r="AD1565" s="268" t="s">
        <v>3593</v>
      </c>
      <c r="AE1565" s="268"/>
      <c r="AF1565" s="144">
        <f t="shared" si="138"/>
        <v>2.5499999999999998</v>
      </c>
      <c r="AG1565" s="144" t="str">
        <f t="shared" si="144"/>
        <v/>
      </c>
      <c r="AH1565" s="146">
        <f t="shared" si="140"/>
        <v>1.1000000000000001</v>
      </c>
      <c r="AI1565" s="146" t="str">
        <f t="shared" si="141"/>
        <v/>
      </c>
      <c r="AJ1565" s="309">
        <v>2.5499999999999998</v>
      </c>
      <c r="AK1565" s="309"/>
      <c r="AL1565" s="309"/>
      <c r="AM1565" s="309"/>
      <c r="AN1565" s="309"/>
      <c r="AO1565" s="309"/>
      <c r="AP1565" s="309"/>
      <c r="AQ1565" s="309"/>
      <c r="AR1565" s="320"/>
      <c r="AS1565" s="237">
        <f t="shared" si="145"/>
        <v>2.5499999999999998</v>
      </c>
      <c r="AT1565" s="238"/>
      <c r="AU1565" s="320"/>
      <c r="AV1565" s="346" t="s">
        <v>3876</v>
      </c>
      <c r="AW1565" s="357">
        <v>1.1000000000000001</v>
      </c>
      <c r="AX1565" s="294"/>
      <c r="AY1565" s="294"/>
      <c r="AZ1565" s="294"/>
      <c r="BA1565" s="294"/>
      <c r="BB1565" s="294"/>
      <c r="BC1565" s="294"/>
      <c r="BD1565" s="294"/>
      <c r="BE1565" s="294"/>
      <c r="BF1565" s="383">
        <f t="shared" si="143"/>
        <v>1.1000000000000001</v>
      </c>
      <c r="BG1565" s="383"/>
      <c r="BH1565" s="375"/>
      <c r="BI1565" s="376"/>
      <c r="BJ1565" s="409"/>
    </row>
    <row r="1566" spans="1:62" ht="15" customHeight="1" thickBot="1" x14ac:dyDescent="0.25">
      <c r="A1566" s="156">
        <v>1567</v>
      </c>
      <c r="B1566" s="247">
        <v>1</v>
      </c>
      <c r="C1566" s="148" t="s">
        <v>11</v>
      </c>
      <c r="D1566" s="253" t="s">
        <v>12</v>
      </c>
      <c r="E1566" s="148" t="s">
        <v>13</v>
      </c>
      <c r="F1566" s="148"/>
      <c r="G1566" s="148"/>
      <c r="H1566" s="148" t="s">
        <v>80</v>
      </c>
      <c r="I1566" s="161">
        <v>2013</v>
      </c>
      <c r="J1566" s="161" t="s">
        <v>3873</v>
      </c>
      <c r="K1566" s="161" t="s">
        <v>3874</v>
      </c>
      <c r="L1566" s="161" t="s">
        <v>19</v>
      </c>
      <c r="M1566" s="453" t="s">
        <v>4389</v>
      </c>
      <c r="N1566" s="186" t="s">
        <v>122</v>
      </c>
      <c r="O1566" s="186" t="s">
        <v>292</v>
      </c>
      <c r="P1566" s="186" t="s">
        <v>292</v>
      </c>
      <c r="Q1566" s="186" t="s">
        <v>292</v>
      </c>
      <c r="R1566" s="186" t="s">
        <v>292</v>
      </c>
      <c r="S1566" s="186" t="s">
        <v>292</v>
      </c>
      <c r="T1566" s="186" t="s">
        <v>292</v>
      </c>
      <c r="U1566" s="186" t="s">
        <v>292</v>
      </c>
      <c r="V1566" s="186" t="s">
        <v>292</v>
      </c>
      <c r="W1566" s="186" t="s">
        <v>292</v>
      </c>
      <c r="X1566" s="186" t="s">
        <v>292</v>
      </c>
      <c r="Y1566" s="186" t="s">
        <v>292</v>
      </c>
      <c r="Z1566" s="186"/>
      <c r="AA1566" s="186" t="s">
        <v>3875</v>
      </c>
      <c r="AB1566" s="186"/>
      <c r="AC1566" s="186"/>
      <c r="AD1566" s="268" t="s">
        <v>3593</v>
      </c>
      <c r="AE1566" s="268"/>
      <c r="AF1566" s="144">
        <f t="shared" si="138"/>
        <v>3.08</v>
      </c>
      <c r="AG1566" s="144" t="str">
        <f t="shared" si="144"/>
        <v/>
      </c>
      <c r="AH1566" s="146">
        <f t="shared" si="140"/>
        <v>1.57</v>
      </c>
      <c r="AI1566" s="146" t="str">
        <f t="shared" si="141"/>
        <v/>
      </c>
      <c r="AJ1566" s="309">
        <v>3.08</v>
      </c>
      <c r="AK1566" s="309"/>
      <c r="AL1566" s="309"/>
      <c r="AM1566" s="309"/>
      <c r="AN1566" s="309"/>
      <c r="AO1566" s="309"/>
      <c r="AP1566" s="309"/>
      <c r="AQ1566" s="309"/>
      <c r="AR1566" s="320"/>
      <c r="AS1566" s="237">
        <f t="shared" si="145"/>
        <v>3.08</v>
      </c>
      <c r="AT1566" s="238"/>
      <c r="AU1566" s="320"/>
      <c r="AV1566" s="346" t="s">
        <v>3876</v>
      </c>
      <c r="AW1566" s="357">
        <v>1.57</v>
      </c>
      <c r="AX1566" s="294"/>
      <c r="AY1566" s="294"/>
      <c r="AZ1566" s="294"/>
      <c r="BA1566" s="294"/>
      <c r="BB1566" s="294"/>
      <c r="BC1566" s="294"/>
      <c r="BD1566" s="294"/>
      <c r="BE1566" s="294"/>
      <c r="BF1566" s="383">
        <f t="shared" si="143"/>
        <v>1.57</v>
      </c>
      <c r="BG1566" s="383"/>
      <c r="BH1566" s="375"/>
      <c r="BI1566" s="376"/>
      <c r="BJ1566" s="409"/>
    </row>
    <row r="1567" spans="1:62" ht="15" customHeight="1" thickBot="1" x14ac:dyDescent="0.25">
      <c r="A1567" s="156">
        <v>1568</v>
      </c>
      <c r="B1567" s="247">
        <v>1</v>
      </c>
      <c r="C1567" s="148" t="s">
        <v>11</v>
      </c>
      <c r="D1567" s="253" t="s">
        <v>12</v>
      </c>
      <c r="E1567" s="148" t="s">
        <v>13</v>
      </c>
      <c r="F1567" s="148"/>
      <c r="G1567" s="148"/>
      <c r="H1567" s="148" t="s">
        <v>80</v>
      </c>
      <c r="I1567" s="161">
        <v>2013</v>
      </c>
      <c r="J1567" s="161" t="s">
        <v>3873</v>
      </c>
      <c r="K1567" s="161" t="s">
        <v>3874</v>
      </c>
      <c r="L1567" s="161" t="s">
        <v>19</v>
      </c>
      <c r="M1567" s="453" t="s">
        <v>4389</v>
      </c>
      <c r="N1567" s="186" t="s">
        <v>122</v>
      </c>
      <c r="O1567" s="186" t="s">
        <v>292</v>
      </c>
      <c r="P1567" s="186" t="s">
        <v>292</v>
      </c>
      <c r="Q1567" s="186" t="s">
        <v>292</v>
      </c>
      <c r="R1567" s="186" t="s">
        <v>292</v>
      </c>
      <c r="S1567" s="186" t="s">
        <v>292</v>
      </c>
      <c r="T1567" s="186" t="s">
        <v>292</v>
      </c>
      <c r="U1567" s="186" t="s">
        <v>292</v>
      </c>
      <c r="V1567" s="186" t="s">
        <v>292</v>
      </c>
      <c r="W1567" s="186" t="s">
        <v>292</v>
      </c>
      <c r="X1567" s="186" t="s">
        <v>292</v>
      </c>
      <c r="Y1567" s="186" t="s">
        <v>292</v>
      </c>
      <c r="Z1567" s="186"/>
      <c r="AA1567" s="186" t="s">
        <v>3875</v>
      </c>
      <c r="AB1567" s="186"/>
      <c r="AC1567" s="186"/>
      <c r="AD1567" s="268" t="s">
        <v>3593</v>
      </c>
      <c r="AE1567" s="268"/>
      <c r="AF1567" s="144">
        <f t="shared" si="138"/>
        <v>2.96</v>
      </c>
      <c r="AG1567" s="144" t="str">
        <f t="shared" si="144"/>
        <v/>
      </c>
      <c r="AH1567" s="146">
        <f t="shared" si="140"/>
        <v>1.27</v>
      </c>
      <c r="AI1567" s="146" t="str">
        <f t="shared" si="141"/>
        <v/>
      </c>
      <c r="AJ1567" s="309">
        <v>2.96</v>
      </c>
      <c r="AK1567" s="309"/>
      <c r="AL1567" s="309"/>
      <c r="AM1567" s="309"/>
      <c r="AN1567" s="309"/>
      <c r="AO1567" s="309"/>
      <c r="AP1567" s="309"/>
      <c r="AQ1567" s="309"/>
      <c r="AR1567" s="320"/>
      <c r="AS1567" s="237">
        <f t="shared" si="145"/>
        <v>2.96</v>
      </c>
      <c r="AT1567" s="238"/>
      <c r="AU1567" s="320"/>
      <c r="AV1567" s="346" t="s">
        <v>3876</v>
      </c>
      <c r="AW1567" s="357">
        <v>1.27</v>
      </c>
      <c r="AX1567" s="294"/>
      <c r="AY1567" s="294"/>
      <c r="AZ1567" s="294"/>
      <c r="BA1567" s="294"/>
      <c r="BB1567" s="294"/>
      <c r="BC1567" s="294"/>
      <c r="BD1567" s="294"/>
      <c r="BE1567" s="294"/>
      <c r="BF1567" s="383">
        <f t="shared" si="143"/>
        <v>1.27</v>
      </c>
      <c r="BG1567" s="383"/>
      <c r="BH1567" s="375"/>
      <c r="BI1567" s="376"/>
      <c r="BJ1567" s="409"/>
    </row>
    <row r="1568" spans="1:62" ht="15" customHeight="1" thickBot="1" x14ac:dyDescent="0.25">
      <c r="A1568" s="156">
        <v>1569</v>
      </c>
      <c r="B1568" s="247">
        <v>1</v>
      </c>
      <c r="C1568" s="148" t="s">
        <v>11</v>
      </c>
      <c r="D1568" s="253" t="s">
        <v>12</v>
      </c>
      <c r="E1568" s="148" t="s">
        <v>13</v>
      </c>
      <c r="F1568" s="148"/>
      <c r="G1568" s="148"/>
      <c r="H1568" s="148" t="s">
        <v>80</v>
      </c>
      <c r="I1568" s="161">
        <v>2013</v>
      </c>
      <c r="J1568" s="161" t="s">
        <v>3873</v>
      </c>
      <c r="K1568" s="161" t="s">
        <v>3874</v>
      </c>
      <c r="L1568" s="161" t="s">
        <v>19</v>
      </c>
      <c r="M1568" s="453" t="s">
        <v>4389</v>
      </c>
      <c r="N1568" s="186" t="s">
        <v>122</v>
      </c>
      <c r="O1568" s="186" t="s">
        <v>292</v>
      </c>
      <c r="P1568" s="186" t="s">
        <v>292</v>
      </c>
      <c r="Q1568" s="186" t="s">
        <v>292</v>
      </c>
      <c r="R1568" s="186" t="s">
        <v>292</v>
      </c>
      <c r="S1568" s="186" t="s">
        <v>292</v>
      </c>
      <c r="T1568" s="186" t="s">
        <v>292</v>
      </c>
      <c r="U1568" s="186" t="s">
        <v>292</v>
      </c>
      <c r="V1568" s="186" t="s">
        <v>292</v>
      </c>
      <c r="W1568" s="186" t="s">
        <v>292</v>
      </c>
      <c r="X1568" s="186" t="s">
        <v>292</v>
      </c>
      <c r="Y1568" s="186" t="s">
        <v>292</v>
      </c>
      <c r="Z1568" s="186"/>
      <c r="AA1568" s="186" t="s">
        <v>3875</v>
      </c>
      <c r="AB1568" s="186"/>
      <c r="AC1568" s="186"/>
      <c r="AD1568" s="268" t="s">
        <v>3593</v>
      </c>
      <c r="AE1568" s="268"/>
      <c r="AF1568" s="144">
        <f t="shared" si="138"/>
        <v>5.29</v>
      </c>
      <c r="AG1568" s="144" t="str">
        <f t="shared" si="144"/>
        <v/>
      </c>
      <c r="AH1568" s="146">
        <f t="shared" si="140"/>
        <v>1.66</v>
      </c>
      <c r="AI1568" s="146" t="str">
        <f t="shared" si="141"/>
        <v/>
      </c>
      <c r="AJ1568" s="309">
        <v>5.29</v>
      </c>
      <c r="AK1568" s="309"/>
      <c r="AL1568" s="309"/>
      <c r="AM1568" s="309"/>
      <c r="AN1568" s="309"/>
      <c r="AO1568" s="309"/>
      <c r="AP1568" s="309"/>
      <c r="AQ1568" s="309"/>
      <c r="AR1568" s="320"/>
      <c r="AS1568" s="237">
        <f t="shared" si="145"/>
        <v>5.29</v>
      </c>
      <c r="AT1568" s="238"/>
      <c r="AU1568" s="320"/>
      <c r="AV1568" s="346" t="s">
        <v>3876</v>
      </c>
      <c r="AW1568" s="357">
        <v>1.66</v>
      </c>
      <c r="AX1568" s="294"/>
      <c r="AY1568" s="294"/>
      <c r="AZ1568" s="294"/>
      <c r="BA1568" s="294"/>
      <c r="BB1568" s="294"/>
      <c r="BC1568" s="294"/>
      <c r="BD1568" s="294"/>
      <c r="BE1568" s="294"/>
      <c r="BF1568" s="383">
        <f t="shared" si="143"/>
        <v>1.66</v>
      </c>
      <c r="BG1568" s="383"/>
      <c r="BH1568" s="375"/>
      <c r="BI1568" s="376"/>
      <c r="BJ1568" s="409"/>
    </row>
    <row r="1569" spans="1:62" ht="15" customHeight="1" thickBot="1" x14ac:dyDescent="0.25">
      <c r="A1569" s="156">
        <v>1570</v>
      </c>
      <c r="B1569" s="247">
        <v>1</v>
      </c>
      <c r="C1569" s="148" t="s">
        <v>11</v>
      </c>
      <c r="D1569" s="253" t="s">
        <v>12</v>
      </c>
      <c r="E1569" s="148" t="s">
        <v>13</v>
      </c>
      <c r="F1569" s="148"/>
      <c r="G1569" s="148"/>
      <c r="H1569" s="148" t="s">
        <v>258</v>
      </c>
      <c r="I1569" s="161">
        <v>2013</v>
      </c>
      <c r="J1569" s="161" t="s">
        <v>3873</v>
      </c>
      <c r="K1569" s="161" t="s">
        <v>3874</v>
      </c>
      <c r="L1569" s="161" t="s">
        <v>19</v>
      </c>
      <c r="M1569" s="453" t="s">
        <v>4389</v>
      </c>
      <c r="N1569" s="186" t="s">
        <v>122</v>
      </c>
      <c r="O1569" s="186" t="s">
        <v>292</v>
      </c>
      <c r="P1569" s="186" t="s">
        <v>292</v>
      </c>
      <c r="Q1569" s="186" t="s">
        <v>292</v>
      </c>
      <c r="R1569" s="186" t="s">
        <v>292</v>
      </c>
      <c r="S1569" s="186" t="s">
        <v>292</v>
      </c>
      <c r="T1569" s="186" t="s">
        <v>292</v>
      </c>
      <c r="U1569" s="186" t="s">
        <v>292</v>
      </c>
      <c r="V1569" s="186" t="s">
        <v>292</v>
      </c>
      <c r="W1569" s="186" t="s">
        <v>292</v>
      </c>
      <c r="X1569" s="186" t="s">
        <v>292</v>
      </c>
      <c r="Y1569" s="186" t="s">
        <v>292</v>
      </c>
      <c r="Z1569" s="186"/>
      <c r="AA1569" s="186" t="s">
        <v>3875</v>
      </c>
      <c r="AB1569" s="186"/>
      <c r="AC1569" s="186"/>
      <c r="AD1569" s="268" t="s">
        <v>3593</v>
      </c>
      <c r="AE1569" s="268"/>
      <c r="AF1569" s="144">
        <f t="shared" si="138"/>
        <v>3.71</v>
      </c>
      <c r="AG1569" s="144" t="str">
        <f t="shared" si="144"/>
        <v/>
      </c>
      <c r="AH1569" s="146">
        <f t="shared" si="140"/>
        <v>1.32</v>
      </c>
      <c r="AI1569" s="146" t="str">
        <f t="shared" si="141"/>
        <v/>
      </c>
      <c r="AJ1569" s="309">
        <v>3.71</v>
      </c>
      <c r="AK1569" s="309"/>
      <c r="AL1569" s="309"/>
      <c r="AM1569" s="309"/>
      <c r="AN1569" s="309"/>
      <c r="AO1569" s="309"/>
      <c r="AP1569" s="309"/>
      <c r="AQ1569" s="309"/>
      <c r="AR1569" s="320"/>
      <c r="AS1569" s="237">
        <f t="shared" si="145"/>
        <v>3.71</v>
      </c>
      <c r="AT1569" s="238"/>
      <c r="AU1569" s="320"/>
      <c r="AV1569" s="346" t="s">
        <v>3876</v>
      </c>
      <c r="AW1569" s="357">
        <v>1.32</v>
      </c>
      <c r="AX1569" s="294"/>
      <c r="AY1569" s="294"/>
      <c r="AZ1569" s="294"/>
      <c r="BA1569" s="294"/>
      <c r="BB1569" s="294"/>
      <c r="BC1569" s="294"/>
      <c r="BD1569" s="294"/>
      <c r="BE1569" s="294"/>
      <c r="BF1569" s="383">
        <f t="shared" si="143"/>
        <v>1.32</v>
      </c>
      <c r="BG1569" s="383"/>
      <c r="BH1569" s="375"/>
      <c r="BI1569" s="376"/>
      <c r="BJ1569" s="409"/>
    </row>
    <row r="1570" spans="1:62" ht="15" customHeight="1" thickBot="1" x14ac:dyDescent="0.25">
      <c r="A1570" s="156">
        <v>1571</v>
      </c>
      <c r="B1570" s="247">
        <v>1</v>
      </c>
      <c r="C1570" s="148" t="s">
        <v>11</v>
      </c>
      <c r="D1570" s="253" t="s">
        <v>12</v>
      </c>
      <c r="E1570" s="148" t="s">
        <v>13</v>
      </c>
      <c r="F1570" s="253" t="s">
        <v>3877</v>
      </c>
      <c r="G1570" s="148"/>
      <c r="H1570" s="148" t="s">
        <v>258</v>
      </c>
      <c r="I1570" s="161">
        <v>2013</v>
      </c>
      <c r="J1570" s="161" t="s">
        <v>3873</v>
      </c>
      <c r="K1570" s="161" t="s">
        <v>3874</v>
      </c>
      <c r="L1570" s="161" t="s">
        <v>19</v>
      </c>
      <c r="M1570" s="453" t="s">
        <v>4389</v>
      </c>
      <c r="N1570" s="186" t="s">
        <v>122</v>
      </c>
      <c r="O1570" s="186" t="s">
        <v>292</v>
      </c>
      <c r="P1570" s="186" t="s">
        <v>292</v>
      </c>
      <c r="Q1570" s="186" t="s">
        <v>292</v>
      </c>
      <c r="R1570" s="186" t="s">
        <v>292</v>
      </c>
      <c r="S1570" s="186" t="s">
        <v>292</v>
      </c>
      <c r="T1570" s="186" t="s">
        <v>292</v>
      </c>
      <c r="U1570" s="186" t="s">
        <v>292</v>
      </c>
      <c r="V1570" s="186" t="s">
        <v>292</v>
      </c>
      <c r="W1570" s="186" t="s">
        <v>292</v>
      </c>
      <c r="X1570" s="186" t="s">
        <v>292</v>
      </c>
      <c r="Y1570" s="186" t="s">
        <v>292</v>
      </c>
      <c r="Z1570" s="186"/>
      <c r="AA1570" s="186" t="s">
        <v>3875</v>
      </c>
      <c r="AB1570" s="186"/>
      <c r="AC1570" s="186"/>
      <c r="AD1570" s="268" t="s">
        <v>3593</v>
      </c>
      <c r="AE1570" s="268"/>
      <c r="AF1570" s="144">
        <f t="shared" si="138"/>
        <v>0.92</v>
      </c>
      <c r="AG1570" s="144" t="str">
        <f t="shared" si="144"/>
        <v/>
      </c>
      <c r="AH1570" s="146">
        <f t="shared" si="140"/>
        <v>0.55000000000000004</v>
      </c>
      <c r="AI1570" s="146" t="str">
        <f t="shared" si="141"/>
        <v/>
      </c>
      <c r="AJ1570" s="309">
        <v>0.92</v>
      </c>
      <c r="AK1570" s="309"/>
      <c r="AL1570" s="309"/>
      <c r="AM1570" s="309"/>
      <c r="AN1570" s="309"/>
      <c r="AO1570" s="309"/>
      <c r="AP1570" s="309"/>
      <c r="AQ1570" s="309"/>
      <c r="AR1570" s="320"/>
      <c r="AS1570" s="237">
        <f t="shared" si="145"/>
        <v>0.92</v>
      </c>
      <c r="AT1570" s="238"/>
      <c r="AU1570" s="320"/>
      <c r="AV1570" s="346" t="s">
        <v>3876</v>
      </c>
      <c r="AW1570" s="357">
        <v>0.55000000000000004</v>
      </c>
      <c r="AX1570" s="294"/>
      <c r="AY1570" s="294"/>
      <c r="AZ1570" s="294"/>
      <c r="BA1570" s="294"/>
      <c r="BB1570" s="294"/>
      <c r="BC1570" s="294"/>
      <c r="BD1570" s="294"/>
      <c r="BE1570" s="294"/>
      <c r="BF1570" s="383">
        <f t="shared" si="143"/>
        <v>0.55000000000000004</v>
      </c>
      <c r="BG1570" s="383"/>
      <c r="BH1570" s="375"/>
      <c r="BI1570" s="376"/>
      <c r="BJ1570" s="409"/>
    </row>
    <row r="1571" spans="1:62" ht="15" customHeight="1" thickBot="1" x14ac:dyDescent="0.25">
      <c r="A1571" s="156">
        <v>1572</v>
      </c>
      <c r="B1571" s="247">
        <v>1</v>
      </c>
      <c r="C1571" s="148" t="s">
        <v>11</v>
      </c>
      <c r="D1571" s="253" t="s">
        <v>12</v>
      </c>
      <c r="E1571" s="148" t="s">
        <v>13</v>
      </c>
      <c r="F1571" s="253" t="s">
        <v>3878</v>
      </c>
      <c r="G1571" s="148"/>
      <c r="H1571" s="148" t="s">
        <v>87</v>
      </c>
      <c r="I1571" s="161">
        <v>2013</v>
      </c>
      <c r="J1571" s="161" t="s">
        <v>3873</v>
      </c>
      <c r="K1571" s="161" t="s">
        <v>3874</v>
      </c>
      <c r="L1571" s="161" t="s">
        <v>19</v>
      </c>
      <c r="M1571" s="453" t="s">
        <v>4389</v>
      </c>
      <c r="N1571" s="186" t="s">
        <v>122</v>
      </c>
      <c r="O1571" s="186" t="s">
        <v>292</v>
      </c>
      <c r="P1571" s="186" t="s">
        <v>292</v>
      </c>
      <c r="Q1571" s="186" t="s">
        <v>292</v>
      </c>
      <c r="R1571" s="186" t="s">
        <v>292</v>
      </c>
      <c r="S1571" s="186" t="s">
        <v>292</v>
      </c>
      <c r="T1571" s="186" t="s">
        <v>292</v>
      </c>
      <c r="U1571" s="186" t="s">
        <v>292</v>
      </c>
      <c r="V1571" s="186" t="s">
        <v>292</v>
      </c>
      <c r="W1571" s="186" t="s">
        <v>292</v>
      </c>
      <c r="X1571" s="186" t="s">
        <v>292</v>
      </c>
      <c r="Y1571" s="186" t="s">
        <v>292</v>
      </c>
      <c r="Z1571" s="186"/>
      <c r="AA1571" s="186" t="s">
        <v>3875</v>
      </c>
      <c r="AB1571" s="186"/>
      <c r="AC1571" s="186"/>
      <c r="AD1571" s="268" t="s">
        <v>3593</v>
      </c>
      <c r="AE1571" s="268"/>
      <c r="AF1571" s="144">
        <f t="shared" si="138"/>
        <v>4.09</v>
      </c>
      <c r="AG1571" s="144" t="str">
        <f t="shared" si="144"/>
        <v/>
      </c>
      <c r="AH1571" s="146">
        <f t="shared" si="140"/>
        <v>1.36</v>
      </c>
      <c r="AI1571" s="146" t="str">
        <f t="shared" si="141"/>
        <v/>
      </c>
      <c r="AJ1571" s="309">
        <v>4.09</v>
      </c>
      <c r="AK1571" s="309"/>
      <c r="AL1571" s="309"/>
      <c r="AM1571" s="309"/>
      <c r="AN1571" s="309"/>
      <c r="AO1571" s="309"/>
      <c r="AP1571" s="309"/>
      <c r="AQ1571" s="309"/>
      <c r="AR1571" s="320"/>
      <c r="AS1571" s="237">
        <f t="shared" si="145"/>
        <v>4.09</v>
      </c>
      <c r="AT1571" s="238"/>
      <c r="AU1571" s="320"/>
      <c r="AV1571" s="346" t="s">
        <v>3876</v>
      </c>
      <c r="AW1571" s="357">
        <v>1.36</v>
      </c>
      <c r="AX1571" s="294"/>
      <c r="AY1571" s="294"/>
      <c r="AZ1571" s="294"/>
      <c r="BA1571" s="294"/>
      <c r="BB1571" s="294"/>
      <c r="BC1571" s="294"/>
      <c r="BD1571" s="294"/>
      <c r="BE1571" s="294"/>
      <c r="BF1571" s="383">
        <f t="shared" si="143"/>
        <v>1.36</v>
      </c>
      <c r="BG1571" s="383"/>
      <c r="BH1571" s="375"/>
      <c r="BI1571" s="376"/>
      <c r="BJ1571" s="409"/>
    </row>
    <row r="1572" spans="1:62" ht="15" customHeight="1" thickBot="1" x14ac:dyDescent="0.25">
      <c r="A1572" s="156">
        <v>1573</v>
      </c>
      <c r="B1572" s="247">
        <v>1</v>
      </c>
      <c r="C1572" s="148" t="s">
        <v>11</v>
      </c>
      <c r="D1572" s="253" t="s">
        <v>12</v>
      </c>
      <c r="E1572" s="148" t="s">
        <v>13</v>
      </c>
      <c r="F1572" s="148" t="s">
        <v>3878</v>
      </c>
      <c r="G1572" s="148"/>
      <c r="H1572" s="148" t="s">
        <v>87</v>
      </c>
      <c r="I1572" s="161">
        <v>2013</v>
      </c>
      <c r="J1572" s="161" t="s">
        <v>3873</v>
      </c>
      <c r="K1572" s="161" t="s">
        <v>3874</v>
      </c>
      <c r="L1572" s="161" t="s">
        <v>19</v>
      </c>
      <c r="M1572" s="453" t="s">
        <v>4389</v>
      </c>
      <c r="N1572" s="186" t="s">
        <v>122</v>
      </c>
      <c r="O1572" s="186" t="s">
        <v>292</v>
      </c>
      <c r="P1572" s="186" t="s">
        <v>292</v>
      </c>
      <c r="Q1572" s="186" t="s">
        <v>292</v>
      </c>
      <c r="R1572" s="186" t="s">
        <v>292</v>
      </c>
      <c r="S1572" s="186" t="s">
        <v>292</v>
      </c>
      <c r="T1572" s="186" t="s">
        <v>292</v>
      </c>
      <c r="U1572" s="186" t="s">
        <v>292</v>
      </c>
      <c r="V1572" s="186" t="s">
        <v>292</v>
      </c>
      <c r="W1572" s="186" t="s">
        <v>292</v>
      </c>
      <c r="X1572" s="186" t="s">
        <v>292</v>
      </c>
      <c r="Y1572" s="186" t="s">
        <v>292</v>
      </c>
      <c r="Z1572" s="186"/>
      <c r="AA1572" s="186" t="s">
        <v>3875</v>
      </c>
      <c r="AB1572" s="186"/>
      <c r="AC1572" s="186"/>
      <c r="AD1572" s="268" t="s">
        <v>3593</v>
      </c>
      <c r="AE1572" s="268"/>
      <c r="AF1572" s="144">
        <f t="shared" si="138"/>
        <v>3.73</v>
      </c>
      <c r="AG1572" s="144" t="str">
        <f t="shared" si="144"/>
        <v/>
      </c>
      <c r="AH1572" s="146">
        <f t="shared" si="140"/>
        <v>1.91</v>
      </c>
      <c r="AI1572" s="146" t="str">
        <f t="shared" si="141"/>
        <v/>
      </c>
      <c r="AJ1572" s="309">
        <v>3.73</v>
      </c>
      <c r="AK1572" s="309"/>
      <c r="AL1572" s="309"/>
      <c r="AM1572" s="309"/>
      <c r="AN1572" s="309"/>
      <c r="AO1572" s="309"/>
      <c r="AP1572" s="309"/>
      <c r="AQ1572" s="309"/>
      <c r="AR1572" s="320"/>
      <c r="AS1572" s="237">
        <f t="shared" si="145"/>
        <v>3.73</v>
      </c>
      <c r="AT1572" s="238"/>
      <c r="AU1572" s="320"/>
      <c r="AV1572" s="346" t="s">
        <v>3876</v>
      </c>
      <c r="AW1572" s="357">
        <v>1.91</v>
      </c>
      <c r="AX1572" s="294"/>
      <c r="AY1572" s="294"/>
      <c r="AZ1572" s="294"/>
      <c r="BA1572" s="294"/>
      <c r="BB1572" s="294"/>
      <c r="BC1572" s="294"/>
      <c r="BD1572" s="294"/>
      <c r="BE1572" s="294"/>
      <c r="BF1572" s="383">
        <f t="shared" si="143"/>
        <v>1.91</v>
      </c>
      <c r="BG1572" s="383"/>
      <c r="BH1572" s="375"/>
      <c r="BI1572" s="376"/>
      <c r="BJ1572" s="409"/>
    </row>
    <row r="1573" spans="1:62" ht="15" customHeight="1" thickBot="1" x14ac:dyDescent="0.25">
      <c r="A1573" s="156">
        <v>1574</v>
      </c>
      <c r="B1573" s="247">
        <v>1</v>
      </c>
      <c r="C1573" s="148" t="s">
        <v>11</v>
      </c>
      <c r="D1573" s="253" t="s">
        <v>12</v>
      </c>
      <c r="E1573" s="148" t="s">
        <v>13</v>
      </c>
      <c r="F1573" s="148" t="s">
        <v>3878</v>
      </c>
      <c r="G1573" s="148"/>
      <c r="H1573" s="148" t="s">
        <v>87</v>
      </c>
      <c r="I1573" s="161">
        <v>2013</v>
      </c>
      <c r="J1573" s="161" t="s">
        <v>3873</v>
      </c>
      <c r="K1573" s="161" t="s">
        <v>3874</v>
      </c>
      <c r="L1573" s="161" t="s">
        <v>19</v>
      </c>
      <c r="M1573" s="453" t="s">
        <v>4389</v>
      </c>
      <c r="N1573" s="186" t="s">
        <v>122</v>
      </c>
      <c r="O1573" s="186" t="s">
        <v>292</v>
      </c>
      <c r="P1573" s="186" t="s">
        <v>292</v>
      </c>
      <c r="Q1573" s="186" t="s">
        <v>292</v>
      </c>
      <c r="R1573" s="186" t="s">
        <v>292</v>
      </c>
      <c r="S1573" s="186" t="s">
        <v>292</v>
      </c>
      <c r="T1573" s="186" t="s">
        <v>292</v>
      </c>
      <c r="U1573" s="186" t="s">
        <v>292</v>
      </c>
      <c r="V1573" s="186" t="s">
        <v>292</v>
      </c>
      <c r="W1573" s="186" t="s">
        <v>292</v>
      </c>
      <c r="X1573" s="186" t="s">
        <v>292</v>
      </c>
      <c r="Y1573" s="186" t="s">
        <v>292</v>
      </c>
      <c r="Z1573" s="186"/>
      <c r="AA1573" s="186" t="s">
        <v>3875</v>
      </c>
      <c r="AB1573" s="186"/>
      <c r="AC1573" s="186"/>
      <c r="AD1573" s="268" t="s">
        <v>3593</v>
      </c>
      <c r="AE1573" s="268"/>
      <c r="AF1573" s="144">
        <f t="shared" si="138"/>
        <v>4.12</v>
      </c>
      <c r="AG1573" s="144" t="str">
        <f t="shared" si="144"/>
        <v/>
      </c>
      <c r="AH1573" s="146">
        <f t="shared" si="140"/>
        <v>1.47</v>
      </c>
      <c r="AI1573" s="146" t="str">
        <f t="shared" si="141"/>
        <v/>
      </c>
      <c r="AJ1573" s="309">
        <v>4.12</v>
      </c>
      <c r="AK1573" s="309"/>
      <c r="AL1573" s="309"/>
      <c r="AM1573" s="309"/>
      <c r="AN1573" s="309"/>
      <c r="AO1573" s="309"/>
      <c r="AP1573" s="309"/>
      <c r="AQ1573" s="309"/>
      <c r="AR1573" s="320"/>
      <c r="AS1573" s="237">
        <f t="shared" si="145"/>
        <v>4.12</v>
      </c>
      <c r="AT1573" s="238"/>
      <c r="AU1573" s="320"/>
      <c r="AV1573" s="346" t="s">
        <v>3876</v>
      </c>
      <c r="AW1573" s="357">
        <v>1.47</v>
      </c>
      <c r="AX1573" s="294"/>
      <c r="AY1573" s="294"/>
      <c r="AZ1573" s="294"/>
      <c r="BA1573" s="294"/>
      <c r="BB1573" s="294"/>
      <c r="BC1573" s="294"/>
      <c r="BD1573" s="294"/>
      <c r="BE1573" s="294"/>
      <c r="BF1573" s="383">
        <f t="shared" si="143"/>
        <v>1.47</v>
      </c>
      <c r="BG1573" s="383"/>
      <c r="BH1573" s="375"/>
      <c r="BI1573" s="376"/>
      <c r="BJ1573" s="409"/>
    </row>
    <row r="1574" spans="1:62" ht="15" customHeight="1" thickBot="1" x14ac:dyDescent="0.25">
      <c r="A1574" s="156">
        <v>1575</v>
      </c>
      <c r="B1574" s="247">
        <v>1</v>
      </c>
      <c r="C1574" s="148" t="s">
        <v>11</v>
      </c>
      <c r="D1574" s="253" t="s">
        <v>12</v>
      </c>
      <c r="E1574" s="148" t="s">
        <v>13</v>
      </c>
      <c r="F1574" s="253" t="s">
        <v>3879</v>
      </c>
      <c r="G1574" s="148"/>
      <c r="H1574" s="148" t="s">
        <v>87</v>
      </c>
      <c r="I1574" s="161">
        <v>2013</v>
      </c>
      <c r="J1574" s="161" t="s">
        <v>3873</v>
      </c>
      <c r="K1574" s="161" t="s">
        <v>3874</v>
      </c>
      <c r="L1574" s="161" t="s">
        <v>19</v>
      </c>
      <c r="M1574" s="453" t="s">
        <v>4389</v>
      </c>
      <c r="N1574" s="186" t="s">
        <v>122</v>
      </c>
      <c r="O1574" s="186" t="s">
        <v>292</v>
      </c>
      <c r="P1574" s="186" t="s">
        <v>292</v>
      </c>
      <c r="Q1574" s="186" t="s">
        <v>292</v>
      </c>
      <c r="R1574" s="186" t="s">
        <v>292</v>
      </c>
      <c r="S1574" s="186" t="s">
        <v>292</v>
      </c>
      <c r="T1574" s="186" t="s">
        <v>292</v>
      </c>
      <c r="U1574" s="186" t="s">
        <v>292</v>
      </c>
      <c r="V1574" s="186" t="s">
        <v>292</v>
      </c>
      <c r="W1574" s="186" t="s">
        <v>292</v>
      </c>
      <c r="X1574" s="186" t="s">
        <v>292</v>
      </c>
      <c r="Y1574" s="186" t="s">
        <v>292</v>
      </c>
      <c r="Z1574" s="186"/>
      <c r="AA1574" s="186" t="s">
        <v>3875</v>
      </c>
      <c r="AB1574" s="186"/>
      <c r="AC1574" s="186"/>
      <c r="AD1574" s="268" t="s">
        <v>3593</v>
      </c>
      <c r="AE1574" s="268"/>
      <c r="AF1574" s="144">
        <f t="shared" si="138"/>
        <v>3.37</v>
      </c>
      <c r="AG1574" s="144" t="str">
        <f t="shared" si="144"/>
        <v/>
      </c>
      <c r="AH1574" s="146">
        <f t="shared" si="140"/>
        <v>1.18</v>
      </c>
      <c r="AI1574" s="146" t="str">
        <f t="shared" si="141"/>
        <v/>
      </c>
      <c r="AJ1574" s="309">
        <v>3.37</v>
      </c>
      <c r="AK1574" s="309"/>
      <c r="AL1574" s="309"/>
      <c r="AM1574" s="309"/>
      <c r="AN1574" s="309"/>
      <c r="AO1574" s="309"/>
      <c r="AP1574" s="309"/>
      <c r="AQ1574" s="309"/>
      <c r="AR1574" s="320"/>
      <c r="AS1574" s="237">
        <f t="shared" si="145"/>
        <v>3.37</v>
      </c>
      <c r="AT1574" s="238"/>
      <c r="AU1574" s="320"/>
      <c r="AV1574" s="346" t="s">
        <v>3876</v>
      </c>
      <c r="AW1574" s="357">
        <v>1.18</v>
      </c>
      <c r="AX1574" s="294"/>
      <c r="AY1574" s="294"/>
      <c r="AZ1574" s="294"/>
      <c r="BA1574" s="294"/>
      <c r="BB1574" s="294"/>
      <c r="BC1574" s="294"/>
      <c r="BD1574" s="294"/>
      <c r="BE1574" s="294"/>
      <c r="BF1574" s="383">
        <f t="shared" si="143"/>
        <v>1.18</v>
      </c>
      <c r="BG1574" s="383"/>
      <c r="BH1574" s="375"/>
      <c r="BI1574" s="376"/>
      <c r="BJ1574" s="409"/>
    </row>
    <row r="1575" spans="1:62" ht="15" customHeight="1" thickBot="1" x14ac:dyDescent="0.25">
      <c r="A1575" s="156">
        <v>1576</v>
      </c>
      <c r="B1575" s="197">
        <v>1</v>
      </c>
      <c r="C1575" s="151" t="s">
        <v>11</v>
      </c>
      <c r="D1575" s="253" t="s">
        <v>12</v>
      </c>
      <c r="E1575" s="151" t="s">
        <v>13</v>
      </c>
      <c r="F1575" s="239" t="s">
        <v>3879</v>
      </c>
      <c r="H1575" s="148" t="s">
        <v>87</v>
      </c>
      <c r="I1575" s="161">
        <v>2013</v>
      </c>
      <c r="J1575" s="161" t="s">
        <v>3873</v>
      </c>
      <c r="K1575" s="161" t="s">
        <v>3874</v>
      </c>
      <c r="L1575" s="161" t="s">
        <v>19</v>
      </c>
      <c r="M1575" s="453" t="s">
        <v>4389</v>
      </c>
      <c r="N1575" s="240" t="s">
        <v>122</v>
      </c>
      <c r="O1575" s="240" t="s">
        <v>292</v>
      </c>
      <c r="P1575" s="240" t="s">
        <v>292</v>
      </c>
      <c r="Q1575" s="240" t="s">
        <v>292</v>
      </c>
      <c r="R1575" s="240" t="s">
        <v>292</v>
      </c>
      <c r="S1575" s="240" t="s">
        <v>292</v>
      </c>
      <c r="T1575" s="240" t="s">
        <v>292</v>
      </c>
      <c r="U1575" s="240" t="s">
        <v>292</v>
      </c>
      <c r="V1575" s="240" t="s">
        <v>292</v>
      </c>
      <c r="W1575" s="240" t="s">
        <v>292</v>
      </c>
      <c r="X1575" s="240" t="s">
        <v>292</v>
      </c>
      <c r="Y1575" s="240" t="s">
        <v>292</v>
      </c>
      <c r="AA1575" s="186" t="s">
        <v>3875</v>
      </c>
      <c r="AD1575" s="268" t="s">
        <v>3593</v>
      </c>
      <c r="AF1575" s="144">
        <f t="shared" si="138"/>
        <v>2.4</v>
      </c>
      <c r="AG1575" s="144" t="str">
        <f t="shared" si="144"/>
        <v/>
      </c>
      <c r="AH1575" s="146">
        <f t="shared" si="140"/>
        <v>1.1100000000000001</v>
      </c>
      <c r="AI1575" s="146" t="str">
        <f t="shared" si="141"/>
        <v/>
      </c>
      <c r="AJ1575" s="418">
        <v>2.4</v>
      </c>
      <c r="AK1575" s="418"/>
      <c r="AL1575" s="418"/>
      <c r="AM1575" s="418"/>
      <c r="AN1575" s="418"/>
      <c r="AO1575" s="418"/>
      <c r="AP1575" s="418"/>
      <c r="AQ1575" s="418"/>
      <c r="AR1575" s="424"/>
      <c r="AS1575" s="237">
        <f t="shared" si="145"/>
        <v>2.4</v>
      </c>
      <c r="AT1575" s="238"/>
      <c r="AU1575" s="424"/>
      <c r="AV1575" s="346" t="s">
        <v>3876</v>
      </c>
      <c r="AW1575" s="440">
        <v>1.1100000000000001</v>
      </c>
      <c r="AX1575" s="438"/>
      <c r="AY1575" s="438"/>
      <c r="AZ1575" s="438"/>
      <c r="BA1575" s="438"/>
      <c r="BB1575" s="438"/>
      <c r="BC1575" s="438"/>
      <c r="BD1575" s="438"/>
      <c r="BE1575" s="438"/>
      <c r="BF1575" s="442">
        <f t="shared" si="143"/>
        <v>1.1100000000000001</v>
      </c>
      <c r="BG1575" s="442"/>
      <c r="BH1575" s="447"/>
      <c r="BI1575" s="449"/>
      <c r="BJ1575" s="414"/>
    </row>
    <row r="1576" spans="1:62" ht="15" customHeight="1" thickBot="1" x14ac:dyDescent="0.25">
      <c r="A1576" s="156">
        <v>1577</v>
      </c>
      <c r="B1576" s="197">
        <v>1</v>
      </c>
      <c r="C1576" s="239" t="s">
        <v>11</v>
      </c>
      <c r="D1576" s="239" t="s">
        <v>140</v>
      </c>
      <c r="E1576" s="239" t="s">
        <v>13</v>
      </c>
      <c r="F1576" s="239" t="s">
        <v>3880</v>
      </c>
      <c r="H1576" s="239" t="s">
        <v>1247</v>
      </c>
      <c r="I1576" s="165">
        <v>2013</v>
      </c>
      <c r="J1576" s="165" t="s">
        <v>3881</v>
      </c>
      <c r="K1576" s="257" t="s">
        <v>3882</v>
      </c>
      <c r="L1576" s="257" t="s">
        <v>19</v>
      </c>
      <c r="M1576" s="453" t="s">
        <v>4390</v>
      </c>
      <c r="N1576" s="240" t="s">
        <v>122</v>
      </c>
      <c r="O1576" s="240" t="s">
        <v>292</v>
      </c>
      <c r="P1576" s="240" t="s">
        <v>122</v>
      </c>
      <c r="Q1576" s="240" t="s">
        <v>122</v>
      </c>
      <c r="R1576" s="240" t="s">
        <v>122</v>
      </c>
      <c r="S1576" s="240" t="s">
        <v>122</v>
      </c>
      <c r="T1576" s="240" t="s">
        <v>122</v>
      </c>
      <c r="U1576" s="240" t="s">
        <v>122</v>
      </c>
      <c r="V1576" s="240" t="s">
        <v>122</v>
      </c>
      <c r="W1576" s="240" t="s">
        <v>292</v>
      </c>
      <c r="X1576" s="240" t="s">
        <v>122</v>
      </c>
      <c r="Y1576" s="241" t="s">
        <v>292</v>
      </c>
      <c r="Z1576" s="240" t="s">
        <v>3883</v>
      </c>
      <c r="AA1576" s="240" t="s">
        <v>3884</v>
      </c>
      <c r="AB1576" s="241" t="s">
        <v>122</v>
      </c>
      <c r="AD1576" s="246" t="s">
        <v>3885</v>
      </c>
      <c r="AF1576" s="144">
        <f t="shared" si="138"/>
        <v>3.1236359999999999</v>
      </c>
      <c r="AG1576" s="144">
        <f t="shared" si="144"/>
        <v>9.6909869999999998</v>
      </c>
      <c r="AH1576" s="146">
        <f t="shared" si="140"/>
        <v>0.60097</v>
      </c>
      <c r="AI1576" s="146">
        <f t="shared" si="141"/>
        <v>1.3679779999999999</v>
      </c>
      <c r="AJ1576" s="313">
        <v>3.1236359999999999</v>
      </c>
      <c r="AK1576" s="313">
        <v>0.80828900000000004</v>
      </c>
      <c r="AL1576" s="313">
        <v>5.7590620000000001</v>
      </c>
      <c r="AM1576" s="313">
        <v>4.7992179999999998</v>
      </c>
      <c r="AN1576" s="313"/>
      <c r="AO1576" s="313">
        <v>1.7353540000000001</v>
      </c>
      <c r="AP1576" s="313">
        <v>0.86767700000000003</v>
      </c>
      <c r="AQ1576" s="313">
        <v>8.6767999999999998E-2</v>
      </c>
      <c r="AR1576" s="322"/>
      <c r="AS1576" s="242">
        <f t="shared" si="145"/>
        <v>3.1236359999999999</v>
      </c>
      <c r="AT1576" s="242">
        <f>SUM(AJ1576:AQ1576)</f>
        <v>17.180004</v>
      </c>
      <c r="AW1576" s="276">
        <v>0.60097</v>
      </c>
      <c r="AX1576" s="276">
        <v>5.8043999999999998E-2</v>
      </c>
      <c r="AY1576" s="276">
        <v>0.70896400000000004</v>
      </c>
      <c r="AZ1576" s="276">
        <v>0.16583999999999999</v>
      </c>
      <c r="BA1576" s="276"/>
      <c r="BB1576" s="276">
        <v>0.134545</v>
      </c>
      <c r="BC1576" s="276">
        <v>8.0726999999999993E-2</v>
      </c>
      <c r="BD1576" s="276">
        <v>2.6908999999999999E-2</v>
      </c>
      <c r="BE1576" s="276"/>
      <c r="BF1576" s="389">
        <f t="shared" si="143"/>
        <v>0.60097</v>
      </c>
      <c r="BG1576" s="389">
        <f>SUM(AW1576:BD1576)</f>
        <v>1.7759989999999999</v>
      </c>
      <c r="BI1576" s="276"/>
      <c r="BJ1576" s="276"/>
    </row>
    <row r="1577" spans="1:62" ht="15" customHeight="1" thickBot="1" x14ac:dyDescent="0.25">
      <c r="A1577" s="156">
        <v>1578</v>
      </c>
      <c r="B1577" s="197">
        <v>1</v>
      </c>
      <c r="C1577" s="239" t="s">
        <v>11</v>
      </c>
      <c r="D1577" s="239" t="s">
        <v>12</v>
      </c>
      <c r="E1577" s="239" t="s">
        <v>13</v>
      </c>
      <c r="F1577" s="239" t="s">
        <v>3886</v>
      </c>
      <c r="H1577" s="239" t="s">
        <v>1247</v>
      </c>
      <c r="I1577" s="165">
        <v>2013</v>
      </c>
      <c r="J1577" s="165" t="s">
        <v>3881</v>
      </c>
      <c r="K1577" s="257" t="s">
        <v>3887</v>
      </c>
      <c r="L1577" s="257" t="s">
        <v>19</v>
      </c>
      <c r="M1577" s="453" t="s">
        <v>4391</v>
      </c>
      <c r="N1577" s="240" t="s">
        <v>122</v>
      </c>
      <c r="O1577" s="240" t="s">
        <v>292</v>
      </c>
      <c r="P1577" s="240" t="s">
        <v>122</v>
      </c>
      <c r="Q1577" s="240" t="s">
        <v>122</v>
      </c>
      <c r="R1577" s="240" t="s">
        <v>122</v>
      </c>
      <c r="S1577" s="240" t="s">
        <v>292</v>
      </c>
      <c r="T1577" s="240" t="s">
        <v>292</v>
      </c>
      <c r="U1577" s="240" t="s">
        <v>292</v>
      </c>
      <c r="V1577" s="240" t="s">
        <v>292</v>
      </c>
      <c r="W1577" s="240" t="s">
        <v>292</v>
      </c>
      <c r="X1577" s="240" t="s">
        <v>292</v>
      </c>
      <c r="Y1577" s="240" t="s">
        <v>292</v>
      </c>
      <c r="AA1577" s="241" t="s">
        <v>3888</v>
      </c>
      <c r="AD1577" s="246" t="s">
        <v>3636</v>
      </c>
      <c r="AF1577" s="144">
        <f t="shared" si="138"/>
        <v>5.0651999999999999</v>
      </c>
      <c r="AG1577" s="144">
        <f t="shared" si="144"/>
        <v>10.56295793</v>
      </c>
      <c r="AH1577" s="146">
        <f t="shared" si="140"/>
        <v>0.96256799999999998</v>
      </c>
      <c r="AI1577" s="146">
        <f t="shared" si="141"/>
        <v>1.734262</v>
      </c>
      <c r="AJ1577" s="313">
        <v>5.0651999999999999</v>
      </c>
      <c r="AK1577" s="313">
        <v>1.2905534999999999</v>
      </c>
      <c r="AL1577" s="313">
        <v>4.20720443</v>
      </c>
      <c r="AM1577" s="313">
        <v>1.49704207</v>
      </c>
      <c r="AN1577" s="313"/>
      <c r="AO1577" s="313"/>
      <c r="AP1577" s="313"/>
      <c r="AQ1577" s="313"/>
      <c r="AR1577" s="322"/>
      <c r="AS1577" s="242">
        <f t="shared" si="145"/>
        <v>5.0651999999999999</v>
      </c>
      <c r="AT1577" s="242">
        <f>SUM(AJ1577:AM1577)</f>
        <v>12.059999999999999</v>
      </c>
      <c r="AW1577" s="276">
        <v>0.96256799999999998</v>
      </c>
      <c r="AX1577" s="276">
        <v>9.1800000000000007E-2</v>
      </c>
      <c r="AY1577" s="276">
        <v>0.679894</v>
      </c>
      <c r="AZ1577" s="276">
        <v>5.738E-3</v>
      </c>
      <c r="BA1577" s="276"/>
      <c r="BB1577" s="276"/>
      <c r="BC1577" s="276"/>
      <c r="BD1577" s="276"/>
      <c r="BE1577" s="276"/>
      <c r="BF1577" s="389">
        <f t="shared" si="143"/>
        <v>0.96256799999999998</v>
      </c>
      <c r="BG1577" s="389">
        <f>SUM(AW1577:AZ1577)</f>
        <v>1.74</v>
      </c>
      <c r="BI1577" s="276"/>
      <c r="BJ1577" s="276"/>
    </row>
    <row r="1578" spans="1:62" ht="15" customHeight="1" thickBot="1" x14ac:dyDescent="0.25">
      <c r="A1578" s="156">
        <v>1579</v>
      </c>
      <c r="B1578" s="197">
        <v>1</v>
      </c>
      <c r="C1578" s="239" t="s">
        <v>11</v>
      </c>
      <c r="D1578" s="239" t="s">
        <v>426</v>
      </c>
      <c r="E1578" s="239" t="s">
        <v>13</v>
      </c>
      <c r="F1578" s="239" t="s">
        <v>3889</v>
      </c>
      <c r="H1578" s="239" t="s">
        <v>73</v>
      </c>
      <c r="I1578" s="165">
        <v>2013</v>
      </c>
      <c r="J1578" s="165" t="s">
        <v>3890</v>
      </c>
      <c r="K1578" s="257" t="s">
        <v>3891</v>
      </c>
      <c r="L1578" s="257" t="s">
        <v>19</v>
      </c>
      <c r="M1578" s="453" t="s">
        <v>4392</v>
      </c>
      <c r="N1578" s="240" t="s">
        <v>122</v>
      </c>
      <c r="O1578" s="240" t="s">
        <v>292</v>
      </c>
      <c r="P1578" s="240" t="s">
        <v>122</v>
      </c>
      <c r="Q1578" s="240" t="s">
        <v>122</v>
      </c>
      <c r="R1578" s="240" t="s">
        <v>122</v>
      </c>
      <c r="S1578" s="240" t="s">
        <v>292</v>
      </c>
      <c r="T1578" s="240" t="s">
        <v>292</v>
      </c>
      <c r="U1578" s="240" t="s">
        <v>292</v>
      </c>
      <c r="V1578" s="240" t="s">
        <v>292</v>
      </c>
      <c r="W1578" s="240" t="s">
        <v>292</v>
      </c>
      <c r="X1578" s="240" t="s">
        <v>292</v>
      </c>
      <c r="Y1578" s="240" t="s">
        <v>292</v>
      </c>
      <c r="Z1578" s="240" t="s">
        <v>3892</v>
      </c>
      <c r="AA1578" s="240" t="s">
        <v>3893</v>
      </c>
      <c r="AB1578" s="240" t="s">
        <v>122</v>
      </c>
      <c r="AD1578" s="246" t="s">
        <v>3894</v>
      </c>
      <c r="AF1578" s="144">
        <f t="shared" si="138"/>
        <v>45.29</v>
      </c>
      <c r="AG1578" s="144">
        <f t="shared" si="144"/>
        <v>67.600999999999999</v>
      </c>
      <c r="AH1578" s="146">
        <f t="shared" si="140"/>
        <v>8.52</v>
      </c>
      <c r="AI1578" s="146">
        <f t="shared" si="141"/>
        <v>10.026999999999999</v>
      </c>
      <c r="AJ1578" s="313">
        <v>45.29</v>
      </c>
      <c r="AK1578" s="313">
        <v>3.4860000000000002</v>
      </c>
      <c r="AL1578" s="313">
        <v>18.824999999999999</v>
      </c>
      <c r="AM1578" s="313">
        <v>1.569</v>
      </c>
      <c r="AN1578" s="313"/>
      <c r="AO1578" s="313"/>
      <c r="AP1578" s="313"/>
      <c r="AQ1578" s="313">
        <v>2.81</v>
      </c>
      <c r="AR1578" s="322"/>
      <c r="AS1578" s="242">
        <f t="shared" si="145"/>
        <v>45.29</v>
      </c>
      <c r="AT1578" s="242">
        <f>SUM(AJ1578:AR1578)</f>
        <v>71.98</v>
      </c>
      <c r="AW1578" s="276">
        <v>8.52</v>
      </c>
      <c r="AX1578" s="276">
        <v>0.23860000000000001</v>
      </c>
      <c r="AY1578" s="276">
        <v>1.2684</v>
      </c>
      <c r="AZ1578" s="276">
        <v>0.113</v>
      </c>
      <c r="BA1578" s="276"/>
      <c r="BB1578" s="276"/>
      <c r="BC1578" s="276"/>
      <c r="BD1578" s="276">
        <v>0.3</v>
      </c>
      <c r="BE1578" s="276"/>
      <c r="BF1578" s="389">
        <f t="shared" si="143"/>
        <v>8.52</v>
      </c>
      <c r="BG1578" s="389">
        <f>SUM(AW1578:BE1578)</f>
        <v>10.44</v>
      </c>
      <c r="BI1578" s="276"/>
      <c r="BJ1578" s="276"/>
    </row>
    <row r="1579" spans="1:62" ht="15" customHeight="1" thickBot="1" x14ac:dyDescent="0.25">
      <c r="A1579" s="156">
        <v>1580</v>
      </c>
      <c r="B1579" s="197">
        <v>1</v>
      </c>
      <c r="C1579" s="239" t="s">
        <v>236</v>
      </c>
      <c r="D1579" s="239" t="s">
        <v>1739</v>
      </c>
      <c r="E1579" s="239" t="s">
        <v>13</v>
      </c>
      <c r="F1579" s="239" t="s">
        <v>3895</v>
      </c>
      <c r="H1579" s="239" t="s">
        <v>351</v>
      </c>
      <c r="I1579" s="165">
        <v>2013</v>
      </c>
      <c r="J1579" s="165" t="s">
        <v>3896</v>
      </c>
      <c r="K1579" s="257" t="s">
        <v>3897</v>
      </c>
      <c r="L1579" s="257" t="s">
        <v>19</v>
      </c>
      <c r="M1579" s="453" t="s">
        <v>4393</v>
      </c>
      <c r="N1579" s="240" t="s">
        <v>122</v>
      </c>
      <c r="O1579" s="240" t="s">
        <v>292</v>
      </c>
      <c r="P1579" s="240" t="s">
        <v>292</v>
      </c>
      <c r="Q1579" s="240" t="s">
        <v>292</v>
      </c>
      <c r="R1579" s="240" t="s">
        <v>292</v>
      </c>
      <c r="S1579" s="240" t="s">
        <v>292</v>
      </c>
      <c r="T1579" s="240" t="s">
        <v>292</v>
      </c>
      <c r="U1579" s="240" t="s">
        <v>292</v>
      </c>
      <c r="V1579" s="240" t="s">
        <v>292</v>
      </c>
      <c r="W1579" s="240" t="s">
        <v>292</v>
      </c>
      <c r="X1579" s="240" t="s">
        <v>292</v>
      </c>
      <c r="Y1579" s="240" t="s">
        <v>292</v>
      </c>
      <c r="AA1579" s="241" t="s">
        <v>303</v>
      </c>
      <c r="AD1579" s="246" t="s">
        <v>3898</v>
      </c>
      <c r="AF1579" s="144" t="str">
        <f t="shared" si="138"/>
        <v/>
      </c>
      <c r="AG1579" s="144" t="str">
        <f t="shared" si="144"/>
        <v/>
      </c>
      <c r="AH1579" s="146">
        <f t="shared" si="140"/>
        <v>0.163882</v>
      </c>
      <c r="AI1579" s="146" t="str">
        <f t="shared" si="141"/>
        <v/>
      </c>
      <c r="AJ1579" s="313"/>
      <c r="AK1579" s="313"/>
      <c r="AL1579" s="313"/>
      <c r="AM1579" s="313"/>
      <c r="AN1579" s="313"/>
      <c r="AO1579" s="313"/>
      <c r="AP1579" s="313"/>
      <c r="AQ1579" s="313"/>
      <c r="AR1579" s="322"/>
      <c r="AS1579" s="242"/>
      <c r="AT1579" s="242"/>
      <c r="AW1579" s="276">
        <v>0.163882</v>
      </c>
      <c r="AX1579" s="276"/>
      <c r="AY1579" s="276"/>
      <c r="AZ1579" s="276"/>
      <c r="BA1579" s="276"/>
      <c r="BB1579" s="276"/>
      <c r="BC1579" s="276"/>
      <c r="BD1579" s="276"/>
      <c r="BE1579" s="276"/>
      <c r="BF1579" s="389">
        <f t="shared" si="143"/>
        <v>0.163882</v>
      </c>
      <c r="BG1579" s="389"/>
      <c r="BI1579" s="276"/>
      <c r="BJ1579" s="276"/>
    </row>
    <row r="1580" spans="1:62" ht="15" customHeight="1" thickBot="1" x14ac:dyDescent="0.25">
      <c r="A1580" s="156">
        <v>1581</v>
      </c>
      <c r="B1580" s="197">
        <v>1</v>
      </c>
      <c r="C1580" s="239" t="s">
        <v>236</v>
      </c>
      <c r="D1580" s="239" t="s">
        <v>1739</v>
      </c>
      <c r="E1580" s="239" t="s">
        <v>13</v>
      </c>
      <c r="F1580" s="239" t="s">
        <v>3899</v>
      </c>
      <c r="H1580" s="239" t="s">
        <v>87</v>
      </c>
      <c r="I1580" s="165">
        <v>2013</v>
      </c>
      <c r="J1580" s="165" t="s">
        <v>3896</v>
      </c>
      <c r="K1580" s="257" t="s">
        <v>3897</v>
      </c>
      <c r="L1580" s="257" t="s">
        <v>19</v>
      </c>
      <c r="M1580" s="453" t="s">
        <v>4393</v>
      </c>
      <c r="N1580" s="240" t="s">
        <v>122</v>
      </c>
      <c r="O1580" s="240" t="s">
        <v>292</v>
      </c>
      <c r="P1580" s="240" t="s">
        <v>292</v>
      </c>
      <c r="Q1580" s="240" t="s">
        <v>292</v>
      </c>
      <c r="R1580" s="240" t="s">
        <v>292</v>
      </c>
      <c r="S1580" s="240" t="s">
        <v>292</v>
      </c>
      <c r="T1580" s="240" t="s">
        <v>292</v>
      </c>
      <c r="U1580" s="240" t="s">
        <v>292</v>
      </c>
      <c r="V1580" s="240" t="s">
        <v>292</v>
      </c>
      <c r="W1580" s="240" t="s">
        <v>292</v>
      </c>
      <c r="X1580" s="240" t="s">
        <v>292</v>
      </c>
      <c r="Y1580" s="240" t="s">
        <v>292</v>
      </c>
      <c r="AA1580" s="241" t="s">
        <v>303</v>
      </c>
      <c r="AD1580" s="246" t="s">
        <v>3898</v>
      </c>
      <c r="AF1580" s="144" t="str">
        <f t="shared" si="138"/>
        <v/>
      </c>
      <c r="AG1580" s="144" t="str">
        <f t="shared" si="144"/>
        <v/>
      </c>
      <c r="AH1580" s="146">
        <f t="shared" si="140"/>
        <v>0.20388999999999999</v>
      </c>
      <c r="AI1580" s="146" t="str">
        <f t="shared" si="141"/>
        <v/>
      </c>
      <c r="AJ1580" s="313"/>
      <c r="AK1580" s="313"/>
      <c r="AL1580" s="313"/>
      <c r="AM1580" s="313"/>
      <c r="AN1580" s="313"/>
      <c r="AO1580" s="313"/>
      <c r="AP1580" s="313"/>
      <c r="AQ1580" s="313"/>
      <c r="AR1580" s="322"/>
      <c r="AS1580" s="242"/>
      <c r="AT1580" s="242"/>
      <c r="AW1580" s="276">
        <v>0.20388999999999999</v>
      </c>
      <c r="AX1580" s="276"/>
      <c r="AY1580" s="276"/>
      <c r="AZ1580" s="276"/>
      <c r="BA1580" s="276"/>
      <c r="BB1580" s="276"/>
      <c r="BC1580" s="276"/>
      <c r="BD1580" s="276"/>
      <c r="BE1580" s="276"/>
      <c r="BF1580" s="389">
        <f t="shared" si="143"/>
        <v>0.20388999999999999</v>
      </c>
      <c r="BG1580" s="389"/>
      <c r="BI1580" s="276"/>
      <c r="BJ1580" s="276"/>
    </row>
    <row r="1581" spans="1:62" ht="15" customHeight="1" thickBot="1" x14ac:dyDescent="0.25">
      <c r="A1581" s="156">
        <v>1582</v>
      </c>
      <c r="B1581" s="197">
        <v>1</v>
      </c>
      <c r="C1581" s="239" t="s">
        <v>236</v>
      </c>
      <c r="D1581" s="239" t="s">
        <v>1739</v>
      </c>
      <c r="E1581" s="239" t="s">
        <v>13</v>
      </c>
      <c r="F1581" s="239" t="s">
        <v>3900</v>
      </c>
      <c r="H1581" s="239" t="s">
        <v>87</v>
      </c>
      <c r="I1581" s="165">
        <v>2013</v>
      </c>
      <c r="J1581" s="165" t="s">
        <v>3896</v>
      </c>
      <c r="K1581" s="257" t="s">
        <v>3897</v>
      </c>
      <c r="L1581" s="257" t="s">
        <v>19</v>
      </c>
      <c r="M1581" s="453" t="s">
        <v>4393</v>
      </c>
      <c r="N1581" s="240" t="s">
        <v>122</v>
      </c>
      <c r="O1581" s="240" t="s">
        <v>292</v>
      </c>
      <c r="P1581" s="240" t="s">
        <v>292</v>
      </c>
      <c r="Q1581" s="240" t="s">
        <v>292</v>
      </c>
      <c r="R1581" s="240" t="s">
        <v>292</v>
      </c>
      <c r="S1581" s="240" t="s">
        <v>292</v>
      </c>
      <c r="T1581" s="240" t="s">
        <v>292</v>
      </c>
      <c r="U1581" s="240" t="s">
        <v>292</v>
      </c>
      <c r="V1581" s="240" t="s">
        <v>292</v>
      </c>
      <c r="W1581" s="240" t="s">
        <v>292</v>
      </c>
      <c r="X1581" s="240" t="s">
        <v>292</v>
      </c>
      <c r="Y1581" s="240" t="s">
        <v>292</v>
      </c>
      <c r="AA1581" s="241" t="s">
        <v>303</v>
      </c>
      <c r="AD1581" s="246" t="s">
        <v>3898</v>
      </c>
      <c r="AF1581" s="144" t="str">
        <f t="shared" ref="AF1581:AF1645" si="146">IF(AS1581&lt;&gt;0,AS1581,"")</f>
        <v/>
      </c>
      <c r="AG1581" s="144" t="str">
        <f t="shared" si="144"/>
        <v/>
      </c>
      <c r="AH1581" s="146">
        <f t="shared" si="140"/>
        <v>0.19287399999999999</v>
      </c>
      <c r="AI1581" s="146" t="str">
        <f t="shared" si="141"/>
        <v/>
      </c>
      <c r="AJ1581" s="313"/>
      <c r="AK1581" s="313"/>
      <c r="AL1581" s="313"/>
      <c r="AM1581" s="313"/>
      <c r="AN1581" s="313"/>
      <c r="AO1581" s="313"/>
      <c r="AP1581" s="313"/>
      <c r="AQ1581" s="313"/>
      <c r="AR1581" s="322"/>
      <c r="AS1581" s="242"/>
      <c r="AT1581" s="242"/>
      <c r="AW1581" s="276">
        <v>0.19287399999999999</v>
      </c>
      <c r="AX1581" s="276"/>
      <c r="AY1581" s="276"/>
      <c r="AZ1581" s="276"/>
      <c r="BA1581" s="276"/>
      <c r="BB1581" s="276"/>
      <c r="BC1581" s="276"/>
      <c r="BD1581" s="276"/>
      <c r="BE1581" s="276"/>
      <c r="BF1581" s="389">
        <f t="shared" si="143"/>
        <v>0.19287399999999999</v>
      </c>
      <c r="BG1581" s="389"/>
      <c r="BI1581" s="276"/>
      <c r="BJ1581" s="276"/>
    </row>
    <row r="1582" spans="1:62" ht="15" customHeight="1" thickBot="1" x14ac:dyDescent="0.25">
      <c r="A1582" s="156">
        <v>1583</v>
      </c>
      <c r="B1582" s="197">
        <v>1</v>
      </c>
      <c r="C1582" s="239" t="s">
        <v>236</v>
      </c>
      <c r="D1582" s="239" t="s">
        <v>1739</v>
      </c>
      <c r="E1582" s="239" t="s">
        <v>13</v>
      </c>
      <c r="F1582" s="239" t="s">
        <v>3901</v>
      </c>
      <c r="H1582" s="239" t="s">
        <v>87</v>
      </c>
      <c r="I1582" s="165">
        <v>2013</v>
      </c>
      <c r="J1582" s="165" t="s">
        <v>3896</v>
      </c>
      <c r="K1582" s="257" t="s">
        <v>3897</v>
      </c>
      <c r="L1582" s="257" t="s">
        <v>19</v>
      </c>
      <c r="M1582" s="453" t="s">
        <v>4393</v>
      </c>
      <c r="N1582" s="240" t="s">
        <v>122</v>
      </c>
      <c r="O1582" s="240" t="s">
        <v>292</v>
      </c>
      <c r="P1582" s="240" t="s">
        <v>292</v>
      </c>
      <c r="Q1582" s="240" t="s">
        <v>292</v>
      </c>
      <c r="R1582" s="240" t="s">
        <v>292</v>
      </c>
      <c r="S1582" s="240" t="s">
        <v>292</v>
      </c>
      <c r="T1582" s="240" t="s">
        <v>292</v>
      </c>
      <c r="U1582" s="240" t="s">
        <v>292</v>
      </c>
      <c r="V1582" s="240" t="s">
        <v>292</v>
      </c>
      <c r="W1582" s="240" t="s">
        <v>292</v>
      </c>
      <c r="X1582" s="240" t="s">
        <v>292</v>
      </c>
      <c r="Y1582" s="240" t="s">
        <v>292</v>
      </c>
      <c r="AA1582" s="241" t="s">
        <v>303</v>
      </c>
      <c r="AD1582" s="246" t="s">
        <v>3898</v>
      </c>
      <c r="AF1582" s="144" t="str">
        <f t="shared" si="146"/>
        <v/>
      </c>
      <c r="AG1582" s="144" t="str">
        <f t="shared" si="144"/>
        <v/>
      </c>
      <c r="AH1582" s="146">
        <f t="shared" si="140"/>
        <v>0.19654840000000001</v>
      </c>
      <c r="AI1582" s="146" t="str">
        <f t="shared" si="141"/>
        <v/>
      </c>
      <c r="AJ1582" s="313"/>
      <c r="AK1582" s="313"/>
      <c r="AL1582" s="313"/>
      <c r="AM1582" s="313"/>
      <c r="AN1582" s="313"/>
      <c r="AO1582" s="313"/>
      <c r="AP1582" s="313"/>
      <c r="AQ1582" s="313"/>
      <c r="AR1582" s="322"/>
      <c r="AS1582" s="242"/>
      <c r="AT1582" s="242"/>
      <c r="AW1582" s="276">
        <v>0.19654840000000001</v>
      </c>
      <c r="AX1582" s="276"/>
      <c r="AY1582" s="276"/>
      <c r="AZ1582" s="276"/>
      <c r="BA1582" s="276"/>
      <c r="BB1582" s="276"/>
      <c r="BC1582" s="276"/>
      <c r="BD1582" s="276"/>
      <c r="BE1582" s="276"/>
      <c r="BF1582" s="389">
        <f t="shared" si="143"/>
        <v>0.19654840000000001</v>
      </c>
      <c r="BG1582" s="389"/>
      <c r="BI1582" s="276"/>
      <c r="BJ1582" s="276"/>
    </row>
    <row r="1583" spans="1:62" ht="15" customHeight="1" thickBot="1" x14ac:dyDescent="0.25">
      <c r="A1583" s="156">
        <v>1584</v>
      </c>
      <c r="B1583" s="197">
        <v>1</v>
      </c>
      <c r="C1583" s="151" t="s">
        <v>236</v>
      </c>
      <c r="D1583" s="151" t="s">
        <v>3902</v>
      </c>
      <c r="E1583" s="151" t="s">
        <v>13</v>
      </c>
      <c r="F1583" s="151" t="s">
        <v>3903</v>
      </c>
      <c r="H1583" s="151" t="s">
        <v>375</v>
      </c>
      <c r="I1583" s="165">
        <v>2013</v>
      </c>
      <c r="J1583" s="165" t="s">
        <v>3904</v>
      </c>
      <c r="K1583" s="165" t="s">
        <v>3905</v>
      </c>
      <c r="L1583" s="165" t="s">
        <v>19</v>
      </c>
      <c r="M1583" s="453" t="s">
        <v>4394</v>
      </c>
      <c r="N1583" s="241" t="s">
        <v>122</v>
      </c>
      <c r="O1583" s="241" t="s">
        <v>292</v>
      </c>
      <c r="P1583" s="241" t="s">
        <v>292</v>
      </c>
      <c r="Q1583" s="241" t="s">
        <v>292</v>
      </c>
      <c r="R1583" s="241" t="s">
        <v>292</v>
      </c>
      <c r="S1583" s="241" t="s">
        <v>122</v>
      </c>
      <c r="T1583" s="241" t="s">
        <v>292</v>
      </c>
      <c r="U1583" s="241" t="s">
        <v>292</v>
      </c>
      <c r="V1583" s="241" t="s">
        <v>292</v>
      </c>
      <c r="W1583" s="241" t="s">
        <v>292</v>
      </c>
      <c r="X1583" s="241" t="s">
        <v>292</v>
      </c>
      <c r="Y1583" s="241" t="s">
        <v>292</v>
      </c>
      <c r="AA1583" s="241" t="s">
        <v>3906</v>
      </c>
      <c r="AD1583" s="245" t="s">
        <v>3907</v>
      </c>
      <c r="AF1583" s="144" t="str">
        <f t="shared" si="146"/>
        <v/>
      </c>
      <c r="AG1583" s="144" t="str">
        <f t="shared" si="144"/>
        <v/>
      </c>
      <c r="AH1583" s="146">
        <f t="shared" si="140"/>
        <v>0.64634482758620693</v>
      </c>
      <c r="AI1583" s="146" t="str">
        <f t="shared" si="141"/>
        <v/>
      </c>
      <c r="AJ1583" s="313"/>
      <c r="AK1583" s="313"/>
      <c r="AL1583" s="313"/>
      <c r="AM1583" s="313"/>
      <c r="AN1583" s="313"/>
      <c r="AO1583" s="313"/>
      <c r="AP1583" s="313"/>
      <c r="AQ1583" s="313"/>
      <c r="AR1583" s="322"/>
      <c r="AS1583" s="242"/>
      <c r="AT1583" s="242"/>
      <c r="AW1583" s="276">
        <f>(396/435)*710/1000</f>
        <v>0.64634482758620693</v>
      </c>
      <c r="AX1583" s="276"/>
      <c r="AY1583" s="276"/>
      <c r="AZ1583" s="276"/>
      <c r="BA1583" s="276">
        <f>(39/435)*710/1000</f>
        <v>6.3655172413793107E-2</v>
      </c>
      <c r="BB1583" s="276"/>
      <c r="BC1583" s="276"/>
      <c r="BD1583" s="276"/>
      <c r="BE1583" s="276"/>
      <c r="BF1583" s="389">
        <f t="shared" si="143"/>
        <v>0.64634482758620693</v>
      </c>
      <c r="BG1583" s="389">
        <f>SUM(AW1583:BA1583)</f>
        <v>0.71000000000000008</v>
      </c>
      <c r="BI1583" s="276"/>
      <c r="BJ1583" s="276"/>
    </row>
    <row r="1584" spans="1:62" ht="15" customHeight="1" thickBot="1" x14ac:dyDescent="0.25">
      <c r="A1584" s="156">
        <v>1585</v>
      </c>
      <c r="B1584" s="197">
        <v>1</v>
      </c>
      <c r="C1584" s="151" t="s">
        <v>11</v>
      </c>
      <c r="D1584" s="151" t="s">
        <v>12</v>
      </c>
      <c r="E1584" s="151" t="s">
        <v>13</v>
      </c>
      <c r="F1584" s="151" t="s">
        <v>3908</v>
      </c>
      <c r="H1584" s="151" t="s">
        <v>1064</v>
      </c>
      <c r="I1584" s="165">
        <v>2013</v>
      </c>
      <c r="J1584" s="165" t="s">
        <v>3909</v>
      </c>
      <c r="K1584" s="165" t="s">
        <v>3910</v>
      </c>
      <c r="L1584" s="165" t="s">
        <v>19</v>
      </c>
      <c r="M1584" s="453" t="s">
        <v>4395</v>
      </c>
      <c r="N1584" s="241" t="s">
        <v>122</v>
      </c>
      <c r="O1584" s="241" t="s">
        <v>292</v>
      </c>
      <c r="P1584" s="241" t="s">
        <v>292</v>
      </c>
      <c r="Q1584" s="241" t="s">
        <v>292</v>
      </c>
      <c r="R1584" s="241" t="s">
        <v>292</v>
      </c>
      <c r="S1584" s="241" t="s">
        <v>292</v>
      </c>
      <c r="T1584" s="241" t="s">
        <v>292</v>
      </c>
      <c r="U1584" s="241" t="s">
        <v>292</v>
      </c>
      <c r="V1584" s="241" t="s">
        <v>292</v>
      </c>
      <c r="W1584" s="241" t="s">
        <v>292</v>
      </c>
      <c r="X1584" s="241" t="s">
        <v>292</v>
      </c>
      <c r="Y1584" s="241" t="s">
        <v>292</v>
      </c>
      <c r="AA1584" s="241" t="s">
        <v>303</v>
      </c>
      <c r="AD1584" s="245" t="s">
        <v>252</v>
      </c>
      <c r="AF1584" s="144" t="str">
        <f t="shared" si="146"/>
        <v/>
      </c>
      <c r="AG1584" s="144" t="str">
        <f t="shared" si="144"/>
        <v/>
      </c>
      <c r="AH1584" s="146">
        <f t="shared" si="140"/>
        <v>1.02</v>
      </c>
      <c r="AI1584" s="146" t="str">
        <f t="shared" si="141"/>
        <v/>
      </c>
      <c r="AJ1584" s="313"/>
      <c r="AK1584" s="313"/>
      <c r="AL1584" s="313"/>
      <c r="AM1584" s="313"/>
      <c r="AN1584" s="313"/>
      <c r="AO1584" s="313"/>
      <c r="AP1584" s="313"/>
      <c r="AQ1584" s="313"/>
      <c r="AR1584" s="322"/>
      <c r="AS1584" s="242"/>
      <c r="AT1584" s="242"/>
      <c r="AW1584" s="276">
        <v>1.02</v>
      </c>
      <c r="AX1584" s="276"/>
      <c r="AY1584" s="276"/>
      <c r="AZ1584" s="276"/>
      <c r="BA1584" s="276"/>
      <c r="BB1584" s="276"/>
      <c r="BC1584" s="276"/>
      <c r="BD1584" s="276"/>
      <c r="BE1584" s="276"/>
      <c r="BF1584" s="389">
        <f t="shared" ref="BF1584:BF1608" si="147">AW1584</f>
        <v>1.02</v>
      </c>
      <c r="BG1584" s="389"/>
      <c r="BI1584" s="276"/>
      <c r="BJ1584" s="276"/>
    </row>
    <row r="1585" spans="1:62" ht="15" customHeight="1" thickBot="1" x14ac:dyDescent="0.25">
      <c r="A1585" s="156">
        <v>1586</v>
      </c>
      <c r="B1585" s="197">
        <v>1</v>
      </c>
      <c r="C1585" s="151" t="s">
        <v>24</v>
      </c>
      <c r="D1585" s="151" t="s">
        <v>53</v>
      </c>
      <c r="E1585" s="151" t="s">
        <v>13</v>
      </c>
      <c r="F1585" s="151" t="s">
        <v>3911</v>
      </c>
      <c r="H1585" s="151" t="s">
        <v>1064</v>
      </c>
      <c r="I1585" s="165">
        <v>2013</v>
      </c>
      <c r="J1585" s="165" t="s">
        <v>3909</v>
      </c>
      <c r="K1585" s="165" t="s">
        <v>3910</v>
      </c>
      <c r="L1585" s="165" t="s">
        <v>19</v>
      </c>
      <c r="M1585" s="453" t="s">
        <v>4395</v>
      </c>
      <c r="N1585" s="241" t="s">
        <v>122</v>
      </c>
      <c r="O1585" s="241" t="s">
        <v>292</v>
      </c>
      <c r="P1585" s="241" t="s">
        <v>292</v>
      </c>
      <c r="Q1585" s="241" t="s">
        <v>292</v>
      </c>
      <c r="R1585" s="241" t="s">
        <v>292</v>
      </c>
      <c r="S1585" s="241" t="s">
        <v>292</v>
      </c>
      <c r="T1585" s="241" t="s">
        <v>292</v>
      </c>
      <c r="U1585" s="241" t="s">
        <v>292</v>
      </c>
      <c r="V1585" s="241" t="s">
        <v>292</v>
      </c>
      <c r="W1585" s="241" t="s">
        <v>292</v>
      </c>
      <c r="X1585" s="241" t="s">
        <v>292</v>
      </c>
      <c r="Y1585" s="241" t="s">
        <v>292</v>
      </c>
      <c r="AA1585" s="241" t="s">
        <v>303</v>
      </c>
      <c r="AD1585" s="245" t="s">
        <v>581</v>
      </c>
      <c r="AE1585" s="245" t="s">
        <v>3641</v>
      </c>
      <c r="AF1585" s="144" t="str">
        <f t="shared" si="146"/>
        <v/>
      </c>
      <c r="AG1585" s="144" t="str">
        <f t="shared" si="144"/>
        <v/>
      </c>
      <c r="AH1585" s="146">
        <f t="shared" si="140"/>
        <v>32.488755622188904</v>
      </c>
      <c r="AI1585" s="146" t="str">
        <f t="shared" si="141"/>
        <v/>
      </c>
      <c r="AJ1585" s="313"/>
      <c r="AK1585" s="313"/>
      <c r="AL1585" s="313"/>
      <c r="AM1585" s="313"/>
      <c r="AN1585" s="313"/>
      <c r="AO1585" s="313"/>
      <c r="AP1585" s="313"/>
      <c r="AQ1585" s="313"/>
      <c r="AR1585" s="322"/>
      <c r="AS1585" s="242"/>
      <c r="AT1585" s="242"/>
      <c r="AW1585" s="276">
        <f>21.67/0.667</f>
        <v>32.488755622188904</v>
      </c>
      <c r="AX1585" s="276"/>
      <c r="AY1585" s="276"/>
      <c r="AZ1585" s="276"/>
      <c r="BA1585" s="276"/>
      <c r="BB1585" s="276"/>
      <c r="BC1585" s="276"/>
      <c r="BD1585" s="276"/>
      <c r="BE1585" s="276"/>
      <c r="BF1585" s="389">
        <f t="shared" si="147"/>
        <v>32.488755622188904</v>
      </c>
      <c r="BG1585" s="389"/>
      <c r="BI1585" s="276"/>
      <c r="BJ1585" s="276"/>
    </row>
    <row r="1586" spans="1:62" ht="15" customHeight="1" thickBot="1" x14ac:dyDescent="0.25">
      <c r="A1586" s="156">
        <v>1587</v>
      </c>
      <c r="B1586" s="197">
        <v>1</v>
      </c>
      <c r="C1586" s="151" t="s">
        <v>24</v>
      </c>
      <c r="D1586" s="151" t="s">
        <v>53</v>
      </c>
      <c r="E1586" s="151" t="s">
        <v>13</v>
      </c>
      <c r="F1586" s="151" t="s">
        <v>3912</v>
      </c>
      <c r="H1586" s="151" t="s">
        <v>1064</v>
      </c>
      <c r="I1586" s="165">
        <v>2013</v>
      </c>
      <c r="J1586" s="165" t="s">
        <v>3909</v>
      </c>
      <c r="K1586" s="165" t="s">
        <v>3910</v>
      </c>
      <c r="L1586" s="165" t="s">
        <v>19</v>
      </c>
      <c r="M1586" s="453" t="s">
        <v>4395</v>
      </c>
      <c r="N1586" s="241" t="s">
        <v>122</v>
      </c>
      <c r="O1586" s="241" t="s">
        <v>292</v>
      </c>
      <c r="P1586" s="241" t="s">
        <v>292</v>
      </c>
      <c r="Q1586" s="241" t="s">
        <v>292</v>
      </c>
      <c r="R1586" s="241" t="s">
        <v>292</v>
      </c>
      <c r="S1586" s="241" t="s">
        <v>292</v>
      </c>
      <c r="T1586" s="241" t="s">
        <v>292</v>
      </c>
      <c r="U1586" s="241" t="s">
        <v>292</v>
      </c>
      <c r="V1586" s="241" t="s">
        <v>292</v>
      </c>
      <c r="W1586" s="241" t="s">
        <v>292</v>
      </c>
      <c r="X1586" s="241" t="s">
        <v>292</v>
      </c>
      <c r="Y1586" s="241" t="s">
        <v>292</v>
      </c>
      <c r="AA1586" s="241" t="s">
        <v>303</v>
      </c>
      <c r="AD1586" s="245" t="s">
        <v>581</v>
      </c>
      <c r="AE1586" s="245" t="s">
        <v>3641</v>
      </c>
      <c r="AF1586" s="144" t="str">
        <f t="shared" si="146"/>
        <v/>
      </c>
      <c r="AG1586" s="144" t="str">
        <f t="shared" si="144"/>
        <v/>
      </c>
      <c r="AH1586" s="146">
        <f t="shared" si="140"/>
        <v>25.862068965517238</v>
      </c>
      <c r="AI1586" s="146" t="str">
        <f t="shared" si="141"/>
        <v/>
      </c>
      <c r="AJ1586" s="313"/>
      <c r="AK1586" s="313"/>
      <c r="AL1586" s="313"/>
      <c r="AM1586" s="313"/>
      <c r="AN1586" s="313"/>
      <c r="AO1586" s="313"/>
      <c r="AP1586" s="313"/>
      <c r="AQ1586" s="313"/>
      <c r="AR1586" s="322"/>
      <c r="AS1586" s="242"/>
      <c r="AT1586" s="242"/>
      <c r="AW1586" s="276">
        <f>17.25/0.667</f>
        <v>25.862068965517238</v>
      </c>
      <c r="AX1586" s="276"/>
      <c r="AY1586" s="276"/>
      <c r="AZ1586" s="276"/>
      <c r="BA1586" s="276"/>
      <c r="BB1586" s="276"/>
      <c r="BC1586" s="276"/>
      <c r="BD1586" s="276"/>
      <c r="BE1586" s="276"/>
      <c r="BF1586" s="389">
        <f t="shared" si="147"/>
        <v>25.862068965517238</v>
      </c>
      <c r="BG1586" s="389"/>
      <c r="BI1586" s="276"/>
      <c r="BJ1586" s="276"/>
    </row>
    <row r="1587" spans="1:62" ht="15" customHeight="1" thickBot="1" x14ac:dyDescent="0.25">
      <c r="A1587" s="156">
        <v>1588</v>
      </c>
      <c r="B1587" s="197">
        <v>1</v>
      </c>
      <c r="C1587" s="151" t="s">
        <v>24</v>
      </c>
      <c r="D1587" s="151" t="s">
        <v>2448</v>
      </c>
      <c r="E1587" s="151" t="s">
        <v>13</v>
      </c>
      <c r="F1587" s="151" t="s">
        <v>3913</v>
      </c>
      <c r="H1587" s="151" t="s">
        <v>55</v>
      </c>
      <c r="I1587" s="165">
        <v>2012</v>
      </c>
      <c r="J1587" s="165" t="s">
        <v>3914</v>
      </c>
      <c r="K1587" s="165" t="s">
        <v>3915</v>
      </c>
      <c r="L1587" s="165" t="s">
        <v>3916</v>
      </c>
      <c r="M1587" s="453" t="s">
        <v>4396</v>
      </c>
      <c r="N1587" s="241" t="s">
        <v>122</v>
      </c>
      <c r="O1587" s="241" t="s">
        <v>292</v>
      </c>
      <c r="P1587" s="241" t="s">
        <v>292</v>
      </c>
      <c r="Q1587" s="241" t="s">
        <v>122</v>
      </c>
      <c r="R1587" s="241" t="s">
        <v>292</v>
      </c>
      <c r="S1587" s="241" t="s">
        <v>292</v>
      </c>
      <c r="T1587" s="241" t="s">
        <v>292</v>
      </c>
      <c r="U1587" s="241" t="s">
        <v>292</v>
      </c>
      <c r="V1587" s="241" t="s">
        <v>292</v>
      </c>
      <c r="W1587" s="241" t="s">
        <v>292</v>
      </c>
      <c r="X1587" s="241" t="s">
        <v>292</v>
      </c>
      <c r="Y1587" s="241" t="s">
        <v>292</v>
      </c>
      <c r="AA1587" s="241" t="s">
        <v>1439</v>
      </c>
      <c r="AD1587" s="245" t="s">
        <v>581</v>
      </c>
      <c r="AE1587" s="245" t="s">
        <v>3917</v>
      </c>
      <c r="AF1587" s="144">
        <f t="shared" si="146"/>
        <v>20.38961038961039</v>
      </c>
      <c r="AG1587" s="144">
        <f t="shared" si="144"/>
        <v>26.233766233766232</v>
      </c>
      <c r="AH1587" s="146">
        <f t="shared" si="140"/>
        <v>2.5494363636363637</v>
      </c>
      <c r="AI1587" s="146">
        <f t="shared" si="141"/>
        <v>3.0909090909090908</v>
      </c>
      <c r="AJ1587" s="313">
        <f>15.7/0.77</f>
        <v>20.38961038961039</v>
      </c>
      <c r="AK1587" s="313"/>
      <c r="AL1587" s="313">
        <f>4.5/0.77</f>
        <v>5.8441558441558437</v>
      </c>
      <c r="AM1587" s="313"/>
      <c r="AN1587" s="313"/>
      <c r="AO1587" s="313"/>
      <c r="AP1587" s="313"/>
      <c r="AQ1587" s="313"/>
      <c r="AR1587" s="322"/>
      <c r="AS1587" s="242">
        <f t="shared" ref="AS1587:AS1596" si="148">AJ1587</f>
        <v>20.38961038961039</v>
      </c>
      <c r="AT1587" s="242">
        <f>SUM(AJ1587:AL1587)</f>
        <v>26.233766233766232</v>
      </c>
      <c r="AW1587" s="276">
        <f>1.963066/0.77</f>
        <v>2.5494363636363637</v>
      </c>
      <c r="AX1587" s="276"/>
      <c r="AY1587" s="276">
        <f>0.416934/0.77</f>
        <v>0.54147272727272733</v>
      </c>
      <c r="AZ1587" s="276"/>
      <c r="BA1587" s="276"/>
      <c r="BB1587" s="276"/>
      <c r="BC1587" s="276"/>
      <c r="BD1587" s="276"/>
      <c r="BE1587" s="276"/>
      <c r="BF1587" s="389">
        <f t="shared" si="147"/>
        <v>2.5494363636363637</v>
      </c>
      <c r="BG1587" s="389">
        <f>SUM(AW1587:AY1587)</f>
        <v>3.0909090909090908</v>
      </c>
      <c r="BI1587" s="276"/>
      <c r="BJ1587" s="276"/>
    </row>
    <row r="1588" spans="1:62" ht="15" customHeight="1" thickBot="1" x14ac:dyDescent="0.25">
      <c r="A1588" s="156">
        <v>1589</v>
      </c>
      <c r="B1588" s="197">
        <v>1</v>
      </c>
      <c r="C1588" s="151" t="s">
        <v>24</v>
      </c>
      <c r="D1588" s="151" t="s">
        <v>2448</v>
      </c>
      <c r="E1588" s="151" t="s">
        <v>13</v>
      </c>
      <c r="F1588" s="151" t="s">
        <v>3918</v>
      </c>
      <c r="H1588" s="151" t="s">
        <v>55</v>
      </c>
      <c r="I1588" s="165">
        <v>2012</v>
      </c>
      <c r="J1588" s="165" t="s">
        <v>3914</v>
      </c>
      <c r="K1588" s="165" t="s">
        <v>3915</v>
      </c>
      <c r="L1588" s="165" t="s">
        <v>3916</v>
      </c>
      <c r="M1588" s="453" t="s">
        <v>4396</v>
      </c>
      <c r="N1588" s="241" t="s">
        <v>122</v>
      </c>
      <c r="O1588" s="241" t="s">
        <v>292</v>
      </c>
      <c r="P1588" s="241" t="s">
        <v>292</v>
      </c>
      <c r="Q1588" s="241" t="s">
        <v>122</v>
      </c>
      <c r="R1588" s="241" t="s">
        <v>292</v>
      </c>
      <c r="S1588" s="241" t="s">
        <v>292</v>
      </c>
      <c r="T1588" s="241" t="s">
        <v>292</v>
      </c>
      <c r="U1588" s="241" t="s">
        <v>292</v>
      </c>
      <c r="V1588" s="241" t="s">
        <v>292</v>
      </c>
      <c r="W1588" s="241" t="s">
        <v>292</v>
      </c>
      <c r="X1588" s="241" t="s">
        <v>292</v>
      </c>
      <c r="Y1588" s="241" t="s">
        <v>292</v>
      </c>
      <c r="AA1588" s="241" t="s">
        <v>1439</v>
      </c>
      <c r="AD1588" s="245" t="s">
        <v>581</v>
      </c>
      <c r="AE1588" s="245" t="s">
        <v>3917</v>
      </c>
      <c r="AF1588" s="144">
        <f t="shared" si="146"/>
        <v>14.285714285714285</v>
      </c>
      <c r="AG1588" s="144">
        <f t="shared" si="144"/>
        <v>18.831168831168831</v>
      </c>
      <c r="AH1588" s="146">
        <f t="shared" si="140"/>
        <v>2.1918909090909091</v>
      </c>
      <c r="AI1588" s="146">
        <f t="shared" si="141"/>
        <v>2.4545454545454546</v>
      </c>
      <c r="AJ1588" s="313">
        <f>11/0.77</f>
        <v>14.285714285714285</v>
      </c>
      <c r="AK1588" s="313"/>
      <c r="AL1588" s="313">
        <f>3.5/0.77</f>
        <v>4.545454545454545</v>
      </c>
      <c r="AM1588" s="313"/>
      <c r="AN1588" s="313"/>
      <c r="AO1588" s="313"/>
      <c r="AP1588" s="313"/>
      <c r="AQ1588" s="313"/>
      <c r="AR1588" s="322"/>
      <c r="AS1588" s="242">
        <f t="shared" si="148"/>
        <v>14.285714285714285</v>
      </c>
      <c r="AT1588" s="242">
        <f>SUM(AJ1588:AL1588)</f>
        <v>18.831168831168831</v>
      </c>
      <c r="AW1588" s="276">
        <f>1.687756/0.77</f>
        <v>2.1918909090909091</v>
      </c>
      <c r="AX1588" s="276"/>
      <c r="AY1588" s="276">
        <f>0.202244/0.77</f>
        <v>0.26265454545454547</v>
      </c>
      <c r="AZ1588" s="276"/>
      <c r="BA1588" s="276"/>
      <c r="BB1588" s="276"/>
      <c r="BC1588" s="276"/>
      <c r="BD1588" s="276"/>
      <c r="BE1588" s="276"/>
      <c r="BF1588" s="389">
        <f t="shared" si="147"/>
        <v>2.1918909090909091</v>
      </c>
      <c r="BG1588" s="389">
        <f>SUM(AW1588:AY1588)</f>
        <v>2.4545454545454546</v>
      </c>
      <c r="BI1588" s="276"/>
      <c r="BJ1588" s="276"/>
    </row>
    <row r="1589" spans="1:62" ht="15" customHeight="1" thickBot="1" x14ac:dyDescent="0.25">
      <c r="A1589" s="156">
        <v>1590</v>
      </c>
      <c r="B1589" s="197">
        <v>1</v>
      </c>
      <c r="C1589" s="151" t="s">
        <v>24</v>
      </c>
      <c r="D1589" s="151" t="s">
        <v>2448</v>
      </c>
      <c r="E1589" s="151" t="s">
        <v>13</v>
      </c>
      <c r="F1589" s="151" t="s">
        <v>48</v>
      </c>
      <c r="H1589" s="151" t="s">
        <v>55</v>
      </c>
      <c r="I1589" s="165">
        <v>2012</v>
      </c>
      <c r="J1589" s="165" t="s">
        <v>3914</v>
      </c>
      <c r="K1589" s="165" t="s">
        <v>3915</v>
      </c>
      <c r="L1589" s="165" t="s">
        <v>3916</v>
      </c>
      <c r="M1589" s="453" t="s">
        <v>4396</v>
      </c>
      <c r="N1589" s="241" t="s">
        <v>122</v>
      </c>
      <c r="O1589" s="241" t="s">
        <v>292</v>
      </c>
      <c r="P1589" s="241" t="s">
        <v>292</v>
      </c>
      <c r="Q1589" s="241" t="s">
        <v>122</v>
      </c>
      <c r="R1589" s="241" t="s">
        <v>292</v>
      </c>
      <c r="S1589" s="241" t="s">
        <v>292</v>
      </c>
      <c r="T1589" s="241" t="s">
        <v>292</v>
      </c>
      <c r="U1589" s="241" t="s">
        <v>292</v>
      </c>
      <c r="V1589" s="241" t="s">
        <v>292</v>
      </c>
      <c r="W1589" s="241" t="s">
        <v>292</v>
      </c>
      <c r="X1589" s="241" t="s">
        <v>292</v>
      </c>
      <c r="Y1589" s="241" t="s">
        <v>292</v>
      </c>
      <c r="AA1589" s="241" t="s">
        <v>1439</v>
      </c>
      <c r="AD1589" s="245" t="s">
        <v>581</v>
      </c>
      <c r="AE1589" s="245" t="s">
        <v>3917</v>
      </c>
      <c r="AF1589" s="144">
        <f t="shared" si="146"/>
        <v>17.012987012987011</v>
      </c>
      <c r="AG1589" s="144">
        <f t="shared" si="144"/>
        <v>21.818181818181817</v>
      </c>
      <c r="AH1589" s="146">
        <f t="shared" si="140"/>
        <v>2.4289506493506492</v>
      </c>
      <c r="AI1589" s="146">
        <f t="shared" si="141"/>
        <v>2.8441558441558441</v>
      </c>
      <c r="AJ1589" s="313">
        <f>13.1/0.77</f>
        <v>17.012987012987011</v>
      </c>
      <c r="AK1589" s="313"/>
      <c r="AL1589" s="313">
        <f>3.7/0.77</f>
        <v>4.8051948051948052</v>
      </c>
      <c r="AM1589" s="313"/>
      <c r="AN1589" s="313"/>
      <c r="AO1589" s="313"/>
      <c r="AP1589" s="313"/>
      <c r="AQ1589" s="313"/>
      <c r="AR1589" s="322"/>
      <c r="AS1589" s="242">
        <f t="shared" si="148"/>
        <v>17.012987012987011</v>
      </c>
      <c r="AT1589" s="242">
        <f>SUM(AJ1589:AL1589)</f>
        <v>21.818181818181817</v>
      </c>
      <c r="AW1589" s="276">
        <f>1.870292/0.77</f>
        <v>2.4289506493506492</v>
      </c>
      <c r="AX1589" s="276"/>
      <c r="AY1589" s="276">
        <f>0.319708/0.77</f>
        <v>0.4152051948051948</v>
      </c>
      <c r="AZ1589" s="276"/>
      <c r="BA1589" s="276"/>
      <c r="BB1589" s="276"/>
      <c r="BC1589" s="276"/>
      <c r="BD1589" s="276"/>
      <c r="BE1589" s="276"/>
      <c r="BF1589" s="389">
        <f t="shared" si="147"/>
        <v>2.4289506493506492</v>
      </c>
      <c r="BG1589" s="389">
        <f>SUM(AW1589:AY1589)</f>
        <v>2.8441558441558441</v>
      </c>
      <c r="BI1589" s="276"/>
      <c r="BJ1589" s="276"/>
    </row>
    <row r="1590" spans="1:62" ht="15" customHeight="1" thickBot="1" x14ac:dyDescent="0.25">
      <c r="A1590" s="156">
        <v>1591</v>
      </c>
      <c r="B1590" s="197">
        <v>1</v>
      </c>
      <c r="C1590" s="151" t="s">
        <v>24</v>
      </c>
      <c r="D1590" s="151" t="s">
        <v>2448</v>
      </c>
      <c r="E1590" s="151" t="s">
        <v>13</v>
      </c>
      <c r="F1590" s="151" t="s">
        <v>50</v>
      </c>
      <c r="H1590" s="151" t="s">
        <v>55</v>
      </c>
      <c r="I1590" s="165">
        <v>2012</v>
      </c>
      <c r="J1590" s="165" t="s">
        <v>3914</v>
      </c>
      <c r="K1590" s="165" t="s">
        <v>3915</v>
      </c>
      <c r="L1590" s="165" t="s">
        <v>3916</v>
      </c>
      <c r="M1590" s="453" t="s">
        <v>4396</v>
      </c>
      <c r="N1590" s="241" t="s">
        <v>122</v>
      </c>
      <c r="O1590" s="241" t="s">
        <v>292</v>
      </c>
      <c r="P1590" s="241" t="s">
        <v>292</v>
      </c>
      <c r="Q1590" s="241" t="s">
        <v>122</v>
      </c>
      <c r="R1590" s="241" t="s">
        <v>292</v>
      </c>
      <c r="S1590" s="241" t="s">
        <v>292</v>
      </c>
      <c r="T1590" s="241" t="s">
        <v>292</v>
      </c>
      <c r="U1590" s="241" t="s">
        <v>292</v>
      </c>
      <c r="V1590" s="241" t="s">
        <v>292</v>
      </c>
      <c r="W1590" s="241" t="s">
        <v>292</v>
      </c>
      <c r="X1590" s="241" t="s">
        <v>292</v>
      </c>
      <c r="Y1590" s="241" t="s">
        <v>292</v>
      </c>
      <c r="AA1590" s="241" t="s">
        <v>1439</v>
      </c>
      <c r="AD1590" s="245" t="s">
        <v>581</v>
      </c>
      <c r="AE1590" s="245" t="s">
        <v>3917</v>
      </c>
      <c r="AF1590" s="144">
        <f t="shared" si="146"/>
        <v>11.168831168831169</v>
      </c>
      <c r="AG1590" s="144">
        <f t="shared" si="144"/>
        <v>16.623376623376622</v>
      </c>
      <c r="AH1590" s="146">
        <f t="shared" si="140"/>
        <v>3.2805</v>
      </c>
      <c r="AI1590" s="146">
        <f t="shared" si="141"/>
        <v>3.7142857142857144</v>
      </c>
      <c r="AJ1590" s="313">
        <f>8.6/0.77</f>
        <v>11.168831168831169</v>
      </c>
      <c r="AK1590" s="313"/>
      <c r="AL1590" s="313">
        <f>4.2/0.77</f>
        <v>5.454545454545455</v>
      </c>
      <c r="AM1590" s="313"/>
      <c r="AN1590" s="313"/>
      <c r="AO1590" s="313"/>
      <c r="AP1590" s="313"/>
      <c r="AQ1590" s="313"/>
      <c r="AR1590" s="322"/>
      <c r="AS1590" s="242">
        <f t="shared" si="148"/>
        <v>11.168831168831169</v>
      </c>
      <c r="AT1590" s="242">
        <f>SUM(AJ1590:AL1590)</f>
        <v>16.623376623376622</v>
      </c>
      <c r="AW1590" s="276">
        <f>2.525985/0.77</f>
        <v>3.2805</v>
      </c>
      <c r="AX1590" s="276"/>
      <c r="AY1590" s="276">
        <f>0.334015/0.77</f>
        <v>0.43378571428571427</v>
      </c>
      <c r="AZ1590" s="276"/>
      <c r="BA1590" s="276"/>
      <c r="BB1590" s="276"/>
      <c r="BC1590" s="276"/>
      <c r="BD1590" s="276"/>
      <c r="BE1590" s="276"/>
      <c r="BF1590" s="389">
        <f t="shared" si="147"/>
        <v>3.2805</v>
      </c>
      <c r="BG1590" s="389">
        <f>SUM(AW1590:AY1590)</f>
        <v>3.7142857142857144</v>
      </c>
      <c r="BI1590" s="276"/>
      <c r="BJ1590" s="276"/>
    </row>
    <row r="1591" spans="1:62" ht="15" customHeight="1" thickBot="1" x14ac:dyDescent="0.25">
      <c r="A1591" s="156">
        <v>1592</v>
      </c>
      <c r="B1591" s="197">
        <v>1</v>
      </c>
      <c r="C1591" s="151" t="s">
        <v>11</v>
      </c>
      <c r="D1591" s="151" t="s">
        <v>3633</v>
      </c>
      <c r="E1591" s="151" t="s">
        <v>13</v>
      </c>
      <c r="F1591" s="151" t="s">
        <v>3919</v>
      </c>
      <c r="H1591" s="151" t="s">
        <v>376</v>
      </c>
      <c r="I1591" s="165">
        <v>2012</v>
      </c>
      <c r="J1591" s="165" t="s">
        <v>3920</v>
      </c>
      <c r="K1591" s="165" t="s">
        <v>3921</v>
      </c>
      <c r="L1591" s="165" t="s">
        <v>19</v>
      </c>
      <c r="M1591" s="453" t="s">
        <v>4397</v>
      </c>
      <c r="N1591" s="241" t="s">
        <v>122</v>
      </c>
      <c r="O1591" s="241" t="s">
        <v>122</v>
      </c>
      <c r="P1591" s="241" t="s">
        <v>292</v>
      </c>
      <c r="Q1591" s="241" t="s">
        <v>292</v>
      </c>
      <c r="R1591" s="241" t="s">
        <v>292</v>
      </c>
      <c r="S1591" s="241" t="s">
        <v>292</v>
      </c>
      <c r="T1591" s="241" t="s">
        <v>292</v>
      </c>
      <c r="U1591" s="241" t="s">
        <v>292</v>
      </c>
      <c r="V1591" s="241" t="s">
        <v>292</v>
      </c>
      <c r="W1591" s="241" t="s">
        <v>292</v>
      </c>
      <c r="X1591" s="241" t="s">
        <v>292</v>
      </c>
      <c r="Y1591" s="241" t="s">
        <v>292</v>
      </c>
      <c r="AA1591" s="241" t="s">
        <v>303</v>
      </c>
      <c r="AD1591" s="245" t="s">
        <v>3922</v>
      </c>
      <c r="AF1591" s="144">
        <f t="shared" si="146"/>
        <v>2.2999999999999998</v>
      </c>
      <c r="AG1591" s="144" t="str">
        <f t="shared" si="144"/>
        <v/>
      </c>
      <c r="AH1591" s="146">
        <f t="shared" si="140"/>
        <v>0.87429999999999997</v>
      </c>
      <c r="AI1591" s="146" t="str">
        <f t="shared" si="141"/>
        <v/>
      </c>
      <c r="AJ1591" s="313">
        <v>2.2999999999999998</v>
      </c>
      <c r="AK1591" s="313"/>
      <c r="AL1591" s="313"/>
      <c r="AM1591" s="313"/>
      <c r="AN1591" s="313"/>
      <c r="AO1591" s="313"/>
      <c r="AP1591" s="313"/>
      <c r="AQ1591" s="313"/>
      <c r="AR1591" s="313"/>
      <c r="AS1591" s="244">
        <f t="shared" si="148"/>
        <v>2.2999999999999998</v>
      </c>
      <c r="AT1591" s="242"/>
      <c r="AW1591" s="276">
        <v>0.87429999999999997</v>
      </c>
      <c r="AX1591" s="276"/>
      <c r="AY1591" s="276"/>
      <c r="AZ1591" s="276"/>
      <c r="BA1591" s="276"/>
      <c r="BB1591" s="276"/>
      <c r="BC1591" s="276"/>
      <c r="BD1591" s="276"/>
      <c r="BE1591" s="276"/>
      <c r="BF1591" s="389">
        <f t="shared" si="147"/>
        <v>0.87429999999999997</v>
      </c>
      <c r="BG1591" s="389"/>
      <c r="BI1591" s="276"/>
      <c r="BJ1591" s="276"/>
    </row>
    <row r="1592" spans="1:62" ht="15" customHeight="1" thickBot="1" x14ac:dyDescent="0.25">
      <c r="A1592" s="156">
        <v>1593</v>
      </c>
      <c r="B1592" s="197">
        <v>1</v>
      </c>
      <c r="C1592" s="151" t="s">
        <v>11</v>
      </c>
      <c r="D1592" s="151" t="s">
        <v>3633</v>
      </c>
      <c r="E1592" s="151" t="s">
        <v>13</v>
      </c>
      <c r="F1592" s="151" t="s">
        <v>3923</v>
      </c>
      <c r="H1592" s="151" t="s">
        <v>376</v>
      </c>
      <c r="I1592" s="165">
        <v>2012</v>
      </c>
      <c r="J1592" s="165" t="s">
        <v>3920</v>
      </c>
      <c r="K1592" s="165" t="s">
        <v>3921</v>
      </c>
      <c r="L1592" s="165" t="s">
        <v>19</v>
      </c>
      <c r="M1592" s="453" t="s">
        <v>4397</v>
      </c>
      <c r="N1592" s="241" t="s">
        <v>122</v>
      </c>
      <c r="O1592" s="241" t="s">
        <v>122</v>
      </c>
      <c r="P1592" s="241" t="s">
        <v>292</v>
      </c>
      <c r="Q1592" s="241" t="s">
        <v>292</v>
      </c>
      <c r="R1592" s="241" t="s">
        <v>292</v>
      </c>
      <c r="S1592" s="241" t="s">
        <v>292</v>
      </c>
      <c r="T1592" s="241" t="s">
        <v>292</v>
      </c>
      <c r="U1592" s="241" t="s">
        <v>292</v>
      </c>
      <c r="V1592" s="241" t="s">
        <v>292</v>
      </c>
      <c r="W1592" s="241" t="s">
        <v>292</v>
      </c>
      <c r="X1592" s="241" t="s">
        <v>292</v>
      </c>
      <c r="Y1592" s="241" t="s">
        <v>292</v>
      </c>
      <c r="AA1592" s="241" t="s">
        <v>303</v>
      </c>
      <c r="AD1592" s="245" t="s">
        <v>3922</v>
      </c>
      <c r="AF1592" s="144">
        <f t="shared" si="146"/>
        <v>3.9</v>
      </c>
      <c r="AG1592" s="144" t="str">
        <f t="shared" si="144"/>
        <v/>
      </c>
      <c r="AH1592" s="146">
        <f t="shared" si="140"/>
        <v>1.0274000000000001</v>
      </c>
      <c r="AI1592" s="146" t="str">
        <f t="shared" si="141"/>
        <v/>
      </c>
      <c r="AJ1592" s="313">
        <v>3.9</v>
      </c>
      <c r="AK1592" s="313"/>
      <c r="AL1592" s="313"/>
      <c r="AM1592" s="313"/>
      <c r="AN1592" s="313"/>
      <c r="AO1592" s="313"/>
      <c r="AP1592" s="313"/>
      <c r="AQ1592" s="313"/>
      <c r="AR1592" s="313"/>
      <c r="AS1592" s="244">
        <f t="shared" si="148"/>
        <v>3.9</v>
      </c>
      <c r="AT1592" s="242"/>
      <c r="AW1592" s="276">
        <v>1.0274000000000001</v>
      </c>
      <c r="AX1592" s="276"/>
      <c r="AY1592" s="276"/>
      <c r="AZ1592" s="276"/>
      <c r="BA1592" s="276"/>
      <c r="BB1592" s="276"/>
      <c r="BC1592" s="276"/>
      <c r="BD1592" s="276"/>
      <c r="BE1592" s="276"/>
      <c r="BF1592" s="389">
        <f t="shared" si="147"/>
        <v>1.0274000000000001</v>
      </c>
      <c r="BG1592" s="389"/>
      <c r="BI1592" s="276"/>
      <c r="BJ1592" s="276"/>
    </row>
    <row r="1593" spans="1:62" ht="15" customHeight="1" thickBot="1" x14ac:dyDescent="0.25">
      <c r="A1593" s="156">
        <v>1594</v>
      </c>
      <c r="B1593" s="197">
        <v>1</v>
      </c>
      <c r="C1593" s="151" t="s">
        <v>24</v>
      </c>
      <c r="D1593" s="151" t="s">
        <v>53</v>
      </c>
      <c r="E1593" s="151" t="s">
        <v>13</v>
      </c>
      <c r="F1593" s="151" t="s">
        <v>3924</v>
      </c>
      <c r="G1593" s="151" t="s">
        <v>20</v>
      </c>
      <c r="H1593" s="151" t="s">
        <v>165</v>
      </c>
      <c r="I1593" s="165">
        <v>2012</v>
      </c>
      <c r="J1593" s="165" t="s">
        <v>3925</v>
      </c>
      <c r="K1593" s="165" t="s">
        <v>3926</v>
      </c>
      <c r="L1593" s="165" t="s">
        <v>19</v>
      </c>
      <c r="M1593" s="453" t="s">
        <v>4398</v>
      </c>
      <c r="N1593" s="241" t="s">
        <v>122</v>
      </c>
      <c r="O1593" s="241" t="s">
        <v>122</v>
      </c>
      <c r="P1593" s="241" t="s">
        <v>292</v>
      </c>
      <c r="Q1593" s="241" t="s">
        <v>292</v>
      </c>
      <c r="R1593" s="241" t="s">
        <v>292</v>
      </c>
      <c r="S1593" s="241" t="s">
        <v>292</v>
      </c>
      <c r="T1593" s="241" t="s">
        <v>292</v>
      </c>
      <c r="U1593" s="241" t="s">
        <v>292</v>
      </c>
      <c r="V1593" s="241" t="s">
        <v>292</v>
      </c>
      <c r="W1593" s="241" t="s">
        <v>292</v>
      </c>
      <c r="X1593" s="241" t="s">
        <v>292</v>
      </c>
      <c r="Y1593" s="241" t="s">
        <v>292</v>
      </c>
      <c r="AA1593" s="241" t="s">
        <v>3927</v>
      </c>
      <c r="AD1593" s="245" t="s">
        <v>581</v>
      </c>
      <c r="AE1593" s="245" t="s">
        <v>3641</v>
      </c>
      <c r="AF1593" s="144">
        <f t="shared" si="146"/>
        <v>97.151424287856059</v>
      </c>
      <c r="AG1593" s="144" t="str">
        <f t="shared" si="144"/>
        <v/>
      </c>
      <c r="AH1593" s="146">
        <f t="shared" si="140"/>
        <v>41.679160419790101</v>
      </c>
      <c r="AI1593" s="146" t="str">
        <f t="shared" si="141"/>
        <v/>
      </c>
      <c r="AJ1593" s="313">
        <f>64.8/0.667</f>
        <v>97.151424287856059</v>
      </c>
      <c r="AK1593" s="313"/>
      <c r="AL1593" s="313"/>
      <c r="AM1593" s="313"/>
      <c r="AN1593" s="313"/>
      <c r="AO1593" s="313"/>
      <c r="AP1593" s="313"/>
      <c r="AQ1593" s="313"/>
      <c r="AR1593" s="313"/>
      <c r="AS1593" s="244">
        <f t="shared" si="148"/>
        <v>97.151424287856059</v>
      </c>
      <c r="AT1593" s="242"/>
      <c r="AW1593" s="276">
        <f>27.8/0.667</f>
        <v>41.679160419790101</v>
      </c>
      <c r="AX1593" s="276"/>
      <c r="AY1593" s="276"/>
      <c r="AZ1593" s="276"/>
      <c r="BA1593" s="276"/>
      <c r="BB1593" s="276"/>
      <c r="BC1593" s="276"/>
      <c r="BD1593" s="276"/>
      <c r="BE1593" s="276"/>
      <c r="BF1593" s="389">
        <f t="shared" si="147"/>
        <v>41.679160419790101</v>
      </c>
      <c r="BG1593" s="389"/>
      <c r="BI1593" s="276"/>
      <c r="BJ1593" s="276"/>
    </row>
    <row r="1594" spans="1:62" ht="15" customHeight="1" thickBot="1" x14ac:dyDescent="0.25">
      <c r="A1594" s="156">
        <v>1595</v>
      </c>
      <c r="B1594" s="197">
        <v>1</v>
      </c>
      <c r="C1594" s="151" t="s">
        <v>24</v>
      </c>
      <c r="D1594" s="151" t="s">
        <v>53</v>
      </c>
      <c r="E1594" s="151" t="s">
        <v>13</v>
      </c>
      <c r="F1594" s="151" t="s">
        <v>3928</v>
      </c>
      <c r="G1594" s="151" t="s">
        <v>20</v>
      </c>
      <c r="H1594" s="151" t="s">
        <v>165</v>
      </c>
      <c r="I1594" s="165">
        <v>2012</v>
      </c>
      <c r="J1594" s="165" t="s">
        <v>3925</v>
      </c>
      <c r="K1594" s="165" t="s">
        <v>3926</v>
      </c>
      <c r="L1594" s="165" t="s">
        <v>19</v>
      </c>
      <c r="M1594" s="453" t="s">
        <v>4398</v>
      </c>
      <c r="N1594" s="241" t="s">
        <v>122</v>
      </c>
      <c r="O1594" s="241" t="s">
        <v>122</v>
      </c>
      <c r="P1594" s="241" t="s">
        <v>292</v>
      </c>
      <c r="Q1594" s="241" t="s">
        <v>292</v>
      </c>
      <c r="R1594" s="241" t="s">
        <v>292</v>
      </c>
      <c r="S1594" s="241" t="s">
        <v>292</v>
      </c>
      <c r="T1594" s="241" t="s">
        <v>292</v>
      </c>
      <c r="U1594" s="241" t="s">
        <v>292</v>
      </c>
      <c r="V1594" s="241" t="s">
        <v>292</v>
      </c>
      <c r="W1594" s="241" t="s">
        <v>292</v>
      </c>
      <c r="X1594" s="241" t="s">
        <v>292</v>
      </c>
      <c r="Y1594" s="241" t="s">
        <v>292</v>
      </c>
      <c r="AA1594" s="241" t="s">
        <v>3927</v>
      </c>
      <c r="AD1594" s="245" t="s">
        <v>581</v>
      </c>
      <c r="AE1594" s="245" t="s">
        <v>3641</v>
      </c>
      <c r="AF1594" s="144">
        <f t="shared" si="146"/>
        <v>102.54872563718141</v>
      </c>
      <c r="AG1594" s="144" t="str">
        <f t="shared" si="144"/>
        <v/>
      </c>
      <c r="AH1594" s="146">
        <f t="shared" si="140"/>
        <v>41.52923538230884</v>
      </c>
      <c r="AI1594" s="146" t="str">
        <f t="shared" si="141"/>
        <v/>
      </c>
      <c r="AJ1594" s="313">
        <f>68.4/0.667</f>
        <v>102.54872563718141</v>
      </c>
      <c r="AK1594" s="313"/>
      <c r="AL1594" s="313"/>
      <c r="AM1594" s="313"/>
      <c r="AN1594" s="313"/>
      <c r="AO1594" s="313"/>
      <c r="AP1594" s="313"/>
      <c r="AQ1594" s="313"/>
      <c r="AR1594" s="313"/>
      <c r="AS1594" s="244">
        <f t="shared" si="148"/>
        <v>102.54872563718141</v>
      </c>
      <c r="AT1594" s="242"/>
      <c r="AW1594" s="276">
        <f>27.7/0.667</f>
        <v>41.52923538230884</v>
      </c>
      <c r="AX1594" s="276"/>
      <c r="AY1594" s="276"/>
      <c r="AZ1594" s="276"/>
      <c r="BA1594" s="276"/>
      <c r="BB1594" s="276"/>
      <c r="BC1594" s="276"/>
      <c r="BD1594" s="276"/>
      <c r="BE1594" s="276"/>
      <c r="BF1594" s="389">
        <f t="shared" si="147"/>
        <v>41.52923538230884</v>
      </c>
      <c r="BG1594" s="389"/>
      <c r="BI1594" s="276"/>
      <c r="BJ1594" s="276"/>
    </row>
    <row r="1595" spans="1:62" ht="15" customHeight="1" thickBot="1" x14ac:dyDescent="0.25">
      <c r="A1595" s="156">
        <v>1596</v>
      </c>
      <c r="B1595" s="197">
        <v>1</v>
      </c>
      <c r="C1595" s="151" t="s">
        <v>24</v>
      </c>
      <c r="D1595" s="151" t="s">
        <v>53</v>
      </c>
      <c r="E1595" s="151" t="s">
        <v>13</v>
      </c>
      <c r="F1595" s="151" t="s">
        <v>3929</v>
      </c>
      <c r="G1595" s="151" t="s">
        <v>20</v>
      </c>
      <c r="H1595" s="151" t="s">
        <v>165</v>
      </c>
      <c r="I1595" s="165">
        <v>2012</v>
      </c>
      <c r="J1595" s="165" t="s">
        <v>3925</v>
      </c>
      <c r="K1595" s="165" t="s">
        <v>3926</v>
      </c>
      <c r="L1595" s="165" t="s">
        <v>19</v>
      </c>
      <c r="M1595" s="453" t="s">
        <v>4398</v>
      </c>
      <c r="N1595" s="241" t="s">
        <v>122</v>
      </c>
      <c r="O1595" s="241" t="s">
        <v>122</v>
      </c>
      <c r="P1595" s="241" t="s">
        <v>292</v>
      </c>
      <c r="Q1595" s="241" t="s">
        <v>292</v>
      </c>
      <c r="R1595" s="241" t="s">
        <v>292</v>
      </c>
      <c r="S1595" s="241" t="s">
        <v>292</v>
      </c>
      <c r="T1595" s="241" t="s">
        <v>292</v>
      </c>
      <c r="U1595" s="241" t="s">
        <v>292</v>
      </c>
      <c r="V1595" s="241" t="s">
        <v>292</v>
      </c>
      <c r="W1595" s="241" t="s">
        <v>292</v>
      </c>
      <c r="X1595" s="241" t="s">
        <v>292</v>
      </c>
      <c r="Y1595" s="241" t="s">
        <v>292</v>
      </c>
      <c r="AA1595" s="241" t="s">
        <v>3927</v>
      </c>
      <c r="AD1595" s="245" t="s">
        <v>581</v>
      </c>
      <c r="AE1595" s="245" t="s">
        <v>3641</v>
      </c>
      <c r="AF1595" s="144">
        <f t="shared" si="146"/>
        <v>110.04497751124438</v>
      </c>
      <c r="AG1595" s="144" t="str">
        <f t="shared" si="144"/>
        <v/>
      </c>
      <c r="AH1595" s="146">
        <f t="shared" si="140"/>
        <v>41.829085457271361</v>
      </c>
      <c r="AI1595" s="146" t="str">
        <f t="shared" si="141"/>
        <v/>
      </c>
      <c r="AJ1595" s="313">
        <f>73.4/0.667</f>
        <v>110.04497751124438</v>
      </c>
      <c r="AK1595" s="313"/>
      <c r="AL1595" s="313"/>
      <c r="AM1595" s="313"/>
      <c r="AN1595" s="313"/>
      <c r="AO1595" s="313"/>
      <c r="AP1595" s="313"/>
      <c r="AQ1595" s="313"/>
      <c r="AR1595" s="313"/>
      <c r="AS1595" s="244">
        <f t="shared" si="148"/>
        <v>110.04497751124438</v>
      </c>
      <c r="AT1595" s="242"/>
      <c r="AW1595" s="276">
        <f>27.9/0.667</f>
        <v>41.829085457271361</v>
      </c>
      <c r="AX1595" s="276"/>
      <c r="AY1595" s="276"/>
      <c r="AZ1595" s="276"/>
      <c r="BA1595" s="276"/>
      <c r="BB1595" s="276"/>
      <c r="BC1595" s="276"/>
      <c r="BD1595" s="276"/>
      <c r="BE1595" s="276"/>
      <c r="BF1595" s="389">
        <f t="shared" si="147"/>
        <v>41.829085457271361</v>
      </c>
      <c r="BG1595" s="389"/>
      <c r="BI1595" s="276"/>
      <c r="BJ1595" s="276"/>
    </row>
    <row r="1596" spans="1:62" ht="15" customHeight="1" thickBot="1" x14ac:dyDescent="0.25">
      <c r="A1596" s="156">
        <v>1597</v>
      </c>
      <c r="B1596" s="197">
        <v>1</v>
      </c>
      <c r="C1596" s="151" t="s">
        <v>24</v>
      </c>
      <c r="D1596" s="151" t="s">
        <v>53</v>
      </c>
      <c r="E1596" s="151" t="s">
        <v>13</v>
      </c>
      <c r="F1596" s="151" t="s">
        <v>3930</v>
      </c>
      <c r="G1596" s="151" t="s">
        <v>20</v>
      </c>
      <c r="H1596" s="151" t="s">
        <v>165</v>
      </c>
      <c r="I1596" s="165">
        <v>2012</v>
      </c>
      <c r="J1596" s="165" t="s">
        <v>3925</v>
      </c>
      <c r="K1596" s="165" t="s">
        <v>3926</v>
      </c>
      <c r="L1596" s="165" t="s">
        <v>19</v>
      </c>
      <c r="M1596" s="453" t="s">
        <v>4398</v>
      </c>
      <c r="N1596" s="241" t="s">
        <v>122</v>
      </c>
      <c r="O1596" s="241" t="s">
        <v>122</v>
      </c>
      <c r="P1596" s="241" t="s">
        <v>292</v>
      </c>
      <c r="Q1596" s="241" t="s">
        <v>292</v>
      </c>
      <c r="R1596" s="241" t="s">
        <v>292</v>
      </c>
      <c r="S1596" s="241" t="s">
        <v>292</v>
      </c>
      <c r="T1596" s="241" t="s">
        <v>292</v>
      </c>
      <c r="U1596" s="241" t="s">
        <v>292</v>
      </c>
      <c r="V1596" s="241" t="s">
        <v>292</v>
      </c>
      <c r="W1596" s="241" t="s">
        <v>292</v>
      </c>
      <c r="X1596" s="241" t="s">
        <v>292</v>
      </c>
      <c r="Y1596" s="241" t="s">
        <v>292</v>
      </c>
      <c r="AA1596" s="241" t="s">
        <v>3927</v>
      </c>
      <c r="AD1596" s="245" t="s">
        <v>581</v>
      </c>
      <c r="AE1596" s="245" t="s">
        <v>3641</v>
      </c>
      <c r="AF1596" s="144">
        <f t="shared" si="146"/>
        <v>106.5967016491754</v>
      </c>
      <c r="AG1596" s="144" t="str">
        <f t="shared" si="144"/>
        <v/>
      </c>
      <c r="AH1596" s="146">
        <f t="shared" si="140"/>
        <v>40.479760119940025</v>
      </c>
      <c r="AI1596" s="146" t="str">
        <f t="shared" si="141"/>
        <v/>
      </c>
      <c r="AJ1596" s="313">
        <f>71.1/0.667</f>
        <v>106.5967016491754</v>
      </c>
      <c r="AK1596" s="313"/>
      <c r="AL1596" s="313"/>
      <c r="AM1596" s="313"/>
      <c r="AN1596" s="313"/>
      <c r="AO1596" s="313"/>
      <c r="AP1596" s="313"/>
      <c r="AQ1596" s="313"/>
      <c r="AR1596" s="313"/>
      <c r="AS1596" s="244">
        <f t="shared" si="148"/>
        <v>106.5967016491754</v>
      </c>
      <c r="AT1596" s="242"/>
      <c r="AW1596" s="276">
        <f>27/0.667</f>
        <v>40.479760119940025</v>
      </c>
      <c r="AX1596" s="276"/>
      <c r="AY1596" s="276"/>
      <c r="AZ1596" s="276"/>
      <c r="BA1596" s="276"/>
      <c r="BB1596" s="276"/>
      <c r="BC1596" s="276"/>
      <c r="BD1596" s="276"/>
      <c r="BE1596" s="276"/>
      <c r="BF1596" s="389">
        <f t="shared" si="147"/>
        <v>40.479760119940025</v>
      </c>
      <c r="BG1596" s="389"/>
      <c r="BI1596" s="276"/>
      <c r="BJ1596" s="276"/>
    </row>
    <row r="1597" spans="1:62" ht="15" customHeight="1" thickBot="1" x14ac:dyDescent="0.25">
      <c r="A1597" s="156">
        <v>1598</v>
      </c>
      <c r="B1597" s="197">
        <v>1</v>
      </c>
      <c r="C1597" s="151" t="s">
        <v>162</v>
      </c>
      <c r="D1597" s="151" t="s">
        <v>2279</v>
      </c>
      <c r="E1597" s="151" t="s">
        <v>13</v>
      </c>
      <c r="F1597" s="151" t="s">
        <v>3931</v>
      </c>
      <c r="G1597" s="151" t="s">
        <v>20</v>
      </c>
      <c r="H1597" s="151" t="s">
        <v>258</v>
      </c>
      <c r="I1597" s="165">
        <v>2012</v>
      </c>
      <c r="J1597" s="165" t="s">
        <v>3932</v>
      </c>
      <c r="K1597" s="165" t="s">
        <v>3933</v>
      </c>
      <c r="L1597" s="165" t="s">
        <v>19</v>
      </c>
      <c r="M1597" s="453" t="s">
        <v>4325</v>
      </c>
      <c r="N1597" s="241" t="s">
        <v>122</v>
      </c>
      <c r="O1597" s="241" t="s">
        <v>292</v>
      </c>
      <c r="P1597" s="241" t="s">
        <v>292</v>
      </c>
      <c r="Q1597" s="241" t="s">
        <v>292</v>
      </c>
      <c r="R1597" s="241" t="s">
        <v>292</v>
      </c>
      <c r="S1597" s="241" t="s">
        <v>122</v>
      </c>
      <c r="T1597" s="241" t="s">
        <v>122</v>
      </c>
      <c r="U1597" s="241" t="s">
        <v>122</v>
      </c>
      <c r="V1597" s="241" t="s">
        <v>292</v>
      </c>
      <c r="W1597" s="241" t="s">
        <v>292</v>
      </c>
      <c r="X1597" s="241" t="s">
        <v>292</v>
      </c>
      <c r="Y1597" s="241" t="s">
        <v>292</v>
      </c>
      <c r="AA1597" s="241" t="s">
        <v>3934</v>
      </c>
      <c r="AB1597" s="241" t="s">
        <v>122</v>
      </c>
      <c r="AD1597" s="245" t="s">
        <v>3935</v>
      </c>
      <c r="AF1597" s="144" t="str">
        <f t="shared" si="146"/>
        <v/>
      </c>
      <c r="AG1597" s="144" t="str">
        <f t="shared" si="144"/>
        <v/>
      </c>
      <c r="AH1597" s="146">
        <f t="shared" si="140"/>
        <v>3.5799999999999998E-2</v>
      </c>
      <c r="AI1597" s="146" t="str">
        <f t="shared" si="141"/>
        <v/>
      </c>
      <c r="AJ1597" s="313"/>
      <c r="AK1597" s="313"/>
      <c r="AL1597" s="313"/>
      <c r="AM1597" s="313"/>
      <c r="AN1597" s="313"/>
      <c r="AO1597" s="313"/>
      <c r="AP1597" s="313"/>
      <c r="AQ1597" s="313"/>
      <c r="AR1597" s="313"/>
      <c r="AS1597" s="244"/>
      <c r="AT1597" s="242"/>
      <c r="AW1597" s="276">
        <v>3.5799999999999998E-2</v>
      </c>
      <c r="AX1597" s="276"/>
      <c r="AY1597" s="276"/>
      <c r="AZ1597" s="276"/>
      <c r="BA1597" s="276">
        <f>0.001/1000</f>
        <v>9.9999999999999995E-7</v>
      </c>
      <c r="BB1597" s="276">
        <f>(0.005+0.7)/1000</f>
        <v>7.0500000000000001E-4</v>
      </c>
      <c r="BC1597" s="276">
        <f>673.5/1000</f>
        <v>0.67349999999999999</v>
      </c>
      <c r="BD1597" s="276"/>
      <c r="BE1597" s="276"/>
      <c r="BF1597" s="389">
        <f t="shared" si="147"/>
        <v>3.5799999999999998E-2</v>
      </c>
      <c r="BG1597" s="389">
        <f t="shared" ref="BG1597:BG1603" si="149">SUM(AW1597:BC1597)</f>
        <v>0.71000600000000003</v>
      </c>
      <c r="BI1597" s="276"/>
      <c r="BJ1597" s="276" t="s">
        <v>3936</v>
      </c>
    </row>
    <row r="1598" spans="1:62" ht="15" customHeight="1" thickBot="1" x14ac:dyDescent="0.25">
      <c r="A1598" s="156">
        <v>1599</v>
      </c>
      <c r="B1598" s="197">
        <v>1</v>
      </c>
      <c r="C1598" s="151" t="s">
        <v>162</v>
      </c>
      <c r="D1598" s="151" t="s">
        <v>2279</v>
      </c>
      <c r="E1598" s="151" t="s">
        <v>13</v>
      </c>
      <c r="F1598" s="151" t="s">
        <v>3937</v>
      </c>
      <c r="G1598" s="151" t="s">
        <v>20</v>
      </c>
      <c r="H1598" s="151" t="s">
        <v>258</v>
      </c>
      <c r="I1598" s="165">
        <v>2012</v>
      </c>
      <c r="J1598" s="165" t="s">
        <v>3932</v>
      </c>
      <c r="K1598" s="165" t="s">
        <v>3933</v>
      </c>
      <c r="L1598" s="165" t="s">
        <v>19</v>
      </c>
      <c r="M1598" s="453" t="s">
        <v>4325</v>
      </c>
      <c r="N1598" s="241" t="s">
        <v>122</v>
      </c>
      <c r="O1598" s="241" t="s">
        <v>292</v>
      </c>
      <c r="P1598" s="241" t="s">
        <v>292</v>
      </c>
      <c r="Q1598" s="241" t="s">
        <v>292</v>
      </c>
      <c r="R1598" s="241" t="s">
        <v>292</v>
      </c>
      <c r="S1598" s="241" t="s">
        <v>122</v>
      </c>
      <c r="T1598" s="241" t="s">
        <v>122</v>
      </c>
      <c r="U1598" s="241" t="s">
        <v>122</v>
      </c>
      <c r="V1598" s="241" t="s">
        <v>292</v>
      </c>
      <c r="W1598" s="241" t="s">
        <v>292</v>
      </c>
      <c r="X1598" s="241" t="s">
        <v>292</v>
      </c>
      <c r="Y1598" s="241" t="s">
        <v>292</v>
      </c>
      <c r="AA1598" s="241" t="s">
        <v>3934</v>
      </c>
      <c r="AB1598" s="241" t="s">
        <v>122</v>
      </c>
      <c r="AD1598" s="245" t="s">
        <v>3935</v>
      </c>
      <c r="AF1598" s="144" t="str">
        <f t="shared" si="146"/>
        <v/>
      </c>
      <c r="AG1598" s="144" t="str">
        <f t="shared" si="144"/>
        <v/>
      </c>
      <c r="AH1598" s="146">
        <f t="shared" si="140"/>
        <v>4.1300000000000003E-2</v>
      </c>
      <c r="AI1598" s="146" t="str">
        <f t="shared" si="141"/>
        <v/>
      </c>
      <c r="AJ1598" s="313"/>
      <c r="AK1598" s="313"/>
      <c r="AL1598" s="313"/>
      <c r="AM1598" s="313"/>
      <c r="AN1598" s="313"/>
      <c r="AO1598" s="313"/>
      <c r="AP1598" s="313"/>
      <c r="AQ1598" s="313"/>
      <c r="AR1598" s="313"/>
      <c r="AS1598" s="244"/>
      <c r="AT1598" s="242"/>
      <c r="AW1598" s="276">
        <v>4.1300000000000003E-2</v>
      </c>
      <c r="AX1598" s="276"/>
      <c r="AY1598" s="276"/>
      <c r="AZ1598" s="276"/>
      <c r="BA1598" s="276">
        <v>0</v>
      </c>
      <c r="BB1598" s="276">
        <f>(0.0003+0.8)/1000</f>
        <v>8.0029999999999999E-4</v>
      </c>
      <c r="BC1598" s="276">
        <f>673.5/1000</f>
        <v>0.67349999999999999</v>
      </c>
      <c r="BD1598" s="276"/>
      <c r="BE1598" s="276"/>
      <c r="BF1598" s="389">
        <f t="shared" si="147"/>
        <v>4.1300000000000003E-2</v>
      </c>
      <c r="BG1598" s="389">
        <f t="shared" si="149"/>
        <v>0.71560029999999997</v>
      </c>
      <c r="BI1598" s="276"/>
      <c r="BJ1598" s="276" t="s">
        <v>3936</v>
      </c>
    </row>
    <row r="1599" spans="1:62" ht="15" customHeight="1" thickBot="1" x14ac:dyDescent="0.25">
      <c r="A1599" s="156">
        <v>1600</v>
      </c>
      <c r="B1599" s="197">
        <v>1</v>
      </c>
      <c r="C1599" s="151" t="s">
        <v>162</v>
      </c>
      <c r="D1599" s="151" t="s">
        <v>2279</v>
      </c>
      <c r="E1599" s="151" t="s">
        <v>13</v>
      </c>
      <c r="F1599" s="151" t="s">
        <v>3938</v>
      </c>
      <c r="G1599" s="151" t="s">
        <v>20</v>
      </c>
      <c r="H1599" s="151" t="s">
        <v>258</v>
      </c>
      <c r="I1599" s="165">
        <v>2012</v>
      </c>
      <c r="J1599" s="165" t="s">
        <v>3932</v>
      </c>
      <c r="K1599" s="165" t="s">
        <v>3933</v>
      </c>
      <c r="L1599" s="165" t="s">
        <v>19</v>
      </c>
      <c r="M1599" s="453" t="s">
        <v>4325</v>
      </c>
      <c r="N1599" s="241" t="s">
        <v>122</v>
      </c>
      <c r="O1599" s="241" t="s">
        <v>292</v>
      </c>
      <c r="P1599" s="241" t="s">
        <v>292</v>
      </c>
      <c r="Q1599" s="241" t="s">
        <v>292</v>
      </c>
      <c r="R1599" s="241" t="s">
        <v>292</v>
      </c>
      <c r="S1599" s="241" t="s">
        <v>122</v>
      </c>
      <c r="T1599" s="241" t="s">
        <v>122</v>
      </c>
      <c r="U1599" s="241" t="s">
        <v>122</v>
      </c>
      <c r="V1599" s="241" t="s">
        <v>292</v>
      </c>
      <c r="W1599" s="241" t="s">
        <v>292</v>
      </c>
      <c r="X1599" s="241" t="s">
        <v>292</v>
      </c>
      <c r="Y1599" s="241" t="s">
        <v>292</v>
      </c>
      <c r="AA1599" s="241" t="s">
        <v>3934</v>
      </c>
      <c r="AB1599" s="241" t="s">
        <v>122</v>
      </c>
      <c r="AD1599" s="245" t="s">
        <v>3935</v>
      </c>
      <c r="AF1599" s="144" t="str">
        <f t="shared" si="146"/>
        <v/>
      </c>
      <c r="AG1599" s="144" t="str">
        <f t="shared" si="144"/>
        <v/>
      </c>
      <c r="AH1599" s="146">
        <f t="shared" si="140"/>
        <v>1.46E-2</v>
      </c>
      <c r="AI1599" s="146" t="str">
        <f t="shared" si="141"/>
        <v/>
      </c>
      <c r="AJ1599" s="313"/>
      <c r="AK1599" s="313"/>
      <c r="AL1599" s="313"/>
      <c r="AM1599" s="313"/>
      <c r="AN1599" s="313"/>
      <c r="AO1599" s="313"/>
      <c r="AP1599" s="313"/>
      <c r="AQ1599" s="313"/>
      <c r="AR1599" s="313"/>
      <c r="AS1599" s="244"/>
      <c r="AT1599" s="242"/>
      <c r="AW1599" s="276">
        <v>1.46E-2</v>
      </c>
      <c r="AX1599" s="276"/>
      <c r="AY1599" s="276"/>
      <c r="AZ1599" s="276"/>
      <c r="BA1599" s="276">
        <f>0.05/1000</f>
        <v>5.0000000000000002E-5</v>
      </c>
      <c r="BB1599" s="276">
        <f>0.9/1000</f>
        <v>8.9999999999999998E-4</v>
      </c>
      <c r="BC1599" s="276">
        <f>123.5/1000</f>
        <v>0.1235</v>
      </c>
      <c r="BD1599" s="276"/>
      <c r="BE1599" s="276"/>
      <c r="BF1599" s="389">
        <f t="shared" si="147"/>
        <v>1.46E-2</v>
      </c>
      <c r="BG1599" s="389">
        <f t="shared" si="149"/>
        <v>0.13905000000000001</v>
      </c>
      <c r="BI1599" s="276"/>
      <c r="BJ1599" s="276" t="s">
        <v>3936</v>
      </c>
    </row>
    <row r="1600" spans="1:62" ht="15" customHeight="1" thickBot="1" x14ac:dyDescent="0.25">
      <c r="A1600" s="156">
        <v>1601</v>
      </c>
      <c r="B1600" s="197">
        <v>1</v>
      </c>
      <c r="C1600" s="151" t="s">
        <v>162</v>
      </c>
      <c r="D1600" s="151" t="s">
        <v>2279</v>
      </c>
      <c r="E1600" s="151" t="s">
        <v>13</v>
      </c>
      <c r="F1600" s="151" t="s">
        <v>3939</v>
      </c>
      <c r="G1600" s="151" t="s">
        <v>20</v>
      </c>
      <c r="H1600" s="151" t="s">
        <v>369</v>
      </c>
      <c r="I1600" s="165">
        <v>2012</v>
      </c>
      <c r="J1600" s="165" t="s">
        <v>3932</v>
      </c>
      <c r="K1600" s="165" t="s">
        <v>3933</v>
      </c>
      <c r="L1600" s="165" t="s">
        <v>19</v>
      </c>
      <c r="M1600" s="453" t="s">
        <v>4325</v>
      </c>
      <c r="N1600" s="241" t="s">
        <v>122</v>
      </c>
      <c r="O1600" s="241" t="s">
        <v>292</v>
      </c>
      <c r="P1600" s="241" t="s">
        <v>292</v>
      </c>
      <c r="Q1600" s="241" t="s">
        <v>292</v>
      </c>
      <c r="R1600" s="241" t="s">
        <v>292</v>
      </c>
      <c r="S1600" s="241" t="s">
        <v>122</v>
      </c>
      <c r="T1600" s="241" t="s">
        <v>122</v>
      </c>
      <c r="U1600" s="241" t="s">
        <v>122</v>
      </c>
      <c r="V1600" s="241" t="s">
        <v>292</v>
      </c>
      <c r="W1600" s="241" t="s">
        <v>292</v>
      </c>
      <c r="X1600" s="241" t="s">
        <v>292</v>
      </c>
      <c r="Y1600" s="241" t="s">
        <v>292</v>
      </c>
      <c r="AA1600" s="241" t="s">
        <v>3934</v>
      </c>
      <c r="AB1600" s="241" t="s">
        <v>122</v>
      </c>
      <c r="AD1600" s="245" t="s">
        <v>3935</v>
      </c>
      <c r="AF1600" s="144" t="str">
        <f t="shared" si="146"/>
        <v/>
      </c>
      <c r="AG1600" s="144" t="str">
        <f t="shared" si="144"/>
        <v/>
      </c>
      <c r="AH1600" s="146">
        <f t="shared" si="140"/>
        <v>4.1300000000000003E-2</v>
      </c>
      <c r="AI1600" s="146" t="str">
        <f t="shared" si="141"/>
        <v/>
      </c>
      <c r="AJ1600" s="313"/>
      <c r="AK1600" s="313"/>
      <c r="AL1600" s="313"/>
      <c r="AM1600" s="313"/>
      <c r="AN1600" s="313"/>
      <c r="AO1600" s="313"/>
      <c r="AP1600" s="313"/>
      <c r="AQ1600" s="313"/>
      <c r="AR1600" s="313"/>
      <c r="AS1600" s="244"/>
      <c r="AT1600" s="242"/>
      <c r="AW1600" s="276">
        <v>4.1300000000000003E-2</v>
      </c>
      <c r="AX1600" s="276"/>
      <c r="AY1600" s="276"/>
      <c r="AZ1600" s="276"/>
      <c r="BA1600" s="276">
        <f>71.3/1000</f>
        <v>7.1300000000000002E-2</v>
      </c>
      <c r="BB1600" s="276">
        <f>6.8/1000</f>
        <v>6.7999999999999996E-3</v>
      </c>
      <c r="BC1600" s="276">
        <f>123.5/1000</f>
        <v>0.1235</v>
      </c>
      <c r="BD1600" s="276"/>
      <c r="BE1600" s="276"/>
      <c r="BF1600" s="389">
        <f t="shared" si="147"/>
        <v>4.1300000000000003E-2</v>
      </c>
      <c r="BG1600" s="389">
        <f t="shared" si="149"/>
        <v>0.2429</v>
      </c>
      <c r="BI1600" s="276"/>
      <c r="BJ1600" s="276" t="s">
        <v>3936</v>
      </c>
    </row>
    <row r="1601" spans="1:62" ht="15" customHeight="1" thickBot="1" x14ac:dyDescent="0.25">
      <c r="A1601" s="156">
        <v>1602</v>
      </c>
      <c r="B1601" s="197">
        <v>1</v>
      </c>
      <c r="C1601" s="151" t="s">
        <v>24</v>
      </c>
      <c r="D1601" s="151" t="s">
        <v>2448</v>
      </c>
      <c r="E1601" s="151" t="s">
        <v>13</v>
      </c>
      <c r="F1601" s="151" t="s">
        <v>3940</v>
      </c>
      <c r="H1601" s="151" t="s">
        <v>1284</v>
      </c>
      <c r="I1601" s="165">
        <v>2012</v>
      </c>
      <c r="J1601" s="165" t="s">
        <v>3941</v>
      </c>
      <c r="K1601" s="165" t="s">
        <v>3942</v>
      </c>
      <c r="L1601" s="165" t="s">
        <v>19</v>
      </c>
      <c r="M1601" s="453" t="s">
        <v>4399</v>
      </c>
      <c r="N1601" s="241" t="s">
        <v>122</v>
      </c>
      <c r="O1601" s="241" t="s">
        <v>292</v>
      </c>
      <c r="P1601" s="241" t="s">
        <v>292</v>
      </c>
      <c r="Q1601" s="241" t="s">
        <v>122</v>
      </c>
      <c r="R1601" s="241" t="s">
        <v>122</v>
      </c>
      <c r="S1601" s="241" t="s">
        <v>122</v>
      </c>
      <c r="T1601" s="241" t="s">
        <v>122</v>
      </c>
      <c r="U1601" s="241" t="s">
        <v>122</v>
      </c>
      <c r="V1601" s="241" t="s">
        <v>122</v>
      </c>
      <c r="W1601" s="241" t="s">
        <v>122</v>
      </c>
      <c r="X1601" s="241" t="s">
        <v>292</v>
      </c>
      <c r="Y1601" s="241" t="s">
        <v>292</v>
      </c>
      <c r="AA1601" s="241" t="s">
        <v>999</v>
      </c>
      <c r="AD1601" s="245" t="s">
        <v>3943</v>
      </c>
      <c r="AF1601" s="144" t="str">
        <f t="shared" si="146"/>
        <v/>
      </c>
      <c r="AG1601" s="144" t="str">
        <f t="shared" si="144"/>
        <v/>
      </c>
      <c r="AH1601" s="146">
        <f t="shared" si="140"/>
        <v>4.57</v>
      </c>
      <c r="AI1601" s="146">
        <f t="shared" si="141"/>
        <v>4.74</v>
      </c>
      <c r="AJ1601" s="313"/>
      <c r="AK1601" s="313"/>
      <c r="AL1601" s="313"/>
      <c r="AM1601" s="313"/>
      <c r="AN1601" s="313"/>
      <c r="AO1601" s="313"/>
      <c r="AP1601" s="313"/>
      <c r="AQ1601" s="313"/>
      <c r="AR1601" s="313"/>
      <c r="AS1601" s="244"/>
      <c r="AT1601" s="242"/>
      <c r="AW1601" s="276">
        <v>4.57</v>
      </c>
      <c r="AX1601" s="276"/>
      <c r="AY1601" s="276">
        <v>0.17</v>
      </c>
      <c r="AZ1601" s="276">
        <v>0.6</v>
      </c>
      <c r="BA1601" s="276">
        <v>0.23</v>
      </c>
      <c r="BB1601" s="276">
        <v>0.06</v>
      </c>
      <c r="BC1601" s="276">
        <v>0.34</v>
      </c>
      <c r="BD1601" s="276"/>
      <c r="BE1601" s="276"/>
      <c r="BF1601" s="389">
        <f t="shared" si="147"/>
        <v>4.57</v>
      </c>
      <c r="BG1601" s="389">
        <f t="shared" si="149"/>
        <v>5.97</v>
      </c>
      <c r="BI1601" s="276"/>
      <c r="BJ1601" s="276" t="s">
        <v>3944</v>
      </c>
    </row>
    <row r="1602" spans="1:62" ht="15" customHeight="1" thickBot="1" x14ac:dyDescent="0.25">
      <c r="A1602" s="156">
        <v>1603</v>
      </c>
      <c r="B1602" s="197">
        <v>1</v>
      </c>
      <c r="C1602" s="151" t="s">
        <v>24</v>
      </c>
      <c r="D1602" s="151" t="s">
        <v>269</v>
      </c>
      <c r="E1602" s="151" t="s">
        <v>13</v>
      </c>
      <c r="F1602" s="151" t="s">
        <v>3940</v>
      </c>
      <c r="H1602" s="151" t="s">
        <v>1284</v>
      </c>
      <c r="I1602" s="165">
        <v>2012</v>
      </c>
      <c r="J1602" s="165" t="s">
        <v>3941</v>
      </c>
      <c r="K1602" s="165" t="s">
        <v>3942</v>
      </c>
      <c r="L1602" s="165" t="s">
        <v>19</v>
      </c>
      <c r="M1602" s="453" t="s">
        <v>4399</v>
      </c>
      <c r="N1602" s="241" t="s">
        <v>122</v>
      </c>
      <c r="O1602" s="241" t="s">
        <v>292</v>
      </c>
      <c r="P1602" s="241" t="s">
        <v>292</v>
      </c>
      <c r="Q1602" s="241" t="s">
        <v>122</v>
      </c>
      <c r="R1602" s="241" t="s">
        <v>122</v>
      </c>
      <c r="S1602" s="241" t="s">
        <v>122</v>
      </c>
      <c r="T1602" s="241" t="s">
        <v>122</v>
      </c>
      <c r="U1602" s="241" t="s">
        <v>122</v>
      </c>
      <c r="V1602" s="241" t="s">
        <v>122</v>
      </c>
      <c r="W1602" s="241" t="s">
        <v>122</v>
      </c>
      <c r="X1602" s="241" t="s">
        <v>292</v>
      </c>
      <c r="Y1602" s="241" t="s">
        <v>292</v>
      </c>
      <c r="AA1602" s="241" t="s">
        <v>999</v>
      </c>
      <c r="AD1602" s="245" t="s">
        <v>3943</v>
      </c>
      <c r="AF1602" s="144" t="str">
        <f t="shared" si="146"/>
        <v/>
      </c>
      <c r="AG1602" s="144" t="str">
        <f t="shared" si="144"/>
        <v/>
      </c>
      <c r="AH1602" s="146">
        <f t="shared" ref="AH1602:AH1645" si="150">IF(BF1602&lt;&gt;0,BF1602,"")</f>
        <v>5.57</v>
      </c>
      <c r="AI1602" s="146">
        <f t="shared" ref="AI1602:AI1645" si="151">IF(AND(SUM(AW1602:AY1602)&lt;&gt;0,SUM(AW1602:AY1602)&lt;&gt;AW1602),SUM(AW1602:AY1602),"")</f>
        <v>5.69</v>
      </c>
      <c r="AJ1602" s="313"/>
      <c r="AK1602" s="313"/>
      <c r="AL1602" s="313"/>
      <c r="AM1602" s="313"/>
      <c r="AN1602" s="313"/>
      <c r="AO1602" s="313"/>
      <c r="AP1602" s="313"/>
      <c r="AQ1602" s="313"/>
      <c r="AR1602" s="313"/>
      <c r="AS1602" s="244"/>
      <c r="AT1602" s="242"/>
      <c r="AW1602" s="276">
        <v>5.57</v>
      </c>
      <c r="AX1602" s="276"/>
      <c r="AY1602" s="276">
        <v>0.12</v>
      </c>
      <c r="AZ1602" s="276">
        <v>0.6</v>
      </c>
      <c r="BA1602" s="276">
        <v>0.24</v>
      </c>
      <c r="BB1602" s="276">
        <v>7.0000000000000007E-2</v>
      </c>
      <c r="BC1602" s="276">
        <v>0.34</v>
      </c>
      <c r="BD1602" s="276"/>
      <c r="BE1602" s="276"/>
      <c r="BF1602" s="389">
        <f t="shared" si="147"/>
        <v>5.57</v>
      </c>
      <c r="BG1602" s="389">
        <f t="shared" si="149"/>
        <v>6.94</v>
      </c>
      <c r="BI1602" s="276"/>
      <c r="BJ1602" s="276" t="s">
        <v>3944</v>
      </c>
    </row>
    <row r="1603" spans="1:62" ht="15" customHeight="1" thickBot="1" x14ac:dyDescent="0.25">
      <c r="A1603" s="156">
        <v>1604</v>
      </c>
      <c r="B1603" s="197">
        <v>1</v>
      </c>
      <c r="C1603" s="151" t="s">
        <v>24</v>
      </c>
      <c r="D1603" s="151" t="s">
        <v>53</v>
      </c>
      <c r="E1603" s="151" t="s">
        <v>13</v>
      </c>
      <c r="F1603" s="151" t="s">
        <v>3940</v>
      </c>
      <c r="H1603" s="151" t="s">
        <v>1284</v>
      </c>
      <c r="I1603" s="165">
        <v>2012</v>
      </c>
      <c r="J1603" s="165" t="s">
        <v>3941</v>
      </c>
      <c r="K1603" s="165" t="s">
        <v>3942</v>
      </c>
      <c r="L1603" s="165" t="s">
        <v>19</v>
      </c>
      <c r="M1603" s="453" t="s">
        <v>4399</v>
      </c>
      <c r="N1603" s="241" t="s">
        <v>122</v>
      </c>
      <c r="O1603" s="241" t="s">
        <v>292</v>
      </c>
      <c r="P1603" s="241" t="s">
        <v>292</v>
      </c>
      <c r="Q1603" s="241" t="s">
        <v>122</v>
      </c>
      <c r="R1603" s="241" t="s">
        <v>122</v>
      </c>
      <c r="S1603" s="241" t="s">
        <v>122</v>
      </c>
      <c r="T1603" s="241" t="s">
        <v>122</v>
      </c>
      <c r="U1603" s="241" t="s">
        <v>122</v>
      </c>
      <c r="V1603" s="241" t="s">
        <v>122</v>
      </c>
      <c r="W1603" s="241" t="s">
        <v>122</v>
      </c>
      <c r="X1603" s="241" t="s">
        <v>292</v>
      </c>
      <c r="Y1603" s="241" t="s">
        <v>292</v>
      </c>
      <c r="AA1603" s="241" t="s">
        <v>999</v>
      </c>
      <c r="AD1603" s="245" t="s">
        <v>3943</v>
      </c>
      <c r="AF1603" s="144" t="str">
        <f t="shared" si="146"/>
        <v/>
      </c>
      <c r="AG1603" s="144" t="str">
        <f t="shared" si="144"/>
        <v/>
      </c>
      <c r="AH1603" s="146">
        <f t="shared" si="150"/>
        <v>34.299999999999997</v>
      </c>
      <c r="AI1603" s="146">
        <f t="shared" si="151"/>
        <v>34.339999999999996</v>
      </c>
      <c r="AJ1603" s="313"/>
      <c r="AK1603" s="313"/>
      <c r="AL1603" s="313"/>
      <c r="AM1603" s="313"/>
      <c r="AN1603" s="313"/>
      <c r="AO1603" s="313"/>
      <c r="AP1603" s="313"/>
      <c r="AQ1603" s="313"/>
      <c r="AR1603" s="313"/>
      <c r="AS1603" s="244"/>
      <c r="AT1603" s="242"/>
      <c r="AW1603" s="276">
        <v>34.299999999999997</v>
      </c>
      <c r="AX1603" s="276"/>
      <c r="AY1603" s="276">
        <v>0.04</v>
      </c>
      <c r="AZ1603" s="276">
        <v>0.6</v>
      </c>
      <c r="BA1603" s="276">
        <v>0.24</v>
      </c>
      <c r="BB1603" s="276">
        <v>7.0000000000000007E-2</v>
      </c>
      <c r="BC1603" s="276">
        <v>0.34</v>
      </c>
      <c r="BD1603" s="276"/>
      <c r="BE1603" s="276"/>
      <c r="BF1603" s="389">
        <f t="shared" si="147"/>
        <v>34.299999999999997</v>
      </c>
      <c r="BG1603" s="389">
        <f t="shared" si="149"/>
        <v>35.590000000000003</v>
      </c>
      <c r="BI1603" s="276"/>
      <c r="BJ1603" s="276" t="s">
        <v>3944</v>
      </c>
    </row>
    <row r="1604" spans="1:62" ht="15" customHeight="1" thickBot="1" x14ac:dyDescent="0.25">
      <c r="A1604" s="156">
        <v>1605</v>
      </c>
      <c r="B1604" s="197">
        <v>1</v>
      </c>
      <c r="C1604" s="151" t="s">
        <v>259</v>
      </c>
      <c r="D1604" s="151" t="s">
        <v>2747</v>
      </c>
      <c r="E1604" s="151" t="s">
        <v>1266</v>
      </c>
      <c r="F1604" s="151" t="s">
        <v>3945</v>
      </c>
      <c r="G1604" s="151" t="s">
        <v>20</v>
      </c>
      <c r="H1604" s="151" t="s">
        <v>1284</v>
      </c>
      <c r="I1604" s="165">
        <v>2012</v>
      </c>
      <c r="J1604" s="165" t="s">
        <v>3946</v>
      </c>
      <c r="K1604" s="165" t="s">
        <v>3947</v>
      </c>
      <c r="L1604" s="165" t="s">
        <v>19</v>
      </c>
      <c r="M1604" s="453" t="s">
        <v>4400</v>
      </c>
      <c r="N1604" s="241" t="s">
        <v>122</v>
      </c>
      <c r="O1604" s="241" t="s">
        <v>292</v>
      </c>
      <c r="P1604" s="241" t="s">
        <v>292</v>
      </c>
      <c r="Q1604" s="241" t="s">
        <v>292</v>
      </c>
      <c r="R1604" s="241" t="s">
        <v>292</v>
      </c>
      <c r="S1604" s="241" t="s">
        <v>292</v>
      </c>
      <c r="T1604" s="241" t="s">
        <v>292</v>
      </c>
      <c r="U1604" s="241" t="s">
        <v>292</v>
      </c>
      <c r="V1604" s="241" t="s">
        <v>292</v>
      </c>
      <c r="W1604" s="241" t="s">
        <v>292</v>
      </c>
      <c r="X1604" s="241" t="s">
        <v>292</v>
      </c>
      <c r="Y1604" s="241" t="s">
        <v>292</v>
      </c>
      <c r="AA1604" s="241" t="s">
        <v>303</v>
      </c>
      <c r="AD1604" s="245" t="s">
        <v>3948</v>
      </c>
      <c r="AF1604" s="144">
        <f t="shared" si="146"/>
        <v>5.2</v>
      </c>
      <c r="AG1604" s="144" t="str">
        <f t="shared" si="144"/>
        <v/>
      </c>
      <c r="AH1604" s="146">
        <f t="shared" si="150"/>
        <v>1.46</v>
      </c>
      <c r="AI1604" s="146" t="str">
        <f t="shared" si="151"/>
        <v/>
      </c>
      <c r="AJ1604" s="313">
        <v>5.2</v>
      </c>
      <c r="AK1604" s="313"/>
      <c r="AL1604" s="313"/>
      <c r="AM1604" s="313"/>
      <c r="AN1604" s="313"/>
      <c r="AO1604" s="313"/>
      <c r="AP1604" s="313"/>
      <c r="AQ1604" s="313"/>
      <c r="AR1604" s="313"/>
      <c r="AS1604" s="244">
        <f>AJ1604</f>
        <v>5.2</v>
      </c>
      <c r="AT1604" s="242"/>
      <c r="AW1604" s="276">
        <v>1.46</v>
      </c>
      <c r="AX1604" s="276"/>
      <c r="AY1604" s="276"/>
      <c r="AZ1604" s="276"/>
      <c r="BA1604" s="276"/>
      <c r="BB1604" s="276"/>
      <c r="BC1604" s="276"/>
      <c r="BD1604" s="276"/>
      <c r="BE1604" s="276"/>
      <c r="BF1604" s="389">
        <f t="shared" si="147"/>
        <v>1.46</v>
      </c>
      <c r="BG1604" s="389"/>
      <c r="BI1604" s="276"/>
      <c r="BJ1604" s="276"/>
    </row>
    <row r="1605" spans="1:62" ht="15" customHeight="1" thickBot="1" x14ac:dyDescent="0.25">
      <c r="A1605" s="156">
        <v>1606</v>
      </c>
      <c r="B1605" s="197">
        <v>1</v>
      </c>
      <c r="C1605" s="151" t="s">
        <v>259</v>
      </c>
      <c r="D1605" s="151" t="s">
        <v>2747</v>
      </c>
      <c r="E1605" s="151" t="s">
        <v>1266</v>
      </c>
      <c r="F1605" s="151" t="s">
        <v>3949</v>
      </c>
      <c r="G1605" s="151" t="s">
        <v>20</v>
      </c>
      <c r="H1605" s="151" t="s">
        <v>1284</v>
      </c>
      <c r="I1605" s="165">
        <v>2012</v>
      </c>
      <c r="J1605" s="165" t="s">
        <v>3946</v>
      </c>
      <c r="K1605" s="165" t="s">
        <v>3947</v>
      </c>
      <c r="L1605" s="165" t="s">
        <v>19</v>
      </c>
      <c r="M1605" s="453" t="s">
        <v>4400</v>
      </c>
      <c r="N1605" s="241" t="s">
        <v>122</v>
      </c>
      <c r="O1605" s="241" t="s">
        <v>292</v>
      </c>
      <c r="P1605" s="241" t="s">
        <v>292</v>
      </c>
      <c r="Q1605" s="241" t="s">
        <v>292</v>
      </c>
      <c r="R1605" s="241" t="s">
        <v>292</v>
      </c>
      <c r="S1605" s="241" t="s">
        <v>292</v>
      </c>
      <c r="T1605" s="241" t="s">
        <v>292</v>
      </c>
      <c r="U1605" s="241" t="s">
        <v>292</v>
      </c>
      <c r="V1605" s="241" t="s">
        <v>292</v>
      </c>
      <c r="W1605" s="241" t="s">
        <v>292</v>
      </c>
      <c r="X1605" s="241" t="s">
        <v>292</v>
      </c>
      <c r="Y1605" s="241" t="s">
        <v>292</v>
      </c>
      <c r="AA1605" s="241" t="s">
        <v>303</v>
      </c>
      <c r="AD1605" s="245" t="s">
        <v>3948</v>
      </c>
      <c r="AF1605" s="144">
        <f t="shared" si="146"/>
        <v>4.5999999999999996</v>
      </c>
      <c r="AG1605" s="144" t="str">
        <f t="shared" si="144"/>
        <v/>
      </c>
      <c r="AH1605" s="146">
        <f t="shared" si="150"/>
        <v>1.58</v>
      </c>
      <c r="AI1605" s="146" t="str">
        <f t="shared" si="151"/>
        <v/>
      </c>
      <c r="AJ1605" s="313">
        <v>4.5999999999999996</v>
      </c>
      <c r="AK1605" s="313"/>
      <c r="AL1605" s="313"/>
      <c r="AM1605" s="313"/>
      <c r="AN1605" s="313"/>
      <c r="AO1605" s="313"/>
      <c r="AP1605" s="313"/>
      <c r="AQ1605" s="313"/>
      <c r="AR1605" s="313"/>
      <c r="AS1605" s="244">
        <f>AJ1605</f>
        <v>4.5999999999999996</v>
      </c>
      <c r="AT1605" s="242"/>
      <c r="AW1605" s="276">
        <v>1.58</v>
      </c>
      <c r="AX1605" s="276"/>
      <c r="AY1605" s="276"/>
      <c r="AZ1605" s="276"/>
      <c r="BA1605" s="276"/>
      <c r="BB1605" s="276"/>
      <c r="BC1605" s="276"/>
      <c r="BD1605" s="276"/>
      <c r="BE1605" s="276"/>
      <c r="BF1605" s="389">
        <f t="shared" si="147"/>
        <v>1.58</v>
      </c>
      <c r="BG1605" s="389"/>
      <c r="BI1605" s="276"/>
      <c r="BJ1605" s="276"/>
    </row>
    <row r="1606" spans="1:62" ht="15" customHeight="1" thickBot="1" x14ac:dyDescent="0.25">
      <c r="A1606" s="156">
        <v>1607</v>
      </c>
      <c r="B1606" s="197">
        <v>1</v>
      </c>
      <c r="C1606" s="151" t="s">
        <v>259</v>
      </c>
      <c r="D1606" s="151" t="s">
        <v>2747</v>
      </c>
      <c r="E1606" s="151" t="s">
        <v>1266</v>
      </c>
      <c r="F1606" s="151" t="s">
        <v>3950</v>
      </c>
      <c r="G1606" s="151" t="s">
        <v>20</v>
      </c>
      <c r="H1606" s="151" t="s">
        <v>1284</v>
      </c>
      <c r="I1606" s="165">
        <v>2012</v>
      </c>
      <c r="J1606" s="165" t="s">
        <v>3946</v>
      </c>
      <c r="K1606" s="165" t="s">
        <v>3947</v>
      </c>
      <c r="L1606" s="165" t="s">
        <v>19</v>
      </c>
      <c r="M1606" s="453" t="s">
        <v>4400</v>
      </c>
      <c r="N1606" s="241" t="s">
        <v>122</v>
      </c>
      <c r="O1606" s="241" t="s">
        <v>292</v>
      </c>
      <c r="P1606" s="241" t="s">
        <v>292</v>
      </c>
      <c r="Q1606" s="241" t="s">
        <v>292</v>
      </c>
      <c r="R1606" s="241" t="s">
        <v>292</v>
      </c>
      <c r="S1606" s="241" t="s">
        <v>292</v>
      </c>
      <c r="T1606" s="241" t="s">
        <v>292</v>
      </c>
      <c r="U1606" s="241" t="s">
        <v>292</v>
      </c>
      <c r="V1606" s="241" t="s">
        <v>292</v>
      </c>
      <c r="W1606" s="241" t="s">
        <v>292</v>
      </c>
      <c r="X1606" s="241" t="s">
        <v>292</v>
      </c>
      <c r="Y1606" s="241" t="s">
        <v>292</v>
      </c>
      <c r="AA1606" s="241" t="s">
        <v>303</v>
      </c>
      <c r="AD1606" s="245" t="s">
        <v>3948</v>
      </c>
      <c r="AF1606" s="144">
        <f t="shared" si="146"/>
        <v>6.1</v>
      </c>
      <c r="AG1606" s="144" t="str">
        <f t="shared" si="144"/>
        <v/>
      </c>
      <c r="AH1606" s="146">
        <f t="shared" si="150"/>
        <v>2</v>
      </c>
      <c r="AI1606" s="146" t="str">
        <f t="shared" si="151"/>
        <v/>
      </c>
      <c r="AJ1606" s="313">
        <v>6.1</v>
      </c>
      <c r="AK1606" s="313"/>
      <c r="AL1606" s="313"/>
      <c r="AM1606" s="313"/>
      <c r="AN1606" s="313"/>
      <c r="AO1606" s="313"/>
      <c r="AP1606" s="313"/>
      <c r="AQ1606" s="313"/>
      <c r="AR1606" s="313"/>
      <c r="AS1606" s="244">
        <f>AJ1606</f>
        <v>6.1</v>
      </c>
      <c r="AT1606" s="242"/>
      <c r="AW1606" s="276">
        <v>2</v>
      </c>
      <c r="AX1606" s="276"/>
      <c r="AY1606" s="276"/>
      <c r="AZ1606" s="276"/>
      <c r="BA1606" s="276"/>
      <c r="BB1606" s="276"/>
      <c r="BC1606" s="276"/>
      <c r="BD1606" s="276"/>
      <c r="BE1606" s="276"/>
      <c r="BF1606" s="389">
        <f t="shared" si="147"/>
        <v>2</v>
      </c>
      <c r="BG1606" s="389"/>
      <c r="BI1606" s="276"/>
      <c r="BJ1606" s="276"/>
    </row>
    <row r="1607" spans="1:62" ht="15" customHeight="1" thickBot="1" x14ac:dyDescent="0.25">
      <c r="A1607" s="156">
        <v>1608</v>
      </c>
      <c r="B1607" s="197">
        <v>1</v>
      </c>
      <c r="C1607" s="151" t="s">
        <v>236</v>
      </c>
      <c r="D1607" s="151" t="s">
        <v>2098</v>
      </c>
      <c r="E1607" s="151" t="s">
        <v>13</v>
      </c>
      <c r="F1607" s="151" t="s">
        <v>3951</v>
      </c>
      <c r="G1607" s="151" t="s">
        <v>20</v>
      </c>
      <c r="H1607" s="151" t="s">
        <v>87</v>
      </c>
      <c r="I1607" s="165">
        <v>2012</v>
      </c>
      <c r="J1607" s="165" t="s">
        <v>3952</v>
      </c>
      <c r="K1607" s="165" t="s">
        <v>3953</v>
      </c>
      <c r="L1607" s="165" t="s">
        <v>19</v>
      </c>
      <c r="M1607" s="453" t="s">
        <v>4401</v>
      </c>
      <c r="N1607" s="241" t="s">
        <v>122</v>
      </c>
      <c r="O1607" s="241" t="s">
        <v>292</v>
      </c>
      <c r="P1607" s="241" t="s">
        <v>292</v>
      </c>
      <c r="Q1607" s="241" t="s">
        <v>292</v>
      </c>
      <c r="R1607" s="241" t="s">
        <v>292</v>
      </c>
      <c r="S1607" s="241" t="s">
        <v>292</v>
      </c>
      <c r="T1607" s="241" t="s">
        <v>292</v>
      </c>
      <c r="U1607" s="241" t="s">
        <v>292</v>
      </c>
      <c r="V1607" s="241" t="s">
        <v>292</v>
      </c>
      <c r="W1607" s="241" t="s">
        <v>292</v>
      </c>
      <c r="X1607" s="241" t="s">
        <v>292</v>
      </c>
      <c r="Y1607" s="241" t="s">
        <v>292</v>
      </c>
      <c r="AA1607" s="241" t="s">
        <v>303</v>
      </c>
      <c r="AD1607" s="245" t="s">
        <v>3954</v>
      </c>
      <c r="AF1607" s="144" t="str">
        <f t="shared" si="146"/>
        <v/>
      </c>
      <c r="AG1607" s="144" t="str">
        <f t="shared" si="144"/>
        <v/>
      </c>
      <c r="AH1607" s="146">
        <f t="shared" si="150"/>
        <v>0.54220000000000002</v>
      </c>
      <c r="AI1607" s="146" t="str">
        <f t="shared" si="151"/>
        <v/>
      </c>
      <c r="AJ1607" s="313"/>
      <c r="AK1607" s="313"/>
      <c r="AL1607" s="313"/>
      <c r="AM1607" s="313"/>
      <c r="AN1607" s="313"/>
      <c r="AO1607" s="313"/>
      <c r="AP1607" s="313"/>
      <c r="AQ1607" s="313"/>
      <c r="AR1607" s="313"/>
      <c r="AS1607" s="244"/>
      <c r="AT1607" s="242"/>
      <c r="AW1607" s="276">
        <f>542.2/1000</f>
        <v>0.54220000000000002</v>
      </c>
      <c r="AX1607" s="276"/>
      <c r="AY1607" s="276"/>
      <c r="AZ1607" s="276"/>
      <c r="BA1607" s="276"/>
      <c r="BB1607" s="276"/>
      <c r="BC1607" s="276"/>
      <c r="BD1607" s="276"/>
      <c r="BE1607" s="276"/>
      <c r="BF1607" s="389">
        <f t="shared" si="147"/>
        <v>0.54220000000000002</v>
      </c>
      <c r="BG1607" s="389"/>
      <c r="BI1607" s="276"/>
      <c r="BJ1607" s="276"/>
    </row>
    <row r="1608" spans="1:62" ht="15" customHeight="1" thickBot="1" x14ac:dyDescent="0.25">
      <c r="A1608" s="156">
        <v>1609</v>
      </c>
      <c r="B1608" s="197">
        <v>1</v>
      </c>
      <c r="C1608" s="151" t="s">
        <v>236</v>
      </c>
      <c r="D1608" s="151" t="s">
        <v>2098</v>
      </c>
      <c r="E1608" s="151" t="s">
        <v>13</v>
      </c>
      <c r="F1608" s="151" t="s">
        <v>3955</v>
      </c>
      <c r="G1608" s="151" t="s">
        <v>20</v>
      </c>
      <c r="H1608" s="151" t="s">
        <v>87</v>
      </c>
      <c r="I1608" s="165">
        <v>2012</v>
      </c>
      <c r="J1608" s="165" t="s">
        <v>3952</v>
      </c>
      <c r="K1608" s="165" t="s">
        <v>3953</v>
      </c>
      <c r="L1608" s="165" t="s">
        <v>19</v>
      </c>
      <c r="M1608" s="453" t="s">
        <v>4401</v>
      </c>
      <c r="N1608" s="241" t="s">
        <v>122</v>
      </c>
      <c r="O1608" s="241" t="s">
        <v>292</v>
      </c>
      <c r="P1608" s="241" t="s">
        <v>292</v>
      </c>
      <c r="Q1608" s="241" t="s">
        <v>292</v>
      </c>
      <c r="R1608" s="241" t="s">
        <v>292</v>
      </c>
      <c r="S1608" s="241" t="s">
        <v>292</v>
      </c>
      <c r="T1608" s="241" t="s">
        <v>292</v>
      </c>
      <c r="U1608" s="241" t="s">
        <v>292</v>
      </c>
      <c r="V1608" s="241" t="s">
        <v>292</v>
      </c>
      <c r="W1608" s="241" t="s">
        <v>292</v>
      </c>
      <c r="X1608" s="241" t="s">
        <v>292</v>
      </c>
      <c r="Y1608" s="241" t="s">
        <v>292</v>
      </c>
      <c r="AA1608" s="241" t="s">
        <v>303</v>
      </c>
      <c r="AD1608" s="245" t="s">
        <v>3954</v>
      </c>
      <c r="AF1608" s="144" t="str">
        <f t="shared" si="146"/>
        <v/>
      </c>
      <c r="AG1608" s="144" t="str">
        <f t="shared" si="144"/>
        <v/>
      </c>
      <c r="AH1608" s="146">
        <f t="shared" si="150"/>
        <v>0.70710000000000006</v>
      </c>
      <c r="AI1608" s="146" t="str">
        <f t="shared" si="151"/>
        <v/>
      </c>
      <c r="AJ1608" s="313"/>
      <c r="AK1608" s="313"/>
      <c r="AL1608" s="313"/>
      <c r="AM1608" s="313"/>
      <c r="AN1608" s="313"/>
      <c r="AO1608" s="313"/>
      <c r="AP1608" s="313"/>
      <c r="AQ1608" s="313"/>
      <c r="AR1608" s="313"/>
      <c r="AS1608" s="244"/>
      <c r="AT1608" s="242"/>
      <c r="AW1608" s="276">
        <f>707.1/1000</f>
        <v>0.70710000000000006</v>
      </c>
      <c r="AX1608" s="276"/>
      <c r="AY1608" s="276"/>
      <c r="AZ1608" s="276"/>
      <c r="BA1608" s="276"/>
      <c r="BB1608" s="276"/>
      <c r="BC1608" s="276"/>
      <c r="BD1608" s="276"/>
      <c r="BE1608" s="276"/>
      <c r="BF1608" s="389">
        <f t="shared" si="147"/>
        <v>0.70710000000000006</v>
      </c>
      <c r="BG1608" s="389"/>
      <c r="BI1608" s="276"/>
      <c r="BJ1608" s="276"/>
    </row>
    <row r="1609" spans="1:62" ht="15" customHeight="1" thickBot="1" x14ac:dyDescent="0.25">
      <c r="A1609" s="156">
        <v>1610</v>
      </c>
      <c r="B1609" s="197">
        <v>1</v>
      </c>
      <c r="C1609" s="151" t="s">
        <v>236</v>
      </c>
      <c r="D1609" s="151" t="s">
        <v>3956</v>
      </c>
      <c r="E1609" s="151" t="s">
        <v>13</v>
      </c>
      <c r="F1609" s="151" t="s">
        <v>3957</v>
      </c>
      <c r="H1609" s="151" t="s">
        <v>87</v>
      </c>
      <c r="I1609" s="165">
        <v>2012</v>
      </c>
      <c r="J1609" s="165" t="s">
        <v>3958</v>
      </c>
      <c r="K1609" s="165" t="s">
        <v>3959</v>
      </c>
      <c r="L1609" s="165" t="s">
        <v>19</v>
      </c>
      <c r="M1609" s="453" t="s">
        <v>4402</v>
      </c>
      <c r="N1609" s="241" t="s">
        <v>122</v>
      </c>
      <c r="O1609" s="240" t="s">
        <v>292</v>
      </c>
      <c r="P1609" s="241" t="s">
        <v>122</v>
      </c>
      <c r="Q1609" s="241" t="s">
        <v>292</v>
      </c>
      <c r="R1609" s="241" t="s">
        <v>122</v>
      </c>
      <c r="S1609" s="241" t="s">
        <v>122</v>
      </c>
      <c r="T1609" s="241" t="s">
        <v>292</v>
      </c>
      <c r="U1609" s="241" t="s">
        <v>292</v>
      </c>
      <c r="V1609" s="241" t="s">
        <v>292</v>
      </c>
      <c r="W1609" s="241" t="s">
        <v>292</v>
      </c>
      <c r="X1609" s="241" t="s">
        <v>292</v>
      </c>
      <c r="Y1609" s="241" t="s">
        <v>292</v>
      </c>
      <c r="AA1609" s="241" t="s">
        <v>3906</v>
      </c>
      <c r="AD1609" s="245" t="s">
        <v>3960</v>
      </c>
      <c r="AF1609" s="144" t="str">
        <f t="shared" si="146"/>
        <v/>
      </c>
      <c r="AG1609" s="144" t="str">
        <f t="shared" si="144"/>
        <v/>
      </c>
      <c r="AH1609" s="146" t="str">
        <f t="shared" si="150"/>
        <v/>
      </c>
      <c r="AI1609" s="146" t="str">
        <f t="shared" si="151"/>
        <v/>
      </c>
      <c r="AJ1609" s="313"/>
      <c r="AK1609" s="313"/>
      <c r="AL1609" s="313"/>
      <c r="AM1609" s="313"/>
      <c r="AN1609" s="313"/>
      <c r="AO1609" s="313"/>
      <c r="AP1609" s="313"/>
      <c r="AQ1609" s="313"/>
      <c r="AR1609" s="313"/>
      <c r="AS1609" s="244"/>
      <c r="AT1609" s="242">
        <v>24</v>
      </c>
      <c r="AV1609" s="313" t="s">
        <v>3961</v>
      </c>
      <c r="AW1609" s="276"/>
      <c r="AX1609" s="276"/>
      <c r="AY1609" s="276"/>
      <c r="AZ1609" s="276"/>
      <c r="BA1609" s="276"/>
      <c r="BB1609" s="276"/>
      <c r="BC1609" s="276"/>
      <c r="BD1609" s="276"/>
      <c r="BE1609" s="276"/>
      <c r="BF1609" s="389"/>
      <c r="BG1609" s="389">
        <v>1.4275</v>
      </c>
      <c r="BI1609" s="276"/>
      <c r="BJ1609" s="276" t="s">
        <v>3962</v>
      </c>
    </row>
    <row r="1610" spans="1:62" ht="15" customHeight="1" thickBot="1" x14ac:dyDescent="0.25">
      <c r="A1610" s="156">
        <v>1611</v>
      </c>
      <c r="B1610" s="197">
        <v>1</v>
      </c>
      <c r="C1610" s="151" t="s">
        <v>162</v>
      </c>
      <c r="D1610" s="151" t="s">
        <v>3963</v>
      </c>
      <c r="E1610" s="151" t="s">
        <v>13</v>
      </c>
      <c r="F1610" s="151" t="s">
        <v>3957</v>
      </c>
      <c r="H1610" s="151" t="s">
        <v>87</v>
      </c>
      <c r="I1610" s="165">
        <v>2012</v>
      </c>
      <c r="J1610" s="165" t="s">
        <v>3958</v>
      </c>
      <c r="K1610" s="165" t="s">
        <v>3959</v>
      </c>
      <c r="L1610" s="165" t="s">
        <v>19</v>
      </c>
      <c r="M1610" s="453" t="s">
        <v>4402</v>
      </c>
      <c r="N1610" s="241" t="s">
        <v>122</v>
      </c>
      <c r="O1610" s="240" t="s">
        <v>292</v>
      </c>
      <c r="P1610" s="241" t="s">
        <v>122</v>
      </c>
      <c r="Q1610" s="241" t="s">
        <v>292</v>
      </c>
      <c r="R1610" s="241" t="s">
        <v>122</v>
      </c>
      <c r="S1610" s="241" t="s">
        <v>122</v>
      </c>
      <c r="T1610" s="241" t="s">
        <v>292</v>
      </c>
      <c r="U1610" s="241" t="s">
        <v>292</v>
      </c>
      <c r="V1610" s="241" t="s">
        <v>292</v>
      </c>
      <c r="W1610" s="241" t="s">
        <v>292</v>
      </c>
      <c r="X1610" s="241" t="s">
        <v>292</v>
      </c>
      <c r="Y1610" s="241" t="s">
        <v>292</v>
      </c>
      <c r="AA1610" s="241" t="s">
        <v>3906</v>
      </c>
      <c r="AD1610" s="245" t="s">
        <v>3960</v>
      </c>
      <c r="AF1610" s="144" t="str">
        <f t="shared" si="146"/>
        <v/>
      </c>
      <c r="AG1610" s="144" t="str">
        <f t="shared" si="144"/>
        <v/>
      </c>
      <c r="AH1610" s="146" t="str">
        <f t="shared" si="150"/>
        <v/>
      </c>
      <c r="AI1610" s="146" t="str">
        <f t="shared" si="151"/>
        <v/>
      </c>
      <c r="AJ1610" s="313"/>
      <c r="AK1610" s="313"/>
      <c r="AL1610" s="313"/>
      <c r="AM1610" s="313"/>
      <c r="AN1610" s="313"/>
      <c r="AO1610" s="313"/>
      <c r="AP1610" s="313"/>
      <c r="AQ1610" s="313"/>
      <c r="AR1610" s="313"/>
      <c r="AS1610" s="244"/>
      <c r="AT1610" s="242">
        <v>18</v>
      </c>
      <c r="AV1610" s="313" t="s">
        <v>3961</v>
      </c>
      <c r="AW1610" s="276"/>
      <c r="AX1610" s="276"/>
      <c r="AY1610" s="276"/>
      <c r="AZ1610" s="276"/>
      <c r="BA1610" s="276"/>
      <c r="BB1610" s="276"/>
      <c r="BC1610" s="276"/>
      <c r="BD1610" s="276"/>
      <c r="BE1610" s="276"/>
      <c r="BF1610" s="389"/>
      <c r="BG1610" s="389">
        <v>0.91549999999999998</v>
      </c>
      <c r="BI1610" s="276"/>
      <c r="BJ1610" s="276" t="s">
        <v>3962</v>
      </c>
    </row>
    <row r="1611" spans="1:62" ht="15" customHeight="1" thickBot="1" x14ac:dyDescent="0.25">
      <c r="A1611" s="156">
        <v>1612</v>
      </c>
      <c r="B1611" s="197">
        <v>1</v>
      </c>
      <c r="C1611" s="151" t="s">
        <v>162</v>
      </c>
      <c r="D1611" s="151" t="s">
        <v>3964</v>
      </c>
      <c r="E1611" s="151" t="s">
        <v>13</v>
      </c>
      <c r="F1611" s="151" t="s">
        <v>3957</v>
      </c>
      <c r="H1611" s="151" t="s">
        <v>87</v>
      </c>
      <c r="I1611" s="165">
        <v>2012</v>
      </c>
      <c r="J1611" s="165" t="s">
        <v>3958</v>
      </c>
      <c r="K1611" s="165" t="s">
        <v>3959</v>
      </c>
      <c r="L1611" s="165" t="s">
        <v>19</v>
      </c>
      <c r="M1611" s="453" t="s">
        <v>4402</v>
      </c>
      <c r="N1611" s="241" t="s">
        <v>122</v>
      </c>
      <c r="O1611" s="240" t="s">
        <v>292</v>
      </c>
      <c r="P1611" s="241" t="s">
        <v>122</v>
      </c>
      <c r="Q1611" s="241" t="s">
        <v>292</v>
      </c>
      <c r="R1611" s="241" t="s">
        <v>122</v>
      </c>
      <c r="S1611" s="241" t="s">
        <v>122</v>
      </c>
      <c r="T1611" s="241" t="s">
        <v>292</v>
      </c>
      <c r="U1611" s="241" t="s">
        <v>292</v>
      </c>
      <c r="V1611" s="241" t="s">
        <v>292</v>
      </c>
      <c r="W1611" s="241" t="s">
        <v>292</v>
      </c>
      <c r="X1611" s="241" t="s">
        <v>292</v>
      </c>
      <c r="Y1611" s="241" t="s">
        <v>292</v>
      </c>
      <c r="AA1611" s="241" t="s">
        <v>3906</v>
      </c>
      <c r="AD1611" s="245" t="s">
        <v>3960</v>
      </c>
      <c r="AF1611" s="144" t="str">
        <f t="shared" si="146"/>
        <v/>
      </c>
      <c r="AG1611" s="144" t="str">
        <f t="shared" si="144"/>
        <v/>
      </c>
      <c r="AH1611" s="146" t="str">
        <f t="shared" si="150"/>
        <v/>
      </c>
      <c r="AI1611" s="146" t="str">
        <f t="shared" si="151"/>
        <v/>
      </c>
      <c r="AJ1611" s="313"/>
      <c r="AK1611" s="313"/>
      <c r="AL1611" s="313"/>
      <c r="AM1611" s="313"/>
      <c r="AN1611" s="313"/>
      <c r="AO1611" s="313"/>
      <c r="AP1611" s="313"/>
      <c r="AQ1611" s="313"/>
      <c r="AR1611" s="313"/>
      <c r="AS1611" s="244"/>
      <c r="AT1611" s="242">
        <v>29</v>
      </c>
      <c r="AV1611" s="313" t="s">
        <v>3961</v>
      </c>
      <c r="AW1611" s="276"/>
      <c r="AX1611" s="276"/>
      <c r="AY1611" s="276"/>
      <c r="AZ1611" s="276"/>
      <c r="BA1611" s="276"/>
      <c r="BB1611" s="276"/>
      <c r="BC1611" s="276"/>
      <c r="BD1611" s="276"/>
      <c r="BE1611" s="276"/>
      <c r="BF1611" s="389"/>
      <c r="BG1611" s="389">
        <v>1.571</v>
      </c>
      <c r="BI1611" s="276"/>
      <c r="BJ1611" s="276" t="s">
        <v>3962</v>
      </c>
    </row>
    <row r="1612" spans="1:62" ht="15" customHeight="1" thickBot="1" x14ac:dyDescent="0.25">
      <c r="A1612" s="156">
        <v>1613</v>
      </c>
      <c r="B1612" s="197">
        <v>1</v>
      </c>
      <c r="C1612" s="151" t="s">
        <v>162</v>
      </c>
      <c r="D1612" s="151" t="s">
        <v>3513</v>
      </c>
      <c r="E1612" s="151" t="s">
        <v>13</v>
      </c>
      <c r="F1612" s="151" t="s">
        <v>3957</v>
      </c>
      <c r="H1612" s="151" t="s">
        <v>87</v>
      </c>
      <c r="I1612" s="165">
        <v>2012</v>
      </c>
      <c r="J1612" s="165" t="s">
        <v>3958</v>
      </c>
      <c r="K1612" s="165" t="s">
        <v>3959</v>
      </c>
      <c r="L1612" s="165" t="s">
        <v>19</v>
      </c>
      <c r="M1612" s="453" t="s">
        <v>4402</v>
      </c>
      <c r="N1612" s="241" t="s">
        <v>122</v>
      </c>
      <c r="O1612" s="240" t="s">
        <v>292</v>
      </c>
      <c r="P1612" s="241" t="s">
        <v>122</v>
      </c>
      <c r="Q1612" s="241" t="s">
        <v>292</v>
      </c>
      <c r="R1612" s="241" t="s">
        <v>122</v>
      </c>
      <c r="S1612" s="241" t="s">
        <v>122</v>
      </c>
      <c r="T1612" s="241" t="s">
        <v>292</v>
      </c>
      <c r="U1612" s="241" t="s">
        <v>292</v>
      </c>
      <c r="V1612" s="241" t="s">
        <v>292</v>
      </c>
      <c r="W1612" s="241" t="s">
        <v>292</v>
      </c>
      <c r="X1612" s="241" t="s">
        <v>292</v>
      </c>
      <c r="Y1612" s="241" t="s">
        <v>292</v>
      </c>
      <c r="AA1612" s="241" t="s">
        <v>3906</v>
      </c>
      <c r="AD1612" s="245" t="s">
        <v>3960</v>
      </c>
      <c r="AF1612" s="144" t="str">
        <f t="shared" si="146"/>
        <v/>
      </c>
      <c r="AG1612" s="144" t="str">
        <f t="shared" si="144"/>
        <v/>
      </c>
      <c r="AH1612" s="146" t="str">
        <f t="shared" si="150"/>
        <v/>
      </c>
      <c r="AI1612" s="146" t="str">
        <f t="shared" si="151"/>
        <v/>
      </c>
      <c r="AJ1612" s="313"/>
      <c r="AK1612" s="313"/>
      <c r="AL1612" s="313"/>
      <c r="AM1612" s="313"/>
      <c r="AN1612" s="313"/>
      <c r="AO1612" s="313"/>
      <c r="AP1612" s="313"/>
      <c r="AQ1612" s="313"/>
      <c r="AR1612" s="313"/>
      <c r="AS1612" s="244"/>
      <c r="AT1612" s="242">
        <v>16.2</v>
      </c>
      <c r="AV1612" s="313" t="s">
        <v>3961</v>
      </c>
      <c r="AW1612" s="276"/>
      <c r="AX1612" s="276"/>
      <c r="AY1612" s="276"/>
      <c r="AZ1612" s="276"/>
      <c r="BA1612" s="276"/>
      <c r="BB1612" s="276"/>
      <c r="BC1612" s="276"/>
      <c r="BD1612" s="276"/>
      <c r="BE1612" s="276"/>
      <c r="BF1612" s="389"/>
      <c r="BG1612" s="389">
        <v>0.74</v>
      </c>
      <c r="BI1612" s="276"/>
      <c r="BJ1612" s="276" t="s">
        <v>3962</v>
      </c>
    </row>
    <row r="1613" spans="1:62" ht="15" customHeight="1" thickBot="1" x14ac:dyDescent="0.25">
      <c r="A1613" s="156">
        <v>1614</v>
      </c>
      <c r="B1613" s="197">
        <v>1</v>
      </c>
      <c r="C1613" s="151" t="s">
        <v>162</v>
      </c>
      <c r="D1613" s="151" t="s">
        <v>3513</v>
      </c>
      <c r="E1613" s="151" t="s">
        <v>13</v>
      </c>
      <c r="F1613" s="151" t="s">
        <v>3965</v>
      </c>
      <c r="H1613" s="151" t="s">
        <v>87</v>
      </c>
      <c r="I1613" s="165">
        <v>2012</v>
      </c>
      <c r="J1613" s="165" t="s">
        <v>3958</v>
      </c>
      <c r="K1613" s="165" t="s">
        <v>3959</v>
      </c>
      <c r="L1613" s="165" t="s">
        <v>19</v>
      </c>
      <c r="M1613" s="453" t="s">
        <v>4402</v>
      </c>
      <c r="N1613" s="241" t="s">
        <v>122</v>
      </c>
      <c r="O1613" s="240" t="s">
        <v>292</v>
      </c>
      <c r="P1613" s="241" t="s">
        <v>122</v>
      </c>
      <c r="Q1613" s="241" t="s">
        <v>292</v>
      </c>
      <c r="R1613" s="241" t="s">
        <v>122</v>
      </c>
      <c r="S1613" s="241" t="s">
        <v>122</v>
      </c>
      <c r="T1613" s="241" t="s">
        <v>292</v>
      </c>
      <c r="U1613" s="241" t="s">
        <v>292</v>
      </c>
      <c r="V1613" s="241" t="s">
        <v>292</v>
      </c>
      <c r="W1613" s="241" t="s">
        <v>292</v>
      </c>
      <c r="X1613" s="241" t="s">
        <v>292</v>
      </c>
      <c r="Y1613" s="241" t="s">
        <v>292</v>
      </c>
      <c r="AA1613" s="241" t="s">
        <v>3906</v>
      </c>
      <c r="AD1613" s="245" t="s">
        <v>3960</v>
      </c>
      <c r="AF1613" s="144" t="str">
        <f t="shared" si="146"/>
        <v/>
      </c>
      <c r="AG1613" s="144" t="str">
        <f t="shared" si="144"/>
        <v/>
      </c>
      <c r="AH1613" s="146" t="str">
        <f t="shared" si="150"/>
        <v/>
      </c>
      <c r="AI1613" s="146" t="str">
        <f t="shared" si="151"/>
        <v/>
      </c>
      <c r="AJ1613" s="313"/>
      <c r="AK1613" s="313"/>
      <c r="AL1613" s="313"/>
      <c r="AM1613" s="313"/>
      <c r="AN1613" s="313"/>
      <c r="AO1613" s="313"/>
      <c r="AP1613" s="313"/>
      <c r="AQ1613" s="313"/>
      <c r="AR1613" s="313"/>
      <c r="AS1613" s="244"/>
      <c r="AT1613" s="242">
        <v>23</v>
      </c>
      <c r="AV1613" s="313" t="s">
        <v>3961</v>
      </c>
      <c r="AW1613" s="276"/>
      <c r="AX1613" s="276"/>
      <c r="AY1613" s="276"/>
      <c r="AZ1613" s="276"/>
      <c r="BA1613" s="276"/>
      <c r="BB1613" s="276"/>
      <c r="BC1613" s="276"/>
      <c r="BD1613" s="276"/>
      <c r="BE1613" s="276"/>
      <c r="BF1613" s="389"/>
      <c r="BG1613" s="389">
        <v>1.2459</v>
      </c>
      <c r="BI1613" s="276"/>
      <c r="BJ1613" s="276" t="s">
        <v>3962</v>
      </c>
    </row>
    <row r="1614" spans="1:62" ht="15" customHeight="1" thickBot="1" x14ac:dyDescent="0.25">
      <c r="A1614" s="156">
        <v>1615</v>
      </c>
      <c r="B1614" s="197">
        <v>1</v>
      </c>
      <c r="C1614" s="151" t="s">
        <v>3589</v>
      </c>
      <c r="D1614" s="151" t="s">
        <v>12</v>
      </c>
      <c r="E1614" s="151" t="s">
        <v>13</v>
      </c>
      <c r="F1614" s="151" t="s">
        <v>3966</v>
      </c>
      <c r="H1614" s="151" t="s">
        <v>80</v>
      </c>
      <c r="I1614" s="165">
        <v>2012</v>
      </c>
      <c r="J1614" s="165" t="s">
        <v>3967</v>
      </c>
      <c r="K1614" s="165" t="s">
        <v>3968</v>
      </c>
      <c r="L1614" s="165" t="s">
        <v>104</v>
      </c>
      <c r="M1614" s="453" t="s">
        <v>4403</v>
      </c>
      <c r="N1614" s="241" t="s">
        <v>122</v>
      </c>
      <c r="O1614" s="241" t="s">
        <v>122</v>
      </c>
      <c r="P1614" s="241" t="s">
        <v>292</v>
      </c>
      <c r="Q1614" s="241" t="s">
        <v>292</v>
      </c>
      <c r="R1614" s="241" t="s">
        <v>292</v>
      </c>
      <c r="S1614" s="241" t="s">
        <v>292</v>
      </c>
      <c r="T1614" s="241" t="s">
        <v>292</v>
      </c>
      <c r="U1614" s="241" t="s">
        <v>292</v>
      </c>
      <c r="V1614" s="241" t="s">
        <v>292</v>
      </c>
      <c r="W1614" s="241" t="s">
        <v>292</v>
      </c>
      <c r="X1614" s="241" t="s">
        <v>292</v>
      </c>
      <c r="Y1614" s="241" t="s">
        <v>122</v>
      </c>
      <c r="AA1614" s="241" t="s">
        <v>3927</v>
      </c>
      <c r="AD1614" s="245" t="s">
        <v>3636</v>
      </c>
      <c r="AF1614" s="144" t="str">
        <f t="shared" si="146"/>
        <v/>
      </c>
      <c r="AG1614" s="144" t="str">
        <f t="shared" si="144"/>
        <v/>
      </c>
      <c r="AH1614" s="146">
        <f t="shared" si="150"/>
        <v>1.01</v>
      </c>
      <c r="AI1614" s="146" t="str">
        <f t="shared" si="151"/>
        <v/>
      </c>
      <c r="AJ1614" s="313"/>
      <c r="AK1614" s="313"/>
      <c r="AL1614" s="313"/>
      <c r="AM1614" s="313"/>
      <c r="AN1614" s="313"/>
      <c r="AO1614" s="313"/>
      <c r="AP1614" s="313"/>
      <c r="AQ1614" s="313"/>
      <c r="AR1614" s="313"/>
      <c r="AS1614" s="244"/>
      <c r="AT1614" s="242"/>
      <c r="AW1614" s="276">
        <v>1.01</v>
      </c>
      <c r="AX1614" s="276"/>
      <c r="AY1614" s="276"/>
      <c r="AZ1614" s="276"/>
      <c r="BA1614" s="276"/>
      <c r="BB1614" s="276"/>
      <c r="BC1614" s="276"/>
      <c r="BD1614" s="276"/>
      <c r="BE1614" s="276"/>
      <c r="BF1614" s="389">
        <f t="shared" ref="BF1614:BF1645" si="152">AW1614</f>
        <v>1.01</v>
      </c>
      <c r="BG1614" s="389"/>
      <c r="BI1614" s="276"/>
      <c r="BJ1614" s="276" t="s">
        <v>3969</v>
      </c>
    </row>
    <row r="1615" spans="1:62" ht="15" customHeight="1" thickBot="1" x14ac:dyDescent="0.25">
      <c r="A1615" s="156">
        <v>1616</v>
      </c>
      <c r="B1615" s="197">
        <v>1</v>
      </c>
      <c r="C1615" s="151" t="s">
        <v>3589</v>
      </c>
      <c r="D1615" s="151" t="s">
        <v>12</v>
      </c>
      <c r="E1615" s="151" t="s">
        <v>13</v>
      </c>
      <c r="F1615" s="151" t="s">
        <v>3966</v>
      </c>
      <c r="H1615" s="151" t="s">
        <v>101</v>
      </c>
      <c r="I1615" s="165">
        <v>2012</v>
      </c>
      <c r="J1615" s="165" t="s">
        <v>3967</v>
      </c>
      <c r="K1615" s="165" t="s">
        <v>3968</v>
      </c>
      <c r="L1615" s="165" t="s">
        <v>104</v>
      </c>
      <c r="M1615" s="453" t="s">
        <v>4403</v>
      </c>
      <c r="N1615" s="241" t="s">
        <v>122</v>
      </c>
      <c r="O1615" s="241" t="s">
        <v>122</v>
      </c>
      <c r="P1615" s="241" t="s">
        <v>292</v>
      </c>
      <c r="Q1615" s="241" t="s">
        <v>292</v>
      </c>
      <c r="R1615" s="241" t="s">
        <v>292</v>
      </c>
      <c r="S1615" s="241" t="s">
        <v>292</v>
      </c>
      <c r="T1615" s="241" t="s">
        <v>292</v>
      </c>
      <c r="U1615" s="241" t="s">
        <v>292</v>
      </c>
      <c r="V1615" s="241" t="s">
        <v>292</v>
      </c>
      <c r="W1615" s="241" t="s">
        <v>292</v>
      </c>
      <c r="X1615" s="241" t="s">
        <v>292</v>
      </c>
      <c r="Y1615" s="241" t="s">
        <v>122</v>
      </c>
      <c r="AA1615" s="241" t="s">
        <v>3927</v>
      </c>
      <c r="AD1615" s="245" t="s">
        <v>3636</v>
      </c>
      <c r="AF1615" s="144" t="str">
        <f t="shared" si="146"/>
        <v/>
      </c>
      <c r="AG1615" s="144" t="str">
        <f t="shared" si="144"/>
        <v/>
      </c>
      <c r="AH1615" s="146">
        <f t="shared" si="150"/>
        <v>1.25</v>
      </c>
      <c r="AI1615" s="146" t="str">
        <f t="shared" si="151"/>
        <v/>
      </c>
      <c r="AJ1615" s="313"/>
      <c r="AK1615" s="313"/>
      <c r="AL1615" s="313"/>
      <c r="AM1615" s="313"/>
      <c r="AN1615" s="313"/>
      <c r="AO1615" s="313"/>
      <c r="AP1615" s="313"/>
      <c r="AQ1615" s="313"/>
      <c r="AR1615" s="313"/>
      <c r="AS1615" s="244"/>
      <c r="AT1615" s="242"/>
      <c r="AW1615" s="276">
        <v>1.25</v>
      </c>
      <c r="AX1615" s="276"/>
      <c r="AY1615" s="276"/>
      <c r="AZ1615" s="276"/>
      <c r="BA1615" s="276"/>
      <c r="BB1615" s="276"/>
      <c r="BC1615" s="276"/>
      <c r="BD1615" s="276"/>
      <c r="BE1615" s="276"/>
      <c r="BF1615" s="389">
        <f t="shared" si="152"/>
        <v>1.25</v>
      </c>
      <c r="BG1615" s="389"/>
      <c r="BI1615" s="276"/>
      <c r="BJ1615" s="276" t="s">
        <v>3969</v>
      </c>
    </row>
    <row r="1616" spans="1:62" ht="15" customHeight="1" thickBot="1" x14ac:dyDescent="0.25">
      <c r="A1616" s="156">
        <v>1617</v>
      </c>
      <c r="B1616" s="197">
        <v>1</v>
      </c>
      <c r="C1616" s="151" t="s">
        <v>3589</v>
      </c>
      <c r="D1616" s="151" t="s">
        <v>12</v>
      </c>
      <c r="E1616" s="151" t="s">
        <v>13</v>
      </c>
      <c r="F1616" s="151" t="s">
        <v>3970</v>
      </c>
      <c r="H1616" s="151" t="s">
        <v>80</v>
      </c>
      <c r="I1616" s="165">
        <v>2012</v>
      </c>
      <c r="J1616" s="165" t="s">
        <v>3967</v>
      </c>
      <c r="K1616" s="165" t="s">
        <v>3968</v>
      </c>
      <c r="L1616" s="165" t="s">
        <v>104</v>
      </c>
      <c r="M1616" s="453" t="s">
        <v>4403</v>
      </c>
      <c r="N1616" s="241" t="s">
        <v>122</v>
      </c>
      <c r="O1616" s="241" t="s">
        <v>122</v>
      </c>
      <c r="P1616" s="241" t="s">
        <v>292</v>
      </c>
      <c r="Q1616" s="241" t="s">
        <v>292</v>
      </c>
      <c r="R1616" s="241" t="s">
        <v>292</v>
      </c>
      <c r="S1616" s="241" t="s">
        <v>292</v>
      </c>
      <c r="T1616" s="241" t="s">
        <v>292</v>
      </c>
      <c r="U1616" s="241" t="s">
        <v>292</v>
      </c>
      <c r="V1616" s="241" t="s">
        <v>292</v>
      </c>
      <c r="W1616" s="241" t="s">
        <v>292</v>
      </c>
      <c r="X1616" s="241" t="s">
        <v>292</v>
      </c>
      <c r="Y1616" s="241" t="s">
        <v>292</v>
      </c>
      <c r="AA1616" s="241" t="s">
        <v>3927</v>
      </c>
      <c r="AD1616" s="245" t="s">
        <v>3636</v>
      </c>
      <c r="AF1616" s="144" t="str">
        <f t="shared" si="146"/>
        <v/>
      </c>
      <c r="AG1616" s="144" t="str">
        <f t="shared" si="144"/>
        <v/>
      </c>
      <c r="AH1616" s="146">
        <f t="shared" si="150"/>
        <v>0.94199999999999995</v>
      </c>
      <c r="AI1616" s="146" t="str">
        <f t="shared" si="151"/>
        <v/>
      </c>
      <c r="AJ1616" s="313"/>
      <c r="AK1616" s="313"/>
      <c r="AL1616" s="313"/>
      <c r="AM1616" s="313"/>
      <c r="AN1616" s="313"/>
      <c r="AO1616" s="313"/>
      <c r="AP1616" s="313"/>
      <c r="AQ1616" s="313"/>
      <c r="AR1616" s="313"/>
      <c r="AS1616" s="244"/>
      <c r="AT1616" s="242"/>
      <c r="AW1616" s="276">
        <v>0.94199999999999995</v>
      </c>
      <c r="AX1616" s="276"/>
      <c r="AY1616" s="276"/>
      <c r="AZ1616" s="276"/>
      <c r="BA1616" s="276"/>
      <c r="BB1616" s="276"/>
      <c r="BC1616" s="276"/>
      <c r="BD1616" s="276"/>
      <c r="BE1616" s="276"/>
      <c r="BF1616" s="389">
        <f t="shared" si="152"/>
        <v>0.94199999999999995</v>
      </c>
      <c r="BG1616" s="389"/>
      <c r="BI1616" s="276"/>
      <c r="BJ1616" s="276" t="s">
        <v>3971</v>
      </c>
    </row>
    <row r="1617" spans="1:62" ht="15" customHeight="1" thickBot="1" x14ac:dyDescent="0.25">
      <c r="A1617" s="156">
        <v>1618</v>
      </c>
      <c r="B1617" s="197">
        <v>1</v>
      </c>
      <c r="C1617" s="151" t="s">
        <v>3589</v>
      </c>
      <c r="D1617" s="151" t="s">
        <v>12</v>
      </c>
      <c r="E1617" s="151" t="s">
        <v>13</v>
      </c>
      <c r="F1617" s="151" t="s">
        <v>3970</v>
      </c>
      <c r="H1617" s="151" t="s">
        <v>101</v>
      </c>
      <c r="I1617" s="165">
        <v>2012</v>
      </c>
      <c r="J1617" s="165" t="s">
        <v>3967</v>
      </c>
      <c r="K1617" s="165" t="s">
        <v>3968</v>
      </c>
      <c r="L1617" s="165" t="s">
        <v>104</v>
      </c>
      <c r="M1617" s="453" t="s">
        <v>4403</v>
      </c>
      <c r="N1617" s="241" t="s">
        <v>122</v>
      </c>
      <c r="O1617" s="241" t="s">
        <v>122</v>
      </c>
      <c r="P1617" s="241" t="s">
        <v>292</v>
      </c>
      <c r="Q1617" s="241" t="s">
        <v>292</v>
      </c>
      <c r="R1617" s="241" t="s">
        <v>292</v>
      </c>
      <c r="S1617" s="241" t="s">
        <v>292</v>
      </c>
      <c r="T1617" s="241" t="s">
        <v>292</v>
      </c>
      <c r="U1617" s="241" t="s">
        <v>292</v>
      </c>
      <c r="V1617" s="241" t="s">
        <v>292</v>
      </c>
      <c r="W1617" s="241" t="s">
        <v>292</v>
      </c>
      <c r="X1617" s="241" t="s">
        <v>292</v>
      </c>
      <c r="Y1617" s="241" t="s">
        <v>292</v>
      </c>
      <c r="AA1617" s="241" t="s">
        <v>3927</v>
      </c>
      <c r="AD1617" s="245" t="s">
        <v>3636</v>
      </c>
      <c r="AF1617" s="144" t="str">
        <f t="shared" si="146"/>
        <v/>
      </c>
      <c r="AG1617" s="144" t="str">
        <f t="shared" si="144"/>
        <v/>
      </c>
      <c r="AH1617" s="146">
        <f t="shared" si="150"/>
        <v>1.1599999999999999</v>
      </c>
      <c r="AI1617" s="146" t="str">
        <f t="shared" si="151"/>
        <v/>
      </c>
      <c r="AJ1617" s="313"/>
      <c r="AK1617" s="313"/>
      <c r="AL1617" s="313"/>
      <c r="AM1617" s="313"/>
      <c r="AN1617" s="313"/>
      <c r="AO1617" s="313"/>
      <c r="AP1617" s="313"/>
      <c r="AQ1617" s="313"/>
      <c r="AR1617" s="313"/>
      <c r="AS1617" s="244"/>
      <c r="AT1617" s="242"/>
      <c r="AW1617" s="276">
        <v>1.1599999999999999</v>
      </c>
      <c r="AX1617" s="276"/>
      <c r="AY1617" s="276"/>
      <c r="AZ1617" s="276"/>
      <c r="BA1617" s="276"/>
      <c r="BB1617" s="276"/>
      <c r="BC1617" s="276"/>
      <c r="BD1617" s="276"/>
      <c r="BE1617" s="276"/>
      <c r="BF1617" s="389">
        <f t="shared" si="152"/>
        <v>1.1599999999999999</v>
      </c>
      <c r="BG1617" s="389"/>
      <c r="BI1617" s="276"/>
      <c r="BJ1617" s="276" t="s">
        <v>3971</v>
      </c>
    </row>
    <row r="1618" spans="1:62" ht="15" customHeight="1" thickBot="1" x14ac:dyDescent="0.25">
      <c r="A1618" s="156">
        <v>1619</v>
      </c>
      <c r="B1618" s="197">
        <v>1</v>
      </c>
      <c r="C1618" s="151" t="s">
        <v>3589</v>
      </c>
      <c r="D1618" s="151" t="s">
        <v>12</v>
      </c>
      <c r="E1618" s="151" t="s">
        <v>13</v>
      </c>
      <c r="F1618" s="151" t="s">
        <v>3972</v>
      </c>
      <c r="H1618" s="151" t="s">
        <v>80</v>
      </c>
      <c r="I1618" s="165">
        <v>2012</v>
      </c>
      <c r="J1618" s="165" t="s">
        <v>3967</v>
      </c>
      <c r="K1618" s="165" t="s">
        <v>3968</v>
      </c>
      <c r="L1618" s="165" t="s">
        <v>104</v>
      </c>
      <c r="M1618" s="453" t="s">
        <v>4403</v>
      </c>
      <c r="N1618" s="241" t="s">
        <v>122</v>
      </c>
      <c r="O1618" s="241" t="s">
        <v>122</v>
      </c>
      <c r="P1618" s="241" t="s">
        <v>292</v>
      </c>
      <c r="Q1618" s="241" t="s">
        <v>292</v>
      </c>
      <c r="R1618" s="241" t="s">
        <v>292</v>
      </c>
      <c r="S1618" s="241" t="s">
        <v>292</v>
      </c>
      <c r="T1618" s="241" t="s">
        <v>292</v>
      </c>
      <c r="U1618" s="241" t="s">
        <v>292</v>
      </c>
      <c r="V1618" s="241" t="s">
        <v>292</v>
      </c>
      <c r="W1618" s="241" t="s">
        <v>292</v>
      </c>
      <c r="X1618" s="241" t="s">
        <v>292</v>
      </c>
      <c r="Y1618" s="241" t="s">
        <v>122</v>
      </c>
      <c r="AA1618" s="241" t="s">
        <v>3927</v>
      </c>
      <c r="AD1618" s="245" t="s">
        <v>3636</v>
      </c>
      <c r="AF1618" s="144" t="str">
        <f t="shared" si="146"/>
        <v/>
      </c>
      <c r="AG1618" s="144" t="str">
        <f t="shared" si="144"/>
        <v/>
      </c>
      <c r="AH1618" s="146">
        <f t="shared" si="150"/>
        <v>0.98099999999999998</v>
      </c>
      <c r="AI1618" s="146" t="str">
        <f t="shared" si="151"/>
        <v/>
      </c>
      <c r="AJ1618" s="313"/>
      <c r="AK1618" s="313"/>
      <c r="AL1618" s="313"/>
      <c r="AM1618" s="313"/>
      <c r="AN1618" s="313"/>
      <c r="AO1618" s="313"/>
      <c r="AP1618" s="313"/>
      <c r="AQ1618" s="313"/>
      <c r="AR1618" s="313"/>
      <c r="AS1618" s="244"/>
      <c r="AT1618" s="242"/>
      <c r="AW1618" s="276">
        <v>0.98099999999999998</v>
      </c>
      <c r="AX1618" s="276"/>
      <c r="AY1618" s="276"/>
      <c r="AZ1618" s="276"/>
      <c r="BA1618" s="276"/>
      <c r="BB1618" s="276"/>
      <c r="BC1618" s="276"/>
      <c r="BD1618" s="276"/>
      <c r="BE1618" s="276"/>
      <c r="BF1618" s="389">
        <f t="shared" si="152"/>
        <v>0.98099999999999998</v>
      </c>
      <c r="BG1618" s="389"/>
      <c r="BI1618" s="276"/>
      <c r="BJ1618" s="276" t="s">
        <v>3971</v>
      </c>
    </row>
    <row r="1619" spans="1:62" ht="15" customHeight="1" thickBot="1" x14ac:dyDescent="0.25">
      <c r="A1619" s="156">
        <v>1620</v>
      </c>
      <c r="B1619" s="197">
        <v>1</v>
      </c>
      <c r="C1619" s="151" t="s">
        <v>3589</v>
      </c>
      <c r="D1619" s="151" t="s">
        <v>12</v>
      </c>
      <c r="E1619" s="151" t="s">
        <v>13</v>
      </c>
      <c r="F1619" s="151" t="s">
        <v>3972</v>
      </c>
      <c r="H1619" s="151" t="s">
        <v>101</v>
      </c>
      <c r="I1619" s="165">
        <v>2012</v>
      </c>
      <c r="J1619" s="165" t="s">
        <v>3967</v>
      </c>
      <c r="K1619" s="165" t="s">
        <v>3968</v>
      </c>
      <c r="L1619" s="165" t="s">
        <v>104</v>
      </c>
      <c r="M1619" s="453" t="s">
        <v>4403</v>
      </c>
      <c r="N1619" s="241" t="s">
        <v>122</v>
      </c>
      <c r="O1619" s="241" t="s">
        <v>122</v>
      </c>
      <c r="P1619" s="241" t="s">
        <v>292</v>
      </c>
      <c r="Q1619" s="241" t="s">
        <v>292</v>
      </c>
      <c r="R1619" s="241" t="s">
        <v>292</v>
      </c>
      <c r="S1619" s="241" t="s">
        <v>292</v>
      </c>
      <c r="T1619" s="241" t="s">
        <v>292</v>
      </c>
      <c r="U1619" s="241" t="s">
        <v>292</v>
      </c>
      <c r="V1619" s="241" t="s">
        <v>292</v>
      </c>
      <c r="W1619" s="241" t="s">
        <v>292</v>
      </c>
      <c r="X1619" s="241" t="s">
        <v>292</v>
      </c>
      <c r="Y1619" s="241" t="s">
        <v>122</v>
      </c>
      <c r="AA1619" s="241" t="s">
        <v>3927</v>
      </c>
      <c r="AD1619" s="245" t="s">
        <v>3636</v>
      </c>
      <c r="AF1619" s="144" t="str">
        <f t="shared" si="146"/>
        <v/>
      </c>
      <c r="AG1619" s="144" t="str">
        <f t="shared" ref="AG1619:AG1645" si="153">IF(AND(SUM(AJ1619:AL1619)&lt;&gt;0,SUM(AJ1619:AL1619)&lt;&gt;AJ1619),SUM(AJ1619:AL1619),"")</f>
        <v/>
      </c>
      <c r="AH1619" s="146">
        <f t="shared" si="150"/>
        <v>1.0900000000000001</v>
      </c>
      <c r="AI1619" s="146" t="str">
        <f t="shared" si="151"/>
        <v/>
      </c>
      <c r="AJ1619" s="313"/>
      <c r="AK1619" s="313"/>
      <c r="AL1619" s="313"/>
      <c r="AM1619" s="313"/>
      <c r="AN1619" s="313"/>
      <c r="AO1619" s="313"/>
      <c r="AP1619" s="313"/>
      <c r="AQ1619" s="313"/>
      <c r="AR1619" s="313"/>
      <c r="AS1619" s="244"/>
      <c r="AT1619" s="242"/>
      <c r="AW1619" s="276">
        <v>1.0900000000000001</v>
      </c>
      <c r="AX1619" s="276"/>
      <c r="AY1619" s="276"/>
      <c r="AZ1619" s="276"/>
      <c r="BA1619" s="276"/>
      <c r="BB1619" s="276"/>
      <c r="BC1619" s="276"/>
      <c r="BD1619" s="276"/>
      <c r="BE1619" s="276"/>
      <c r="BF1619" s="389">
        <f t="shared" si="152"/>
        <v>1.0900000000000001</v>
      </c>
      <c r="BG1619" s="389"/>
      <c r="BI1619" s="276"/>
      <c r="BJ1619" s="276" t="s">
        <v>3971</v>
      </c>
    </row>
    <row r="1620" spans="1:62" ht="15" customHeight="1" thickBot="1" x14ac:dyDescent="0.25">
      <c r="A1620" s="156">
        <v>1621</v>
      </c>
      <c r="B1620" s="197">
        <v>1</v>
      </c>
      <c r="C1620" s="151" t="s">
        <v>975</v>
      </c>
      <c r="D1620" s="151" t="s">
        <v>1984</v>
      </c>
      <c r="E1620" s="151" t="s">
        <v>13</v>
      </c>
      <c r="F1620" s="151" t="s">
        <v>3973</v>
      </c>
      <c r="H1620" s="151" t="s">
        <v>492</v>
      </c>
      <c r="I1620" s="165">
        <v>2012</v>
      </c>
      <c r="J1620" s="165" t="s">
        <v>3974</v>
      </c>
      <c r="K1620" s="165" t="s">
        <v>3975</v>
      </c>
      <c r="L1620" s="165" t="s">
        <v>3976</v>
      </c>
      <c r="M1620" s="453" t="s">
        <v>4404</v>
      </c>
      <c r="N1620" s="241" t="s">
        <v>122</v>
      </c>
      <c r="O1620" s="241" t="s">
        <v>292</v>
      </c>
      <c r="P1620" s="241" t="s">
        <v>292</v>
      </c>
      <c r="Q1620" s="241" t="s">
        <v>292</v>
      </c>
      <c r="R1620" s="241" t="s">
        <v>292</v>
      </c>
      <c r="S1620" s="241" t="s">
        <v>292</v>
      </c>
      <c r="T1620" s="241" t="s">
        <v>292</v>
      </c>
      <c r="U1620" s="241" t="s">
        <v>292</v>
      </c>
      <c r="V1620" s="241" t="s">
        <v>292</v>
      </c>
      <c r="W1620" s="241" t="s">
        <v>292</v>
      </c>
      <c r="X1620" s="241" t="s">
        <v>292</v>
      </c>
      <c r="Y1620" s="241" t="s">
        <v>292</v>
      </c>
      <c r="AA1620" s="241" t="s">
        <v>303</v>
      </c>
      <c r="AD1620" s="245" t="s">
        <v>3977</v>
      </c>
      <c r="AE1620" s="245" t="s">
        <v>3978</v>
      </c>
      <c r="AF1620" s="144">
        <f t="shared" si="146"/>
        <v>28.769230769230766</v>
      </c>
      <c r="AG1620" s="144" t="str">
        <f t="shared" si="153"/>
        <v/>
      </c>
      <c r="AH1620" s="146">
        <f t="shared" si="150"/>
        <v>2.6846153846153848</v>
      </c>
      <c r="AI1620" s="146" t="str">
        <f t="shared" si="151"/>
        <v/>
      </c>
      <c r="AJ1620" s="313">
        <f>18.7/0.65</f>
        <v>28.769230769230766</v>
      </c>
      <c r="AK1620" s="313"/>
      <c r="AL1620" s="313"/>
      <c r="AM1620" s="313"/>
      <c r="AN1620" s="313"/>
      <c r="AO1620" s="313"/>
      <c r="AP1620" s="313"/>
      <c r="AQ1620" s="313"/>
      <c r="AR1620" s="313"/>
      <c r="AS1620" s="244">
        <f>AJ1620</f>
        <v>28.769230769230766</v>
      </c>
      <c r="AT1620" s="242"/>
      <c r="AW1620" s="276">
        <f>1745/1000/0.65</f>
        <v>2.6846153846153848</v>
      </c>
      <c r="AX1620" s="276"/>
      <c r="AY1620" s="276"/>
      <c r="AZ1620" s="276"/>
      <c r="BA1620" s="276"/>
      <c r="BB1620" s="276"/>
      <c r="BC1620" s="276"/>
      <c r="BD1620" s="276"/>
      <c r="BE1620" s="276"/>
      <c r="BF1620" s="389">
        <f t="shared" si="152"/>
        <v>2.6846153846153848</v>
      </c>
      <c r="BG1620" s="389"/>
      <c r="BI1620" s="276"/>
      <c r="BJ1620" s="276"/>
    </row>
    <row r="1621" spans="1:62" ht="15" customHeight="1" thickBot="1" x14ac:dyDescent="0.25">
      <c r="A1621" s="156">
        <v>1622</v>
      </c>
      <c r="B1621" s="197">
        <v>1</v>
      </c>
      <c r="C1621" s="151" t="s">
        <v>11</v>
      </c>
      <c r="D1621" s="151" t="s">
        <v>12</v>
      </c>
      <c r="E1621" s="151" t="s">
        <v>13</v>
      </c>
      <c r="F1621" s="151" t="s">
        <v>3979</v>
      </c>
      <c r="H1621" s="151" t="s">
        <v>87</v>
      </c>
      <c r="I1621" s="165">
        <v>2012</v>
      </c>
      <c r="J1621" s="165" t="s">
        <v>3980</v>
      </c>
      <c r="K1621" s="165" t="s">
        <v>3981</v>
      </c>
      <c r="L1621" s="165" t="s">
        <v>19</v>
      </c>
      <c r="M1621" s="453" t="s">
        <v>4405</v>
      </c>
      <c r="N1621" s="241" t="s">
        <v>122</v>
      </c>
      <c r="O1621" s="241" t="s">
        <v>292</v>
      </c>
      <c r="P1621" s="241" t="s">
        <v>122</v>
      </c>
      <c r="Q1621" s="241" t="s">
        <v>122</v>
      </c>
      <c r="R1621" s="241" t="s">
        <v>122</v>
      </c>
      <c r="S1621" s="241" t="s">
        <v>122</v>
      </c>
      <c r="T1621" s="241" t="s">
        <v>292</v>
      </c>
      <c r="U1621" s="241" t="s">
        <v>292</v>
      </c>
      <c r="V1621" s="241" t="s">
        <v>292</v>
      </c>
      <c r="W1621" s="241" t="s">
        <v>292</v>
      </c>
      <c r="X1621" s="241" t="s">
        <v>292</v>
      </c>
      <c r="Y1621" s="241" t="s">
        <v>292</v>
      </c>
      <c r="AA1621" s="241" t="s">
        <v>3982</v>
      </c>
      <c r="AD1621" s="245" t="s">
        <v>3983</v>
      </c>
      <c r="AE1621" s="245" t="s">
        <v>3984</v>
      </c>
      <c r="AF1621" s="144" t="str">
        <f t="shared" si="146"/>
        <v/>
      </c>
      <c r="AG1621" s="144" t="str">
        <f t="shared" si="153"/>
        <v/>
      </c>
      <c r="AH1621" s="146">
        <f t="shared" si="150"/>
        <v>1.3196249999999998</v>
      </c>
      <c r="AI1621" s="146">
        <f t="shared" si="151"/>
        <v>1.5059249999999997</v>
      </c>
      <c r="AJ1621" s="313"/>
      <c r="AK1621" s="313"/>
      <c r="AL1621" s="313"/>
      <c r="AM1621" s="313"/>
      <c r="AN1621" s="313"/>
      <c r="AO1621" s="313"/>
      <c r="AP1621" s="313"/>
      <c r="AQ1621" s="313"/>
      <c r="AR1621" s="313"/>
      <c r="AS1621" s="244"/>
      <c r="AT1621" s="242"/>
      <c r="AW1621" s="276">
        <f>1.5*0.85*1.035</f>
        <v>1.3196249999999998</v>
      </c>
      <c r="AX1621" s="276">
        <f>1.5*0.01*1.035</f>
        <v>1.5524999999999999E-2</v>
      </c>
      <c r="AY1621" s="276">
        <f>1.5*0.11*1.035</f>
        <v>0.17077499999999998</v>
      </c>
      <c r="AZ1621" s="276"/>
      <c r="BA1621" s="276">
        <f>1.5*0.03*1.035</f>
        <v>4.6574999999999991E-2</v>
      </c>
      <c r="BB1621" s="276"/>
      <c r="BC1621" s="276"/>
      <c r="BD1621" s="276"/>
      <c r="BE1621" s="276"/>
      <c r="BF1621" s="389">
        <f t="shared" si="152"/>
        <v>1.3196249999999998</v>
      </c>
      <c r="BG1621" s="389">
        <f>SUM(AW1621:BA1621)</f>
        <v>1.5524999999999998</v>
      </c>
      <c r="BI1621" s="276"/>
      <c r="BJ1621" s="276" t="s">
        <v>3985</v>
      </c>
    </row>
    <row r="1622" spans="1:62" ht="15" customHeight="1" thickBot="1" x14ac:dyDescent="0.25">
      <c r="A1622" s="156">
        <v>1623</v>
      </c>
      <c r="B1622" s="197">
        <v>1</v>
      </c>
      <c r="C1622" s="151" t="s">
        <v>3589</v>
      </c>
      <c r="D1622" s="151" t="s">
        <v>12</v>
      </c>
      <c r="E1622" s="151" t="s">
        <v>13</v>
      </c>
      <c r="F1622" s="151" t="s">
        <v>3986</v>
      </c>
      <c r="H1622" s="151" t="s">
        <v>87</v>
      </c>
      <c r="I1622" s="165">
        <v>2012</v>
      </c>
      <c r="J1622" s="165" t="s">
        <v>3980</v>
      </c>
      <c r="K1622" s="165" t="s">
        <v>3981</v>
      </c>
      <c r="L1622" s="165" t="s">
        <v>19</v>
      </c>
      <c r="M1622" s="453" t="s">
        <v>4405</v>
      </c>
      <c r="N1622" s="241" t="s">
        <v>122</v>
      </c>
      <c r="O1622" s="241" t="s">
        <v>292</v>
      </c>
      <c r="P1622" s="241" t="s">
        <v>122</v>
      </c>
      <c r="Q1622" s="241" t="s">
        <v>122</v>
      </c>
      <c r="R1622" s="241" t="s">
        <v>122</v>
      </c>
      <c r="S1622" s="241" t="s">
        <v>122</v>
      </c>
      <c r="T1622" s="241" t="s">
        <v>292</v>
      </c>
      <c r="U1622" s="241" t="s">
        <v>292</v>
      </c>
      <c r="V1622" s="241" t="s">
        <v>292</v>
      </c>
      <c r="W1622" s="241" t="s">
        <v>292</v>
      </c>
      <c r="X1622" s="241" t="s">
        <v>292</v>
      </c>
      <c r="Y1622" s="241" t="s">
        <v>292</v>
      </c>
      <c r="AA1622" s="241" t="s">
        <v>3982</v>
      </c>
      <c r="AD1622" s="245" t="s">
        <v>3983</v>
      </c>
      <c r="AE1622" s="245" t="s">
        <v>3984</v>
      </c>
      <c r="AF1622" s="144" t="str">
        <f t="shared" si="146"/>
        <v/>
      </c>
      <c r="AG1622" s="144" t="str">
        <f t="shared" si="153"/>
        <v/>
      </c>
      <c r="AH1622" s="146">
        <f t="shared" si="150"/>
        <v>1.10331</v>
      </c>
      <c r="AI1622" s="146">
        <f t="shared" si="151"/>
        <v>1.3051349999999999</v>
      </c>
      <c r="AJ1622" s="313"/>
      <c r="AK1622" s="313"/>
      <c r="AL1622" s="313"/>
      <c r="AM1622" s="313"/>
      <c r="AN1622" s="313"/>
      <c r="AO1622" s="313"/>
      <c r="AP1622" s="313"/>
      <c r="AQ1622" s="313"/>
      <c r="AR1622" s="313"/>
      <c r="AS1622" s="244"/>
      <c r="AT1622" s="242"/>
      <c r="AW1622" s="276">
        <f>1.3*0.82*1.035</f>
        <v>1.10331</v>
      </c>
      <c r="AX1622" s="276">
        <f>1.3*0.01*1.035</f>
        <v>1.3455E-2</v>
      </c>
      <c r="AY1622" s="276">
        <f>1.3*0.14*1.035</f>
        <v>0.18837000000000001</v>
      </c>
      <c r="AZ1622" s="276"/>
      <c r="BA1622" s="276">
        <f>1.3*0.03*1.035</f>
        <v>4.0364999999999998E-2</v>
      </c>
      <c r="BB1622" s="276"/>
      <c r="BC1622" s="276"/>
      <c r="BD1622" s="276"/>
      <c r="BE1622" s="276"/>
      <c r="BF1622" s="389">
        <f t="shared" si="152"/>
        <v>1.10331</v>
      </c>
      <c r="BG1622" s="389">
        <f>SUM(AW1622:BA1622)</f>
        <v>1.3454999999999999</v>
      </c>
      <c r="BI1622" s="276"/>
      <c r="BJ1622" s="276" t="s">
        <v>3985</v>
      </c>
    </row>
    <row r="1623" spans="1:62" ht="15" customHeight="1" thickBot="1" x14ac:dyDescent="0.25">
      <c r="A1623" s="156">
        <v>1624</v>
      </c>
      <c r="B1623" s="197">
        <v>1</v>
      </c>
      <c r="C1623" s="151" t="s">
        <v>24</v>
      </c>
      <c r="D1623" s="151" t="s">
        <v>3451</v>
      </c>
      <c r="E1623" s="151" t="s">
        <v>13</v>
      </c>
      <c r="F1623" s="151" t="s">
        <v>3987</v>
      </c>
      <c r="H1623" s="151" t="s">
        <v>101</v>
      </c>
      <c r="I1623" s="165">
        <v>2011</v>
      </c>
      <c r="J1623" s="165" t="s">
        <v>3988</v>
      </c>
      <c r="K1623" s="165" t="s">
        <v>3989</v>
      </c>
      <c r="L1623" s="165" t="s">
        <v>3916</v>
      </c>
      <c r="M1623" s="453" t="s">
        <v>4406</v>
      </c>
      <c r="N1623" s="241" t="s">
        <v>122</v>
      </c>
      <c r="O1623" s="241" t="s">
        <v>292</v>
      </c>
      <c r="P1623" s="241" t="s">
        <v>122</v>
      </c>
      <c r="Q1623" s="241" t="s">
        <v>122</v>
      </c>
      <c r="R1623" s="241" t="s">
        <v>122</v>
      </c>
      <c r="S1623" s="241" t="s">
        <v>122</v>
      </c>
      <c r="T1623" s="241" t="s">
        <v>292</v>
      </c>
      <c r="U1623" s="241" t="s">
        <v>292</v>
      </c>
      <c r="V1623" s="241" t="s">
        <v>292</v>
      </c>
      <c r="W1623" s="241" t="s">
        <v>292</v>
      </c>
      <c r="X1623" s="241" t="s">
        <v>292</v>
      </c>
      <c r="Y1623" s="241" t="s">
        <v>292</v>
      </c>
      <c r="AA1623" s="241" t="s">
        <v>3990</v>
      </c>
      <c r="AD1623" s="245" t="s">
        <v>581</v>
      </c>
      <c r="AE1623" s="245" t="s">
        <v>3991</v>
      </c>
      <c r="AF1623" s="144">
        <f t="shared" si="146"/>
        <v>47.112462006079028</v>
      </c>
      <c r="AG1623" s="144">
        <f t="shared" si="153"/>
        <v>54.711246200607903</v>
      </c>
      <c r="AH1623" s="146">
        <f t="shared" si="150"/>
        <v>24.012158054711247</v>
      </c>
      <c r="AI1623" s="146">
        <f t="shared" si="151"/>
        <v>24.316109422492403</v>
      </c>
      <c r="AJ1623" s="313">
        <f>31/0.658</f>
        <v>47.112462006079028</v>
      </c>
      <c r="AK1623" s="313"/>
      <c r="AL1623" s="313">
        <f>5/0.658</f>
        <v>7.598784194528875</v>
      </c>
      <c r="AM1623" s="313"/>
      <c r="AN1623" s="313"/>
      <c r="AO1623" s="313"/>
      <c r="AP1623" s="313"/>
      <c r="AQ1623" s="313"/>
      <c r="AR1623" s="313"/>
      <c r="AS1623" s="244">
        <f>AJ1623</f>
        <v>47.112462006079028</v>
      </c>
      <c r="AT1623" s="242">
        <f>SUM(AJ1623:AL1623)</f>
        <v>54.711246200607903</v>
      </c>
      <c r="AV1623" s="313" t="s">
        <v>3992</v>
      </c>
      <c r="AW1623" s="276">
        <f>15.8/0.658</f>
        <v>24.012158054711247</v>
      </c>
      <c r="AX1623" s="276"/>
      <c r="AY1623" s="276">
        <f>0.2/0.658</f>
        <v>0.303951367781155</v>
      </c>
      <c r="AZ1623" s="276"/>
      <c r="BA1623" s="276"/>
      <c r="BB1623" s="276"/>
      <c r="BC1623" s="276"/>
      <c r="BD1623" s="276"/>
      <c r="BE1623" s="276"/>
      <c r="BF1623" s="389">
        <f t="shared" si="152"/>
        <v>24.012158054711247</v>
      </c>
      <c r="BG1623" s="389">
        <f>SUM(AW1623:AY1623)</f>
        <v>24.316109422492403</v>
      </c>
      <c r="BI1623" s="276"/>
      <c r="BJ1623" s="276" t="s">
        <v>3992</v>
      </c>
    </row>
    <row r="1624" spans="1:62" ht="15" customHeight="1" thickBot="1" x14ac:dyDescent="0.25">
      <c r="A1624" s="156">
        <v>1625</v>
      </c>
      <c r="B1624" s="197">
        <v>1</v>
      </c>
      <c r="C1624" s="151" t="s">
        <v>11</v>
      </c>
      <c r="D1624" s="151" t="s">
        <v>426</v>
      </c>
      <c r="E1624" s="151" t="s">
        <v>13</v>
      </c>
      <c r="F1624" s="151" t="s">
        <v>3993</v>
      </c>
      <c r="H1624" s="151" t="s">
        <v>3994</v>
      </c>
      <c r="I1624" s="165">
        <v>2011</v>
      </c>
      <c r="J1624" s="165" t="s">
        <v>3995</v>
      </c>
      <c r="K1624" s="165" t="s">
        <v>3996</v>
      </c>
      <c r="L1624" s="165" t="s">
        <v>19</v>
      </c>
      <c r="M1624" s="453" t="s">
        <v>4407</v>
      </c>
      <c r="N1624" s="241" t="s">
        <v>122</v>
      </c>
      <c r="O1624" s="241" t="s">
        <v>122</v>
      </c>
      <c r="P1624" s="241" t="s">
        <v>122</v>
      </c>
      <c r="Q1624" s="241" t="s">
        <v>122</v>
      </c>
      <c r="R1624" s="241" t="s">
        <v>122</v>
      </c>
      <c r="S1624" s="241" t="s">
        <v>122</v>
      </c>
      <c r="T1624" s="241" t="s">
        <v>122</v>
      </c>
      <c r="U1624" s="241" t="s">
        <v>292</v>
      </c>
      <c r="V1624" s="241" t="s">
        <v>292</v>
      </c>
      <c r="W1624" s="241" t="s">
        <v>292</v>
      </c>
      <c r="X1624" s="241" t="s">
        <v>292</v>
      </c>
      <c r="Y1624" s="241" t="s">
        <v>292</v>
      </c>
      <c r="AA1624" s="241" t="s">
        <v>3997</v>
      </c>
      <c r="AD1624" s="245" t="s">
        <v>3998</v>
      </c>
      <c r="AF1624" s="144">
        <f t="shared" si="146"/>
        <v>32.200000000000003</v>
      </c>
      <c r="AG1624" s="144">
        <f t="shared" si="153"/>
        <v>42.67</v>
      </c>
      <c r="AH1624" s="146">
        <f t="shared" si="150"/>
        <v>7.5</v>
      </c>
      <c r="AI1624" s="146">
        <f t="shared" si="151"/>
        <v>8.09</v>
      </c>
      <c r="AJ1624" s="313">
        <v>32.200000000000003</v>
      </c>
      <c r="AK1624" s="313"/>
      <c r="AL1624" s="313">
        <f>6.01+4.46</f>
        <v>10.469999999999999</v>
      </c>
      <c r="AM1624" s="313">
        <v>3.38</v>
      </c>
      <c r="AN1624" s="313"/>
      <c r="AO1624" s="313">
        <v>1.1100000000000001</v>
      </c>
      <c r="AP1624" s="313"/>
      <c r="AQ1624" s="313"/>
      <c r="AR1624" s="313"/>
      <c r="AS1624" s="244">
        <f>AJ1624</f>
        <v>32.200000000000003</v>
      </c>
      <c r="AT1624" s="242">
        <f>SUM(AJ1624:AO1624)</f>
        <v>47.160000000000004</v>
      </c>
      <c r="AW1624" s="276">
        <v>7.5</v>
      </c>
      <c r="AX1624" s="276"/>
      <c r="AY1624" s="276">
        <f>0.3+0.29</f>
        <v>0.59</v>
      </c>
      <c r="AZ1624" s="276">
        <v>0.38</v>
      </c>
      <c r="BA1624" s="276"/>
      <c r="BB1624" s="276">
        <v>0.02</v>
      </c>
      <c r="BC1624" s="276"/>
      <c r="BD1624" s="276"/>
      <c r="BE1624" s="276"/>
      <c r="BF1624" s="389">
        <f t="shared" si="152"/>
        <v>7.5</v>
      </c>
      <c r="BG1624" s="389">
        <f>SUM(AW1624:BB1624)</f>
        <v>8.49</v>
      </c>
      <c r="BI1624" s="276"/>
      <c r="BJ1624" s="276"/>
    </row>
    <row r="1625" spans="1:62" ht="15" customHeight="1" thickBot="1" x14ac:dyDescent="0.25">
      <c r="A1625" s="156">
        <v>1626</v>
      </c>
      <c r="B1625" s="197">
        <v>1</v>
      </c>
      <c r="C1625" s="151" t="s">
        <v>236</v>
      </c>
      <c r="D1625" s="151" t="s">
        <v>836</v>
      </c>
      <c r="E1625" s="151" t="s">
        <v>13</v>
      </c>
      <c r="F1625" s="151" t="s">
        <v>3999</v>
      </c>
      <c r="H1625" s="151" t="s">
        <v>4000</v>
      </c>
      <c r="I1625" s="165">
        <v>2012</v>
      </c>
      <c r="J1625" s="165" t="s">
        <v>4001</v>
      </c>
      <c r="K1625" s="165" t="s">
        <v>4002</v>
      </c>
      <c r="L1625" s="165" t="s">
        <v>1110</v>
      </c>
      <c r="M1625" s="453" t="s">
        <v>4408</v>
      </c>
      <c r="N1625" s="241" t="s">
        <v>122</v>
      </c>
      <c r="O1625" s="241" t="s">
        <v>292</v>
      </c>
      <c r="P1625" s="241" t="s">
        <v>292</v>
      </c>
      <c r="Q1625" s="241" t="s">
        <v>122</v>
      </c>
      <c r="R1625" s="241" t="s">
        <v>122</v>
      </c>
      <c r="S1625" s="241" t="s">
        <v>122</v>
      </c>
      <c r="T1625" s="241" t="s">
        <v>292</v>
      </c>
      <c r="U1625" s="241" t="s">
        <v>292</v>
      </c>
      <c r="V1625" s="241" t="s">
        <v>292</v>
      </c>
      <c r="W1625" s="241" t="s">
        <v>292</v>
      </c>
      <c r="X1625" s="241" t="s">
        <v>292</v>
      </c>
      <c r="Y1625" s="241" t="s">
        <v>292</v>
      </c>
      <c r="AA1625" s="241" t="s">
        <v>3906</v>
      </c>
      <c r="AD1625" s="245" t="s">
        <v>4003</v>
      </c>
      <c r="AF1625" s="144" t="str">
        <f t="shared" si="146"/>
        <v/>
      </c>
      <c r="AG1625" s="144" t="str">
        <f t="shared" si="153"/>
        <v/>
      </c>
      <c r="AH1625" s="146">
        <f t="shared" si="150"/>
        <v>0.13780000000000001</v>
      </c>
      <c r="AI1625" s="146">
        <f t="shared" si="151"/>
        <v>0.22739999999999999</v>
      </c>
      <c r="AJ1625" s="313"/>
      <c r="AK1625" s="313"/>
      <c r="AL1625" s="313"/>
      <c r="AM1625" s="313"/>
      <c r="AN1625" s="313"/>
      <c r="AO1625" s="313"/>
      <c r="AP1625" s="313"/>
      <c r="AQ1625" s="313"/>
      <c r="AR1625" s="313"/>
      <c r="AS1625" s="244"/>
      <c r="AT1625" s="242"/>
      <c r="AW1625" s="276">
        <f>137.8/1000</f>
        <v>0.13780000000000001</v>
      </c>
      <c r="AX1625" s="276"/>
      <c r="AY1625" s="276">
        <f>89.6/1000</f>
        <v>8.9599999999999999E-2</v>
      </c>
      <c r="AZ1625" s="276"/>
      <c r="BA1625" s="276">
        <f>(14.1+25.8+691.7+84.5+26.6+53.5)/1000</f>
        <v>0.8962</v>
      </c>
      <c r="BB1625" s="276"/>
      <c r="BC1625" s="276"/>
      <c r="BD1625" s="276"/>
      <c r="BE1625" s="276"/>
      <c r="BF1625" s="389">
        <f t="shared" si="152"/>
        <v>0.13780000000000001</v>
      </c>
      <c r="BG1625" s="389">
        <f>SUM(AW1625:BA1625)</f>
        <v>1.1235999999999999</v>
      </c>
      <c r="BI1625" s="276"/>
      <c r="BJ1625" s="276"/>
    </row>
    <row r="1626" spans="1:62" ht="15" customHeight="1" thickBot="1" x14ac:dyDescent="0.25">
      <c r="A1626" s="156">
        <v>1627</v>
      </c>
      <c r="B1626" s="197">
        <v>1</v>
      </c>
      <c r="C1626" s="151" t="s">
        <v>3450</v>
      </c>
      <c r="D1626" s="151" t="s">
        <v>836</v>
      </c>
      <c r="E1626" s="151" t="s">
        <v>13</v>
      </c>
      <c r="F1626" s="151" t="s">
        <v>4004</v>
      </c>
      <c r="H1626" s="151" t="s">
        <v>4000</v>
      </c>
      <c r="I1626" s="165">
        <v>2012</v>
      </c>
      <c r="J1626" s="165" t="s">
        <v>4001</v>
      </c>
      <c r="K1626" s="165" t="s">
        <v>4002</v>
      </c>
      <c r="L1626" s="165" t="s">
        <v>1110</v>
      </c>
      <c r="M1626" s="453" t="s">
        <v>4408</v>
      </c>
      <c r="N1626" s="241" t="s">
        <v>122</v>
      </c>
      <c r="O1626" s="241" t="s">
        <v>292</v>
      </c>
      <c r="P1626" s="241" t="s">
        <v>122</v>
      </c>
      <c r="Q1626" s="241" t="s">
        <v>292</v>
      </c>
      <c r="R1626" s="241" t="s">
        <v>292</v>
      </c>
      <c r="S1626" s="241" t="s">
        <v>122</v>
      </c>
      <c r="T1626" s="241" t="s">
        <v>292</v>
      </c>
      <c r="U1626" s="241" t="s">
        <v>292</v>
      </c>
      <c r="V1626" s="241" t="s">
        <v>292</v>
      </c>
      <c r="W1626" s="241" t="s">
        <v>292</v>
      </c>
      <c r="X1626" s="241" t="s">
        <v>292</v>
      </c>
      <c r="Y1626" s="241" t="s">
        <v>292</v>
      </c>
      <c r="AA1626" s="241" t="s">
        <v>3906</v>
      </c>
      <c r="AD1626" s="245" t="s">
        <v>4003</v>
      </c>
      <c r="AF1626" s="144" t="str">
        <f t="shared" si="146"/>
        <v/>
      </c>
      <c r="AG1626" s="144" t="str">
        <f t="shared" si="153"/>
        <v/>
      </c>
      <c r="AH1626" s="146">
        <f t="shared" si="150"/>
        <v>0.27750000000000008</v>
      </c>
      <c r="AI1626" s="146">
        <f t="shared" si="151"/>
        <v>0.36360000000000009</v>
      </c>
      <c r="AJ1626" s="313"/>
      <c r="AK1626" s="313"/>
      <c r="AL1626" s="313"/>
      <c r="AM1626" s="313"/>
      <c r="AN1626" s="313"/>
      <c r="AO1626" s="313"/>
      <c r="AP1626" s="313"/>
      <c r="AQ1626" s="313"/>
      <c r="AR1626" s="313"/>
      <c r="AS1626" s="244"/>
      <c r="AT1626" s="242"/>
      <c r="AW1626" s="276">
        <f>(3.8+5+266.1+2.6)/1000</f>
        <v>0.27750000000000008</v>
      </c>
      <c r="AX1626" s="276">
        <f>86.1/1000</f>
        <v>8.6099999999999996E-2</v>
      </c>
      <c r="AY1626" s="276"/>
      <c r="AZ1626" s="276"/>
      <c r="BA1626" s="276">
        <f>(170.5+258.9+17.2+44.8+70.8)/1000</f>
        <v>0.56219999999999992</v>
      </c>
      <c r="BB1626" s="276"/>
      <c r="BC1626" s="276"/>
      <c r="BD1626" s="276"/>
      <c r="BE1626" s="276"/>
      <c r="BF1626" s="389">
        <f t="shared" si="152"/>
        <v>0.27750000000000008</v>
      </c>
      <c r="BG1626" s="389">
        <f>SUM(AW1626:BA1626)</f>
        <v>0.92579999999999996</v>
      </c>
      <c r="BI1626" s="276"/>
      <c r="BJ1626" s="276"/>
    </row>
    <row r="1627" spans="1:62" ht="15" customHeight="1" thickBot="1" x14ac:dyDescent="0.25">
      <c r="A1627" s="156">
        <v>1628</v>
      </c>
      <c r="B1627" s="197">
        <v>1</v>
      </c>
      <c r="C1627" s="151" t="s">
        <v>3450</v>
      </c>
      <c r="D1627" s="151" t="s">
        <v>836</v>
      </c>
      <c r="E1627" s="151" t="s">
        <v>13</v>
      </c>
      <c r="F1627" s="151" t="s">
        <v>4005</v>
      </c>
      <c r="H1627" s="151" t="s">
        <v>4000</v>
      </c>
      <c r="I1627" s="165">
        <v>2012</v>
      </c>
      <c r="J1627" s="165" t="s">
        <v>4001</v>
      </c>
      <c r="K1627" s="165" t="s">
        <v>4002</v>
      </c>
      <c r="L1627" s="165" t="s">
        <v>1110</v>
      </c>
      <c r="M1627" s="453" t="s">
        <v>4408</v>
      </c>
      <c r="N1627" s="241" t="s">
        <v>122</v>
      </c>
      <c r="O1627" s="241" t="s">
        <v>292</v>
      </c>
      <c r="P1627" s="241" t="s">
        <v>292</v>
      </c>
      <c r="Q1627" s="241" t="s">
        <v>292</v>
      </c>
      <c r="R1627" s="241" t="s">
        <v>292</v>
      </c>
      <c r="S1627" s="241" t="s">
        <v>122</v>
      </c>
      <c r="T1627" s="241" t="s">
        <v>292</v>
      </c>
      <c r="U1627" s="241" t="s">
        <v>292</v>
      </c>
      <c r="V1627" s="241" t="s">
        <v>292</v>
      </c>
      <c r="W1627" s="241" t="s">
        <v>292</v>
      </c>
      <c r="X1627" s="241" t="s">
        <v>292</v>
      </c>
      <c r="Y1627" s="241" t="s">
        <v>292</v>
      </c>
      <c r="AA1627" s="241" t="s">
        <v>3906</v>
      </c>
      <c r="AD1627" s="245" t="s">
        <v>4003</v>
      </c>
      <c r="AF1627" s="144" t="str">
        <f t="shared" si="146"/>
        <v/>
      </c>
      <c r="AG1627" s="144" t="str">
        <f t="shared" si="153"/>
        <v/>
      </c>
      <c r="AH1627" s="146">
        <f t="shared" si="150"/>
        <v>0.36499999999999999</v>
      </c>
      <c r="AI1627" s="146" t="str">
        <f t="shared" si="151"/>
        <v/>
      </c>
      <c r="AJ1627" s="313"/>
      <c r="AK1627" s="313"/>
      <c r="AL1627" s="313"/>
      <c r="AM1627" s="313"/>
      <c r="AN1627" s="313"/>
      <c r="AO1627" s="313"/>
      <c r="AP1627" s="313"/>
      <c r="AQ1627" s="313"/>
      <c r="AR1627" s="313"/>
      <c r="AS1627" s="244"/>
      <c r="AT1627" s="242"/>
      <c r="AW1627" s="276">
        <f>(75+290)/1000</f>
        <v>0.36499999999999999</v>
      </c>
      <c r="AX1627" s="276"/>
      <c r="AY1627" s="276"/>
      <c r="AZ1627" s="276"/>
      <c r="BA1627" s="276">
        <f>(98+230)/1000</f>
        <v>0.32800000000000001</v>
      </c>
      <c r="BB1627" s="276"/>
      <c r="BC1627" s="276"/>
      <c r="BD1627" s="276"/>
      <c r="BE1627" s="276"/>
      <c r="BF1627" s="389">
        <f t="shared" si="152"/>
        <v>0.36499999999999999</v>
      </c>
      <c r="BG1627" s="389">
        <f>SUM(AW1627:BA1627)</f>
        <v>0.69300000000000006</v>
      </c>
      <c r="BI1627" s="276"/>
      <c r="BJ1627" s="276"/>
    </row>
    <row r="1628" spans="1:62" ht="15" customHeight="1" thickBot="1" x14ac:dyDescent="0.25">
      <c r="A1628" s="156">
        <v>1629</v>
      </c>
      <c r="B1628" s="197">
        <v>1</v>
      </c>
      <c r="C1628" s="151" t="s">
        <v>3450</v>
      </c>
      <c r="D1628" s="151" t="s">
        <v>836</v>
      </c>
      <c r="E1628" s="151" t="s">
        <v>13</v>
      </c>
      <c r="F1628" s="151" t="s">
        <v>4006</v>
      </c>
      <c r="H1628" s="151" t="s">
        <v>4000</v>
      </c>
      <c r="I1628" s="165">
        <v>2012</v>
      </c>
      <c r="J1628" s="165" t="s">
        <v>4001</v>
      </c>
      <c r="K1628" s="165" t="s">
        <v>4002</v>
      </c>
      <c r="L1628" s="165" t="s">
        <v>1110</v>
      </c>
      <c r="M1628" s="453" t="s">
        <v>4408</v>
      </c>
      <c r="N1628" s="241" t="s">
        <v>122</v>
      </c>
      <c r="O1628" s="241" t="s">
        <v>292</v>
      </c>
      <c r="P1628" s="241" t="s">
        <v>292</v>
      </c>
      <c r="Q1628" s="241" t="s">
        <v>122</v>
      </c>
      <c r="R1628" s="241" t="s">
        <v>122</v>
      </c>
      <c r="S1628" s="241" t="s">
        <v>122</v>
      </c>
      <c r="T1628" s="241" t="s">
        <v>292</v>
      </c>
      <c r="U1628" s="241" t="s">
        <v>292</v>
      </c>
      <c r="V1628" s="241" t="s">
        <v>292</v>
      </c>
      <c r="W1628" s="241" t="s">
        <v>292</v>
      </c>
      <c r="X1628" s="241" t="s">
        <v>292</v>
      </c>
      <c r="Y1628" s="241" t="s">
        <v>292</v>
      </c>
      <c r="AA1628" s="241" t="s">
        <v>3906</v>
      </c>
      <c r="AD1628" s="245" t="s">
        <v>4003</v>
      </c>
      <c r="AF1628" s="144" t="str">
        <f t="shared" si="146"/>
        <v/>
      </c>
      <c r="AG1628" s="144" t="str">
        <f t="shared" si="153"/>
        <v/>
      </c>
      <c r="AH1628" s="146">
        <f t="shared" si="150"/>
        <v>0.19159999999999999</v>
      </c>
      <c r="AI1628" s="146">
        <f t="shared" si="151"/>
        <v>0.30159999999999998</v>
      </c>
      <c r="AJ1628" s="313"/>
      <c r="AK1628" s="313"/>
      <c r="AL1628" s="313"/>
      <c r="AM1628" s="313"/>
      <c r="AN1628" s="313"/>
      <c r="AO1628" s="313"/>
      <c r="AP1628" s="313"/>
      <c r="AQ1628" s="313"/>
      <c r="AR1628" s="313"/>
      <c r="AS1628" s="244"/>
      <c r="AT1628" s="242"/>
      <c r="AW1628" s="276">
        <f>(4.4+161+0.2+22.7+3.3)/1000</f>
        <v>0.19159999999999999</v>
      </c>
      <c r="AX1628" s="276"/>
      <c r="AY1628" s="276">
        <f>110/1000</f>
        <v>0.11</v>
      </c>
      <c r="AZ1628" s="276"/>
      <c r="BA1628" s="276">
        <f>(10.6+4.3+36+13.2+287)/1000</f>
        <v>0.35110000000000002</v>
      </c>
      <c r="BB1628" s="276"/>
      <c r="BC1628" s="276"/>
      <c r="BD1628" s="276"/>
      <c r="BE1628" s="276"/>
      <c r="BF1628" s="389">
        <f t="shared" si="152"/>
        <v>0.19159999999999999</v>
      </c>
      <c r="BG1628" s="389">
        <f>SUM(AW1628:BA1628)</f>
        <v>0.65270000000000006</v>
      </c>
      <c r="BI1628" s="276"/>
      <c r="BJ1628" s="276"/>
    </row>
    <row r="1629" spans="1:62" ht="15" customHeight="1" thickBot="1" x14ac:dyDescent="0.25">
      <c r="A1629" s="156">
        <v>1630</v>
      </c>
      <c r="B1629" s="197">
        <v>1</v>
      </c>
      <c r="C1629" s="151" t="s">
        <v>24</v>
      </c>
      <c r="D1629" s="151" t="s">
        <v>283</v>
      </c>
      <c r="E1629" s="151" t="s">
        <v>13</v>
      </c>
      <c r="F1629" s="151" t="s">
        <v>4007</v>
      </c>
      <c r="H1629" s="151" t="s">
        <v>80</v>
      </c>
      <c r="I1629" s="165">
        <v>2011</v>
      </c>
      <c r="J1629" s="165" t="s">
        <v>4008</v>
      </c>
      <c r="K1629" s="165" t="s">
        <v>4009</v>
      </c>
      <c r="L1629" s="165" t="s">
        <v>1110</v>
      </c>
      <c r="M1629" s="453" t="s">
        <v>4409</v>
      </c>
      <c r="N1629" s="241" t="s">
        <v>122</v>
      </c>
      <c r="O1629" s="241" t="s">
        <v>292</v>
      </c>
      <c r="P1629" s="241" t="s">
        <v>292</v>
      </c>
      <c r="Q1629" s="241" t="s">
        <v>122</v>
      </c>
      <c r="R1629" s="241" t="s">
        <v>292</v>
      </c>
      <c r="S1629" s="241" t="s">
        <v>292</v>
      </c>
      <c r="T1629" s="241" t="s">
        <v>292</v>
      </c>
      <c r="U1629" s="241" t="s">
        <v>292</v>
      </c>
      <c r="V1629" s="241" t="s">
        <v>292</v>
      </c>
      <c r="W1629" s="241" t="s">
        <v>292</v>
      </c>
      <c r="X1629" s="241" t="s">
        <v>292</v>
      </c>
      <c r="Y1629" s="241" t="s">
        <v>122</v>
      </c>
      <c r="AA1629" s="241" t="s">
        <v>1439</v>
      </c>
      <c r="AD1629" s="245" t="s">
        <v>581</v>
      </c>
      <c r="AE1629" s="245" t="s">
        <v>3917</v>
      </c>
      <c r="AF1629" s="144" t="str">
        <f t="shared" si="146"/>
        <v/>
      </c>
      <c r="AG1629" s="144" t="str">
        <f t="shared" si="153"/>
        <v/>
      </c>
      <c r="AH1629" s="146">
        <f t="shared" si="150"/>
        <v>2.6970000000000001</v>
      </c>
      <c r="AI1629" s="146">
        <f t="shared" si="151"/>
        <v>3</v>
      </c>
      <c r="AJ1629" s="313"/>
      <c r="AK1629" s="313"/>
      <c r="AL1629" s="313"/>
      <c r="AM1629" s="313"/>
      <c r="AN1629" s="313"/>
      <c r="AO1629" s="313"/>
      <c r="AP1629" s="313"/>
      <c r="AQ1629" s="313"/>
      <c r="AR1629" s="313"/>
      <c r="AS1629" s="244"/>
      <c r="AT1629" s="242"/>
      <c r="AW1629" s="276">
        <f>(2.31*0.899)/0.77</f>
        <v>2.6970000000000001</v>
      </c>
      <c r="AX1629" s="276"/>
      <c r="AY1629" s="276">
        <f>(2.31*0.101)/0.77</f>
        <v>0.30299999999999999</v>
      </c>
      <c r="AZ1629" s="276"/>
      <c r="BA1629" s="276"/>
      <c r="BB1629" s="276"/>
      <c r="BC1629" s="276"/>
      <c r="BD1629" s="276"/>
      <c r="BE1629" s="276"/>
      <c r="BF1629" s="389">
        <f t="shared" si="152"/>
        <v>2.6970000000000001</v>
      </c>
      <c r="BG1629" s="389">
        <f>SUM(AW1629:AY1629)</f>
        <v>3</v>
      </c>
      <c r="BI1629" s="276"/>
      <c r="BJ1629" s="276"/>
    </row>
    <row r="1630" spans="1:62" ht="15" customHeight="1" thickBot="1" x14ac:dyDescent="0.25">
      <c r="A1630" s="156">
        <v>1631</v>
      </c>
      <c r="B1630" s="197">
        <v>1</v>
      </c>
      <c r="C1630" s="151" t="s">
        <v>24</v>
      </c>
      <c r="D1630" s="151" t="s">
        <v>4010</v>
      </c>
      <c r="E1630" s="255" t="s">
        <v>4011</v>
      </c>
      <c r="F1630" s="239" t="s">
        <v>4012</v>
      </c>
      <c r="H1630" s="151" t="s">
        <v>55</v>
      </c>
      <c r="I1630" s="165">
        <v>2011</v>
      </c>
      <c r="J1630" s="165" t="s">
        <v>4013</v>
      </c>
      <c r="K1630" s="257" t="s">
        <v>4014</v>
      </c>
      <c r="L1630" s="257" t="s">
        <v>3916</v>
      </c>
      <c r="M1630" s="453" t="s">
        <v>4410</v>
      </c>
      <c r="N1630" s="241" t="s">
        <v>122</v>
      </c>
      <c r="O1630" s="240" t="s">
        <v>292</v>
      </c>
      <c r="P1630" s="240" t="s">
        <v>122</v>
      </c>
      <c r="Q1630" s="241" t="s">
        <v>122</v>
      </c>
      <c r="R1630" s="240" t="s">
        <v>122</v>
      </c>
      <c r="S1630" s="241" t="s">
        <v>122</v>
      </c>
      <c r="T1630" s="240" t="s">
        <v>292</v>
      </c>
      <c r="U1630" s="240" t="s">
        <v>292</v>
      </c>
      <c r="V1630" s="240" t="s">
        <v>292</v>
      </c>
      <c r="W1630" s="240" t="s">
        <v>292</v>
      </c>
      <c r="X1630" s="240" t="s">
        <v>292</v>
      </c>
      <c r="Y1630" s="240" t="s">
        <v>122</v>
      </c>
      <c r="AA1630" s="240" t="s">
        <v>3906</v>
      </c>
      <c r="AD1630" s="245" t="s">
        <v>581</v>
      </c>
      <c r="AE1630" s="245" t="s">
        <v>4015</v>
      </c>
      <c r="AF1630" s="144">
        <f t="shared" si="146"/>
        <v>25.555555555555554</v>
      </c>
      <c r="AG1630" s="144">
        <f t="shared" si="153"/>
        <v>31.644444444444442</v>
      </c>
      <c r="AH1630" s="146">
        <f t="shared" si="150"/>
        <v>3.5999999999999996</v>
      </c>
      <c r="AI1630" s="146">
        <f t="shared" si="151"/>
        <v>4.3066666666666666</v>
      </c>
      <c r="AJ1630" s="313">
        <f>(1.43+10.07)/0.45</f>
        <v>25.555555555555554</v>
      </c>
      <c r="AK1630" s="313"/>
      <c r="AL1630" s="313">
        <f>2.74/0.45</f>
        <v>6.0888888888888895</v>
      </c>
      <c r="AM1630" s="313"/>
      <c r="AN1630" s="313">
        <f>1.06/0.45</f>
        <v>2.3555555555555556</v>
      </c>
      <c r="AO1630" s="313"/>
      <c r="AP1630" s="313"/>
      <c r="AQ1630" s="313"/>
      <c r="AR1630" s="313"/>
      <c r="AS1630" s="244">
        <f>AJ1630</f>
        <v>25.555555555555554</v>
      </c>
      <c r="AT1630" s="242">
        <f>SUM(AJ1630:AO1630)</f>
        <v>34</v>
      </c>
      <c r="AV1630" s="348"/>
      <c r="AW1630" s="276">
        <f>(0.18+1.44)/0.45</f>
        <v>3.5999999999999996</v>
      </c>
      <c r="AX1630" s="276"/>
      <c r="AY1630" s="276">
        <f>0.318/0.45</f>
        <v>0.70666666666666667</v>
      </c>
      <c r="AZ1630" s="276"/>
      <c r="BA1630" s="276">
        <f>0.132/0.45</f>
        <v>0.29333333333333333</v>
      </c>
      <c r="BB1630" s="276"/>
      <c r="BC1630" s="276"/>
      <c r="BD1630" s="276"/>
      <c r="BE1630" s="276"/>
      <c r="BF1630" s="389">
        <f t="shared" si="152"/>
        <v>3.5999999999999996</v>
      </c>
      <c r="BG1630" s="389">
        <f>SUM(AW1630:BE1630)</f>
        <v>4.5999999999999996</v>
      </c>
      <c r="BI1630" s="276"/>
      <c r="BJ1630" s="379"/>
    </row>
    <row r="1631" spans="1:62" ht="15" customHeight="1" thickBot="1" x14ac:dyDescent="0.25">
      <c r="A1631" s="156">
        <v>1632</v>
      </c>
      <c r="B1631" s="197">
        <v>1</v>
      </c>
      <c r="C1631" s="151" t="s">
        <v>24</v>
      </c>
      <c r="D1631" s="151" t="s">
        <v>2224</v>
      </c>
      <c r="E1631" s="255" t="s">
        <v>4011</v>
      </c>
      <c r="F1631" s="239" t="s">
        <v>4016</v>
      </c>
      <c r="H1631" s="151" t="s">
        <v>55</v>
      </c>
      <c r="I1631" s="165">
        <v>2011</v>
      </c>
      <c r="J1631" s="165" t="s">
        <v>4013</v>
      </c>
      <c r="K1631" s="257" t="s">
        <v>4014</v>
      </c>
      <c r="L1631" s="257" t="s">
        <v>3916</v>
      </c>
      <c r="M1631" s="453" t="s">
        <v>4410</v>
      </c>
      <c r="N1631" s="240" t="s">
        <v>122</v>
      </c>
      <c r="O1631" s="240" t="s">
        <v>292</v>
      </c>
      <c r="P1631" s="240" t="s">
        <v>122</v>
      </c>
      <c r="Q1631" s="240" t="s">
        <v>122</v>
      </c>
      <c r="R1631" s="240" t="s">
        <v>122</v>
      </c>
      <c r="S1631" s="240" t="s">
        <v>122</v>
      </c>
      <c r="T1631" s="240" t="s">
        <v>292</v>
      </c>
      <c r="U1631" s="240" t="s">
        <v>292</v>
      </c>
      <c r="V1631" s="240" t="s">
        <v>292</v>
      </c>
      <c r="W1631" s="240" t="s">
        <v>292</v>
      </c>
      <c r="X1631" s="240" t="s">
        <v>292</v>
      </c>
      <c r="Y1631" s="240" t="s">
        <v>122</v>
      </c>
      <c r="AA1631" s="241" t="s">
        <v>3906</v>
      </c>
      <c r="AD1631" s="246" t="s">
        <v>4017</v>
      </c>
      <c r="AE1631" s="245" t="s">
        <v>4018</v>
      </c>
      <c r="AF1631" s="144">
        <f t="shared" si="146"/>
        <v>55.220125786163514</v>
      </c>
      <c r="AG1631" s="144">
        <f t="shared" si="153"/>
        <v>65.132075471698101</v>
      </c>
      <c r="AH1631" s="146">
        <f t="shared" si="150"/>
        <v>4.5408805031446535</v>
      </c>
      <c r="AI1631" s="146">
        <f t="shared" si="151"/>
        <v>5.3723270440251572</v>
      </c>
      <c r="AJ1631" s="313">
        <f>43.9/0.795</f>
        <v>55.220125786163514</v>
      </c>
      <c r="AK1631" s="313"/>
      <c r="AL1631" s="313">
        <f>7.88/0.795</f>
        <v>9.9119496855345908</v>
      </c>
      <c r="AM1631" s="313"/>
      <c r="AN1631" s="313">
        <f>1.05/0.795</f>
        <v>1.320754716981132</v>
      </c>
      <c r="AO1631" s="313"/>
      <c r="AP1631" s="313"/>
      <c r="AQ1631" s="313"/>
      <c r="AR1631" s="313"/>
      <c r="AS1631" s="244">
        <f>AJ1631</f>
        <v>55.220125786163514</v>
      </c>
      <c r="AT1631" s="242">
        <f>SUM(AJ1631:AO1631)</f>
        <v>66.452830188679229</v>
      </c>
      <c r="AV1631" s="348"/>
      <c r="AW1631" s="276">
        <f>3.61/0.795</f>
        <v>4.5408805031446535</v>
      </c>
      <c r="AX1631" s="276"/>
      <c r="AY1631" s="276">
        <f>0.661/0.795</f>
        <v>0.83144654088050318</v>
      </c>
      <c r="AZ1631" s="276"/>
      <c r="BA1631" s="276">
        <f>0.105/0.795</f>
        <v>0.13207547169811321</v>
      </c>
      <c r="BB1631" s="276"/>
      <c r="BC1631" s="276"/>
      <c r="BD1631" s="276"/>
      <c r="BE1631" s="276"/>
      <c r="BF1631" s="389">
        <f t="shared" si="152"/>
        <v>4.5408805031446535</v>
      </c>
      <c r="BG1631" s="389">
        <f>SUM(AW1631:BE1631)</f>
        <v>5.5044025157232701</v>
      </c>
      <c r="BI1631" s="276"/>
      <c r="BJ1631" s="276"/>
    </row>
    <row r="1632" spans="1:62" ht="15" customHeight="1" thickBot="1" x14ac:dyDescent="0.25">
      <c r="A1632" s="156">
        <v>1633</v>
      </c>
      <c r="B1632" s="197">
        <v>1</v>
      </c>
      <c r="C1632" s="239" t="s">
        <v>24</v>
      </c>
      <c r="D1632" s="151" t="s">
        <v>4010</v>
      </c>
      <c r="E1632" s="239" t="s">
        <v>13</v>
      </c>
      <c r="F1632" s="239" t="s">
        <v>4019</v>
      </c>
      <c r="H1632" s="151" t="s">
        <v>55</v>
      </c>
      <c r="I1632" s="165">
        <v>2011</v>
      </c>
      <c r="J1632" s="165" t="s">
        <v>4013</v>
      </c>
      <c r="K1632" s="257" t="s">
        <v>4014</v>
      </c>
      <c r="L1632" s="257" t="s">
        <v>3916</v>
      </c>
      <c r="M1632" s="453" t="s">
        <v>4410</v>
      </c>
      <c r="N1632" s="240" t="s">
        <v>122</v>
      </c>
      <c r="O1632" s="240" t="s">
        <v>292</v>
      </c>
      <c r="P1632" s="240" t="s">
        <v>122</v>
      </c>
      <c r="Q1632" s="240" t="s">
        <v>122</v>
      </c>
      <c r="R1632" s="240" t="s">
        <v>122</v>
      </c>
      <c r="S1632" s="240" t="s">
        <v>122</v>
      </c>
      <c r="T1632" s="240" t="s">
        <v>292</v>
      </c>
      <c r="U1632" s="240" t="s">
        <v>292</v>
      </c>
      <c r="V1632" s="240" t="s">
        <v>292</v>
      </c>
      <c r="W1632" s="240" t="s">
        <v>292</v>
      </c>
      <c r="X1632" s="240" t="s">
        <v>292</v>
      </c>
      <c r="Y1632" s="240" t="s">
        <v>122</v>
      </c>
      <c r="AA1632" s="240" t="s">
        <v>1439</v>
      </c>
      <c r="AD1632" s="246" t="s">
        <v>4020</v>
      </c>
      <c r="AE1632" s="245" t="s">
        <v>4021</v>
      </c>
      <c r="AF1632" s="144">
        <f t="shared" si="146"/>
        <v>44.246153846153845</v>
      </c>
      <c r="AG1632" s="144">
        <f t="shared" si="153"/>
        <v>49.98646153846154</v>
      </c>
      <c r="AH1632" s="146">
        <f t="shared" si="150"/>
        <v>4.3538461538461535</v>
      </c>
      <c r="AI1632" s="146">
        <f t="shared" si="151"/>
        <v>4.8615384615384611</v>
      </c>
      <c r="AJ1632" s="313">
        <f>14.38/0.325</f>
        <v>44.246153846153845</v>
      </c>
      <c r="AK1632" s="313"/>
      <c r="AL1632" s="313">
        <f>1.8656/0.325</f>
        <v>5.7403076923076917</v>
      </c>
      <c r="AM1632" s="313"/>
      <c r="AN1632" s="313"/>
      <c r="AO1632" s="313"/>
      <c r="AP1632" s="313"/>
      <c r="AQ1632" s="313"/>
      <c r="AR1632" s="313"/>
      <c r="AS1632" s="244">
        <f>AJ1632</f>
        <v>44.246153846153845</v>
      </c>
      <c r="AT1632" s="242">
        <f>SUM(AJ1632:AO1632)</f>
        <v>49.98646153846154</v>
      </c>
      <c r="AV1632" s="313" t="s">
        <v>4022</v>
      </c>
      <c r="AW1632" s="276">
        <f>(1.58-0.22*0.75)/0.325</f>
        <v>4.3538461538461535</v>
      </c>
      <c r="AX1632" s="276"/>
      <c r="AY1632" s="276">
        <f>0.22*0.75/0.325</f>
        <v>0.50769230769230766</v>
      </c>
      <c r="AZ1632" s="276"/>
      <c r="BA1632" s="276"/>
      <c r="BB1632" s="276"/>
      <c r="BC1632" s="276"/>
      <c r="BD1632" s="276"/>
      <c r="BE1632" s="276"/>
      <c r="BF1632" s="389">
        <f t="shared" si="152"/>
        <v>4.3538461538461535</v>
      </c>
      <c r="BG1632" s="389">
        <f>SUM(AW1632:BE1632)</f>
        <v>4.8615384615384611</v>
      </c>
      <c r="BI1632" s="276"/>
      <c r="BJ1632" s="276" t="s">
        <v>4022</v>
      </c>
    </row>
    <row r="1633" spans="1:62" ht="15" customHeight="1" thickBot="1" x14ac:dyDescent="0.25">
      <c r="A1633" s="156">
        <v>1634</v>
      </c>
      <c r="B1633" s="197">
        <v>1</v>
      </c>
      <c r="C1633" s="239" t="s">
        <v>11</v>
      </c>
      <c r="D1633" s="239" t="s">
        <v>4023</v>
      </c>
      <c r="E1633" s="239" t="s">
        <v>13</v>
      </c>
      <c r="F1633" s="239" t="s">
        <v>4024</v>
      </c>
      <c r="H1633" s="151" t="s">
        <v>55</v>
      </c>
      <c r="I1633" s="165">
        <v>2011</v>
      </c>
      <c r="J1633" s="165" t="s">
        <v>4013</v>
      </c>
      <c r="K1633" s="257" t="s">
        <v>4014</v>
      </c>
      <c r="L1633" s="257" t="s">
        <v>3916</v>
      </c>
      <c r="M1633" s="453" t="s">
        <v>4410</v>
      </c>
      <c r="N1633" s="240" t="s">
        <v>122</v>
      </c>
      <c r="O1633" s="240" t="s">
        <v>292</v>
      </c>
      <c r="P1633" s="240" t="s">
        <v>292</v>
      </c>
      <c r="Q1633" s="240" t="s">
        <v>292</v>
      </c>
      <c r="R1633" s="240" t="s">
        <v>292</v>
      </c>
      <c r="S1633" s="240" t="s">
        <v>292</v>
      </c>
      <c r="T1633" s="240" t="s">
        <v>292</v>
      </c>
      <c r="U1633" s="240" t="s">
        <v>292</v>
      </c>
      <c r="V1633" s="240" t="s">
        <v>292</v>
      </c>
      <c r="W1633" s="240" t="s">
        <v>292</v>
      </c>
      <c r="X1633" s="240" t="s">
        <v>292</v>
      </c>
      <c r="Y1633" s="240" t="s">
        <v>122</v>
      </c>
      <c r="AA1633" s="240" t="s">
        <v>1439</v>
      </c>
      <c r="AD1633" s="246" t="s">
        <v>252</v>
      </c>
      <c r="AF1633" s="144">
        <f t="shared" si="146"/>
        <v>9.56</v>
      </c>
      <c r="AG1633" s="144" t="str">
        <f t="shared" si="153"/>
        <v/>
      </c>
      <c r="AH1633" s="146">
        <f t="shared" si="150"/>
        <v>5.61</v>
      </c>
      <c r="AI1633" s="146" t="str">
        <f t="shared" si="151"/>
        <v/>
      </c>
      <c r="AJ1633" s="313">
        <v>9.56</v>
      </c>
      <c r="AK1633" s="313"/>
      <c r="AL1633" s="313"/>
      <c r="AM1633" s="313"/>
      <c r="AN1633" s="313"/>
      <c r="AO1633" s="313"/>
      <c r="AP1633" s="313"/>
      <c r="AQ1633" s="313"/>
      <c r="AR1633" s="313"/>
      <c r="AS1633" s="244">
        <f>AJ1633</f>
        <v>9.56</v>
      </c>
      <c r="AT1633" s="242"/>
      <c r="AW1633" s="276">
        <v>5.61</v>
      </c>
      <c r="AX1633" s="276"/>
      <c r="AY1633" s="276"/>
      <c r="AZ1633" s="276"/>
      <c r="BA1633" s="276"/>
      <c r="BB1633" s="276"/>
      <c r="BC1633" s="276"/>
      <c r="BD1633" s="276"/>
      <c r="BE1633" s="276"/>
      <c r="BF1633" s="389">
        <f t="shared" si="152"/>
        <v>5.61</v>
      </c>
      <c r="BG1633" s="389"/>
      <c r="BI1633" s="276"/>
      <c r="BJ1633" s="276"/>
    </row>
    <row r="1634" spans="1:62" ht="15" customHeight="1" thickBot="1" x14ac:dyDescent="0.25">
      <c r="A1634" s="156">
        <v>1635</v>
      </c>
      <c r="B1634" s="197">
        <v>1</v>
      </c>
      <c r="C1634" s="239" t="s">
        <v>11</v>
      </c>
      <c r="D1634" s="239" t="s">
        <v>4025</v>
      </c>
      <c r="E1634" s="239" t="s">
        <v>13</v>
      </c>
      <c r="F1634" s="239" t="s">
        <v>4026</v>
      </c>
      <c r="H1634" s="239" t="s">
        <v>55</v>
      </c>
      <c r="I1634" s="165">
        <v>2011</v>
      </c>
      <c r="J1634" s="165" t="s">
        <v>4013</v>
      </c>
      <c r="K1634" s="257" t="s">
        <v>4014</v>
      </c>
      <c r="L1634" s="257" t="s">
        <v>3916</v>
      </c>
      <c r="M1634" s="453" t="s">
        <v>4410</v>
      </c>
      <c r="N1634" s="240" t="s">
        <v>122</v>
      </c>
      <c r="O1634" s="240" t="s">
        <v>292</v>
      </c>
      <c r="P1634" s="240" t="s">
        <v>292</v>
      </c>
      <c r="Q1634" s="240" t="s">
        <v>292</v>
      </c>
      <c r="R1634" s="240" t="s">
        <v>292</v>
      </c>
      <c r="S1634" s="240" t="s">
        <v>292</v>
      </c>
      <c r="T1634" s="240" t="s">
        <v>292</v>
      </c>
      <c r="U1634" s="240" t="s">
        <v>292</v>
      </c>
      <c r="V1634" s="240" t="s">
        <v>292</v>
      </c>
      <c r="W1634" s="240" t="s">
        <v>292</v>
      </c>
      <c r="X1634" s="240" t="s">
        <v>292</v>
      </c>
      <c r="Y1634" s="240" t="s">
        <v>122</v>
      </c>
      <c r="AA1634" s="241" t="s">
        <v>1439</v>
      </c>
      <c r="AD1634" s="246" t="s">
        <v>252</v>
      </c>
      <c r="AF1634" s="144">
        <f t="shared" si="146"/>
        <v>6.55</v>
      </c>
      <c r="AG1634" s="144" t="str">
        <f t="shared" si="153"/>
        <v/>
      </c>
      <c r="AH1634" s="146">
        <f t="shared" si="150"/>
        <v>4.0999999999999996</v>
      </c>
      <c r="AI1634" s="146" t="str">
        <f t="shared" si="151"/>
        <v/>
      </c>
      <c r="AJ1634" s="313">
        <v>6.55</v>
      </c>
      <c r="AK1634" s="313"/>
      <c r="AL1634" s="313"/>
      <c r="AM1634" s="313"/>
      <c r="AN1634" s="313"/>
      <c r="AO1634" s="313"/>
      <c r="AP1634" s="313"/>
      <c r="AQ1634" s="313"/>
      <c r="AR1634" s="313"/>
      <c r="AS1634" s="244">
        <f>AJ1634</f>
        <v>6.55</v>
      </c>
      <c r="AT1634" s="242"/>
      <c r="AW1634" s="276">
        <v>4.0999999999999996</v>
      </c>
      <c r="AX1634" s="276"/>
      <c r="AY1634" s="276"/>
      <c r="AZ1634" s="276"/>
      <c r="BA1634" s="276"/>
      <c r="BB1634" s="276"/>
      <c r="BC1634" s="276"/>
      <c r="BD1634" s="276"/>
      <c r="BE1634" s="276"/>
      <c r="BF1634" s="389">
        <f t="shared" si="152"/>
        <v>4.0999999999999996</v>
      </c>
      <c r="BG1634" s="389"/>
      <c r="BI1634" s="276"/>
      <c r="BJ1634" s="276"/>
    </row>
    <row r="1635" spans="1:62" ht="15" customHeight="1" thickBot="1" x14ac:dyDescent="0.25">
      <c r="A1635" s="156">
        <v>1636</v>
      </c>
      <c r="B1635" s="197">
        <v>1</v>
      </c>
      <c r="C1635" s="151" t="s">
        <v>975</v>
      </c>
      <c r="D1635" s="151" t="s">
        <v>3059</v>
      </c>
      <c r="E1635" s="151" t="s">
        <v>778</v>
      </c>
      <c r="F1635" s="151" t="s">
        <v>4027</v>
      </c>
      <c r="G1635" s="151" t="s">
        <v>20</v>
      </c>
      <c r="H1635" s="151" t="s">
        <v>4028</v>
      </c>
      <c r="I1635" s="165">
        <v>2011</v>
      </c>
      <c r="J1635" s="165" t="s">
        <v>4029</v>
      </c>
      <c r="K1635" s="165" t="s">
        <v>4030</v>
      </c>
      <c r="L1635" s="165" t="s">
        <v>19</v>
      </c>
      <c r="M1635" s="453" t="s">
        <v>4411</v>
      </c>
      <c r="N1635" s="241" t="s">
        <v>122</v>
      </c>
      <c r="O1635" s="241" t="s">
        <v>292</v>
      </c>
      <c r="P1635" s="241" t="s">
        <v>122</v>
      </c>
      <c r="Q1635" s="241" t="s">
        <v>122</v>
      </c>
      <c r="R1635" s="241" t="s">
        <v>122</v>
      </c>
      <c r="S1635" s="241" t="s">
        <v>122</v>
      </c>
      <c r="T1635" s="241" t="s">
        <v>292</v>
      </c>
      <c r="U1635" s="241" t="s">
        <v>292</v>
      </c>
      <c r="V1635" s="241" t="s">
        <v>292</v>
      </c>
      <c r="W1635" s="241" t="s">
        <v>292</v>
      </c>
      <c r="X1635" s="241" t="s">
        <v>292</v>
      </c>
      <c r="Y1635" s="241" t="s">
        <v>292</v>
      </c>
      <c r="AA1635" s="241" t="s">
        <v>3906</v>
      </c>
      <c r="AD1635" s="245" t="s">
        <v>4031</v>
      </c>
      <c r="AF1635" s="144" t="str">
        <f t="shared" si="146"/>
        <v/>
      </c>
      <c r="AG1635" s="144" t="str">
        <f t="shared" si="153"/>
        <v/>
      </c>
      <c r="AH1635" s="146">
        <f t="shared" si="150"/>
        <v>28.697916666666664</v>
      </c>
      <c r="AI1635" s="146">
        <f t="shared" si="151"/>
        <v>35.229166666666664</v>
      </c>
      <c r="AJ1635" s="313"/>
      <c r="AK1635" s="313"/>
      <c r="AL1635" s="313"/>
      <c r="AM1635" s="313"/>
      <c r="AN1635" s="313"/>
      <c r="AO1635" s="313"/>
      <c r="AP1635" s="313"/>
      <c r="AQ1635" s="313"/>
      <c r="AR1635" s="313"/>
      <c r="AS1635" s="244"/>
      <c r="AT1635" s="242"/>
      <c r="AW1635" s="276">
        <f>(4.35/5.76)*38</f>
        <v>28.697916666666664</v>
      </c>
      <c r="AX1635" s="276"/>
      <c r="AY1635" s="276">
        <f>(0.99/5.76)*38</f>
        <v>6.53125</v>
      </c>
      <c r="AZ1635" s="276"/>
      <c r="BA1635" s="276">
        <f>(0.42/5.76)*38</f>
        <v>2.7708333333333335</v>
      </c>
      <c r="BB1635" s="276"/>
      <c r="BC1635" s="276"/>
      <c r="BD1635" s="276"/>
      <c r="BE1635" s="276"/>
      <c r="BF1635" s="389">
        <f t="shared" si="152"/>
        <v>28.697916666666664</v>
      </c>
      <c r="BG1635" s="389">
        <f>SUM(AW1635:BA1635)</f>
        <v>38</v>
      </c>
      <c r="BI1635" s="276"/>
      <c r="BJ1635" s="276" t="s">
        <v>4032</v>
      </c>
    </row>
    <row r="1636" spans="1:62" ht="15" customHeight="1" thickBot="1" x14ac:dyDescent="0.25">
      <c r="A1636" s="156">
        <v>1637</v>
      </c>
      <c r="B1636" s="197">
        <v>1</v>
      </c>
      <c r="C1636" s="151" t="s">
        <v>975</v>
      </c>
      <c r="D1636" s="151" t="s">
        <v>3059</v>
      </c>
      <c r="E1636" s="151" t="s">
        <v>778</v>
      </c>
      <c r="F1636" s="151" t="s">
        <v>4033</v>
      </c>
      <c r="G1636" s="151" t="s">
        <v>20</v>
      </c>
      <c r="H1636" s="151" t="s">
        <v>4028</v>
      </c>
      <c r="I1636" s="165">
        <v>2011</v>
      </c>
      <c r="J1636" s="165" t="s">
        <v>4029</v>
      </c>
      <c r="K1636" s="165" t="s">
        <v>4030</v>
      </c>
      <c r="L1636" s="165" t="s">
        <v>19</v>
      </c>
      <c r="M1636" s="453" t="s">
        <v>4411</v>
      </c>
      <c r="N1636" s="241" t="s">
        <v>122</v>
      </c>
      <c r="O1636" s="241" t="s">
        <v>292</v>
      </c>
      <c r="P1636" s="241" t="s">
        <v>122</v>
      </c>
      <c r="Q1636" s="241" t="s">
        <v>122</v>
      </c>
      <c r="R1636" s="241" t="s">
        <v>122</v>
      </c>
      <c r="S1636" s="241" t="s">
        <v>122</v>
      </c>
      <c r="T1636" s="241" t="s">
        <v>292</v>
      </c>
      <c r="U1636" s="241" t="s">
        <v>292</v>
      </c>
      <c r="V1636" s="241" t="s">
        <v>292</v>
      </c>
      <c r="W1636" s="241" t="s">
        <v>292</v>
      </c>
      <c r="X1636" s="241" t="s">
        <v>292</v>
      </c>
      <c r="Y1636" s="241" t="s">
        <v>292</v>
      </c>
      <c r="AA1636" s="241" t="s">
        <v>3906</v>
      </c>
      <c r="AD1636" s="245" t="s">
        <v>4031</v>
      </c>
      <c r="AF1636" s="144" t="str">
        <f t="shared" si="146"/>
        <v/>
      </c>
      <c r="AG1636" s="144" t="str">
        <f t="shared" si="153"/>
        <v/>
      </c>
      <c r="AH1636" s="146">
        <f t="shared" si="150"/>
        <v>5.4166666666666669E-2</v>
      </c>
      <c r="AI1636" s="146">
        <f t="shared" si="151"/>
        <v>4.3874999999999993</v>
      </c>
      <c r="AJ1636" s="313"/>
      <c r="AK1636" s="313"/>
      <c r="AL1636" s="313"/>
      <c r="AM1636" s="313"/>
      <c r="AN1636" s="313"/>
      <c r="AO1636" s="313"/>
      <c r="AP1636" s="313"/>
      <c r="AQ1636" s="313"/>
      <c r="AR1636" s="313"/>
      <c r="AS1636" s="244"/>
      <c r="AT1636" s="242"/>
      <c r="AW1636" s="276">
        <f>(0.04/5.76*7.8)</f>
        <v>5.4166666666666669E-2</v>
      </c>
      <c r="AX1636" s="276"/>
      <c r="AY1636" s="276">
        <f>(3.2/5.76*7.8)</f>
        <v>4.333333333333333</v>
      </c>
      <c r="AZ1636" s="276">
        <f>(0.07/5.76*7.8)</f>
        <v>9.4791666666666677E-2</v>
      </c>
      <c r="BA1636" s="276">
        <f>(2.45/5.76*7.8)</f>
        <v>3.3177083333333335</v>
      </c>
      <c r="BB1636" s="276"/>
      <c r="BC1636" s="276"/>
      <c r="BD1636" s="276"/>
      <c r="BE1636" s="276"/>
      <c r="BF1636" s="389">
        <f t="shared" si="152"/>
        <v>5.4166666666666669E-2</v>
      </c>
      <c r="BG1636" s="389">
        <f>SUM(AW1636:BA1636)</f>
        <v>7.7999999999999989</v>
      </c>
      <c r="BI1636" s="276"/>
      <c r="BJ1636" s="276" t="s">
        <v>4034</v>
      </c>
    </row>
    <row r="1637" spans="1:62" ht="15" customHeight="1" thickBot="1" x14ac:dyDescent="0.25">
      <c r="A1637" s="156">
        <v>1638</v>
      </c>
      <c r="B1637" s="197">
        <v>1</v>
      </c>
      <c r="C1637" s="151" t="s">
        <v>3589</v>
      </c>
      <c r="D1637" s="151" t="s">
        <v>12</v>
      </c>
      <c r="E1637" s="151" t="s">
        <v>13</v>
      </c>
      <c r="F1637" s="151" t="s">
        <v>4035</v>
      </c>
      <c r="G1637" s="151" t="s">
        <v>20</v>
      </c>
      <c r="H1637" s="151" t="s">
        <v>4036</v>
      </c>
      <c r="I1637" s="165">
        <v>2012</v>
      </c>
      <c r="J1637" s="165" t="s">
        <v>4037</v>
      </c>
      <c r="K1637" s="165" t="s">
        <v>4038</v>
      </c>
      <c r="L1637" s="165" t="s">
        <v>19</v>
      </c>
      <c r="M1637" s="453" t="s">
        <v>4412</v>
      </c>
      <c r="N1637" s="241" t="s">
        <v>122</v>
      </c>
      <c r="O1637" s="241" t="s">
        <v>292</v>
      </c>
      <c r="P1637" s="241" t="s">
        <v>292</v>
      </c>
      <c r="Q1637" s="241" t="s">
        <v>292</v>
      </c>
      <c r="R1637" s="241" t="s">
        <v>292</v>
      </c>
      <c r="S1637" s="241" t="s">
        <v>292</v>
      </c>
      <c r="T1637" s="241" t="s">
        <v>292</v>
      </c>
      <c r="U1637" s="241" t="s">
        <v>292</v>
      </c>
      <c r="V1637" s="241" t="s">
        <v>292</v>
      </c>
      <c r="W1637" s="241" t="s">
        <v>292</v>
      </c>
      <c r="X1637" s="241" t="s">
        <v>292</v>
      </c>
      <c r="Y1637" s="241" t="s">
        <v>292</v>
      </c>
      <c r="AA1637" s="241" t="s">
        <v>303</v>
      </c>
      <c r="AD1637" s="245" t="s">
        <v>3636</v>
      </c>
      <c r="AF1637" s="144" t="str">
        <f t="shared" si="146"/>
        <v/>
      </c>
      <c r="AG1637" s="144" t="str">
        <f t="shared" si="153"/>
        <v/>
      </c>
      <c r="AH1637" s="146">
        <f t="shared" si="150"/>
        <v>0.79</v>
      </c>
      <c r="AI1637" s="146" t="str">
        <f t="shared" si="151"/>
        <v/>
      </c>
      <c r="AJ1637" s="313"/>
      <c r="AK1637" s="313"/>
      <c r="AL1637" s="313"/>
      <c r="AM1637" s="313"/>
      <c r="AN1637" s="313"/>
      <c r="AO1637" s="313"/>
      <c r="AP1637" s="313"/>
      <c r="AQ1637" s="313"/>
      <c r="AR1637" s="313"/>
      <c r="AS1637" s="244"/>
      <c r="AT1637" s="242"/>
      <c r="AW1637" s="276">
        <v>0.79</v>
      </c>
      <c r="AX1637" s="276"/>
      <c r="AY1637" s="276"/>
      <c r="AZ1637" s="276"/>
      <c r="BA1637" s="276"/>
      <c r="BB1637" s="276"/>
      <c r="BC1637" s="276"/>
      <c r="BD1637" s="276"/>
      <c r="BE1637" s="276"/>
      <c r="BF1637" s="389">
        <f t="shared" si="152"/>
        <v>0.79</v>
      </c>
      <c r="BG1637" s="389"/>
      <c r="BI1637" s="276"/>
      <c r="BJ1637" s="276" t="s">
        <v>4039</v>
      </c>
    </row>
    <row r="1638" spans="1:62" ht="15" customHeight="1" thickBot="1" x14ac:dyDescent="0.25">
      <c r="A1638" s="156">
        <v>1639</v>
      </c>
      <c r="B1638" s="197">
        <v>1</v>
      </c>
      <c r="C1638" s="151" t="s">
        <v>3589</v>
      </c>
      <c r="D1638" s="151" t="s">
        <v>12</v>
      </c>
      <c r="E1638" s="151" t="s">
        <v>13</v>
      </c>
      <c r="F1638" s="151" t="s">
        <v>4040</v>
      </c>
      <c r="G1638" s="151" t="s">
        <v>20</v>
      </c>
      <c r="H1638" s="151" t="s">
        <v>4036</v>
      </c>
      <c r="I1638" s="165">
        <v>2012</v>
      </c>
      <c r="J1638" s="165" t="s">
        <v>4037</v>
      </c>
      <c r="K1638" s="165" t="s">
        <v>4038</v>
      </c>
      <c r="L1638" s="165" t="s">
        <v>19</v>
      </c>
      <c r="M1638" s="453" t="s">
        <v>4412</v>
      </c>
      <c r="N1638" s="241" t="s">
        <v>122</v>
      </c>
      <c r="O1638" s="241" t="s">
        <v>292</v>
      </c>
      <c r="P1638" s="241" t="s">
        <v>292</v>
      </c>
      <c r="Q1638" s="241" t="s">
        <v>292</v>
      </c>
      <c r="R1638" s="241" t="s">
        <v>292</v>
      </c>
      <c r="S1638" s="241" t="s">
        <v>292</v>
      </c>
      <c r="T1638" s="241" t="s">
        <v>292</v>
      </c>
      <c r="U1638" s="241" t="s">
        <v>292</v>
      </c>
      <c r="V1638" s="241" t="s">
        <v>292</v>
      </c>
      <c r="W1638" s="241" t="s">
        <v>292</v>
      </c>
      <c r="X1638" s="241" t="s">
        <v>292</v>
      </c>
      <c r="Y1638" s="241" t="s">
        <v>292</v>
      </c>
      <c r="AA1638" s="241" t="s">
        <v>303</v>
      </c>
      <c r="AD1638" s="245" t="s">
        <v>3636</v>
      </c>
      <c r="AF1638" s="144" t="str">
        <f t="shared" si="146"/>
        <v/>
      </c>
      <c r="AG1638" s="144" t="str">
        <f t="shared" si="153"/>
        <v/>
      </c>
      <c r="AH1638" s="146">
        <f t="shared" si="150"/>
        <v>0.87</v>
      </c>
      <c r="AI1638" s="146" t="str">
        <f t="shared" si="151"/>
        <v/>
      </c>
      <c r="AJ1638" s="313"/>
      <c r="AK1638" s="313"/>
      <c r="AL1638" s="313"/>
      <c r="AM1638" s="313"/>
      <c r="AN1638" s="313"/>
      <c r="AO1638" s="313"/>
      <c r="AP1638" s="313"/>
      <c r="AQ1638" s="313"/>
      <c r="AR1638" s="313"/>
      <c r="AS1638" s="244"/>
      <c r="AT1638" s="242"/>
      <c r="AW1638" s="276">
        <v>0.87</v>
      </c>
      <c r="AX1638" s="276"/>
      <c r="AY1638" s="276"/>
      <c r="AZ1638" s="276"/>
      <c r="BA1638" s="276"/>
      <c r="BB1638" s="276"/>
      <c r="BC1638" s="276"/>
      <c r="BD1638" s="276"/>
      <c r="BE1638" s="276"/>
      <c r="BF1638" s="389">
        <f t="shared" si="152"/>
        <v>0.87</v>
      </c>
      <c r="BG1638" s="389"/>
      <c r="BI1638" s="276"/>
      <c r="BJ1638" s="276" t="s">
        <v>4039</v>
      </c>
    </row>
    <row r="1639" spans="1:62" ht="15" customHeight="1" thickBot="1" x14ac:dyDescent="0.25">
      <c r="A1639" s="156">
        <v>1640</v>
      </c>
      <c r="B1639" s="197">
        <v>1</v>
      </c>
      <c r="C1639" s="151" t="s">
        <v>24</v>
      </c>
      <c r="D1639" s="151" t="s">
        <v>269</v>
      </c>
      <c r="E1639" s="151" t="s">
        <v>13</v>
      </c>
      <c r="F1639" s="151" t="s">
        <v>4041</v>
      </c>
      <c r="H1639" s="151" t="s">
        <v>80</v>
      </c>
      <c r="I1639" s="165">
        <v>2011</v>
      </c>
      <c r="J1639" s="165" t="s">
        <v>4042</v>
      </c>
      <c r="K1639" s="165" t="s">
        <v>4043</v>
      </c>
      <c r="L1639" s="165" t="s">
        <v>4044</v>
      </c>
      <c r="M1639" s="453" t="s">
        <v>4413</v>
      </c>
      <c r="N1639" s="241" t="s">
        <v>122</v>
      </c>
      <c r="O1639" s="241" t="s">
        <v>292</v>
      </c>
      <c r="P1639" s="241" t="s">
        <v>292</v>
      </c>
      <c r="Q1639" s="241" t="s">
        <v>122</v>
      </c>
      <c r="R1639" s="241" t="s">
        <v>292</v>
      </c>
      <c r="S1639" s="241" t="s">
        <v>292</v>
      </c>
      <c r="T1639" s="241" t="s">
        <v>292</v>
      </c>
      <c r="U1639" s="241" t="s">
        <v>292</v>
      </c>
      <c r="V1639" s="241" t="s">
        <v>292</v>
      </c>
      <c r="W1639" s="241" t="s">
        <v>292</v>
      </c>
      <c r="X1639" s="241" t="s">
        <v>292</v>
      </c>
      <c r="Y1639" s="241" t="s">
        <v>292</v>
      </c>
      <c r="AA1639" s="241" t="s">
        <v>1439</v>
      </c>
      <c r="AD1639" s="245" t="s">
        <v>4045</v>
      </c>
      <c r="AE1639" s="245" t="s">
        <v>4046</v>
      </c>
      <c r="AF1639" s="144">
        <f t="shared" si="146"/>
        <v>25.824837156612858</v>
      </c>
      <c r="AG1639" s="144">
        <f t="shared" si="153"/>
        <v>28.658061519778379</v>
      </c>
      <c r="AH1639" s="146">
        <f t="shared" si="150"/>
        <v>4.134806003964882</v>
      </c>
      <c r="AI1639" s="146">
        <f t="shared" si="151"/>
        <v>4.3206962902359232</v>
      </c>
      <c r="AJ1639" s="313">
        <f>(1459/107/0.528)</f>
        <v>25.824837156612858</v>
      </c>
      <c r="AK1639" s="313"/>
      <c r="AL1639" s="313">
        <f>(221/107/0.729)</f>
        <v>2.8332243631655194</v>
      </c>
      <c r="AM1639" s="313"/>
      <c r="AN1639" s="313"/>
      <c r="AO1639" s="313"/>
      <c r="AP1639" s="313"/>
      <c r="AQ1639" s="313"/>
      <c r="AR1639" s="313"/>
      <c r="AS1639" s="244">
        <f>AJ1639</f>
        <v>25.824837156612858</v>
      </c>
      <c r="AT1639" s="242">
        <f>SUM(AJ1639:AL1639)</f>
        <v>28.658061519778379</v>
      </c>
      <c r="AW1639" s="276">
        <f>(233.6/107/0.528)</f>
        <v>4.134806003964882</v>
      </c>
      <c r="AX1639" s="276"/>
      <c r="AY1639" s="276">
        <f>(14.5/107)/0.729</f>
        <v>0.18589028627104084</v>
      </c>
      <c r="AZ1639" s="276"/>
      <c r="BA1639" s="276"/>
      <c r="BB1639" s="276"/>
      <c r="BC1639" s="276"/>
      <c r="BD1639" s="276"/>
      <c r="BE1639" s="276"/>
      <c r="BF1639" s="389">
        <f t="shared" si="152"/>
        <v>4.134806003964882</v>
      </c>
      <c r="BG1639" s="389">
        <f>SUM(AW1639:AY1639)</f>
        <v>4.3206962902359232</v>
      </c>
      <c r="BI1639" s="276"/>
      <c r="BJ1639" s="276"/>
    </row>
    <row r="1640" spans="1:62" ht="15" customHeight="1" thickBot="1" x14ac:dyDescent="0.25">
      <c r="A1640" s="156">
        <v>1641</v>
      </c>
      <c r="B1640" s="197">
        <v>1</v>
      </c>
      <c r="C1640" s="151" t="s">
        <v>11</v>
      </c>
      <c r="D1640" s="151" t="s">
        <v>12</v>
      </c>
      <c r="E1640" s="151" t="s">
        <v>13</v>
      </c>
      <c r="F1640" s="239" t="s">
        <v>4047</v>
      </c>
      <c r="H1640" s="239" t="s">
        <v>80</v>
      </c>
      <c r="I1640" s="165">
        <v>2011</v>
      </c>
      <c r="J1640" s="165" t="s">
        <v>4048</v>
      </c>
      <c r="K1640" s="257" t="s">
        <v>4049</v>
      </c>
      <c r="L1640" s="165" t="s">
        <v>19</v>
      </c>
      <c r="M1640" s="453" t="s">
        <v>4414</v>
      </c>
      <c r="N1640" s="240" t="s">
        <v>122</v>
      </c>
      <c r="O1640" s="240" t="s">
        <v>292</v>
      </c>
      <c r="P1640" s="240" t="s">
        <v>292</v>
      </c>
      <c r="Q1640" s="240" t="s">
        <v>292</v>
      </c>
      <c r="R1640" s="240" t="s">
        <v>292</v>
      </c>
      <c r="S1640" s="240" t="s">
        <v>292</v>
      </c>
      <c r="T1640" s="240" t="s">
        <v>292</v>
      </c>
      <c r="U1640" s="240" t="s">
        <v>292</v>
      </c>
      <c r="V1640" s="240" t="s">
        <v>292</v>
      </c>
      <c r="W1640" s="240" t="s">
        <v>292</v>
      </c>
      <c r="X1640" s="240" t="s">
        <v>292</v>
      </c>
      <c r="Y1640" s="240" t="s">
        <v>292</v>
      </c>
      <c r="AA1640" s="240" t="s">
        <v>303</v>
      </c>
      <c r="AD1640" s="246" t="s">
        <v>3636</v>
      </c>
      <c r="AF1640" s="144" t="str">
        <f t="shared" si="146"/>
        <v/>
      </c>
      <c r="AG1640" s="144" t="str">
        <f t="shared" si="153"/>
        <v/>
      </c>
      <c r="AH1640" s="146">
        <f t="shared" si="150"/>
        <v>0.91</v>
      </c>
      <c r="AI1640" s="146" t="str">
        <f t="shared" si="151"/>
        <v/>
      </c>
      <c r="AJ1640" s="313"/>
      <c r="AK1640" s="313"/>
      <c r="AL1640" s="313"/>
      <c r="AM1640" s="313"/>
      <c r="AN1640" s="313"/>
      <c r="AO1640" s="313"/>
      <c r="AP1640" s="313"/>
      <c r="AQ1640" s="313"/>
      <c r="AR1640" s="313"/>
      <c r="AS1640" s="244"/>
      <c r="AT1640" s="242"/>
      <c r="AW1640" s="276">
        <v>0.91</v>
      </c>
      <c r="AX1640" s="276"/>
      <c r="AY1640" s="276"/>
      <c r="AZ1640" s="276"/>
      <c r="BA1640" s="276"/>
      <c r="BB1640" s="276"/>
      <c r="BC1640" s="276"/>
      <c r="BD1640" s="276"/>
      <c r="BE1640" s="276"/>
      <c r="BF1640" s="389">
        <f t="shared" si="152"/>
        <v>0.91</v>
      </c>
      <c r="BG1640" s="389"/>
      <c r="BI1640" s="379" t="s">
        <v>4050</v>
      </c>
      <c r="BJ1640" s="276"/>
    </row>
    <row r="1641" spans="1:62" ht="15" customHeight="1" thickBot="1" x14ac:dyDescent="0.25">
      <c r="A1641" s="156">
        <v>1642</v>
      </c>
      <c r="B1641" s="197">
        <v>1</v>
      </c>
      <c r="C1641" s="239" t="s">
        <v>3589</v>
      </c>
      <c r="D1641" s="239" t="s">
        <v>12</v>
      </c>
      <c r="E1641" s="239" t="s">
        <v>13</v>
      </c>
      <c r="F1641" s="239" t="s">
        <v>4051</v>
      </c>
      <c r="H1641" s="239" t="s">
        <v>80</v>
      </c>
      <c r="I1641" s="165">
        <v>2011</v>
      </c>
      <c r="J1641" s="165" t="s">
        <v>4048</v>
      </c>
      <c r="K1641" s="257" t="s">
        <v>4049</v>
      </c>
      <c r="L1641" s="165" t="s">
        <v>19</v>
      </c>
      <c r="M1641" s="453" t="s">
        <v>4414</v>
      </c>
      <c r="N1641" s="240" t="s">
        <v>122</v>
      </c>
      <c r="O1641" s="240" t="s">
        <v>292</v>
      </c>
      <c r="P1641" s="240" t="s">
        <v>292</v>
      </c>
      <c r="Q1641" s="240" t="s">
        <v>292</v>
      </c>
      <c r="R1641" s="240" t="s">
        <v>292</v>
      </c>
      <c r="S1641" s="240" t="s">
        <v>292</v>
      </c>
      <c r="T1641" s="240" t="s">
        <v>292</v>
      </c>
      <c r="U1641" s="240" t="s">
        <v>292</v>
      </c>
      <c r="V1641" s="240" t="s">
        <v>292</v>
      </c>
      <c r="W1641" s="240" t="s">
        <v>292</v>
      </c>
      <c r="X1641" s="240" t="s">
        <v>292</v>
      </c>
      <c r="Y1641" s="240" t="s">
        <v>292</v>
      </c>
      <c r="AA1641" s="240" t="s">
        <v>303</v>
      </c>
      <c r="AD1641" s="246" t="s">
        <v>3636</v>
      </c>
      <c r="AF1641" s="144" t="str">
        <f t="shared" si="146"/>
        <v/>
      </c>
      <c r="AG1641" s="144" t="str">
        <f t="shared" si="153"/>
        <v/>
      </c>
      <c r="AH1641" s="146">
        <f t="shared" si="150"/>
        <v>0.9</v>
      </c>
      <c r="AI1641" s="146" t="str">
        <f t="shared" si="151"/>
        <v/>
      </c>
      <c r="AJ1641" s="313"/>
      <c r="AK1641" s="313"/>
      <c r="AL1641" s="313"/>
      <c r="AM1641" s="313"/>
      <c r="AN1641" s="313"/>
      <c r="AO1641" s="313"/>
      <c r="AP1641" s="313"/>
      <c r="AQ1641" s="313"/>
      <c r="AR1641" s="313"/>
      <c r="AS1641" s="244"/>
      <c r="AT1641" s="242"/>
      <c r="AW1641" s="276">
        <v>0.9</v>
      </c>
      <c r="AX1641" s="276"/>
      <c r="AY1641" s="276"/>
      <c r="AZ1641" s="276"/>
      <c r="BA1641" s="276"/>
      <c r="BB1641" s="276"/>
      <c r="BC1641" s="276"/>
      <c r="BD1641" s="276"/>
      <c r="BE1641" s="276"/>
      <c r="BF1641" s="389">
        <f t="shared" si="152"/>
        <v>0.9</v>
      </c>
      <c r="BG1641" s="389"/>
      <c r="BI1641" s="276" t="s">
        <v>4050</v>
      </c>
      <c r="BJ1641" s="276"/>
    </row>
    <row r="1642" spans="1:62" ht="15" customHeight="1" thickBot="1" x14ac:dyDescent="0.25">
      <c r="A1642" s="156">
        <v>1643</v>
      </c>
      <c r="B1642" s="197">
        <v>1</v>
      </c>
      <c r="C1642" s="239" t="s">
        <v>24</v>
      </c>
      <c r="D1642" s="239" t="s">
        <v>3639</v>
      </c>
      <c r="E1642" s="239" t="s">
        <v>13</v>
      </c>
      <c r="F1642" s="239" t="s">
        <v>4047</v>
      </c>
      <c r="H1642" s="239" t="s">
        <v>80</v>
      </c>
      <c r="I1642" s="165">
        <v>2011</v>
      </c>
      <c r="J1642" s="165" t="s">
        <v>4048</v>
      </c>
      <c r="K1642" s="257" t="s">
        <v>4049</v>
      </c>
      <c r="L1642" s="165" t="s">
        <v>19</v>
      </c>
      <c r="M1642" s="453" t="s">
        <v>4414</v>
      </c>
      <c r="N1642" s="240" t="s">
        <v>122</v>
      </c>
      <c r="O1642" s="240" t="s">
        <v>292</v>
      </c>
      <c r="P1642" s="240" t="s">
        <v>292</v>
      </c>
      <c r="Q1642" s="240" t="s">
        <v>292</v>
      </c>
      <c r="R1642" s="240" t="s">
        <v>292</v>
      </c>
      <c r="S1642" s="240" t="s">
        <v>292</v>
      </c>
      <c r="T1642" s="240" t="s">
        <v>292</v>
      </c>
      <c r="U1642" s="240" t="s">
        <v>292</v>
      </c>
      <c r="V1642" s="240" t="s">
        <v>292</v>
      </c>
      <c r="W1642" s="240" t="s">
        <v>292</v>
      </c>
      <c r="X1642" s="240" t="s">
        <v>292</v>
      </c>
      <c r="Y1642" s="240" t="s">
        <v>292</v>
      </c>
      <c r="AA1642" s="240" t="s">
        <v>303</v>
      </c>
      <c r="AD1642" s="246" t="s">
        <v>3943</v>
      </c>
      <c r="AF1642" s="144" t="str">
        <f t="shared" si="146"/>
        <v/>
      </c>
      <c r="AG1642" s="144" t="str">
        <f t="shared" si="153"/>
        <v/>
      </c>
      <c r="AH1642" s="146">
        <f t="shared" si="150"/>
        <v>6.92</v>
      </c>
      <c r="AI1642" s="146" t="str">
        <f t="shared" si="151"/>
        <v/>
      </c>
      <c r="AJ1642" s="323"/>
      <c r="AK1642" s="323"/>
      <c r="AL1642" s="323"/>
      <c r="AM1642" s="323"/>
      <c r="AN1642" s="323"/>
      <c r="AO1642" s="323"/>
      <c r="AP1642" s="323"/>
      <c r="AQ1642" s="323"/>
      <c r="AR1642" s="323"/>
      <c r="AS1642" s="244"/>
      <c r="AT1642" s="242"/>
      <c r="AU1642" s="323"/>
      <c r="AW1642" s="276">
        <v>6.92</v>
      </c>
      <c r="AX1642" s="276"/>
      <c r="AY1642" s="276"/>
      <c r="AZ1642" s="276"/>
      <c r="BA1642" s="276"/>
      <c r="BB1642" s="276"/>
      <c r="BC1642" s="276"/>
      <c r="BD1642" s="276"/>
      <c r="BE1642" s="276"/>
      <c r="BF1642" s="389">
        <f t="shared" si="152"/>
        <v>6.92</v>
      </c>
      <c r="BG1642" s="389"/>
      <c r="BI1642" s="276" t="s">
        <v>4050</v>
      </c>
      <c r="BJ1642" s="276"/>
    </row>
    <row r="1643" spans="1:62" ht="15" customHeight="1" thickBot="1" x14ac:dyDescent="0.25">
      <c r="A1643" s="156">
        <v>1644</v>
      </c>
      <c r="B1643" s="197">
        <v>1</v>
      </c>
      <c r="C1643" s="239" t="s">
        <v>24</v>
      </c>
      <c r="D1643" s="239" t="s">
        <v>3639</v>
      </c>
      <c r="E1643" s="239" t="s">
        <v>13</v>
      </c>
      <c r="F1643" s="239" t="s">
        <v>4051</v>
      </c>
      <c r="H1643" s="239" t="s">
        <v>80</v>
      </c>
      <c r="I1643" s="165">
        <v>2011</v>
      </c>
      <c r="J1643" s="165" t="s">
        <v>4048</v>
      </c>
      <c r="K1643" s="257" t="s">
        <v>4049</v>
      </c>
      <c r="L1643" s="165" t="s">
        <v>19</v>
      </c>
      <c r="M1643" s="453" t="s">
        <v>4414</v>
      </c>
      <c r="N1643" s="240" t="s">
        <v>122</v>
      </c>
      <c r="O1643" s="240" t="s">
        <v>292</v>
      </c>
      <c r="P1643" s="240" t="s">
        <v>292</v>
      </c>
      <c r="Q1643" s="240" t="s">
        <v>292</v>
      </c>
      <c r="R1643" s="240" t="s">
        <v>292</v>
      </c>
      <c r="S1643" s="240" t="s">
        <v>292</v>
      </c>
      <c r="T1643" s="240" t="s">
        <v>292</v>
      </c>
      <c r="U1643" s="240" t="s">
        <v>292</v>
      </c>
      <c r="V1643" s="240" t="s">
        <v>292</v>
      </c>
      <c r="W1643" s="240" t="s">
        <v>292</v>
      </c>
      <c r="X1643" s="240" t="s">
        <v>292</v>
      </c>
      <c r="Y1643" s="240" t="s">
        <v>292</v>
      </c>
      <c r="AA1643" s="240" t="s">
        <v>303</v>
      </c>
      <c r="AD1643" s="246" t="s">
        <v>3943</v>
      </c>
      <c r="AF1643" s="144" t="str">
        <f t="shared" si="146"/>
        <v/>
      </c>
      <c r="AG1643" s="144" t="str">
        <f t="shared" si="153"/>
        <v/>
      </c>
      <c r="AH1643" s="146">
        <f t="shared" si="150"/>
        <v>7.33</v>
      </c>
      <c r="AI1643" s="146" t="str">
        <f t="shared" si="151"/>
        <v/>
      </c>
      <c r="AJ1643" s="313"/>
      <c r="AK1643" s="313"/>
      <c r="AL1643" s="313"/>
      <c r="AM1643" s="313"/>
      <c r="AN1643" s="313"/>
      <c r="AO1643" s="313"/>
      <c r="AP1643" s="313"/>
      <c r="AQ1643" s="313"/>
      <c r="AR1643" s="313"/>
      <c r="AS1643" s="244"/>
      <c r="AT1643" s="242"/>
      <c r="AW1643" s="276">
        <v>7.33</v>
      </c>
      <c r="AX1643" s="276"/>
      <c r="AY1643" s="276"/>
      <c r="AZ1643" s="276"/>
      <c r="BA1643" s="276"/>
      <c r="BB1643" s="276"/>
      <c r="BC1643" s="276"/>
      <c r="BD1643" s="276"/>
      <c r="BE1643" s="276"/>
      <c r="BF1643" s="389">
        <f t="shared" si="152"/>
        <v>7.33</v>
      </c>
      <c r="BG1643" s="389"/>
      <c r="BI1643" s="276" t="s">
        <v>4050</v>
      </c>
      <c r="BJ1643" s="276"/>
    </row>
    <row r="1644" spans="1:62" ht="15" customHeight="1" thickBot="1" x14ac:dyDescent="0.25">
      <c r="A1644" s="156">
        <v>1645</v>
      </c>
      <c r="B1644" s="155">
        <v>1</v>
      </c>
      <c r="C1644" s="148" t="s">
        <v>596</v>
      </c>
      <c r="D1644" s="148" t="s">
        <v>1043</v>
      </c>
      <c r="E1644" s="148" t="s">
        <v>13</v>
      </c>
      <c r="F1644" s="148" t="s">
        <v>4052</v>
      </c>
      <c r="G1644" s="148" t="s">
        <v>292</v>
      </c>
      <c r="H1644" s="148" t="s">
        <v>108</v>
      </c>
      <c r="I1644" s="161">
        <v>2012</v>
      </c>
      <c r="J1644" s="161" t="s">
        <v>1045</v>
      </c>
      <c r="K1644" s="161"/>
      <c r="L1644" s="161" t="s">
        <v>19</v>
      </c>
      <c r="M1644" s="453" t="s">
        <v>4188</v>
      </c>
      <c r="N1644" s="186" t="s">
        <v>20</v>
      </c>
      <c r="O1644" s="186" t="s">
        <v>15</v>
      </c>
      <c r="P1644" s="186" t="s">
        <v>20</v>
      </c>
      <c r="Q1644" s="186" t="s">
        <v>20</v>
      </c>
      <c r="R1644" s="186" t="s">
        <v>20</v>
      </c>
      <c r="S1644" s="186" t="s">
        <v>20</v>
      </c>
      <c r="T1644" s="186" t="s">
        <v>20</v>
      </c>
      <c r="U1644" s="186" t="s">
        <v>20</v>
      </c>
      <c r="V1644" s="186" t="s">
        <v>20</v>
      </c>
      <c r="W1644" s="186" t="s">
        <v>15</v>
      </c>
      <c r="X1644" s="186" t="s">
        <v>15</v>
      </c>
      <c r="Y1644" s="186" t="s">
        <v>15</v>
      </c>
      <c r="Z1644" s="186"/>
      <c r="AA1644" s="186" t="s">
        <v>243</v>
      </c>
      <c r="AB1644" s="186" t="s">
        <v>15</v>
      </c>
      <c r="AC1644" s="186" t="s">
        <v>15</v>
      </c>
      <c r="AD1644" s="268" t="s">
        <v>1046</v>
      </c>
      <c r="AE1644" s="268" t="s">
        <v>1047</v>
      </c>
      <c r="AF1644" s="144" t="str">
        <f t="shared" si="146"/>
        <v/>
      </c>
      <c r="AG1644" s="144" t="str">
        <f t="shared" si="153"/>
        <v/>
      </c>
      <c r="AH1644" s="146">
        <f t="shared" si="150"/>
        <v>3.8387715930902108E-2</v>
      </c>
      <c r="AI1644" s="146">
        <f t="shared" si="151"/>
        <v>4.9904030710172742E-2</v>
      </c>
      <c r="AJ1644" s="310"/>
      <c r="AK1644" s="310"/>
      <c r="AL1644" s="310"/>
      <c r="AM1644" s="310"/>
      <c r="AN1644" s="310"/>
      <c r="AO1644" s="310"/>
      <c r="AP1644" s="310"/>
      <c r="AQ1644" s="310"/>
      <c r="AR1644" s="310"/>
      <c r="AS1644" s="176"/>
      <c r="AT1644" s="169">
        <f>4.6/1.042</f>
        <v>4.4145873320537419</v>
      </c>
      <c r="AU1644" s="310"/>
      <c r="AW1644" s="278">
        <f>0.04/1.042</f>
        <v>3.8387715930902108E-2</v>
      </c>
      <c r="AX1644" s="278"/>
      <c r="AY1644" s="278">
        <f>0.012/1.042</f>
        <v>1.1516314779270634E-2</v>
      </c>
      <c r="AZ1644" s="278">
        <f>0.248/1.042</f>
        <v>0.23800383877159309</v>
      </c>
      <c r="BA1644" s="278">
        <f>0.005/1.042</f>
        <v>4.7984644913627635E-3</v>
      </c>
      <c r="BB1644" s="278">
        <f>0.155/1.042</f>
        <v>0.14875239923224567</v>
      </c>
      <c r="BC1644" s="278"/>
      <c r="BD1644" s="278">
        <f>0.007/1.042</f>
        <v>6.7178502879078695E-3</v>
      </c>
      <c r="BE1644" s="278"/>
      <c r="BF1644" s="382">
        <f t="shared" si="152"/>
        <v>3.8387715930902108E-2</v>
      </c>
      <c r="BG1644" s="392">
        <f>SUM(AW1644:BE1644)</f>
        <v>0.44817658349328221</v>
      </c>
      <c r="BH1644" s="278"/>
      <c r="BI1644" s="278" t="s">
        <v>990</v>
      </c>
      <c r="BJ1644" s="379"/>
    </row>
    <row r="1645" spans="1:62" ht="15.75" customHeight="1" thickBot="1" x14ac:dyDescent="0.25">
      <c r="A1645" s="156">
        <v>1646</v>
      </c>
      <c r="B1645" s="155">
        <v>1</v>
      </c>
      <c r="C1645" s="148" t="s">
        <v>596</v>
      </c>
      <c r="D1645" s="148" t="s">
        <v>1043</v>
      </c>
      <c r="E1645" s="148" t="s">
        <v>13</v>
      </c>
      <c r="F1645" s="148" t="s">
        <v>4053</v>
      </c>
      <c r="G1645" s="148" t="s">
        <v>292</v>
      </c>
      <c r="H1645" s="148" t="s">
        <v>108</v>
      </c>
      <c r="I1645" s="161">
        <v>2012</v>
      </c>
      <c r="J1645" s="161" t="s">
        <v>1045</v>
      </c>
      <c r="K1645" s="161"/>
      <c r="L1645" s="161" t="s">
        <v>19</v>
      </c>
      <c r="M1645" s="453" t="s">
        <v>4188</v>
      </c>
      <c r="N1645" s="186" t="s">
        <v>20</v>
      </c>
      <c r="O1645" s="186" t="s">
        <v>15</v>
      </c>
      <c r="P1645" s="186" t="s">
        <v>20</v>
      </c>
      <c r="Q1645" s="186" t="s">
        <v>20</v>
      </c>
      <c r="R1645" s="186" t="s">
        <v>20</v>
      </c>
      <c r="S1645" s="186" t="s">
        <v>20</v>
      </c>
      <c r="T1645" s="186" t="s">
        <v>20</v>
      </c>
      <c r="U1645" s="186" t="s">
        <v>20</v>
      </c>
      <c r="V1645" s="186" t="s">
        <v>20</v>
      </c>
      <c r="W1645" s="186" t="s">
        <v>15</v>
      </c>
      <c r="X1645" s="186" t="s">
        <v>15</v>
      </c>
      <c r="Y1645" s="186" t="s">
        <v>15</v>
      </c>
      <c r="Z1645" s="186"/>
      <c r="AA1645" s="186" t="s">
        <v>243</v>
      </c>
      <c r="AB1645" s="186" t="s">
        <v>15</v>
      </c>
      <c r="AC1645" s="186" t="s">
        <v>15</v>
      </c>
      <c r="AD1645" s="268" t="s">
        <v>1046</v>
      </c>
      <c r="AE1645" s="268" t="s">
        <v>1047</v>
      </c>
      <c r="AF1645" s="144" t="str">
        <f t="shared" si="146"/>
        <v/>
      </c>
      <c r="AG1645" s="144" t="str">
        <f t="shared" si="153"/>
        <v/>
      </c>
      <c r="AH1645" s="146">
        <f t="shared" si="150"/>
        <v>3.8387715930902108E-2</v>
      </c>
      <c r="AI1645" s="146">
        <f t="shared" si="151"/>
        <v>7.4856046065259113E-2</v>
      </c>
      <c r="AJ1645" s="303"/>
      <c r="AK1645" s="303"/>
      <c r="AL1645" s="303"/>
      <c r="AM1645" s="303"/>
      <c r="AN1645" s="303"/>
      <c r="AO1645" s="303"/>
      <c r="AP1645" s="303"/>
      <c r="AQ1645" s="303"/>
      <c r="AR1645" s="303"/>
      <c r="AS1645" s="170"/>
      <c r="AT1645" s="169">
        <f>7.3/1.042</f>
        <v>7.0057581573896348</v>
      </c>
      <c r="AU1645" s="310"/>
      <c r="AW1645" s="294">
        <f>0.04/1.042</f>
        <v>3.8387715930902108E-2</v>
      </c>
      <c r="AX1645" s="294"/>
      <c r="AY1645" s="294">
        <f>0.038/1.042</f>
        <v>3.6468330134357005E-2</v>
      </c>
      <c r="AZ1645" s="294">
        <f>0.174/1.042</f>
        <v>0.16698656429942416</v>
      </c>
      <c r="BA1645" s="294">
        <f>0.006/1.042</f>
        <v>5.7581573896353169E-3</v>
      </c>
      <c r="BB1645" s="294">
        <f>0.095/1.042</f>
        <v>9.1170825335892519E-2</v>
      </c>
      <c r="BC1645" s="294"/>
      <c r="BD1645" s="294">
        <f>0.035/1.042</f>
        <v>3.358925143953935E-2</v>
      </c>
      <c r="BE1645" s="294"/>
      <c r="BF1645" s="391">
        <f t="shared" si="152"/>
        <v>3.8387715930902108E-2</v>
      </c>
      <c r="BG1645" s="392">
        <f>SUM(AW1645:BE1645)</f>
        <v>0.37236084452975043</v>
      </c>
      <c r="BH1645" s="278"/>
      <c r="BI1645" s="365" t="s">
        <v>990</v>
      </c>
      <c r="BJ1645" s="411"/>
    </row>
    <row r="1646" spans="1:62" ht="15.75" customHeight="1" thickBot="1" x14ac:dyDescent="0.25">
      <c r="A1646" s="156"/>
      <c r="B1646" s="155"/>
      <c r="D1646" s="129"/>
      <c r="E1646" s="148"/>
      <c r="F1646" s="148"/>
      <c r="G1646" s="148"/>
      <c r="H1646" s="148"/>
      <c r="I1646" s="163"/>
      <c r="J1646" s="161"/>
      <c r="K1646" s="161"/>
      <c r="L1646" s="161"/>
      <c r="M1646" s="456"/>
      <c r="N1646" s="186"/>
      <c r="O1646" s="186"/>
      <c r="P1646" s="186"/>
      <c r="Q1646" s="186"/>
      <c r="R1646" s="186"/>
      <c r="S1646" s="186"/>
      <c r="T1646" s="186"/>
      <c r="U1646" s="186"/>
      <c r="V1646" s="186"/>
      <c r="W1646" s="186"/>
      <c r="X1646" s="186"/>
      <c r="Y1646" s="186"/>
      <c r="Z1646" s="186"/>
      <c r="AA1646" s="186"/>
      <c r="AB1646" s="186"/>
      <c r="AC1646" s="186"/>
      <c r="AD1646" s="268"/>
      <c r="AE1646" s="268"/>
      <c r="AF1646" s="144"/>
      <c r="AG1646" s="144"/>
      <c r="AH1646" s="146"/>
      <c r="AI1646" s="146"/>
      <c r="AJ1646" s="303"/>
      <c r="AK1646" s="303"/>
      <c r="AL1646" s="303"/>
      <c r="AM1646" s="303"/>
      <c r="AN1646" s="303"/>
      <c r="AO1646" s="303"/>
      <c r="AP1646" s="303"/>
      <c r="AQ1646" s="303"/>
      <c r="AR1646" s="303"/>
      <c r="AS1646" s="170"/>
      <c r="AT1646" s="169"/>
      <c r="AU1646" s="310"/>
      <c r="AV1646" s="329"/>
      <c r="AW1646" s="294"/>
      <c r="AX1646" s="294"/>
      <c r="AY1646" s="294"/>
      <c r="AZ1646" s="294"/>
      <c r="BA1646" s="294"/>
      <c r="BB1646" s="294"/>
      <c r="BC1646" s="294"/>
      <c r="BD1646" s="294"/>
      <c r="BE1646" s="294"/>
      <c r="BF1646" s="443"/>
      <c r="BG1646" s="385"/>
      <c r="BH1646" s="278"/>
      <c r="BI1646" s="365"/>
      <c r="BJ1646" s="410"/>
    </row>
  </sheetData>
  <autoFilter ref="A1:BJ1646" xr:uid="{00000000-0009-0000-0000-000002000000}">
    <sortState xmlns:xlrd2="http://schemas.microsoft.com/office/spreadsheetml/2017/richdata2" ref="A2:BJ1646">
      <sortCondition ref="A1:A1646"/>
    </sortState>
  </autoFilter>
  <sortState xmlns:xlrd2="http://schemas.microsoft.com/office/spreadsheetml/2017/richdata2" ref="A2:BG978">
    <sortCondition ref="C2:C978"/>
    <sortCondition ref="D2:D978"/>
  </sortState>
  <dataConsolidate/>
  <dataValidations count="9">
    <dataValidation type="list" allowBlank="1" showErrorMessage="1" sqref="L82:L233 L240:L325 L329:L331 L758:L981 L495:L755 L1008:L1009 L1019 L334:L452 L1187:L1222 L1320:L1323 L3:L80" xr:uid="{00000000-0002-0000-0200-000000000000}">
      <formula1>SourceType</formula1>
    </dataValidation>
    <dataValidation type="list" allowBlank="1" sqref="L81" xr:uid="{00000000-0002-0000-0200-000001000000}">
      <formula1>SourceType</formula1>
    </dataValidation>
    <dataValidation type="list" allowBlank="1" sqref="E572:E580 E290:E293 E297:E311 E323:E333 E469 E498 E3:E99 E1019 E367:E452" xr:uid="{00000000-0002-0000-0200-000002000000}">
      <formula1>FoodForm</formula1>
    </dataValidation>
    <dataValidation type="list" allowBlank="1" showErrorMessage="1" sqref="AB71:AB78 AB3:AC70 N79:X80 G290:G293 AB290:AC293 N453:Z453 G3:G80 N3:Y78 N519:Y981 N81:Y452 N1019:Y1021 N454:Y511 N1023:Y1035 N1320:N1323 N1576:Y1646" xr:uid="{00000000-0002-0000-0200-000003000000}">
      <formula1>YesNo</formula1>
    </dataValidation>
    <dataValidation type="list" allowBlank="1" showErrorMessage="1" sqref="C1023:C1061 C3:C1021 C1183:C1222 C1271 C1645" xr:uid="{00000000-0002-0000-0200-000004000000}">
      <formula1>FoodTypes</formula1>
    </dataValidation>
    <dataValidation type="list" allowBlank="1" showErrorMessage="1" sqref="N1223:Z1281 AC1278:AC1281 N1282:N1319 N1324:N1575 O1282:Z1575" xr:uid="{00000000-0002-0000-0200-000005000000}">
      <formula1>Yes_No</formula1>
    </dataValidation>
    <dataValidation type="list" allowBlank="1" showErrorMessage="1" sqref="C1223:C1270 C1272:C1575" xr:uid="{00000000-0002-0000-0200-000006000000}">
      <formula1>Food_Type</formula1>
    </dataValidation>
    <dataValidation type="list" allowBlank="1" showInputMessage="1" showErrorMessage="1" sqref="L1299:L1319 L1324:L1576 L1223:L1286" xr:uid="{00000000-0002-0000-0200-000007000000}">
      <formula1>Source_Type</formula1>
    </dataValidation>
    <dataValidation type="list" allowBlank="1" showInputMessage="1" showErrorMessage="1" sqref="E1223:E1575" xr:uid="{00000000-0002-0000-0200-000008000000}">
      <formula1>Food_Form</formula1>
    </dataValidation>
  </dataValidations>
  <pageMargins left="0.7" right="0.7" top="0.75" bottom="0.75" header="0.3" footer="0.3"/>
  <pageSetup orientation="portrait" horizontalDpi="4294967292" verticalDpi="4294967292" r:id="rId1"/>
  <drawing r:id="rId2"/>
  <legacyDrawing r:id="rId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T335"/>
  <sheetViews>
    <sheetView workbookViewId="0">
      <pane xSplit="2" ySplit="4" topLeftCell="C169" activePane="bottomRight" state="frozen"/>
      <selection pane="topRight" activeCell="C1" sqref="C1"/>
      <selection pane="bottomLeft" activeCell="A5" sqref="A5"/>
      <selection pane="bottomRight" activeCell="B178" sqref="B178"/>
    </sheetView>
  </sheetViews>
  <sheetFormatPr baseColWidth="10" defaultColWidth="8.83203125" defaultRowHeight="16" x14ac:dyDescent="0.2"/>
  <cols>
    <col min="1" max="1" width="18.83203125" customWidth="1"/>
    <col min="2" max="2" width="30.83203125" style="3" customWidth="1"/>
    <col min="3" max="7" width="16.5" style="3" customWidth="1"/>
    <col min="8" max="11" width="16" style="3" customWidth="1"/>
    <col min="12" max="12" width="16" customWidth="1"/>
    <col min="13" max="13" width="13.6640625" customWidth="1"/>
    <col min="14" max="15" width="11.83203125" customWidth="1"/>
    <col min="16" max="16" width="12.1640625" customWidth="1"/>
    <col min="17" max="17" width="11.83203125" customWidth="1"/>
  </cols>
  <sheetData>
    <row r="2" spans="1:20" ht="26" x14ac:dyDescent="0.3">
      <c r="C2" s="483" t="s">
        <v>3251</v>
      </c>
      <c r="D2" s="483"/>
      <c r="E2" s="483"/>
      <c r="F2" s="483"/>
      <c r="G2" s="483"/>
      <c r="H2" s="484" t="s">
        <v>3252</v>
      </c>
      <c r="I2" s="484"/>
      <c r="J2" s="484"/>
      <c r="K2" s="484"/>
      <c r="L2" s="484"/>
      <c r="M2" s="485" t="s">
        <v>3253</v>
      </c>
      <c r="N2" s="485"/>
      <c r="O2" s="485"/>
      <c r="P2" s="485"/>
      <c r="Q2" s="485"/>
    </row>
    <row r="3" spans="1:20" s="3" customFormat="1" ht="25" x14ac:dyDescent="0.3">
      <c r="C3" s="460" t="s">
        <v>1705</v>
      </c>
      <c r="D3" s="178"/>
      <c r="E3" s="178"/>
      <c r="F3" s="178"/>
      <c r="G3" s="178"/>
      <c r="H3" s="179"/>
      <c r="I3" s="179"/>
      <c r="J3" s="179"/>
      <c r="K3" s="179"/>
      <c r="L3" s="179"/>
      <c r="M3" s="180"/>
      <c r="N3" s="180"/>
      <c r="O3" s="180"/>
      <c r="P3" s="180"/>
      <c r="Q3" s="180"/>
    </row>
    <row r="4" spans="1:20" s="3" customFormat="1" ht="68" x14ac:dyDescent="0.2">
      <c r="A4" s="2" t="s">
        <v>0</v>
      </c>
      <c r="B4" s="2" t="s">
        <v>1</v>
      </c>
      <c r="C4" s="178" t="s">
        <v>3243</v>
      </c>
      <c r="D4" s="178" t="s">
        <v>3258</v>
      </c>
      <c r="E4" s="178" t="s">
        <v>3259</v>
      </c>
      <c r="F4" s="178" t="s">
        <v>3260</v>
      </c>
      <c r="G4" s="178" t="s">
        <v>3261</v>
      </c>
      <c r="H4" s="179" t="s">
        <v>3244</v>
      </c>
      <c r="I4" s="179" t="s">
        <v>3262</v>
      </c>
      <c r="J4" s="179" t="s">
        <v>3263</v>
      </c>
      <c r="K4" s="179" t="s">
        <v>3264</v>
      </c>
      <c r="L4" s="179" t="s">
        <v>3265</v>
      </c>
      <c r="M4" s="180" t="s">
        <v>1712</v>
      </c>
      <c r="N4" s="180" t="s">
        <v>1714</v>
      </c>
      <c r="O4" s="180" t="s">
        <v>1715</v>
      </c>
      <c r="P4" s="180" t="s">
        <v>1713</v>
      </c>
      <c r="Q4" s="180" t="s">
        <v>1716</v>
      </c>
    </row>
    <row r="5" spans="1:20" x14ac:dyDescent="0.2">
      <c r="A5" t="s">
        <v>596</v>
      </c>
      <c r="B5" t="s">
        <v>1418</v>
      </c>
      <c r="C5" s="3">
        <v>26</v>
      </c>
      <c r="D5" s="3">
        <v>0.16674710733172968</v>
      </c>
      <c r="E5" s="3">
        <v>4.4835491241431782E-2</v>
      </c>
      <c r="F5" s="3">
        <v>0.33589108910891086</v>
      </c>
      <c r="G5" s="3">
        <v>8.9083720480812853E-2</v>
      </c>
      <c r="H5" s="3">
        <v>24</v>
      </c>
      <c r="I5" s="3">
        <v>0.31490559274351443</v>
      </c>
      <c r="J5" s="3">
        <v>6.5386138613861389E-2</v>
      </c>
      <c r="K5" s="3">
        <v>0.85940594059405928</v>
      </c>
      <c r="L5" s="3">
        <v>0.25888556570190008</v>
      </c>
      <c r="M5" s="3">
        <v>26</v>
      </c>
      <c r="N5" s="3">
        <v>0.69194772124998372</v>
      </c>
      <c r="O5" s="3">
        <v>9.1227722772277239E-2</v>
      </c>
      <c r="P5" s="3">
        <v>1.4831683168316832</v>
      </c>
      <c r="Q5" s="3">
        <v>0.40950772969462468</v>
      </c>
    </row>
    <row r="6" spans="1:20" x14ac:dyDescent="0.2">
      <c r="B6" t="s">
        <v>1043</v>
      </c>
      <c r="C6" s="3">
        <v>6</v>
      </c>
      <c r="D6" s="3">
        <v>3.8387715930902115E-2</v>
      </c>
      <c r="E6" s="3">
        <v>3.8387715930902108E-2</v>
      </c>
      <c r="F6" s="3">
        <v>3.8387715930902108E-2</v>
      </c>
      <c r="G6" s="3">
        <v>0</v>
      </c>
      <c r="H6" s="3">
        <v>6</v>
      </c>
      <c r="I6" s="3">
        <v>6.6058861164427385E-2</v>
      </c>
      <c r="J6" s="3">
        <v>4.9904030710172742E-2</v>
      </c>
      <c r="K6" s="3">
        <v>9.2130518234165071E-2</v>
      </c>
      <c r="L6" s="3">
        <v>1.7236219821152213E-2</v>
      </c>
      <c r="M6" s="3">
        <v>17</v>
      </c>
      <c r="N6" s="3">
        <v>0.47525326654828737</v>
      </c>
      <c r="O6" s="3">
        <v>0.11632641191182458</v>
      </c>
      <c r="P6" s="3">
        <v>1.0469377072064212</v>
      </c>
      <c r="Q6" s="3">
        <v>0.31137353865601436</v>
      </c>
    </row>
    <row r="7" spans="1:20" x14ac:dyDescent="0.2">
      <c r="B7" t="s">
        <v>2760</v>
      </c>
      <c r="C7" s="3">
        <v>1</v>
      </c>
      <c r="D7" s="3">
        <v>0.38</v>
      </c>
      <c r="E7" s="3">
        <v>0.38</v>
      </c>
      <c r="F7" s="3">
        <v>0.38</v>
      </c>
      <c r="G7" s="3" t="e">
        <v>#DIV/0!</v>
      </c>
      <c r="H7" s="3">
        <v>0</v>
      </c>
      <c r="I7" s="3" t="e">
        <v>#DIV/0!</v>
      </c>
      <c r="J7" s="3">
        <v>0</v>
      </c>
      <c r="K7" s="3">
        <v>0</v>
      </c>
      <c r="L7" s="3" t="e">
        <v>#DIV/0!</v>
      </c>
      <c r="M7" s="3">
        <v>4</v>
      </c>
      <c r="N7" s="3">
        <v>0.80468819213146903</v>
      </c>
      <c r="O7" s="3">
        <v>0.38040813566199472</v>
      </c>
      <c r="P7" s="3">
        <v>1.21</v>
      </c>
      <c r="Q7" s="3">
        <v>0.4114470620183745</v>
      </c>
    </row>
    <row r="8" spans="1:20" x14ac:dyDescent="0.2">
      <c r="B8" t="s">
        <v>3052</v>
      </c>
      <c r="C8" s="3">
        <v>1</v>
      </c>
      <c r="D8" s="3">
        <v>7.75</v>
      </c>
      <c r="E8" s="3">
        <v>7.75</v>
      </c>
      <c r="F8" s="3">
        <v>7.75</v>
      </c>
      <c r="G8" s="3" t="e">
        <v>#DIV/0!</v>
      </c>
      <c r="H8" s="3">
        <v>2</v>
      </c>
      <c r="I8" s="3">
        <v>19.2</v>
      </c>
      <c r="J8" s="3">
        <v>11.35</v>
      </c>
      <c r="K8" s="3">
        <v>27.05</v>
      </c>
      <c r="L8" s="3">
        <v>11.101576464628796</v>
      </c>
      <c r="M8" s="3">
        <v>2</v>
      </c>
      <c r="N8" s="3">
        <v>37.225000000000001</v>
      </c>
      <c r="O8" s="3">
        <v>35</v>
      </c>
      <c r="P8" s="3">
        <v>39.450000000000003</v>
      </c>
      <c r="Q8" s="3">
        <v>3.1466251762801192</v>
      </c>
    </row>
    <row r="9" spans="1:20" x14ac:dyDescent="0.2">
      <c r="B9" t="s">
        <v>1928</v>
      </c>
      <c r="C9" s="3">
        <v>2</v>
      </c>
      <c r="D9" s="3">
        <v>3.5678062678062679</v>
      </c>
      <c r="E9" s="3">
        <v>2.8740740740740738</v>
      </c>
      <c r="F9" s="3">
        <v>4.2615384615384615</v>
      </c>
      <c r="G9" s="3">
        <v>0.98108547703090598</v>
      </c>
      <c r="H9" s="3">
        <v>3</v>
      </c>
      <c r="I9" s="3">
        <v>6.2790801790801787</v>
      </c>
      <c r="J9" s="3">
        <v>3.2888888888888888</v>
      </c>
      <c r="K9" s="3">
        <v>10.671428571428571</v>
      </c>
      <c r="L9" s="3">
        <v>3.8858726748846881</v>
      </c>
      <c r="M9" s="3">
        <v>3</v>
      </c>
      <c r="N9" s="3">
        <v>12.608021978021975</v>
      </c>
      <c r="O9" s="3">
        <v>8.6</v>
      </c>
      <c r="P9" s="3">
        <v>16.676923076923075</v>
      </c>
      <c r="Q9" s="3">
        <v>4.0388056771962173</v>
      </c>
    </row>
    <row r="10" spans="1:20" x14ac:dyDescent="0.2">
      <c r="B10" t="s">
        <v>2020</v>
      </c>
      <c r="C10" s="3">
        <v>92</v>
      </c>
      <c r="D10" s="3">
        <v>0.5297185743862759</v>
      </c>
      <c r="E10" s="3">
        <v>6.1224489795918366E-2</v>
      </c>
      <c r="F10" s="3">
        <v>2.7210884353741496</v>
      </c>
      <c r="G10" s="3">
        <v>0.40891759792692239</v>
      </c>
      <c r="H10" s="3">
        <v>44</v>
      </c>
      <c r="I10" s="3">
        <v>0.77988901978973402</v>
      </c>
      <c r="J10" s="3">
        <v>8.8435374149659865E-2</v>
      </c>
      <c r="K10" s="3">
        <v>4.5605442176870747</v>
      </c>
      <c r="L10" s="3">
        <v>0.79168603453409458</v>
      </c>
      <c r="M10" s="3">
        <v>50</v>
      </c>
      <c r="N10" s="3">
        <v>1.8211145823129251</v>
      </c>
      <c r="O10" s="3">
        <v>0.39863945578231291</v>
      </c>
      <c r="P10" s="3">
        <v>6.1414965986394563</v>
      </c>
      <c r="Q10" s="3">
        <v>1.0262060936723976</v>
      </c>
    </row>
    <row r="11" spans="1:20" x14ac:dyDescent="0.2">
      <c r="B11" t="s">
        <v>2050</v>
      </c>
      <c r="C11" s="3">
        <v>1</v>
      </c>
      <c r="D11" s="3">
        <v>0.26400000000000001</v>
      </c>
      <c r="E11" s="3">
        <v>0.26400000000000001</v>
      </c>
      <c r="F11" s="3">
        <v>0.26400000000000001</v>
      </c>
      <c r="G11" s="3" t="e">
        <v>#DIV/0!</v>
      </c>
      <c r="H11" s="3">
        <v>1</v>
      </c>
      <c r="I11" s="3">
        <v>0.33160000000000001</v>
      </c>
      <c r="J11" s="3">
        <v>0.33160000000000001</v>
      </c>
      <c r="K11" s="3">
        <v>0.33160000000000001</v>
      </c>
      <c r="L11" s="3" t="e">
        <v>#DIV/0!</v>
      </c>
      <c r="M11" s="3">
        <v>1</v>
      </c>
      <c r="N11" s="3">
        <v>0.62159999999999993</v>
      </c>
      <c r="O11" s="3">
        <v>0.62159999999999993</v>
      </c>
      <c r="P11" s="3">
        <v>0.62159999999999993</v>
      </c>
      <c r="Q11" s="3" t="e">
        <v>#DIV/0!</v>
      </c>
    </row>
    <row r="12" spans="1:20" x14ac:dyDescent="0.2">
      <c r="B12" t="s">
        <v>3065</v>
      </c>
      <c r="C12" s="3">
        <v>0</v>
      </c>
      <c r="D12" s="3" t="e">
        <v>#DIV/0!</v>
      </c>
      <c r="E12" s="3">
        <v>0</v>
      </c>
      <c r="F12" s="3">
        <v>0</v>
      </c>
      <c r="G12" s="3" t="e">
        <v>#DIV/0!</v>
      </c>
      <c r="H12" s="3">
        <v>0</v>
      </c>
      <c r="I12" s="3" t="e">
        <v>#DIV/0!</v>
      </c>
      <c r="J12" s="3">
        <v>0</v>
      </c>
      <c r="K12" s="3">
        <v>0</v>
      </c>
      <c r="L12" s="3" t="e">
        <v>#DIV/0!</v>
      </c>
      <c r="M12" s="3">
        <v>1</v>
      </c>
      <c r="N12" s="3">
        <v>4</v>
      </c>
      <c r="O12" s="3">
        <v>4</v>
      </c>
      <c r="P12" s="3">
        <v>4</v>
      </c>
      <c r="Q12" s="3" t="e">
        <v>#DIV/0!</v>
      </c>
    </row>
    <row r="13" spans="1:20" x14ac:dyDescent="0.2">
      <c r="B13" t="s">
        <v>2808</v>
      </c>
      <c r="C13" s="3">
        <v>4</v>
      </c>
      <c r="D13" s="3">
        <v>0.67786347517730494</v>
      </c>
      <c r="E13" s="3">
        <v>0.65957446808510645</v>
      </c>
      <c r="F13" s="3">
        <v>0.70382978723404255</v>
      </c>
      <c r="G13" s="3">
        <v>1.8619967683090689E-2</v>
      </c>
      <c r="H13" s="3">
        <v>3</v>
      </c>
      <c r="I13" s="3">
        <v>2.1711347517730499</v>
      </c>
      <c r="J13" s="3">
        <v>1.6308510638297875</v>
      </c>
      <c r="K13" s="3">
        <v>2.8019858156028374</v>
      </c>
      <c r="L13" s="3">
        <v>0.59079691001549584</v>
      </c>
      <c r="M13" s="3">
        <v>4</v>
      </c>
      <c r="N13" s="3">
        <v>3.1893528368794328</v>
      </c>
      <c r="O13" s="3">
        <v>2.2450000000000001</v>
      </c>
      <c r="P13" s="3">
        <v>4.212765957446809</v>
      </c>
      <c r="Q13" s="3">
        <v>1.0115933152574541</v>
      </c>
    </row>
    <row r="14" spans="1:20" x14ac:dyDescent="0.2">
      <c r="B14" t="s">
        <v>3064</v>
      </c>
      <c r="C14" s="3">
        <v>7</v>
      </c>
      <c r="D14" s="3">
        <v>0.28010665420037439</v>
      </c>
      <c r="E14" s="3">
        <v>0.10305343511450381</v>
      </c>
      <c r="F14" s="3">
        <v>0.54616135235076602</v>
      </c>
      <c r="G14" s="3">
        <v>0.20037263114282905</v>
      </c>
      <c r="H14" s="3">
        <v>5</v>
      </c>
      <c r="I14" s="3">
        <v>0.50938628992632562</v>
      </c>
      <c r="J14" s="3">
        <v>0.17080152671755722</v>
      </c>
      <c r="K14" s="3">
        <v>0.8129553523507661</v>
      </c>
      <c r="L14" s="3">
        <v>0.2724524805172428</v>
      </c>
      <c r="M14" s="3">
        <v>5</v>
      </c>
      <c r="N14" s="3">
        <v>0.75025561534460017</v>
      </c>
      <c r="O14" s="3">
        <v>0.40458015267175568</v>
      </c>
      <c r="P14" s="3">
        <v>0.9732614896988907</v>
      </c>
      <c r="Q14" s="3">
        <v>0.22904828704662894</v>
      </c>
      <c r="T14">
        <f>CONFIDENCE(0.1,L14,H14)</f>
        <v>0.2004162911235797</v>
      </c>
    </row>
    <row r="15" spans="1:20" x14ac:dyDescent="0.2">
      <c r="B15" t="s">
        <v>3066</v>
      </c>
      <c r="C15" s="3">
        <v>0</v>
      </c>
      <c r="D15" s="3" t="e">
        <v>#DIV/0!</v>
      </c>
      <c r="E15" s="3">
        <v>0</v>
      </c>
      <c r="F15" s="3">
        <v>0</v>
      </c>
      <c r="G15" s="3" t="e">
        <v>#DIV/0!</v>
      </c>
      <c r="H15" s="3">
        <v>0</v>
      </c>
      <c r="I15" s="3" t="e">
        <v>#DIV/0!</v>
      </c>
      <c r="J15" s="3">
        <v>0</v>
      </c>
      <c r="K15" s="3">
        <v>0</v>
      </c>
      <c r="L15" s="3" t="e">
        <v>#DIV/0!</v>
      </c>
      <c r="M15" s="3">
        <v>1</v>
      </c>
      <c r="N15" s="3">
        <v>5.7</v>
      </c>
      <c r="O15" s="3">
        <v>5.7</v>
      </c>
      <c r="P15" s="3">
        <v>5.7</v>
      </c>
      <c r="Q15" s="3" t="e">
        <v>#DIV/0!</v>
      </c>
    </row>
    <row r="16" spans="1:20" x14ac:dyDescent="0.2">
      <c r="B16" t="s">
        <v>2272</v>
      </c>
      <c r="C16" s="3">
        <v>1</v>
      </c>
      <c r="D16" s="3">
        <v>9.2999999999999999E-2</v>
      </c>
      <c r="E16" s="3">
        <v>9.2999999999999999E-2</v>
      </c>
      <c r="F16" s="3">
        <v>9.2999999999999999E-2</v>
      </c>
      <c r="G16" s="3" t="e">
        <v>#DIV/0!</v>
      </c>
      <c r="H16" s="3">
        <v>3</v>
      </c>
      <c r="I16" s="3">
        <v>0.25832333333333329</v>
      </c>
      <c r="J16" s="3">
        <v>0.15309</v>
      </c>
      <c r="K16" s="3">
        <v>0.45300000000000001</v>
      </c>
      <c r="L16" s="3">
        <v>0.16877969200509091</v>
      </c>
      <c r="M16" s="3">
        <v>7</v>
      </c>
      <c r="N16" s="3">
        <v>0.56404333333333334</v>
      </c>
      <c r="O16" s="3">
        <v>0.15309</v>
      </c>
      <c r="P16" s="3">
        <v>0.89</v>
      </c>
      <c r="Q16" s="3">
        <v>0.29104303055275743</v>
      </c>
    </row>
    <row r="17" spans="1:17" x14ac:dyDescent="0.2">
      <c r="B17" t="s">
        <v>1028</v>
      </c>
      <c r="C17" s="3">
        <v>0</v>
      </c>
      <c r="D17" s="3" t="e">
        <v>#DIV/0!</v>
      </c>
      <c r="E17" s="3">
        <v>0</v>
      </c>
      <c r="F17" s="3">
        <v>0</v>
      </c>
      <c r="G17" s="3" t="e">
        <v>#DIV/0!</v>
      </c>
      <c r="H17" s="3">
        <v>0</v>
      </c>
      <c r="I17" s="3" t="e">
        <v>#DIV/0!</v>
      </c>
      <c r="J17" s="3">
        <v>0</v>
      </c>
      <c r="K17" s="3">
        <v>0</v>
      </c>
      <c r="L17" s="3" t="e">
        <v>#DIV/0!</v>
      </c>
      <c r="M17" s="3">
        <v>4</v>
      </c>
      <c r="N17" s="3">
        <v>0.19126337645743494</v>
      </c>
      <c r="O17" s="3">
        <v>0.17888516211467817</v>
      </c>
      <c r="P17" s="3">
        <v>0.20603737422137039</v>
      </c>
      <c r="Q17" s="3">
        <v>1.2328740006291718E-2</v>
      </c>
    </row>
    <row r="18" spans="1:17" x14ac:dyDescent="0.2">
      <c r="B18" t="s">
        <v>2305</v>
      </c>
      <c r="C18" s="3">
        <v>4</v>
      </c>
      <c r="D18" s="3">
        <v>1.7796428571428573</v>
      </c>
      <c r="E18" s="3">
        <v>1.07</v>
      </c>
      <c r="F18" s="3">
        <v>2.9142857142857146</v>
      </c>
      <c r="G18" s="3">
        <v>0.80096232511804388</v>
      </c>
      <c r="H18" s="3">
        <v>5</v>
      </c>
      <c r="I18" s="3">
        <v>3.8202857142857143</v>
      </c>
      <c r="J18" s="3">
        <v>1.1300000000000001</v>
      </c>
      <c r="K18" s="3">
        <v>6.6857142857142859</v>
      </c>
      <c r="L18" s="3">
        <v>2.4468664675874909</v>
      </c>
      <c r="M18" s="3">
        <v>5</v>
      </c>
      <c r="N18" s="3">
        <v>12.181428571428572</v>
      </c>
      <c r="O18" s="3">
        <v>4.32</v>
      </c>
      <c r="P18" s="3">
        <v>16.628571428571426</v>
      </c>
      <c r="Q18" s="3">
        <v>4.8011845902222667</v>
      </c>
    </row>
    <row r="19" spans="1:17" s="72" customFormat="1" x14ac:dyDescent="0.2">
      <c r="A19"/>
      <c r="B19" t="s">
        <v>2338</v>
      </c>
      <c r="C19" s="3">
        <v>0</v>
      </c>
      <c r="D19" s="3" t="e">
        <v>#DIV/0!</v>
      </c>
      <c r="E19" s="3">
        <v>0</v>
      </c>
      <c r="F19" s="3">
        <v>0</v>
      </c>
      <c r="G19" s="3" t="e">
        <v>#DIV/0!</v>
      </c>
      <c r="H19" s="3">
        <v>24</v>
      </c>
      <c r="I19" s="3">
        <v>8.8904616115864227E-3</v>
      </c>
      <c r="J19" s="3">
        <v>4.1376087425408015E-4</v>
      </c>
      <c r="K19" s="3">
        <v>1.0926977736237927E-2</v>
      </c>
      <c r="L19" s="3">
        <v>3.6804461408643384E-3</v>
      </c>
      <c r="M19" s="3">
        <v>24</v>
      </c>
      <c r="N19" s="3">
        <v>0.2904480262579785</v>
      </c>
      <c r="O19" s="3">
        <v>5.7804658853979424E-2</v>
      </c>
      <c r="P19" s="3">
        <v>1.3542190907565845</v>
      </c>
      <c r="Q19" s="3">
        <v>0.34336673882152069</v>
      </c>
    </row>
    <row r="20" spans="1:17" x14ac:dyDescent="0.2">
      <c r="B20" t="s">
        <v>2339</v>
      </c>
      <c r="C20" s="3">
        <v>0</v>
      </c>
      <c r="D20" s="3" t="e">
        <v>#DIV/0!</v>
      </c>
      <c r="E20" s="3">
        <v>0</v>
      </c>
      <c r="F20" s="3">
        <v>0</v>
      </c>
      <c r="G20" s="3" t="e">
        <v>#DIV/0!</v>
      </c>
      <c r="H20" s="3">
        <v>12</v>
      </c>
      <c r="I20" s="3">
        <v>4.6652447256372763E-4</v>
      </c>
      <c r="J20" s="3">
        <v>2.7919572459079257E-4</v>
      </c>
      <c r="K20" s="3">
        <v>7.2495027200613509E-4</v>
      </c>
      <c r="L20" s="3">
        <v>1.3263871323363659E-4</v>
      </c>
      <c r="M20" s="3">
        <v>12</v>
      </c>
      <c r="N20" s="3">
        <v>3.1955364632012852E-2</v>
      </c>
      <c r="O20" s="3">
        <v>1.2544156062022191E-3</v>
      </c>
      <c r="P20" s="3">
        <v>7.398926354638484E-2</v>
      </c>
      <c r="Q20" s="3">
        <v>1.8320690837865493E-2</v>
      </c>
    </row>
    <row r="21" spans="1:17" x14ac:dyDescent="0.2">
      <c r="A21" s="72" t="s">
        <v>2830</v>
      </c>
      <c r="B21" s="72"/>
      <c r="C21" s="73">
        <v>145</v>
      </c>
      <c r="D21" s="73">
        <v>0.55664306464857616</v>
      </c>
      <c r="E21" s="73">
        <v>3.8387715930902108E-2</v>
      </c>
      <c r="F21" s="73">
        <v>7.75</v>
      </c>
      <c r="G21" s="73">
        <v>0.83733221480207931</v>
      </c>
      <c r="H21" s="73">
        <v>132</v>
      </c>
      <c r="I21" s="73">
        <v>0.97722536704202934</v>
      </c>
      <c r="J21" s="73">
        <v>2.7919572459079257E-4</v>
      </c>
      <c r="K21" s="73">
        <v>27.05</v>
      </c>
      <c r="L21" s="73">
        <v>2.8369648532256964</v>
      </c>
      <c r="M21" s="73">
        <v>166</v>
      </c>
      <c r="N21" s="73">
        <v>2.0025512061950654</v>
      </c>
      <c r="O21" s="73">
        <v>1.2544156062022191E-3</v>
      </c>
      <c r="P21" s="73">
        <v>39.450000000000003</v>
      </c>
      <c r="Q21" s="73">
        <v>4.8022135140839231</v>
      </c>
    </row>
    <row r="22" spans="1:17" x14ac:dyDescent="0.2">
      <c r="A22" t="s">
        <v>259</v>
      </c>
      <c r="B22" t="s">
        <v>641</v>
      </c>
      <c r="C22" s="3">
        <v>1</v>
      </c>
      <c r="D22" s="3">
        <v>0.17100000000000001</v>
      </c>
      <c r="E22" s="3">
        <v>0.17100000000000001</v>
      </c>
      <c r="F22" s="3">
        <v>0.17100000000000001</v>
      </c>
      <c r="G22" s="3" t="e">
        <v>#DIV/0!</v>
      </c>
      <c r="H22" s="3">
        <v>0</v>
      </c>
      <c r="I22" s="3" t="e">
        <v>#DIV/0!</v>
      </c>
      <c r="J22" s="3">
        <v>0</v>
      </c>
      <c r="K22" s="3">
        <v>0</v>
      </c>
      <c r="L22" s="3" t="e">
        <v>#DIV/0!</v>
      </c>
      <c r="M22" s="3"/>
      <c r="N22" s="3"/>
      <c r="O22" s="3"/>
      <c r="P22" s="3"/>
      <c r="Q22" s="3"/>
    </row>
    <row r="23" spans="1:17" x14ac:dyDescent="0.2">
      <c r="B23" t="s">
        <v>260</v>
      </c>
      <c r="C23" s="3">
        <v>7</v>
      </c>
      <c r="D23" s="3">
        <v>0.62291171232142861</v>
      </c>
      <c r="E23" s="3">
        <v>0.4567740500000001</v>
      </c>
      <c r="F23" s="3">
        <v>0.80400000000000005</v>
      </c>
      <c r="G23" s="3">
        <v>0.1472242414978375</v>
      </c>
      <c r="H23" s="3">
        <v>7</v>
      </c>
      <c r="I23" s="3">
        <v>3.2292773783928572</v>
      </c>
      <c r="J23" s="3">
        <v>0.83251461999999998</v>
      </c>
      <c r="K23" s="3">
        <v>10.57</v>
      </c>
      <c r="L23" s="3">
        <v>4.0831111362957344</v>
      </c>
      <c r="M23" s="3">
        <v>8</v>
      </c>
      <c r="N23" s="3">
        <v>0.81933124999999996</v>
      </c>
      <c r="O23" s="3">
        <v>-0.56000000000000005</v>
      </c>
      <c r="P23" s="3">
        <v>1.5553375</v>
      </c>
      <c r="Q23" s="3">
        <v>0.89972895258794472</v>
      </c>
    </row>
    <row r="24" spans="1:17" x14ac:dyDescent="0.2">
      <c r="B24" t="s">
        <v>1271</v>
      </c>
      <c r="C24" s="3">
        <v>3</v>
      </c>
      <c r="D24" s="3">
        <v>0.46233333333333332</v>
      </c>
      <c r="E24" s="3">
        <v>0.15</v>
      </c>
      <c r="F24" s="3">
        <v>0.69599999999999995</v>
      </c>
      <c r="G24" s="3">
        <v>0.28137223269777933</v>
      </c>
      <c r="H24" s="3">
        <v>0</v>
      </c>
      <c r="I24" s="3" t="e">
        <v>#DIV/0!</v>
      </c>
      <c r="J24" s="3">
        <v>0</v>
      </c>
      <c r="K24" s="3">
        <v>0</v>
      </c>
      <c r="L24" s="3" t="e">
        <v>#DIV/0!</v>
      </c>
      <c r="M24" s="3"/>
      <c r="N24" s="3"/>
      <c r="O24" s="3"/>
      <c r="P24" s="3"/>
      <c r="Q24" s="3"/>
    </row>
    <row r="25" spans="1:17" x14ac:dyDescent="0.2">
      <c r="B25" t="s">
        <v>1200</v>
      </c>
      <c r="C25" s="3">
        <v>0</v>
      </c>
      <c r="D25" s="3" t="e">
        <v>#DIV/0!</v>
      </c>
      <c r="E25" s="3">
        <v>0</v>
      </c>
      <c r="F25" s="3">
        <v>0</v>
      </c>
      <c r="G25" s="3" t="e">
        <v>#DIV/0!</v>
      </c>
      <c r="H25" s="3">
        <v>0</v>
      </c>
      <c r="I25" s="3" t="e">
        <v>#DIV/0!</v>
      </c>
      <c r="J25" s="3">
        <v>0</v>
      </c>
      <c r="K25" s="3">
        <v>0</v>
      </c>
      <c r="L25" s="3" t="e">
        <v>#DIV/0!</v>
      </c>
      <c r="M25" s="3">
        <v>2</v>
      </c>
      <c r="N25" s="3">
        <v>5.74</v>
      </c>
      <c r="O25" s="3">
        <v>2.64</v>
      </c>
      <c r="P25" s="3">
        <v>8.84</v>
      </c>
      <c r="Q25" s="3">
        <v>4.3840620433565949</v>
      </c>
    </row>
    <row r="26" spans="1:17" x14ac:dyDescent="0.2">
      <c r="B26" t="s">
        <v>2430</v>
      </c>
      <c r="C26" s="3">
        <v>3</v>
      </c>
      <c r="D26" s="3">
        <v>0.40266666666666673</v>
      </c>
      <c r="E26" s="3">
        <v>0.25600000000000001</v>
      </c>
      <c r="F26" s="3">
        <v>0.622</v>
      </c>
      <c r="G26" s="3">
        <v>0.19351830232133937</v>
      </c>
      <c r="H26" s="3">
        <v>0</v>
      </c>
      <c r="I26" s="3" t="e">
        <v>#DIV/0!</v>
      </c>
      <c r="J26" s="3">
        <v>0</v>
      </c>
      <c r="K26" s="3">
        <v>0</v>
      </c>
      <c r="L26" s="3" t="e">
        <v>#DIV/0!</v>
      </c>
      <c r="M26" s="3"/>
      <c r="N26" s="3"/>
      <c r="O26" s="3"/>
      <c r="P26" s="3"/>
      <c r="Q26" s="3"/>
    </row>
    <row r="27" spans="1:17" x14ac:dyDescent="0.2">
      <c r="B27" t="s">
        <v>1934</v>
      </c>
      <c r="C27" s="3">
        <v>0</v>
      </c>
      <c r="D27" s="3" t="e">
        <v>#DIV/0!</v>
      </c>
      <c r="E27" s="3">
        <v>0</v>
      </c>
      <c r="F27" s="3">
        <v>0</v>
      </c>
      <c r="G27" s="3" t="e">
        <v>#DIV/0!</v>
      </c>
      <c r="H27" s="3">
        <v>1</v>
      </c>
      <c r="I27" s="3">
        <v>0.55000000000000004</v>
      </c>
      <c r="J27" s="3">
        <v>0.55000000000000004</v>
      </c>
      <c r="K27" s="3">
        <v>0.55000000000000004</v>
      </c>
      <c r="L27" s="3" t="e">
        <v>#DIV/0!</v>
      </c>
      <c r="M27" s="3">
        <v>1</v>
      </c>
      <c r="N27" s="3">
        <v>0.55000000000000004</v>
      </c>
      <c r="O27" s="3">
        <v>0.55000000000000004</v>
      </c>
      <c r="P27" s="3">
        <v>0.55000000000000004</v>
      </c>
      <c r="Q27" s="3" t="e">
        <v>#DIV/0!</v>
      </c>
    </row>
    <row r="28" spans="1:17" x14ac:dyDescent="0.2">
      <c r="B28" t="s">
        <v>1936</v>
      </c>
      <c r="C28" s="3">
        <v>0</v>
      </c>
      <c r="D28" s="3" t="e">
        <v>#DIV/0!</v>
      </c>
      <c r="E28" s="3">
        <v>0</v>
      </c>
      <c r="F28" s="3">
        <v>0</v>
      </c>
      <c r="G28" s="3" t="e">
        <v>#DIV/0!</v>
      </c>
      <c r="H28" s="3">
        <v>0</v>
      </c>
      <c r="I28" s="3" t="e">
        <v>#DIV/0!</v>
      </c>
      <c r="J28" s="3">
        <v>0</v>
      </c>
      <c r="K28" s="3">
        <v>0</v>
      </c>
      <c r="L28" s="3" t="e">
        <v>#DIV/0!</v>
      </c>
      <c r="M28" s="3"/>
      <c r="N28" s="3"/>
      <c r="O28" s="3"/>
      <c r="P28" s="3"/>
      <c r="Q28" s="3"/>
    </row>
    <row r="29" spans="1:17" x14ac:dyDescent="0.2">
      <c r="B29" t="s">
        <v>3053</v>
      </c>
      <c r="C29" s="3">
        <v>0</v>
      </c>
      <c r="D29" s="3" t="e">
        <v>#DIV/0!</v>
      </c>
      <c r="E29" s="3">
        <v>0</v>
      </c>
      <c r="F29" s="3">
        <v>0</v>
      </c>
      <c r="G29" s="3" t="e">
        <v>#DIV/0!</v>
      </c>
      <c r="H29" s="3">
        <v>1</v>
      </c>
      <c r="I29" s="3">
        <v>0.76</v>
      </c>
      <c r="J29" s="3">
        <v>0.76</v>
      </c>
      <c r="K29" s="3">
        <v>0.76</v>
      </c>
      <c r="L29" s="3" t="e">
        <v>#DIV/0!</v>
      </c>
      <c r="M29" s="3">
        <v>1</v>
      </c>
      <c r="N29" s="3">
        <v>0.76</v>
      </c>
      <c r="O29" s="3">
        <v>0.76</v>
      </c>
      <c r="P29" s="3">
        <v>0.76</v>
      </c>
      <c r="Q29" s="3" t="e">
        <v>#DIV/0!</v>
      </c>
    </row>
    <row r="30" spans="1:17" x14ac:dyDescent="0.2">
      <c r="B30" t="s">
        <v>2083</v>
      </c>
      <c r="C30" s="3">
        <v>1</v>
      </c>
      <c r="D30" s="3">
        <v>0.47</v>
      </c>
      <c r="E30" s="3">
        <v>0.47</v>
      </c>
      <c r="F30" s="3">
        <v>0.47</v>
      </c>
      <c r="G30" s="3" t="e">
        <v>#DIV/0!</v>
      </c>
      <c r="H30" s="3">
        <v>0</v>
      </c>
      <c r="I30" s="3" t="e">
        <v>#DIV/0!</v>
      </c>
      <c r="J30" s="3">
        <v>0</v>
      </c>
      <c r="K30" s="3">
        <v>0</v>
      </c>
      <c r="L30" s="3" t="e">
        <v>#DIV/0!</v>
      </c>
      <c r="M30" s="3"/>
      <c r="N30" s="3"/>
      <c r="O30" s="3"/>
      <c r="P30" s="3"/>
      <c r="Q30" s="3"/>
    </row>
    <row r="31" spans="1:17" x14ac:dyDescent="0.2">
      <c r="B31" t="s">
        <v>2093</v>
      </c>
      <c r="C31" s="3">
        <v>0</v>
      </c>
      <c r="D31" s="3" t="e">
        <v>#DIV/0!</v>
      </c>
      <c r="E31" s="3">
        <v>0</v>
      </c>
      <c r="F31" s="3">
        <v>0</v>
      </c>
      <c r="G31" s="3" t="e">
        <v>#DIV/0!</v>
      </c>
      <c r="H31" s="3">
        <v>2</v>
      </c>
      <c r="I31" s="3">
        <v>0.49838499999999997</v>
      </c>
      <c r="J31" s="3">
        <v>0.47300999999999999</v>
      </c>
      <c r="K31" s="3">
        <v>0.52376</v>
      </c>
      <c r="L31" s="3">
        <v>3.588566914521818E-2</v>
      </c>
      <c r="M31" s="3">
        <v>2</v>
      </c>
      <c r="N31" s="3">
        <v>0.49838499999999997</v>
      </c>
      <c r="O31" s="3">
        <v>0.47300999999999999</v>
      </c>
      <c r="P31" s="3">
        <v>0.52376</v>
      </c>
      <c r="Q31" s="3">
        <v>3.588566914521818E-2</v>
      </c>
    </row>
    <row r="32" spans="1:17" s="72" customFormat="1" x14ac:dyDescent="0.2">
      <c r="A32"/>
      <c r="B32" t="s">
        <v>2094</v>
      </c>
      <c r="C32" s="3">
        <v>4</v>
      </c>
      <c r="D32" s="3">
        <v>0.47382249999999998</v>
      </c>
      <c r="E32" s="3">
        <v>0.36201</v>
      </c>
      <c r="F32" s="3">
        <v>0.65051999999999999</v>
      </c>
      <c r="G32" s="3">
        <v>0.125787230505856</v>
      </c>
      <c r="H32" s="3">
        <v>0</v>
      </c>
      <c r="I32" s="3" t="e">
        <v>#DIV/0!</v>
      </c>
      <c r="J32" s="3">
        <v>0</v>
      </c>
      <c r="K32" s="3">
        <v>0</v>
      </c>
      <c r="L32" s="3" t="e">
        <v>#DIV/0!</v>
      </c>
      <c r="M32" s="3">
        <v>1</v>
      </c>
      <c r="N32" s="3">
        <v>0.83399999999999996</v>
      </c>
      <c r="O32" s="3">
        <v>0.83399999999999996</v>
      </c>
      <c r="P32" s="3">
        <v>0.83399999999999996</v>
      </c>
      <c r="Q32" s="3" t="e">
        <v>#DIV/0!</v>
      </c>
    </row>
    <row r="33" spans="1:17" x14ac:dyDescent="0.2">
      <c r="B33" t="s">
        <v>3579</v>
      </c>
      <c r="C33" s="3">
        <v>1</v>
      </c>
      <c r="D33" s="3">
        <v>0.91971728887277993</v>
      </c>
      <c r="E33" s="3">
        <v>0.91971728887277993</v>
      </c>
      <c r="F33" s="3">
        <v>0.91971728887277993</v>
      </c>
      <c r="G33" s="3" t="e">
        <v>#DIV/0!</v>
      </c>
      <c r="H33" s="3">
        <v>1</v>
      </c>
      <c r="I33" s="3">
        <v>1.134650235592606</v>
      </c>
      <c r="J33" s="3">
        <v>1.134650235592606</v>
      </c>
      <c r="K33" s="3">
        <v>1.134650235592606</v>
      </c>
      <c r="L33" s="3" t="e">
        <v>#DIV/0!</v>
      </c>
      <c r="M33" s="3">
        <v>1</v>
      </c>
      <c r="N33" s="3">
        <v>1.2776368249365713</v>
      </c>
      <c r="O33" s="3">
        <v>1.2776368249365713</v>
      </c>
      <c r="P33" s="3">
        <v>1.2776368249365713</v>
      </c>
      <c r="Q33" s="3" t="e">
        <v>#DIV/0!</v>
      </c>
    </row>
    <row r="34" spans="1:17" x14ac:dyDescent="0.2">
      <c r="B34" t="s">
        <v>513</v>
      </c>
      <c r="C34" s="3">
        <v>3</v>
      </c>
      <c r="D34" s="3">
        <v>1.5766666666666669</v>
      </c>
      <c r="E34" s="3">
        <v>1.4</v>
      </c>
      <c r="F34" s="3">
        <v>1.71</v>
      </c>
      <c r="G34" s="3">
        <v>0.15947831618540803</v>
      </c>
      <c r="H34" s="3">
        <v>0</v>
      </c>
      <c r="I34" s="3" t="e">
        <v>#DIV/0!</v>
      </c>
      <c r="J34" s="3">
        <v>0</v>
      </c>
      <c r="K34" s="3">
        <v>0</v>
      </c>
      <c r="L34" s="3" t="e">
        <v>#DIV/0!</v>
      </c>
      <c r="M34" s="3"/>
      <c r="N34" s="3"/>
      <c r="O34" s="3"/>
      <c r="P34" s="3"/>
      <c r="Q34" s="3"/>
    </row>
    <row r="35" spans="1:17" x14ac:dyDescent="0.2">
      <c r="B35" t="s">
        <v>2235</v>
      </c>
      <c r="C35" s="3">
        <v>0</v>
      </c>
      <c r="D35" s="3" t="e">
        <v>#DIV/0!</v>
      </c>
      <c r="E35" s="3">
        <v>0</v>
      </c>
      <c r="F35" s="3">
        <v>0</v>
      </c>
      <c r="G35" s="3" t="e">
        <v>#DIV/0!</v>
      </c>
      <c r="H35" s="3">
        <v>1</v>
      </c>
      <c r="I35" s="3">
        <v>1.3567</v>
      </c>
      <c r="J35" s="3">
        <v>1.3567</v>
      </c>
      <c r="K35" s="3">
        <v>1.3567</v>
      </c>
      <c r="L35" s="3" t="e">
        <v>#DIV/0!</v>
      </c>
      <c r="M35" s="3">
        <v>1</v>
      </c>
      <c r="N35" s="3">
        <v>1.3567</v>
      </c>
      <c r="O35" s="3">
        <v>1.3567</v>
      </c>
      <c r="P35" s="3">
        <v>1.3567</v>
      </c>
      <c r="Q35" s="3" t="e">
        <v>#DIV/0!</v>
      </c>
    </row>
    <row r="36" spans="1:17" x14ac:dyDescent="0.2">
      <c r="B36" t="s">
        <v>2236</v>
      </c>
      <c r="C36" s="3">
        <v>12</v>
      </c>
      <c r="D36" s="3">
        <v>2.0609339082246336</v>
      </c>
      <c r="E36" s="3">
        <v>0.15426615384615386</v>
      </c>
      <c r="F36" s="3">
        <v>5.55</v>
      </c>
      <c r="G36" s="3">
        <v>1.650151605839224</v>
      </c>
      <c r="H36" s="3">
        <v>2</v>
      </c>
      <c r="I36" s="3">
        <v>0.24508339997561868</v>
      </c>
      <c r="J36" s="3">
        <v>0.21488153846153848</v>
      </c>
      <c r="K36" s="3">
        <v>0.2752852614896989</v>
      </c>
      <c r="L36" s="3">
        <v>4.2711882162126291E-2</v>
      </c>
      <c r="M36" s="3">
        <v>3</v>
      </c>
      <c r="N36" s="3">
        <v>0.74711650209273028</v>
      </c>
      <c r="O36" s="3">
        <v>0.30307692307692308</v>
      </c>
      <c r="P36" s="3">
        <v>1.55</v>
      </c>
      <c r="Q36" s="3">
        <v>0.69662113701413442</v>
      </c>
    </row>
    <row r="37" spans="1:17" x14ac:dyDescent="0.2">
      <c r="B37" t="s">
        <v>2239</v>
      </c>
      <c r="C37" s="3">
        <v>9</v>
      </c>
      <c r="D37" s="3">
        <v>1.3844547103542599</v>
      </c>
      <c r="E37" s="3">
        <v>0.17907765451664026</v>
      </c>
      <c r="F37" s="3">
        <v>4.58</v>
      </c>
      <c r="G37" s="3">
        <v>1.4987205001646833</v>
      </c>
      <c r="H37" s="3">
        <v>8</v>
      </c>
      <c r="I37" s="3">
        <v>1.540643545130288</v>
      </c>
      <c r="J37" s="3">
        <v>0.2494421553090333</v>
      </c>
      <c r="K37" s="3">
        <v>4.76</v>
      </c>
      <c r="L37" s="3">
        <v>1.6219269893594999</v>
      </c>
      <c r="M37" s="3">
        <v>8</v>
      </c>
      <c r="N37" s="3">
        <v>1.8724718549087276</v>
      </c>
      <c r="O37" s="3">
        <v>0.35182250396196513</v>
      </c>
      <c r="P37" s="3">
        <v>6.6150000000000002</v>
      </c>
      <c r="Q37" s="3">
        <v>2.1559446188800941</v>
      </c>
    </row>
    <row r="38" spans="1:17" x14ac:dyDescent="0.2">
      <c r="B38" t="s">
        <v>2242</v>
      </c>
      <c r="C38" s="3">
        <v>0</v>
      </c>
      <c r="D38" s="3" t="e">
        <v>#DIV/0!</v>
      </c>
      <c r="E38" s="3">
        <v>0</v>
      </c>
      <c r="F38" s="3">
        <v>0</v>
      </c>
      <c r="G38" s="3" t="e">
        <v>#DIV/0!</v>
      </c>
      <c r="H38" s="3">
        <v>3</v>
      </c>
      <c r="I38" s="3">
        <v>0.41778048333333334</v>
      </c>
      <c r="J38" s="3">
        <v>0.39468321000000001</v>
      </c>
      <c r="K38" s="3">
        <v>0.43798810999999999</v>
      </c>
      <c r="L38" s="3">
        <v>2.179658538386561E-2</v>
      </c>
      <c r="M38" s="3">
        <v>3</v>
      </c>
      <c r="N38" s="3">
        <v>0.41778048333333334</v>
      </c>
      <c r="O38" s="3">
        <v>0.39468321000000001</v>
      </c>
      <c r="P38" s="3">
        <v>0.43798810999999999</v>
      </c>
      <c r="Q38" s="3">
        <v>2.179658538386561E-2</v>
      </c>
    </row>
    <row r="39" spans="1:17" x14ac:dyDescent="0.2">
      <c r="B39" t="s">
        <v>2243</v>
      </c>
      <c r="C39" s="3">
        <v>20</v>
      </c>
      <c r="D39" s="3">
        <v>0.385175779</v>
      </c>
      <c r="E39" s="3">
        <v>0.20081935000000001</v>
      </c>
      <c r="F39" s="3">
        <v>1.0864594999999999</v>
      </c>
      <c r="G39" s="3">
        <v>0.18272507972769947</v>
      </c>
      <c r="H39" s="3">
        <v>0</v>
      </c>
      <c r="I39" s="3" t="e">
        <v>#DIV/0!</v>
      </c>
      <c r="J39" s="3">
        <v>0</v>
      </c>
      <c r="K39" s="3">
        <v>0</v>
      </c>
      <c r="L39" s="3" t="e">
        <v>#DIV/0!</v>
      </c>
      <c r="M39" s="3"/>
      <c r="N39" s="3"/>
      <c r="O39" s="3"/>
      <c r="P39" s="3"/>
      <c r="Q39" s="3"/>
    </row>
    <row r="40" spans="1:17" x14ac:dyDescent="0.2">
      <c r="B40" t="s">
        <v>2348</v>
      </c>
      <c r="C40" s="3">
        <v>2</v>
      </c>
      <c r="D40" s="3">
        <v>0.26119402985074625</v>
      </c>
      <c r="E40" s="3">
        <v>0.23880597014925373</v>
      </c>
      <c r="F40" s="3">
        <v>0.28358208955223879</v>
      </c>
      <c r="G40" s="3">
        <v>3.1661497665069517E-2</v>
      </c>
      <c r="H40" s="3">
        <v>3</v>
      </c>
      <c r="I40" s="3">
        <v>0.35789944666666668</v>
      </c>
      <c r="J40" s="3">
        <v>0.35133746999999999</v>
      </c>
      <c r="K40" s="3">
        <v>0.37024625999999999</v>
      </c>
      <c r="L40" s="3">
        <v>1.0699711970936575E-2</v>
      </c>
      <c r="M40" s="3">
        <v>5</v>
      </c>
      <c r="N40" s="3">
        <v>0.40279936949253725</v>
      </c>
      <c r="O40" s="3">
        <v>0.35133746999999999</v>
      </c>
      <c r="P40" s="3">
        <v>0.4925373134328358</v>
      </c>
      <c r="Q40" s="3">
        <v>6.3936376833117911E-2</v>
      </c>
    </row>
    <row r="41" spans="1:17" x14ac:dyDescent="0.2">
      <c r="B41" t="s">
        <v>2351</v>
      </c>
      <c r="C41" s="3">
        <v>19</v>
      </c>
      <c r="D41" s="3">
        <v>0.3467578947368421</v>
      </c>
      <c r="E41" s="3">
        <v>0.04</v>
      </c>
      <c r="F41" s="3">
        <v>0.8</v>
      </c>
      <c r="G41" s="3">
        <v>0.1880892882406576</v>
      </c>
      <c r="H41" s="3">
        <v>1</v>
      </c>
      <c r="I41" s="3">
        <v>0.52</v>
      </c>
      <c r="J41" s="3">
        <v>0.52</v>
      </c>
      <c r="K41" s="3">
        <v>0.52</v>
      </c>
      <c r="L41" s="3" t="e">
        <v>#DIV/0!</v>
      </c>
      <c r="M41" s="3">
        <v>1</v>
      </c>
      <c r="N41" s="3">
        <v>1.0610000000000002</v>
      </c>
      <c r="O41" s="3">
        <v>1.0610000000000002</v>
      </c>
      <c r="P41" s="3">
        <v>1.0610000000000002</v>
      </c>
      <c r="Q41" s="3" t="e">
        <v>#DIV/0!</v>
      </c>
    </row>
    <row r="42" spans="1:17" x14ac:dyDescent="0.2">
      <c r="A42" s="72" t="s">
        <v>2831</v>
      </c>
      <c r="B42" s="72"/>
      <c r="C42" s="73">
        <v>85</v>
      </c>
      <c r="D42" s="73">
        <v>0.78996461419656749</v>
      </c>
      <c r="E42" s="73">
        <v>0.04</v>
      </c>
      <c r="F42" s="73">
        <v>5.55</v>
      </c>
      <c r="G42" s="73">
        <v>0.99711433615856626</v>
      </c>
      <c r="H42" s="73">
        <v>30</v>
      </c>
      <c r="I42" s="73">
        <v>1.4355138945112047</v>
      </c>
      <c r="J42" s="73">
        <v>0.21488153846153848</v>
      </c>
      <c r="K42" s="73">
        <v>10.57</v>
      </c>
      <c r="L42" s="73">
        <v>2.307545748305682</v>
      </c>
      <c r="M42" s="73">
        <v>37</v>
      </c>
      <c r="N42" s="73">
        <v>1.2259248504850611</v>
      </c>
      <c r="O42" s="73">
        <v>-0.56000000000000005</v>
      </c>
      <c r="P42" s="73">
        <v>8.84</v>
      </c>
      <c r="Q42" s="73">
        <v>1.7622650321883355</v>
      </c>
    </row>
    <row r="43" spans="1:17" x14ac:dyDescent="0.2">
      <c r="A43" t="s">
        <v>11</v>
      </c>
      <c r="B43" t="s">
        <v>143</v>
      </c>
      <c r="C43" s="3">
        <v>1</v>
      </c>
      <c r="D43" s="3">
        <v>2.2599999999999998</v>
      </c>
      <c r="E43" s="3">
        <v>2.2599999999999998</v>
      </c>
      <c r="F43" s="3">
        <v>2.2599999999999998</v>
      </c>
      <c r="G43" s="3" t="e">
        <v>#DIV/0!</v>
      </c>
      <c r="H43" s="3">
        <v>1</v>
      </c>
      <c r="I43" s="3">
        <v>2.3499999999999996</v>
      </c>
      <c r="J43" s="3">
        <v>2.3499999999999996</v>
      </c>
      <c r="K43" s="3">
        <v>2.3499999999999996</v>
      </c>
      <c r="L43" s="3" t="e">
        <v>#DIV/0!</v>
      </c>
      <c r="M43" s="3">
        <v>6</v>
      </c>
      <c r="N43" s="3">
        <v>9.5775000000000006</v>
      </c>
      <c r="O43" s="3">
        <v>3.3699999999999992</v>
      </c>
      <c r="P43" s="3">
        <v>20.995000000000001</v>
      </c>
      <c r="Q43" s="3">
        <v>6.0010980245285115</v>
      </c>
    </row>
    <row r="44" spans="1:17" x14ac:dyDescent="0.2">
      <c r="B44" t="s">
        <v>443</v>
      </c>
      <c r="C44" s="3">
        <v>0</v>
      </c>
      <c r="D44" s="3" t="e">
        <v>#DIV/0!</v>
      </c>
      <c r="E44" s="3">
        <v>0</v>
      </c>
      <c r="F44" s="3">
        <v>0</v>
      </c>
      <c r="G44" s="3" t="e">
        <v>#DIV/0!</v>
      </c>
      <c r="H44" s="3">
        <v>0</v>
      </c>
      <c r="I44" s="3" t="e">
        <v>#DIV/0!</v>
      </c>
      <c r="J44" s="3">
        <v>0</v>
      </c>
      <c r="K44" s="3">
        <v>0</v>
      </c>
      <c r="L44" s="3" t="e">
        <v>#DIV/0!</v>
      </c>
      <c r="M44" s="3">
        <v>1</v>
      </c>
      <c r="N44" s="3">
        <v>9.99</v>
      </c>
      <c r="O44" s="3">
        <v>9.99</v>
      </c>
      <c r="P44" s="3">
        <v>9.99</v>
      </c>
      <c r="Q44" s="3" t="e">
        <v>#DIV/0!</v>
      </c>
    </row>
    <row r="45" spans="1:17" x14ac:dyDescent="0.2">
      <c r="B45" t="s">
        <v>426</v>
      </c>
      <c r="C45" s="3">
        <v>10</v>
      </c>
      <c r="D45" s="3">
        <v>7.6122700000000005</v>
      </c>
      <c r="E45" s="3">
        <v>1.2</v>
      </c>
      <c r="F45" s="3">
        <v>12.12</v>
      </c>
      <c r="G45" s="3">
        <v>3.1794825183597957</v>
      </c>
      <c r="H45" s="3">
        <v>7</v>
      </c>
      <c r="I45" s="3">
        <v>8.6071047619047629</v>
      </c>
      <c r="J45" s="3">
        <v>5.8</v>
      </c>
      <c r="K45" s="3">
        <v>12.35</v>
      </c>
      <c r="L45" s="3">
        <v>2.1118003559740299</v>
      </c>
      <c r="M45" s="3">
        <v>23</v>
      </c>
      <c r="N45" s="3">
        <v>8.8922173913043476</v>
      </c>
      <c r="O45" s="3">
        <v>5.3</v>
      </c>
      <c r="P45" s="3">
        <v>14.11</v>
      </c>
      <c r="Q45" s="3">
        <v>1.8749045056051075</v>
      </c>
    </row>
    <row r="46" spans="1:17" x14ac:dyDescent="0.2">
      <c r="B46" t="s">
        <v>436</v>
      </c>
      <c r="C46" s="3">
        <v>0</v>
      </c>
      <c r="D46" s="3" t="e">
        <v>#DIV/0!</v>
      </c>
      <c r="E46" s="3">
        <v>0</v>
      </c>
      <c r="F46" s="3">
        <v>0</v>
      </c>
      <c r="G46" s="3" t="e">
        <v>#DIV/0!</v>
      </c>
      <c r="H46" s="3">
        <v>0</v>
      </c>
      <c r="I46" s="3" t="e">
        <v>#DIV/0!</v>
      </c>
      <c r="J46" s="3">
        <v>0</v>
      </c>
      <c r="K46" s="3">
        <v>0</v>
      </c>
      <c r="L46" s="3" t="e">
        <v>#DIV/0!</v>
      </c>
      <c r="M46" s="3">
        <v>6</v>
      </c>
      <c r="N46" s="3">
        <v>8.6116666666666664</v>
      </c>
      <c r="O46" s="3">
        <v>7.27</v>
      </c>
      <c r="P46" s="3">
        <v>10.130000000000001</v>
      </c>
      <c r="Q46" s="3">
        <v>1.041890909196677</v>
      </c>
    </row>
    <row r="47" spans="1:17" x14ac:dyDescent="0.2">
      <c r="B47" t="s">
        <v>187</v>
      </c>
      <c r="C47" s="3">
        <v>0</v>
      </c>
      <c r="D47" s="3" t="e">
        <v>#DIV/0!</v>
      </c>
      <c r="E47" s="3">
        <v>0</v>
      </c>
      <c r="F47" s="3">
        <v>0</v>
      </c>
      <c r="G47" s="3" t="e">
        <v>#DIV/0!</v>
      </c>
      <c r="H47" s="3">
        <v>0</v>
      </c>
      <c r="I47" s="3" t="e">
        <v>#DIV/0!</v>
      </c>
      <c r="J47" s="3">
        <v>0</v>
      </c>
      <c r="K47" s="3">
        <v>0</v>
      </c>
      <c r="L47" s="3" t="e">
        <v>#DIV/0!</v>
      </c>
      <c r="M47" s="3">
        <v>1</v>
      </c>
      <c r="N47" s="3">
        <v>1.8</v>
      </c>
      <c r="O47" s="3">
        <v>1.8</v>
      </c>
      <c r="P47" s="3">
        <v>1.8</v>
      </c>
      <c r="Q47" s="3" t="e">
        <v>#DIV/0!</v>
      </c>
    </row>
    <row r="48" spans="1:17" x14ac:dyDescent="0.2">
      <c r="B48" t="s">
        <v>194</v>
      </c>
      <c r="C48" s="3">
        <v>0</v>
      </c>
      <c r="D48" s="3" t="e">
        <v>#DIV/0!</v>
      </c>
      <c r="E48" s="3">
        <v>0</v>
      </c>
      <c r="F48" s="3">
        <v>0</v>
      </c>
      <c r="G48" s="3" t="e">
        <v>#DIV/0!</v>
      </c>
      <c r="H48" s="3">
        <v>0</v>
      </c>
      <c r="I48" s="3" t="e">
        <v>#DIV/0!</v>
      </c>
      <c r="J48" s="3">
        <v>0</v>
      </c>
      <c r="K48" s="3">
        <v>0</v>
      </c>
      <c r="L48" s="3" t="e">
        <v>#DIV/0!</v>
      </c>
      <c r="M48" s="3">
        <v>1</v>
      </c>
      <c r="N48" s="3">
        <v>10.1</v>
      </c>
      <c r="O48" s="3">
        <v>10.1</v>
      </c>
      <c r="P48" s="3">
        <v>10.1</v>
      </c>
      <c r="Q48" s="3" t="e">
        <v>#DIV/0!</v>
      </c>
    </row>
    <row r="49" spans="1:17" x14ac:dyDescent="0.2">
      <c r="B49" t="s">
        <v>193</v>
      </c>
      <c r="C49" s="3">
        <v>0</v>
      </c>
      <c r="D49" s="3" t="e">
        <v>#DIV/0!</v>
      </c>
      <c r="E49" s="3">
        <v>0</v>
      </c>
      <c r="F49" s="3">
        <v>0</v>
      </c>
      <c r="G49" s="3" t="e">
        <v>#DIV/0!</v>
      </c>
      <c r="H49" s="3">
        <v>0</v>
      </c>
      <c r="I49" s="3" t="e">
        <v>#DIV/0!</v>
      </c>
      <c r="J49" s="3">
        <v>0</v>
      </c>
      <c r="K49" s="3">
        <v>0</v>
      </c>
      <c r="L49" s="3" t="e">
        <v>#DIV/0!</v>
      </c>
      <c r="M49" s="3">
        <v>1</v>
      </c>
      <c r="N49" s="3">
        <v>2.1</v>
      </c>
      <c r="O49" s="3">
        <v>2.1</v>
      </c>
      <c r="P49" s="3">
        <v>2.1</v>
      </c>
      <c r="Q49" s="3" t="e">
        <v>#DIV/0!</v>
      </c>
    </row>
    <row r="50" spans="1:17" x14ac:dyDescent="0.2">
      <c r="B50" t="s">
        <v>344</v>
      </c>
      <c r="C50" s="3">
        <v>2</v>
      </c>
      <c r="D50" s="3">
        <v>3.4550000000000001</v>
      </c>
      <c r="E50" s="3">
        <v>3.16</v>
      </c>
      <c r="F50" s="3">
        <v>3.75</v>
      </c>
      <c r="G50" s="3">
        <v>0.41719300090006439</v>
      </c>
      <c r="H50" s="3">
        <v>0</v>
      </c>
      <c r="I50" s="3" t="e">
        <v>#DIV/0!</v>
      </c>
      <c r="J50" s="3">
        <v>0</v>
      </c>
      <c r="K50" s="3">
        <v>0</v>
      </c>
      <c r="L50" s="3" t="e">
        <v>#DIV/0!</v>
      </c>
      <c r="M50" s="3">
        <v>1</v>
      </c>
      <c r="N50" s="3">
        <v>3.38</v>
      </c>
      <c r="O50" s="3">
        <v>3.38</v>
      </c>
      <c r="P50" s="3">
        <v>3.38</v>
      </c>
      <c r="Q50" s="3" t="e">
        <v>#DIV/0!</v>
      </c>
    </row>
    <row r="51" spans="1:17" x14ac:dyDescent="0.2">
      <c r="B51" t="s">
        <v>191</v>
      </c>
      <c r="C51" s="3">
        <v>0</v>
      </c>
      <c r="D51" s="3" t="e">
        <v>#DIV/0!</v>
      </c>
      <c r="E51" s="3">
        <v>0</v>
      </c>
      <c r="F51" s="3">
        <v>0</v>
      </c>
      <c r="G51" s="3" t="e">
        <v>#DIV/0!</v>
      </c>
      <c r="H51" s="3">
        <v>0</v>
      </c>
      <c r="I51" s="3" t="e">
        <v>#DIV/0!</v>
      </c>
      <c r="J51" s="3">
        <v>0</v>
      </c>
      <c r="K51" s="3">
        <v>0</v>
      </c>
      <c r="L51" s="3" t="e">
        <v>#DIV/0!</v>
      </c>
      <c r="M51" s="3">
        <v>1</v>
      </c>
      <c r="N51" s="3">
        <v>1.1000000000000001</v>
      </c>
      <c r="O51" s="3">
        <v>1.1000000000000001</v>
      </c>
      <c r="P51" s="3">
        <v>1.1000000000000001</v>
      </c>
      <c r="Q51" s="3" t="e">
        <v>#DIV/0!</v>
      </c>
    </row>
    <row r="52" spans="1:17" s="72" customFormat="1" x14ac:dyDescent="0.2">
      <c r="A52"/>
      <c r="B52" t="s">
        <v>195</v>
      </c>
      <c r="C52" s="3">
        <v>0</v>
      </c>
      <c r="D52" s="3" t="e">
        <v>#DIV/0!</v>
      </c>
      <c r="E52" s="3">
        <v>0</v>
      </c>
      <c r="F52" s="3">
        <v>0</v>
      </c>
      <c r="G52" s="3" t="e">
        <v>#DIV/0!</v>
      </c>
      <c r="H52" s="3">
        <v>0</v>
      </c>
      <c r="I52" s="3" t="e">
        <v>#DIV/0!</v>
      </c>
      <c r="J52" s="3">
        <v>0</v>
      </c>
      <c r="K52" s="3">
        <v>0</v>
      </c>
      <c r="L52" s="3" t="e">
        <v>#DIV/0!</v>
      </c>
      <c r="M52" s="3">
        <v>1</v>
      </c>
      <c r="N52" s="3">
        <v>3.1</v>
      </c>
      <c r="O52" s="3">
        <v>3.1</v>
      </c>
      <c r="P52" s="3">
        <v>3.1</v>
      </c>
      <c r="Q52" s="3" t="e">
        <v>#DIV/0!</v>
      </c>
    </row>
    <row r="53" spans="1:17" x14ac:dyDescent="0.2">
      <c r="B53" t="s">
        <v>12</v>
      </c>
      <c r="C53" s="3">
        <v>101</v>
      </c>
      <c r="D53" s="3">
        <v>1.8578176881427284</v>
      </c>
      <c r="E53" s="3">
        <v>0.21299999999999999</v>
      </c>
      <c r="F53" s="3">
        <v>14.3</v>
      </c>
      <c r="G53" s="3">
        <v>2.6615710386610991</v>
      </c>
      <c r="H53" s="3">
        <v>9</v>
      </c>
      <c r="I53" s="3">
        <v>1.3233105925925925</v>
      </c>
      <c r="J53" s="3">
        <v>0.94399999999999995</v>
      </c>
      <c r="K53" s="3">
        <v>1.734262</v>
      </c>
      <c r="L53" s="3">
        <v>0.32820469451153628</v>
      </c>
      <c r="M53" s="3">
        <v>27</v>
      </c>
      <c r="N53" s="3">
        <v>1.4356026390230814</v>
      </c>
      <c r="O53" s="3">
        <v>1</v>
      </c>
      <c r="P53" s="3">
        <v>2.79</v>
      </c>
      <c r="Q53" s="3">
        <v>0.47200255844422462</v>
      </c>
    </row>
    <row r="54" spans="1:17" s="72" customFormat="1" x14ac:dyDescent="0.2">
      <c r="A54"/>
      <c r="B54" t="s">
        <v>142</v>
      </c>
      <c r="C54" s="3">
        <v>0</v>
      </c>
      <c r="D54" s="3" t="e">
        <v>#DIV/0!</v>
      </c>
      <c r="E54" s="3">
        <v>0</v>
      </c>
      <c r="F54" s="3">
        <v>0</v>
      </c>
      <c r="G54" s="3" t="e">
        <v>#DIV/0!</v>
      </c>
      <c r="H54" s="3">
        <v>0</v>
      </c>
      <c r="I54" s="3" t="e">
        <v>#DIV/0!</v>
      </c>
      <c r="J54" s="3">
        <v>0</v>
      </c>
      <c r="K54" s="3">
        <v>0</v>
      </c>
      <c r="L54" s="3" t="e">
        <v>#DIV/0!</v>
      </c>
      <c r="M54" s="3">
        <v>2</v>
      </c>
      <c r="N54" s="3">
        <v>3.0625</v>
      </c>
      <c r="O54" s="3">
        <v>2.1</v>
      </c>
      <c r="P54" s="3">
        <v>4.0250000000000004</v>
      </c>
      <c r="Q54" s="3">
        <v>1.3611805537841049</v>
      </c>
    </row>
    <row r="55" spans="1:17" x14ac:dyDescent="0.2">
      <c r="B55" t="s">
        <v>425</v>
      </c>
      <c r="C55" s="3">
        <v>1</v>
      </c>
      <c r="D55" s="3">
        <v>5.61</v>
      </c>
      <c r="E55" s="3">
        <v>5.61</v>
      </c>
      <c r="F55" s="3">
        <v>5.61</v>
      </c>
      <c r="G55" s="3" t="e">
        <v>#DIV/0!</v>
      </c>
      <c r="H55" s="3">
        <v>0</v>
      </c>
      <c r="I55" s="3" t="e">
        <v>#DIV/0!</v>
      </c>
      <c r="J55" s="3">
        <v>0</v>
      </c>
      <c r="K55" s="3">
        <v>0</v>
      </c>
      <c r="L55" s="3" t="e">
        <v>#DIV/0!</v>
      </c>
      <c r="M55" s="3">
        <v>3</v>
      </c>
      <c r="N55" s="3">
        <v>2.67</v>
      </c>
      <c r="O55" s="3">
        <v>1.25</v>
      </c>
      <c r="P55" s="3">
        <v>5.2</v>
      </c>
      <c r="Q55" s="3">
        <v>2.1965199748693389</v>
      </c>
    </row>
    <row r="56" spans="1:17" x14ac:dyDescent="0.2">
      <c r="B56" t="s">
        <v>347</v>
      </c>
      <c r="C56" s="3">
        <v>1</v>
      </c>
      <c r="D56" s="3">
        <v>4.0999999999999996</v>
      </c>
      <c r="E56" s="3">
        <v>4.0999999999999996</v>
      </c>
      <c r="F56" s="3">
        <v>4.0999999999999996</v>
      </c>
      <c r="G56" s="3" t="e">
        <v>#DIV/0!</v>
      </c>
      <c r="H56" s="3">
        <v>0</v>
      </c>
      <c r="I56" s="3" t="e">
        <v>#DIV/0!</v>
      </c>
      <c r="J56" s="3">
        <v>0</v>
      </c>
      <c r="K56" s="3">
        <v>0</v>
      </c>
      <c r="L56" s="3" t="e">
        <v>#DIV/0!</v>
      </c>
      <c r="M56" s="3">
        <v>1</v>
      </c>
      <c r="N56" s="3">
        <v>8.4</v>
      </c>
      <c r="O56" s="3">
        <v>8.4</v>
      </c>
      <c r="P56" s="3">
        <v>8.4</v>
      </c>
      <c r="Q56" s="3" t="e">
        <v>#DIV/0!</v>
      </c>
    </row>
    <row r="57" spans="1:17" x14ac:dyDescent="0.2">
      <c r="B57" t="s">
        <v>254</v>
      </c>
      <c r="C57" s="3">
        <v>0</v>
      </c>
      <c r="D57" s="3" t="e">
        <v>#DIV/0!</v>
      </c>
      <c r="E57" s="3">
        <v>0</v>
      </c>
      <c r="F57" s="3">
        <v>0</v>
      </c>
      <c r="G57" s="3" t="e">
        <v>#DIV/0!</v>
      </c>
      <c r="H57" s="3">
        <v>0</v>
      </c>
      <c r="I57" s="3" t="e">
        <v>#DIV/0!</v>
      </c>
      <c r="J57" s="3">
        <v>0</v>
      </c>
      <c r="K57" s="3">
        <v>0</v>
      </c>
      <c r="L57" s="3" t="e">
        <v>#DIV/0!</v>
      </c>
      <c r="M57" s="3">
        <v>3</v>
      </c>
      <c r="N57" s="3">
        <v>1.36</v>
      </c>
      <c r="O57" s="3">
        <v>1.1000000000000001</v>
      </c>
      <c r="P57" s="3">
        <v>1.66</v>
      </c>
      <c r="Q57" s="3">
        <v>0.28213471959331787</v>
      </c>
    </row>
    <row r="58" spans="1:17" x14ac:dyDescent="0.2">
      <c r="B58" t="s">
        <v>188</v>
      </c>
      <c r="C58" s="3">
        <v>0</v>
      </c>
      <c r="D58" s="3" t="e">
        <v>#DIV/0!</v>
      </c>
      <c r="E58" s="3">
        <v>0</v>
      </c>
      <c r="F58" s="3">
        <v>0</v>
      </c>
      <c r="G58" s="3" t="e">
        <v>#DIV/0!</v>
      </c>
      <c r="H58" s="3">
        <v>0</v>
      </c>
      <c r="I58" s="3" t="e">
        <v>#DIV/0!</v>
      </c>
      <c r="J58" s="3">
        <v>0</v>
      </c>
      <c r="K58" s="3">
        <v>0</v>
      </c>
      <c r="L58" s="3" t="e">
        <v>#DIV/0!</v>
      </c>
      <c r="M58" s="3">
        <v>1</v>
      </c>
      <c r="N58" s="3">
        <v>2.5</v>
      </c>
      <c r="O58" s="3">
        <v>2.5</v>
      </c>
      <c r="P58" s="3">
        <v>2.5</v>
      </c>
      <c r="Q58" s="3" t="e">
        <v>#DIV/0!</v>
      </c>
    </row>
    <row r="59" spans="1:17" x14ac:dyDescent="0.2">
      <c r="B59" t="s">
        <v>140</v>
      </c>
      <c r="C59" s="3">
        <v>3</v>
      </c>
      <c r="D59" s="3">
        <v>0.93815666666666664</v>
      </c>
      <c r="E59" s="3">
        <v>0.60097</v>
      </c>
      <c r="F59" s="3">
        <v>1.2635000000000001</v>
      </c>
      <c r="G59" s="3">
        <v>0.33142374482425591</v>
      </c>
      <c r="H59" s="3">
        <v>3</v>
      </c>
      <c r="I59" s="3">
        <v>1.3304093333333333</v>
      </c>
      <c r="J59" s="3">
        <v>1.05</v>
      </c>
      <c r="K59" s="3">
        <v>1.57325</v>
      </c>
      <c r="L59" s="3">
        <v>0.26364027416412178</v>
      </c>
      <c r="M59" s="3">
        <v>14</v>
      </c>
      <c r="N59" s="3">
        <v>1.7261427857142857</v>
      </c>
      <c r="O59" s="3">
        <v>1.37</v>
      </c>
      <c r="P59" s="3">
        <v>2.06</v>
      </c>
      <c r="Q59" s="3">
        <v>0.22669152448822724</v>
      </c>
    </row>
    <row r="60" spans="1:17" x14ac:dyDescent="0.2">
      <c r="A60" s="72" t="s">
        <v>2832</v>
      </c>
      <c r="B60" s="72"/>
      <c r="C60" s="73">
        <v>119</v>
      </c>
      <c r="D60" s="73">
        <v>2.3987962731295425</v>
      </c>
      <c r="E60" s="73">
        <v>0.21299999999999999</v>
      </c>
      <c r="F60" s="73">
        <v>14.3</v>
      </c>
      <c r="G60" s="73">
        <v>3.0849415606189012</v>
      </c>
      <c r="H60" s="73">
        <v>20</v>
      </c>
      <c r="I60" s="73">
        <v>3.9250378333333336</v>
      </c>
      <c r="J60" s="73">
        <v>0.94399999999999995</v>
      </c>
      <c r="K60" s="73">
        <v>12.35</v>
      </c>
      <c r="L60" s="73">
        <v>3.7332722738201158</v>
      </c>
      <c r="M60" s="73">
        <v>93</v>
      </c>
      <c r="N60" s="73">
        <v>4.7018093575658417</v>
      </c>
      <c r="O60" s="73">
        <v>1</v>
      </c>
      <c r="P60" s="73">
        <v>20.995000000000001</v>
      </c>
      <c r="Q60" s="73">
        <v>4.025122091992583</v>
      </c>
    </row>
    <row r="61" spans="1:17" x14ac:dyDescent="0.2">
      <c r="A61" t="s">
        <v>39</v>
      </c>
      <c r="B61" t="s">
        <v>40</v>
      </c>
      <c r="C61" s="3">
        <v>25</v>
      </c>
      <c r="D61" s="3">
        <v>3.2930399999999995</v>
      </c>
      <c r="E61" s="3">
        <v>1.42</v>
      </c>
      <c r="F61" s="3">
        <v>7</v>
      </c>
      <c r="G61" s="3">
        <v>1.6360912128199545</v>
      </c>
      <c r="H61" s="3">
        <v>3</v>
      </c>
      <c r="I61" s="3">
        <v>4.3751066666666674</v>
      </c>
      <c r="J61" s="3">
        <v>2.0529999999999999</v>
      </c>
      <c r="K61" s="3">
        <v>5.9710000000000001</v>
      </c>
      <c r="L61" s="3">
        <v>2.0574791260504508</v>
      </c>
      <c r="M61" s="3">
        <v>16</v>
      </c>
      <c r="N61" s="3">
        <v>4.2141250000000001</v>
      </c>
      <c r="O61" s="3">
        <v>2.266</v>
      </c>
      <c r="P61" s="3">
        <v>5.98</v>
      </c>
      <c r="Q61" s="3">
        <v>0.85492938304867949</v>
      </c>
    </row>
    <row r="62" spans="1:17" x14ac:dyDescent="0.2">
      <c r="A62" s="72" t="s">
        <v>2833</v>
      </c>
      <c r="B62" s="72"/>
      <c r="C62" s="73">
        <v>25</v>
      </c>
      <c r="D62" s="73">
        <v>3.2930399999999995</v>
      </c>
      <c r="E62" s="73">
        <v>1.42</v>
      </c>
      <c r="F62" s="73">
        <v>7</v>
      </c>
      <c r="G62" s="73">
        <v>1.6360912128199545</v>
      </c>
      <c r="H62" s="73">
        <v>3</v>
      </c>
      <c r="I62" s="73">
        <v>4.3751066666666674</v>
      </c>
      <c r="J62" s="73">
        <v>2.0529999999999999</v>
      </c>
      <c r="K62" s="73">
        <v>5.9710000000000001</v>
      </c>
      <c r="L62" s="73">
        <v>2.0574791260504508</v>
      </c>
      <c r="M62" s="73">
        <v>16</v>
      </c>
      <c r="N62" s="73">
        <v>4.2141250000000001</v>
      </c>
      <c r="O62" s="73">
        <v>2.266</v>
      </c>
      <c r="P62" s="73">
        <v>5.98</v>
      </c>
      <c r="Q62" s="73">
        <v>0.85492938304867949</v>
      </c>
    </row>
    <row r="63" spans="1:17" x14ac:dyDescent="0.2">
      <c r="A63" t="s">
        <v>975</v>
      </c>
      <c r="B63" t="s">
        <v>3625</v>
      </c>
      <c r="C63" s="3">
        <v>1</v>
      </c>
      <c r="D63" s="3">
        <v>1.98084375</v>
      </c>
      <c r="E63" s="3">
        <v>1.98084375</v>
      </c>
      <c r="F63" s="3">
        <v>1.98084375</v>
      </c>
      <c r="G63" s="3" t="e">
        <v>#DIV/0!</v>
      </c>
      <c r="H63" s="3">
        <v>1</v>
      </c>
      <c r="I63" s="3">
        <v>2.1531562499999999</v>
      </c>
      <c r="J63" s="3">
        <v>2.1531562499999999</v>
      </c>
      <c r="K63" s="3">
        <v>2.1531562499999999</v>
      </c>
      <c r="L63" s="3" t="e">
        <v>#DIV/0!</v>
      </c>
      <c r="M63" s="3">
        <v>1</v>
      </c>
      <c r="N63" s="3">
        <v>2.2111562499999997</v>
      </c>
      <c r="O63" s="3">
        <v>2.2111562499999997</v>
      </c>
      <c r="P63" s="3">
        <v>2.2111562499999997</v>
      </c>
      <c r="Q63" s="3" t="e">
        <v>#DIV/0!</v>
      </c>
    </row>
    <row r="64" spans="1:17" x14ac:dyDescent="0.2">
      <c r="B64" t="s">
        <v>3055</v>
      </c>
      <c r="C64" s="3">
        <v>2</v>
      </c>
      <c r="D64" s="3">
        <v>1.5708</v>
      </c>
      <c r="E64" s="3">
        <v>1.5708</v>
      </c>
      <c r="F64" s="3">
        <v>1.5708</v>
      </c>
      <c r="G64" s="3">
        <v>0</v>
      </c>
      <c r="H64" s="3">
        <v>2</v>
      </c>
      <c r="I64" s="3">
        <v>1.9788000000000001</v>
      </c>
      <c r="J64" s="3">
        <v>1.9788000000000001</v>
      </c>
      <c r="K64" s="3">
        <v>1.9788000000000001</v>
      </c>
      <c r="L64" s="3">
        <v>0</v>
      </c>
      <c r="M64" s="3">
        <v>2</v>
      </c>
      <c r="N64" s="3">
        <v>2.2549999999999999</v>
      </c>
      <c r="O64" s="3">
        <v>2.2200000000000002</v>
      </c>
      <c r="P64" s="3">
        <v>2.29</v>
      </c>
      <c r="Q64" s="3">
        <v>4.9497474683072425E-2</v>
      </c>
    </row>
    <row r="65" spans="1:17" x14ac:dyDescent="0.2">
      <c r="B65" t="s">
        <v>3056</v>
      </c>
      <c r="C65" s="3">
        <v>51</v>
      </c>
      <c r="D65" s="3">
        <v>5.7173231238780273</v>
      </c>
      <c r="E65" s="3">
        <v>1.7846153846153845</v>
      </c>
      <c r="F65" s="3">
        <v>39.166666666666664</v>
      </c>
      <c r="G65" s="3">
        <v>6.7983880096389653</v>
      </c>
      <c r="H65" s="3">
        <v>9</v>
      </c>
      <c r="I65" s="3">
        <v>2.909011111111111</v>
      </c>
      <c r="J65" s="3">
        <v>2.14</v>
      </c>
      <c r="K65" s="3">
        <v>5.0600000000000005</v>
      </c>
      <c r="L65" s="3">
        <v>0.87213935303431478</v>
      </c>
      <c r="M65" s="3">
        <v>16</v>
      </c>
      <c r="N65" s="3">
        <v>4.8556604999999999</v>
      </c>
      <c r="O65" s="3">
        <v>2.46</v>
      </c>
      <c r="P65" s="3">
        <v>13.9</v>
      </c>
      <c r="Q65" s="3">
        <v>3.6680396230362624</v>
      </c>
    </row>
    <row r="66" spans="1:17" s="72" customFormat="1" x14ac:dyDescent="0.2">
      <c r="A66"/>
      <c r="B66" t="s">
        <v>3057</v>
      </c>
      <c r="C66" s="3">
        <v>50</v>
      </c>
      <c r="D66" s="3">
        <v>3.0214281754447705</v>
      </c>
      <c r="E66" s="3">
        <v>0.182</v>
      </c>
      <c r="F66" s="3">
        <v>39.656818181818188</v>
      </c>
      <c r="G66" s="3">
        <v>6.6703451293251312</v>
      </c>
      <c r="H66" s="3">
        <v>31</v>
      </c>
      <c r="I66" s="3">
        <v>2.0341634709677425</v>
      </c>
      <c r="J66" s="3">
        <v>0.28259999999999996</v>
      </c>
      <c r="K66" s="3">
        <v>10.8784896</v>
      </c>
      <c r="L66" s="3">
        <v>2.0288030603418283</v>
      </c>
      <c r="M66" s="3">
        <v>56</v>
      </c>
      <c r="N66" s="3">
        <v>3.0131332004076561</v>
      </c>
      <c r="O66" s="3">
        <v>0.48</v>
      </c>
      <c r="P66" s="3">
        <v>20.856105599999999</v>
      </c>
      <c r="Q66" s="3">
        <v>3.1256263875090329</v>
      </c>
    </row>
    <row r="67" spans="1:17" x14ac:dyDescent="0.2">
      <c r="B67" t="s">
        <v>3058</v>
      </c>
      <c r="C67" s="3">
        <v>12</v>
      </c>
      <c r="D67" s="3">
        <v>2.1477298850574713</v>
      </c>
      <c r="E67" s="3">
        <v>1.6087931034482761</v>
      </c>
      <c r="F67" s="3">
        <v>2.5174137931034481</v>
      </c>
      <c r="G67" s="3">
        <v>0.32953903852547989</v>
      </c>
      <c r="H67" s="3">
        <v>0</v>
      </c>
      <c r="I67" s="3" t="e">
        <v>#DIV/0!</v>
      </c>
      <c r="J67" s="3">
        <v>0</v>
      </c>
      <c r="K67" s="3">
        <v>0</v>
      </c>
      <c r="L67" s="3" t="e">
        <v>#DIV/0!</v>
      </c>
      <c r="M67" s="3">
        <v>1</v>
      </c>
      <c r="N67" s="3">
        <v>3.1034482758620694</v>
      </c>
      <c r="O67" s="3">
        <v>3.1034482758620694</v>
      </c>
      <c r="P67" s="3">
        <v>3.1034482758620694</v>
      </c>
      <c r="Q67" s="3" t="e">
        <v>#DIV/0!</v>
      </c>
    </row>
    <row r="68" spans="1:17" x14ac:dyDescent="0.2">
      <c r="B68" t="s">
        <v>3059</v>
      </c>
      <c r="C68" s="3">
        <v>14</v>
      </c>
      <c r="D68" s="3">
        <v>30.657762954857823</v>
      </c>
      <c r="E68" s="3">
        <v>5.4166666666666669E-2</v>
      </c>
      <c r="F68" s="3">
        <v>105.66666666666667</v>
      </c>
      <c r="G68" s="3">
        <v>28.252177670870516</v>
      </c>
      <c r="H68" s="3">
        <v>6</v>
      </c>
      <c r="I68" s="3">
        <v>14.372844982078853</v>
      </c>
      <c r="J68" s="3">
        <v>4.3874999999999993</v>
      </c>
      <c r="K68" s="3">
        <v>35.229166666666664</v>
      </c>
      <c r="L68" s="3">
        <v>11.368339602424484</v>
      </c>
      <c r="M68" s="3">
        <v>11</v>
      </c>
      <c r="N68" s="3">
        <v>37.282203152937001</v>
      </c>
      <c r="O68" s="3">
        <v>6.403225806451613</v>
      </c>
      <c r="P68" s="3">
        <v>118.62548000000001</v>
      </c>
      <c r="Q68" s="3">
        <v>38.276836990798252</v>
      </c>
    </row>
    <row r="69" spans="1:17" x14ac:dyDescent="0.2">
      <c r="B69" t="s">
        <v>3060</v>
      </c>
      <c r="C69" s="3">
        <v>5</v>
      </c>
      <c r="D69" s="3">
        <v>3.1429</v>
      </c>
      <c r="E69" s="3">
        <v>0.16900000000000001</v>
      </c>
      <c r="F69" s="3">
        <v>6.0023999999999997</v>
      </c>
      <c r="G69" s="3">
        <v>2.6513501239934332</v>
      </c>
      <c r="H69" s="3">
        <v>4</v>
      </c>
      <c r="I69" s="3">
        <v>8.6462258064516124</v>
      </c>
      <c r="J69" s="3">
        <v>1.6129032258064515</v>
      </c>
      <c r="K69" s="3">
        <v>13.622</v>
      </c>
      <c r="L69" s="3">
        <v>5.0463570368870219</v>
      </c>
      <c r="M69" s="3">
        <v>7</v>
      </c>
      <c r="N69" s="3">
        <v>7.169302598404272</v>
      </c>
      <c r="O69" s="3">
        <v>1.9354838709677418</v>
      </c>
      <c r="P69" s="3">
        <v>13.9</v>
      </c>
      <c r="Q69" s="3">
        <v>4.7536731744361633</v>
      </c>
    </row>
    <row r="70" spans="1:17" x14ac:dyDescent="0.2">
      <c r="A70" s="72" t="s">
        <v>2834</v>
      </c>
      <c r="B70" s="72"/>
      <c r="C70" s="73">
        <v>135</v>
      </c>
      <c r="D70" s="73">
        <v>6.8035057172497533</v>
      </c>
      <c r="E70" s="73">
        <v>5.4166666666666669E-2</v>
      </c>
      <c r="F70" s="73">
        <v>105.66666666666667</v>
      </c>
      <c r="G70" s="73">
        <v>13.395165020646397</v>
      </c>
      <c r="H70" s="73">
        <v>53</v>
      </c>
      <c r="I70" s="73">
        <v>4.0787339050618776</v>
      </c>
      <c r="J70" s="73">
        <v>0.28259999999999996</v>
      </c>
      <c r="K70" s="73">
        <v>35.229166666666664</v>
      </c>
      <c r="L70" s="73">
        <v>5.7610250422242544</v>
      </c>
      <c r="M70" s="73">
        <v>94</v>
      </c>
      <c r="N70" s="73">
        <v>7.6227657938279521</v>
      </c>
      <c r="O70" s="73">
        <v>0.48</v>
      </c>
      <c r="P70" s="73">
        <v>118.62548000000001</v>
      </c>
      <c r="Q70" s="73">
        <v>16.919673963560804</v>
      </c>
    </row>
    <row r="71" spans="1:17" x14ac:dyDescent="0.2">
      <c r="A71" t="s">
        <v>236</v>
      </c>
      <c r="B71" t="s">
        <v>1739</v>
      </c>
      <c r="C71" s="3">
        <v>36</v>
      </c>
      <c r="D71" s="3">
        <v>0.20576432077140835</v>
      </c>
      <c r="E71" s="3">
        <v>3.9699999999999999E-2</v>
      </c>
      <c r="F71" s="3">
        <v>1.04</v>
      </c>
      <c r="G71" s="3">
        <v>0.21608589641208981</v>
      </c>
      <c r="H71" s="3">
        <v>2</v>
      </c>
      <c r="I71" s="3">
        <v>7.1445000000000008E-2</v>
      </c>
      <c r="J71" s="3">
        <v>6.787E-2</v>
      </c>
      <c r="K71" s="3">
        <v>7.5020000000000003E-2</v>
      </c>
      <c r="L71" s="3">
        <v>5.055813485483663E-3</v>
      </c>
      <c r="M71" s="3">
        <v>14</v>
      </c>
      <c r="N71" s="3">
        <v>1.3536268999999999</v>
      </c>
      <c r="O71" s="3">
        <v>0.19708329999999999</v>
      </c>
      <c r="P71" s="3">
        <v>13.093</v>
      </c>
      <c r="Q71" s="3">
        <v>3.3875845516414023</v>
      </c>
    </row>
    <row r="72" spans="1:17" x14ac:dyDescent="0.2">
      <c r="B72" t="s">
        <v>1747</v>
      </c>
      <c r="C72" s="3">
        <v>1</v>
      </c>
      <c r="D72" s="3">
        <v>0.43</v>
      </c>
      <c r="E72" s="3">
        <v>0.43</v>
      </c>
      <c r="F72" s="3">
        <v>0.43</v>
      </c>
      <c r="G72" s="3" t="e">
        <v>#DIV/0!</v>
      </c>
      <c r="H72" s="3">
        <v>0</v>
      </c>
      <c r="I72" s="3" t="e">
        <v>#DIV/0!</v>
      </c>
      <c r="J72" s="3">
        <v>0</v>
      </c>
      <c r="K72" s="3">
        <v>0</v>
      </c>
      <c r="L72" s="3" t="e">
        <v>#DIV/0!</v>
      </c>
      <c r="M72" s="3"/>
      <c r="N72" s="3"/>
      <c r="O72" s="3"/>
      <c r="P72" s="3"/>
      <c r="Q72" s="3"/>
    </row>
    <row r="73" spans="1:17" x14ac:dyDescent="0.2">
      <c r="B73" t="s">
        <v>859</v>
      </c>
      <c r="C73" s="3">
        <v>4</v>
      </c>
      <c r="D73" s="3">
        <v>0.40499999999999997</v>
      </c>
      <c r="E73" s="3">
        <v>0.17</v>
      </c>
      <c r="F73" s="3">
        <v>0.53600000000000003</v>
      </c>
      <c r="G73" s="3">
        <v>0.16481504785668108</v>
      </c>
      <c r="H73" s="3">
        <v>0</v>
      </c>
      <c r="I73" s="3" t="e">
        <v>#DIV/0!</v>
      </c>
      <c r="J73" s="3">
        <v>0</v>
      </c>
      <c r="K73" s="3">
        <v>0</v>
      </c>
      <c r="L73" s="3" t="e">
        <v>#DIV/0!</v>
      </c>
      <c r="M73" s="3">
        <v>1</v>
      </c>
      <c r="N73" s="3">
        <v>1.27</v>
      </c>
      <c r="O73" s="3">
        <v>1.27</v>
      </c>
      <c r="P73" s="3">
        <v>1.27</v>
      </c>
      <c r="Q73" s="3" t="e">
        <v>#DIV/0!</v>
      </c>
    </row>
    <row r="74" spans="1:17" x14ac:dyDescent="0.2">
      <c r="B74" t="s">
        <v>1769</v>
      </c>
      <c r="C74" s="3">
        <v>19</v>
      </c>
      <c r="D74" s="3">
        <v>0.23981212347351016</v>
      </c>
      <c r="E74" s="3">
        <v>8.1206746999999996E-2</v>
      </c>
      <c r="F74" s="3">
        <v>0.36499999999999999</v>
      </c>
      <c r="G74" s="3">
        <v>6.7822688355273247E-2</v>
      </c>
      <c r="H74" s="3">
        <v>7</v>
      </c>
      <c r="I74" s="3">
        <v>0.28068571428571432</v>
      </c>
      <c r="J74" s="3">
        <v>0.219</v>
      </c>
      <c r="K74" s="3">
        <v>0.36360000000000009</v>
      </c>
      <c r="L74" s="3">
        <v>5.4116276928216259E-2</v>
      </c>
      <c r="M74" s="3">
        <v>14</v>
      </c>
      <c r="N74" s="3">
        <v>0.86826486752103149</v>
      </c>
      <c r="O74" s="3">
        <v>0.41899999999999998</v>
      </c>
      <c r="P74" s="3">
        <v>1.84</v>
      </c>
      <c r="Q74" s="3">
        <v>0.42378733501449184</v>
      </c>
    </row>
    <row r="75" spans="1:17" x14ac:dyDescent="0.2">
      <c r="B75" t="s">
        <v>1539</v>
      </c>
      <c r="C75" s="3">
        <v>1</v>
      </c>
      <c r="D75" s="3">
        <v>0.17</v>
      </c>
      <c r="E75" s="3">
        <v>0.17</v>
      </c>
      <c r="F75" s="3">
        <v>0.17</v>
      </c>
      <c r="G75" s="3" t="e">
        <v>#DIV/0!</v>
      </c>
      <c r="H75" s="3">
        <v>0</v>
      </c>
      <c r="I75" s="3" t="e">
        <v>#DIV/0!</v>
      </c>
      <c r="J75" s="3">
        <v>0</v>
      </c>
      <c r="K75" s="3">
        <v>0</v>
      </c>
      <c r="L75" s="3" t="e">
        <v>#DIV/0!</v>
      </c>
      <c r="M75" s="3"/>
      <c r="N75" s="3"/>
      <c r="O75" s="3"/>
      <c r="P75" s="3"/>
      <c r="Q75" s="3"/>
    </row>
    <row r="76" spans="1:17" x14ac:dyDescent="0.2">
      <c r="B76" t="s">
        <v>1837</v>
      </c>
      <c r="C76" s="3">
        <v>4</v>
      </c>
      <c r="D76" s="3">
        <v>0.4723684210526316</v>
      </c>
      <c r="E76" s="3">
        <v>0.16800000000000001</v>
      </c>
      <c r="F76" s="3">
        <v>0.82899999999999996</v>
      </c>
      <c r="G76" s="3">
        <v>0.35326459809839617</v>
      </c>
      <c r="H76" s="3">
        <v>0</v>
      </c>
      <c r="I76" s="3" t="e">
        <v>#DIV/0!</v>
      </c>
      <c r="J76" s="3">
        <v>0</v>
      </c>
      <c r="K76" s="3">
        <v>0</v>
      </c>
      <c r="L76" s="3" t="e">
        <v>#DIV/0!</v>
      </c>
      <c r="M76" s="3">
        <v>2</v>
      </c>
      <c r="N76" s="3">
        <v>0.46210526315789502</v>
      </c>
      <c r="O76" s="3">
        <v>0.44</v>
      </c>
      <c r="P76" s="3">
        <v>0.48421052631578998</v>
      </c>
      <c r="Q76" s="3">
        <v>3.1261562957720243E-2</v>
      </c>
    </row>
    <row r="77" spans="1:17" x14ac:dyDescent="0.2">
      <c r="B77" t="s">
        <v>1879</v>
      </c>
      <c r="C77" s="3">
        <v>5</v>
      </c>
      <c r="D77" s="3">
        <v>0.46799999999999997</v>
      </c>
      <c r="E77" s="3">
        <v>0.26</v>
      </c>
      <c r="F77" s="3">
        <v>0.88</v>
      </c>
      <c r="G77" s="3">
        <v>0.24324884377936951</v>
      </c>
      <c r="H77" s="3">
        <v>0</v>
      </c>
      <c r="I77" s="3" t="e">
        <v>#DIV/0!</v>
      </c>
      <c r="J77" s="3">
        <v>0</v>
      </c>
      <c r="K77" s="3">
        <v>0</v>
      </c>
      <c r="L77" s="3" t="e">
        <v>#DIV/0!</v>
      </c>
      <c r="M77" s="3">
        <v>3</v>
      </c>
      <c r="N77" s="3">
        <v>4.4169999999999998</v>
      </c>
      <c r="O77" s="3">
        <v>0.41799999999999998</v>
      </c>
      <c r="P77" s="3">
        <v>12.157</v>
      </c>
      <c r="Q77" s="3">
        <v>6.7042778134561223</v>
      </c>
    </row>
    <row r="78" spans="1:17" x14ac:dyDescent="0.2">
      <c r="B78" t="s">
        <v>1948</v>
      </c>
      <c r="C78" s="3">
        <v>1</v>
      </c>
      <c r="D78" s="3">
        <v>1.39</v>
      </c>
      <c r="E78" s="3">
        <v>1.39</v>
      </c>
      <c r="F78" s="3">
        <v>1.39</v>
      </c>
      <c r="G78" s="3" t="e">
        <v>#DIV/0!</v>
      </c>
      <c r="H78" s="3">
        <v>0</v>
      </c>
      <c r="I78" s="3" t="e">
        <v>#DIV/0!</v>
      </c>
      <c r="J78" s="3">
        <v>0</v>
      </c>
      <c r="K78" s="3">
        <v>0</v>
      </c>
      <c r="L78" s="3" t="e">
        <v>#DIV/0!</v>
      </c>
      <c r="M78" s="3"/>
      <c r="N78" s="3"/>
      <c r="O78" s="3"/>
      <c r="P78" s="3"/>
      <c r="Q78" s="3"/>
    </row>
    <row r="79" spans="1:17" x14ac:dyDescent="0.2">
      <c r="B79" t="s">
        <v>1962</v>
      </c>
      <c r="C79" s="3">
        <v>4</v>
      </c>
      <c r="D79" s="3">
        <v>1.823725</v>
      </c>
      <c r="E79" s="3">
        <v>0.32</v>
      </c>
      <c r="F79" s="3">
        <v>3.5733000000000001</v>
      </c>
      <c r="G79" s="3">
        <v>1.494417160356059</v>
      </c>
      <c r="H79" s="3">
        <v>0</v>
      </c>
      <c r="I79" s="3" t="e">
        <v>#DIV/0!</v>
      </c>
      <c r="J79" s="3">
        <v>0</v>
      </c>
      <c r="K79" s="3">
        <v>0</v>
      </c>
      <c r="L79" s="3" t="e">
        <v>#DIV/0!</v>
      </c>
      <c r="M79" s="3"/>
      <c r="N79" s="3"/>
      <c r="O79" s="3"/>
      <c r="P79" s="3"/>
      <c r="Q79" s="3"/>
    </row>
    <row r="80" spans="1:17" x14ac:dyDescent="0.2">
      <c r="B80" t="s">
        <v>756</v>
      </c>
      <c r="C80" s="3">
        <v>2</v>
      </c>
      <c r="D80" s="3">
        <v>0.52899999999999991</v>
      </c>
      <c r="E80" s="3">
        <v>0.11799999999999999</v>
      </c>
      <c r="F80" s="3">
        <v>0.94</v>
      </c>
      <c r="G80" s="3">
        <v>0.58124177413534228</v>
      </c>
      <c r="H80" s="3">
        <v>0</v>
      </c>
      <c r="I80" s="3" t="e">
        <v>#DIV/0!</v>
      </c>
      <c r="J80" s="3">
        <v>0</v>
      </c>
      <c r="K80" s="3">
        <v>0</v>
      </c>
      <c r="L80" s="3" t="e">
        <v>#DIV/0!</v>
      </c>
      <c r="M80" s="3"/>
      <c r="N80" s="3"/>
      <c r="O80" s="3"/>
      <c r="P80" s="3"/>
      <c r="Q80" s="3"/>
    </row>
    <row r="81" spans="2:17" x14ac:dyDescent="0.2">
      <c r="B81" t="s">
        <v>843</v>
      </c>
      <c r="C81" s="3">
        <v>3</v>
      </c>
      <c r="D81" s="3">
        <v>0.36233333333333334</v>
      </c>
      <c r="E81" s="3">
        <v>0.11</v>
      </c>
      <c r="F81" s="3">
        <v>0.83</v>
      </c>
      <c r="G81" s="3">
        <v>0.40543351283944612</v>
      </c>
      <c r="H81" s="3">
        <v>0</v>
      </c>
      <c r="I81" s="3" t="e">
        <v>#DIV/0!</v>
      </c>
      <c r="J81" s="3">
        <v>0</v>
      </c>
      <c r="K81" s="3">
        <v>0</v>
      </c>
      <c r="L81" s="3" t="e">
        <v>#DIV/0!</v>
      </c>
      <c r="M81" s="3">
        <v>2</v>
      </c>
      <c r="N81" s="3">
        <v>0.41000000000000003</v>
      </c>
      <c r="O81" s="3">
        <v>0.31</v>
      </c>
      <c r="P81" s="3">
        <v>0.51</v>
      </c>
      <c r="Q81" s="3">
        <v>0.14142135623730936</v>
      </c>
    </row>
    <row r="82" spans="2:17" x14ac:dyDescent="0.2">
      <c r="B82" t="s">
        <v>758</v>
      </c>
      <c r="C82" s="3">
        <v>2</v>
      </c>
      <c r="D82" s="3">
        <v>0.20699999999999999</v>
      </c>
      <c r="E82" s="3">
        <v>0.113</v>
      </c>
      <c r="F82" s="3">
        <v>0.30099999999999999</v>
      </c>
      <c r="G82" s="3">
        <v>0.13293607486307091</v>
      </c>
      <c r="H82" s="3">
        <v>0</v>
      </c>
      <c r="I82" s="3" t="e">
        <v>#DIV/0!</v>
      </c>
      <c r="J82" s="3">
        <v>0</v>
      </c>
      <c r="K82" s="3">
        <v>0</v>
      </c>
      <c r="L82" s="3" t="e">
        <v>#DIV/0!</v>
      </c>
      <c r="M82" s="3"/>
      <c r="N82" s="3"/>
      <c r="O82" s="3"/>
      <c r="P82" s="3"/>
      <c r="Q82" s="3"/>
    </row>
    <row r="83" spans="2:17" x14ac:dyDescent="0.2">
      <c r="B83" t="s">
        <v>1549</v>
      </c>
      <c r="C83" s="3">
        <v>1</v>
      </c>
      <c r="D83" s="3">
        <v>0.189</v>
      </c>
      <c r="E83" s="3">
        <v>0.189</v>
      </c>
      <c r="F83" s="3">
        <v>0.189</v>
      </c>
      <c r="G83" s="3" t="e">
        <v>#DIV/0!</v>
      </c>
      <c r="H83" s="3">
        <v>0</v>
      </c>
      <c r="I83" s="3" t="e">
        <v>#DIV/0!</v>
      </c>
      <c r="J83" s="3">
        <v>0</v>
      </c>
      <c r="K83" s="3">
        <v>0</v>
      </c>
      <c r="L83" s="3" t="e">
        <v>#DIV/0!</v>
      </c>
      <c r="M83" s="3"/>
      <c r="N83" s="3"/>
      <c r="O83" s="3"/>
      <c r="P83" s="3"/>
      <c r="Q83" s="3"/>
    </row>
    <row r="84" spans="2:17" x14ac:dyDescent="0.2">
      <c r="B84" t="s">
        <v>2010</v>
      </c>
      <c r="C84" s="3">
        <v>1</v>
      </c>
      <c r="D84" s="3">
        <v>0.84</v>
      </c>
      <c r="E84" s="3">
        <v>0.84</v>
      </c>
      <c r="F84" s="3">
        <v>0.84</v>
      </c>
      <c r="G84" s="3" t="e">
        <v>#DIV/0!</v>
      </c>
      <c r="H84" s="3">
        <v>0</v>
      </c>
      <c r="I84" s="3" t="e">
        <v>#DIV/0!</v>
      </c>
      <c r="J84" s="3">
        <v>0</v>
      </c>
      <c r="K84" s="3">
        <v>0</v>
      </c>
      <c r="L84" s="3" t="e">
        <v>#DIV/0!</v>
      </c>
      <c r="M84" s="3"/>
      <c r="N84" s="3"/>
      <c r="O84" s="3"/>
      <c r="P84" s="3"/>
      <c r="Q84" s="3"/>
    </row>
    <row r="85" spans="2:17" x14ac:dyDescent="0.2">
      <c r="B85" t="s">
        <v>2011</v>
      </c>
      <c r="C85" s="3">
        <v>3</v>
      </c>
      <c r="D85" s="3">
        <v>0.45944000000000002</v>
      </c>
      <c r="E85" s="3">
        <v>0.20832000000000001</v>
      </c>
      <c r="F85" s="3">
        <v>0.75</v>
      </c>
      <c r="G85" s="3">
        <v>0.27298523916138762</v>
      </c>
      <c r="H85" s="3">
        <v>0</v>
      </c>
      <c r="I85" s="3" t="e">
        <v>#DIV/0!</v>
      </c>
      <c r="J85" s="3">
        <v>0</v>
      </c>
      <c r="K85" s="3">
        <v>0</v>
      </c>
      <c r="L85" s="3" t="e">
        <v>#DIV/0!</v>
      </c>
      <c r="M85" s="3">
        <v>1</v>
      </c>
      <c r="N85" s="3">
        <v>0.28999999999999998</v>
      </c>
      <c r="O85" s="3">
        <v>0.28999999999999998</v>
      </c>
      <c r="P85" s="3">
        <v>0.28999999999999998</v>
      </c>
      <c r="Q85" s="3" t="e">
        <v>#DIV/0!</v>
      </c>
    </row>
    <row r="86" spans="2:17" x14ac:dyDescent="0.2">
      <c r="B86" t="s">
        <v>3062</v>
      </c>
      <c r="C86" s="3">
        <v>2</v>
      </c>
      <c r="D86" s="3">
        <v>0.6835</v>
      </c>
      <c r="E86" s="3">
        <v>0.66700000000000004</v>
      </c>
      <c r="F86" s="3">
        <v>0.7</v>
      </c>
      <c r="G86" s="3">
        <v>2.3334523779154948E-2</v>
      </c>
      <c r="H86" s="3">
        <v>0</v>
      </c>
      <c r="I86" s="3" t="e">
        <v>#DIV/0!</v>
      </c>
      <c r="J86" s="3">
        <v>0</v>
      </c>
      <c r="K86" s="3">
        <v>0</v>
      </c>
      <c r="L86" s="3" t="e">
        <v>#DIV/0!</v>
      </c>
      <c r="M86" s="3"/>
      <c r="N86" s="3"/>
      <c r="O86" s="3"/>
      <c r="P86" s="3"/>
      <c r="Q86" s="3"/>
    </row>
    <row r="87" spans="2:17" x14ac:dyDescent="0.2">
      <c r="B87" t="s">
        <v>2022</v>
      </c>
      <c r="C87" s="3">
        <v>2</v>
      </c>
      <c r="D87" s="3">
        <v>0.60499999999999998</v>
      </c>
      <c r="E87" s="3">
        <v>0.51</v>
      </c>
      <c r="F87" s="3">
        <v>0.7</v>
      </c>
      <c r="G87" s="3">
        <v>0.13435028842544408</v>
      </c>
      <c r="H87" s="3">
        <v>0</v>
      </c>
      <c r="I87" s="3" t="e">
        <v>#DIV/0!</v>
      </c>
      <c r="J87" s="3">
        <v>0</v>
      </c>
      <c r="K87" s="3">
        <v>0</v>
      </c>
      <c r="L87" s="3" t="e">
        <v>#DIV/0!</v>
      </c>
      <c r="M87" s="3"/>
      <c r="N87" s="3"/>
      <c r="O87" s="3"/>
      <c r="P87" s="3"/>
      <c r="Q87" s="3"/>
    </row>
    <row r="88" spans="2:17" x14ac:dyDescent="0.2">
      <c r="B88" t="s">
        <v>597</v>
      </c>
      <c r="C88" s="3">
        <v>6</v>
      </c>
      <c r="D88" s="3">
        <v>0.19399999999999998</v>
      </c>
      <c r="E88" s="3">
        <v>0.106</v>
      </c>
      <c r="F88" s="3">
        <v>0.27200000000000002</v>
      </c>
      <c r="G88" s="3">
        <v>5.9949979149287472E-2</v>
      </c>
      <c r="H88" s="3">
        <v>0</v>
      </c>
      <c r="I88" s="3" t="e">
        <v>#DIV/0!</v>
      </c>
      <c r="J88" s="3">
        <v>0</v>
      </c>
      <c r="K88" s="3">
        <v>0</v>
      </c>
      <c r="L88" s="3" t="e">
        <v>#DIV/0!</v>
      </c>
      <c r="M88" s="3">
        <v>5</v>
      </c>
      <c r="N88" s="3">
        <v>0.22833909090909091</v>
      </c>
      <c r="O88" s="3">
        <v>7.6490909090909096E-2</v>
      </c>
      <c r="P88" s="3">
        <v>0.45600000000000002</v>
      </c>
      <c r="Q88" s="3">
        <v>0.15440084462953579</v>
      </c>
    </row>
    <row r="89" spans="2:17" x14ac:dyDescent="0.2">
      <c r="B89" t="s">
        <v>2028</v>
      </c>
      <c r="C89" s="3">
        <v>1</v>
      </c>
      <c r="D89" s="3">
        <v>1.78</v>
      </c>
      <c r="E89" s="3">
        <v>1.78</v>
      </c>
      <c r="F89" s="3">
        <v>1.78</v>
      </c>
      <c r="G89" s="3" t="e">
        <v>#DIV/0!</v>
      </c>
      <c r="H89" s="3">
        <v>0</v>
      </c>
      <c r="I89" s="3" t="e">
        <v>#DIV/0!</v>
      </c>
      <c r="J89" s="3">
        <v>0</v>
      </c>
      <c r="K89" s="3">
        <v>0</v>
      </c>
      <c r="L89" s="3" t="e">
        <v>#DIV/0!</v>
      </c>
      <c r="M89" s="3"/>
      <c r="N89" s="3"/>
      <c r="O89" s="3"/>
      <c r="P89" s="3"/>
      <c r="Q89" s="3"/>
    </row>
    <row r="90" spans="2:17" x14ac:dyDescent="0.2">
      <c r="B90" t="s">
        <v>2034</v>
      </c>
      <c r="C90" s="3">
        <v>1</v>
      </c>
      <c r="D90" s="3">
        <v>0.13100000000000001</v>
      </c>
      <c r="E90" s="3">
        <v>0.13100000000000001</v>
      </c>
      <c r="F90" s="3">
        <v>0.13100000000000001</v>
      </c>
      <c r="G90" s="3" t="e">
        <v>#DIV/0!</v>
      </c>
      <c r="H90" s="3">
        <v>0</v>
      </c>
      <c r="I90" s="3" t="e">
        <v>#DIV/0!</v>
      </c>
      <c r="J90" s="3">
        <v>0</v>
      </c>
      <c r="K90" s="3">
        <v>0</v>
      </c>
      <c r="L90" s="3" t="e">
        <v>#DIV/0!</v>
      </c>
      <c r="M90" s="3">
        <v>1</v>
      </c>
      <c r="N90" s="3">
        <v>0.27</v>
      </c>
      <c r="O90" s="3">
        <v>0.27</v>
      </c>
      <c r="P90" s="3">
        <v>0.27</v>
      </c>
      <c r="Q90" s="3" t="e">
        <v>#DIV/0!</v>
      </c>
    </row>
    <row r="91" spans="2:17" x14ac:dyDescent="0.2">
      <c r="B91" t="s">
        <v>2042</v>
      </c>
      <c r="C91" s="3">
        <v>5</v>
      </c>
      <c r="D91" s="3">
        <v>0.22745399999999999</v>
      </c>
      <c r="E91" s="3">
        <v>0.13500000000000001</v>
      </c>
      <c r="F91" s="3">
        <v>0.43526999999999999</v>
      </c>
      <c r="G91" s="3">
        <v>0.121479794945497</v>
      </c>
      <c r="H91" s="3">
        <v>0</v>
      </c>
      <c r="I91" s="3" t="e">
        <v>#DIV/0!</v>
      </c>
      <c r="J91" s="3">
        <v>0</v>
      </c>
      <c r="K91" s="3">
        <v>0</v>
      </c>
      <c r="L91" s="3" t="e">
        <v>#DIV/0!</v>
      </c>
      <c r="M91" s="3">
        <v>1</v>
      </c>
      <c r="N91" s="3">
        <v>0.6</v>
      </c>
      <c r="O91" s="3">
        <v>0.6</v>
      </c>
      <c r="P91" s="3">
        <v>0.6</v>
      </c>
      <c r="Q91" s="3" t="e">
        <v>#DIV/0!</v>
      </c>
    </row>
    <row r="92" spans="2:17" x14ac:dyDescent="0.2">
      <c r="B92" t="s">
        <v>2049</v>
      </c>
      <c r="C92" s="3">
        <v>3</v>
      </c>
      <c r="D92" s="3">
        <v>0.22333333333333336</v>
      </c>
      <c r="E92" s="3">
        <v>0.04</v>
      </c>
      <c r="F92" s="3">
        <v>0.51</v>
      </c>
      <c r="G92" s="3">
        <v>0.25146238950056393</v>
      </c>
      <c r="H92" s="3">
        <v>0</v>
      </c>
      <c r="I92" s="3" t="e">
        <v>#DIV/0!</v>
      </c>
      <c r="J92" s="3">
        <v>0</v>
      </c>
      <c r="K92" s="3">
        <v>0</v>
      </c>
      <c r="L92" s="3" t="e">
        <v>#DIV/0!</v>
      </c>
      <c r="M92" s="3"/>
      <c r="N92" s="3"/>
      <c r="O92" s="3"/>
      <c r="P92" s="3"/>
      <c r="Q92" s="3"/>
    </row>
    <row r="93" spans="2:17" x14ac:dyDescent="0.2">
      <c r="B93" t="s">
        <v>2059</v>
      </c>
      <c r="C93" s="3">
        <v>1</v>
      </c>
      <c r="D93" s="3">
        <v>0.51</v>
      </c>
      <c r="E93" s="3">
        <v>0.51</v>
      </c>
      <c r="F93" s="3">
        <v>0.51</v>
      </c>
      <c r="G93" s="3" t="e">
        <v>#DIV/0!</v>
      </c>
      <c r="H93" s="3">
        <v>0</v>
      </c>
      <c r="I93" s="3" t="e">
        <v>#DIV/0!</v>
      </c>
      <c r="J93" s="3">
        <v>0</v>
      </c>
      <c r="K93" s="3">
        <v>0</v>
      </c>
      <c r="L93" s="3" t="e">
        <v>#DIV/0!</v>
      </c>
      <c r="M93" s="3"/>
      <c r="N93" s="3"/>
      <c r="O93" s="3"/>
      <c r="P93" s="3"/>
      <c r="Q93" s="3"/>
    </row>
    <row r="94" spans="2:17" x14ac:dyDescent="0.2">
      <c r="B94" t="s">
        <v>1546</v>
      </c>
      <c r="C94" s="3">
        <v>1</v>
      </c>
      <c r="D94" s="3">
        <v>0.38700000000000001</v>
      </c>
      <c r="E94" s="3">
        <v>0.38700000000000001</v>
      </c>
      <c r="F94" s="3">
        <v>0.38700000000000001</v>
      </c>
      <c r="G94" s="3" t="e">
        <v>#DIV/0!</v>
      </c>
      <c r="H94" s="3">
        <v>0</v>
      </c>
      <c r="I94" s="3" t="e">
        <v>#DIV/0!</v>
      </c>
      <c r="J94" s="3">
        <v>0</v>
      </c>
      <c r="K94" s="3">
        <v>0</v>
      </c>
      <c r="L94" s="3" t="e">
        <v>#DIV/0!</v>
      </c>
      <c r="M94" s="3"/>
      <c r="N94" s="3"/>
      <c r="O94" s="3"/>
      <c r="P94" s="3"/>
      <c r="Q94" s="3"/>
    </row>
    <row r="95" spans="2:17" x14ac:dyDescent="0.2">
      <c r="B95" t="s">
        <v>1412</v>
      </c>
      <c r="C95" s="3">
        <v>1</v>
      </c>
      <c r="D95" s="3">
        <v>0.55600000000000005</v>
      </c>
      <c r="E95" s="3">
        <v>0.55600000000000005</v>
      </c>
      <c r="F95" s="3">
        <v>0.55600000000000005</v>
      </c>
      <c r="G95" s="3" t="e">
        <v>#DIV/0!</v>
      </c>
      <c r="H95" s="3">
        <v>0</v>
      </c>
      <c r="I95" s="3" t="e">
        <v>#DIV/0!</v>
      </c>
      <c r="J95" s="3">
        <v>0</v>
      </c>
      <c r="K95" s="3">
        <v>0</v>
      </c>
      <c r="L95" s="3" t="e">
        <v>#DIV/0!</v>
      </c>
      <c r="M95" s="3"/>
      <c r="N95" s="3"/>
      <c r="O95" s="3"/>
      <c r="P95" s="3"/>
      <c r="Q95" s="3"/>
    </row>
    <row r="96" spans="2:17" x14ac:dyDescent="0.2">
      <c r="B96" t="s">
        <v>1551</v>
      </c>
      <c r="C96" s="3">
        <v>1</v>
      </c>
      <c r="D96" s="3">
        <v>0.441</v>
      </c>
      <c r="E96" s="3">
        <v>0.441</v>
      </c>
      <c r="F96" s="3">
        <v>0.441</v>
      </c>
      <c r="G96" s="3" t="e">
        <v>#DIV/0!</v>
      </c>
      <c r="H96" s="3">
        <v>0</v>
      </c>
      <c r="I96" s="3" t="e">
        <v>#DIV/0!</v>
      </c>
      <c r="J96" s="3">
        <v>0</v>
      </c>
      <c r="K96" s="3">
        <v>0</v>
      </c>
      <c r="L96" s="3" t="e">
        <v>#DIV/0!</v>
      </c>
      <c r="M96" s="3"/>
      <c r="N96" s="3"/>
      <c r="O96" s="3"/>
      <c r="P96" s="3"/>
      <c r="Q96" s="3"/>
    </row>
    <row r="97" spans="1:17" s="72" customFormat="1" x14ac:dyDescent="0.2">
      <c r="A97"/>
      <c r="B97" t="s">
        <v>3902</v>
      </c>
      <c r="C97" s="3">
        <v>1</v>
      </c>
      <c r="D97" s="3">
        <v>0.64634482758620693</v>
      </c>
      <c r="E97" s="3">
        <v>0.64634482758620693</v>
      </c>
      <c r="F97" s="3">
        <v>0.64634482758620693</v>
      </c>
      <c r="G97" s="3" t="e">
        <v>#DIV/0!</v>
      </c>
      <c r="H97" s="3">
        <v>0</v>
      </c>
      <c r="I97" s="3" t="e">
        <v>#DIV/0!</v>
      </c>
      <c r="J97" s="3">
        <v>0</v>
      </c>
      <c r="K97" s="3">
        <v>0</v>
      </c>
      <c r="L97" s="3" t="e">
        <v>#DIV/0!</v>
      </c>
      <c r="M97" s="3">
        <v>1</v>
      </c>
      <c r="N97" s="3">
        <v>0.71000000000000008</v>
      </c>
      <c r="O97" s="3">
        <v>0.71000000000000008</v>
      </c>
      <c r="P97" s="3">
        <v>0.71000000000000008</v>
      </c>
      <c r="Q97" s="3" t="e">
        <v>#DIV/0!</v>
      </c>
    </row>
    <row r="98" spans="1:17" x14ac:dyDescent="0.2">
      <c r="B98" t="s">
        <v>3956</v>
      </c>
      <c r="C98" s="3">
        <v>0</v>
      </c>
      <c r="D98" s="3" t="e">
        <v>#DIV/0!</v>
      </c>
      <c r="E98" s="3">
        <v>0</v>
      </c>
      <c r="F98" s="3">
        <v>0</v>
      </c>
      <c r="G98" s="3" t="e">
        <v>#DIV/0!</v>
      </c>
      <c r="H98" s="3">
        <v>0</v>
      </c>
      <c r="I98" s="3" t="e">
        <v>#DIV/0!</v>
      </c>
      <c r="J98" s="3">
        <v>0</v>
      </c>
      <c r="K98" s="3">
        <v>0</v>
      </c>
      <c r="L98" s="3" t="e">
        <v>#DIV/0!</v>
      </c>
      <c r="M98" s="3">
        <v>1</v>
      </c>
      <c r="N98" s="3">
        <v>1.4275</v>
      </c>
      <c r="O98" s="3">
        <v>1.4275</v>
      </c>
      <c r="P98" s="3">
        <v>1.4275</v>
      </c>
      <c r="Q98" s="3" t="e">
        <v>#DIV/0!</v>
      </c>
    </row>
    <row r="99" spans="1:17" x14ac:dyDescent="0.2">
      <c r="B99" t="s">
        <v>2098</v>
      </c>
      <c r="C99" s="3">
        <v>7</v>
      </c>
      <c r="D99" s="3">
        <v>0.4143857142857143</v>
      </c>
      <c r="E99" s="3">
        <v>0.08</v>
      </c>
      <c r="F99" s="3">
        <v>0.70710000000000006</v>
      </c>
      <c r="G99" s="3">
        <v>0.24572273961093788</v>
      </c>
      <c r="H99" s="3">
        <v>0</v>
      </c>
      <c r="I99" s="3" t="e">
        <v>#DIV/0!</v>
      </c>
      <c r="J99" s="3">
        <v>0</v>
      </c>
      <c r="K99" s="3">
        <v>0</v>
      </c>
      <c r="L99" s="3" t="e">
        <v>#DIV/0!</v>
      </c>
      <c r="M99" s="3">
        <v>2</v>
      </c>
      <c r="N99" s="3">
        <v>8.7575000000000003</v>
      </c>
      <c r="O99" s="3">
        <v>8.3840000000000003</v>
      </c>
      <c r="P99" s="3">
        <v>9.1310000000000002</v>
      </c>
      <c r="Q99" s="3">
        <v>0.52820876554636376</v>
      </c>
    </row>
    <row r="100" spans="1:17" x14ac:dyDescent="0.2">
      <c r="B100" t="s">
        <v>2769</v>
      </c>
      <c r="C100" s="3">
        <v>13</v>
      </c>
      <c r="D100" s="3">
        <v>0.21435877559133376</v>
      </c>
      <c r="E100" s="3">
        <v>0.04</v>
      </c>
      <c r="F100" s="3">
        <v>0.33</v>
      </c>
      <c r="G100" s="3">
        <v>8.445428045459806E-2</v>
      </c>
      <c r="H100" s="3">
        <v>0</v>
      </c>
      <c r="I100" s="3" t="e">
        <v>#DIV/0!</v>
      </c>
      <c r="J100" s="3">
        <v>0</v>
      </c>
      <c r="K100" s="3">
        <v>0</v>
      </c>
      <c r="L100" s="3" t="e">
        <v>#DIV/0!</v>
      </c>
      <c r="M100" s="3">
        <v>1</v>
      </c>
      <c r="N100" s="3">
        <v>0.25700000000000001</v>
      </c>
      <c r="O100" s="3">
        <v>0.25700000000000001</v>
      </c>
      <c r="P100" s="3">
        <v>0.25700000000000001</v>
      </c>
      <c r="Q100" s="3" t="e">
        <v>#DIV/0!</v>
      </c>
    </row>
    <row r="101" spans="1:17" x14ac:dyDescent="0.2">
      <c r="B101" t="s">
        <v>2115</v>
      </c>
      <c r="C101" s="3">
        <v>1</v>
      </c>
      <c r="D101" s="3">
        <v>0.14498</v>
      </c>
      <c r="E101" s="3">
        <v>0.14498</v>
      </c>
      <c r="F101" s="3">
        <v>0.14498</v>
      </c>
      <c r="G101" s="3" t="e">
        <v>#DIV/0!</v>
      </c>
      <c r="H101" s="3">
        <v>0</v>
      </c>
      <c r="I101" s="3" t="e">
        <v>#DIV/0!</v>
      </c>
      <c r="J101" s="3">
        <v>0</v>
      </c>
      <c r="K101" s="3">
        <v>0</v>
      </c>
      <c r="L101" s="3" t="e">
        <v>#DIV/0!</v>
      </c>
      <c r="M101" s="3"/>
      <c r="N101" s="3"/>
      <c r="O101" s="3"/>
      <c r="P101" s="3"/>
      <c r="Q101" s="3"/>
    </row>
    <row r="102" spans="1:17" x14ac:dyDescent="0.2">
      <c r="B102" t="s">
        <v>1547</v>
      </c>
      <c r="C102" s="3">
        <v>1</v>
      </c>
      <c r="D102" s="3">
        <v>0.125</v>
      </c>
      <c r="E102" s="3">
        <v>0.125</v>
      </c>
      <c r="F102" s="3">
        <v>0.125</v>
      </c>
      <c r="G102" s="3" t="e">
        <v>#DIV/0!</v>
      </c>
      <c r="H102" s="3">
        <v>0</v>
      </c>
      <c r="I102" s="3" t="e">
        <v>#DIV/0!</v>
      </c>
      <c r="J102" s="3">
        <v>0</v>
      </c>
      <c r="K102" s="3">
        <v>0</v>
      </c>
      <c r="L102" s="3" t="e">
        <v>#DIV/0!</v>
      </c>
      <c r="M102" s="3"/>
      <c r="N102" s="3"/>
      <c r="O102" s="3"/>
      <c r="P102" s="3"/>
      <c r="Q102" s="3"/>
    </row>
    <row r="103" spans="1:17" x14ac:dyDescent="0.2">
      <c r="B103" t="s">
        <v>2136</v>
      </c>
      <c r="C103" s="3">
        <v>7</v>
      </c>
      <c r="D103" s="3">
        <v>0.26299999999999996</v>
      </c>
      <c r="E103" s="3">
        <v>0.125</v>
      </c>
      <c r="F103" s="3">
        <v>0.59099999999999997</v>
      </c>
      <c r="G103" s="3">
        <v>0.17039463997829674</v>
      </c>
      <c r="H103" s="3">
        <v>0</v>
      </c>
      <c r="I103" s="3" t="e">
        <v>#DIV/0!</v>
      </c>
      <c r="J103" s="3">
        <v>0</v>
      </c>
      <c r="K103" s="3">
        <v>0</v>
      </c>
      <c r="L103" s="3" t="e">
        <v>#DIV/0!</v>
      </c>
      <c r="M103" s="3">
        <v>1</v>
      </c>
      <c r="N103" s="3">
        <v>0.23428571428571429</v>
      </c>
      <c r="O103" s="3">
        <v>0.23428571428571429</v>
      </c>
      <c r="P103" s="3">
        <v>0.23428571428571429</v>
      </c>
      <c r="Q103" s="3" t="e">
        <v>#DIV/0!</v>
      </c>
    </row>
    <row r="104" spans="1:17" x14ac:dyDescent="0.2">
      <c r="B104" t="s">
        <v>2145</v>
      </c>
      <c r="C104" s="3">
        <v>7</v>
      </c>
      <c r="D104" s="3">
        <v>0.22414217714285711</v>
      </c>
      <c r="E104" s="3">
        <v>0.06</v>
      </c>
      <c r="F104" s="3">
        <v>0.379</v>
      </c>
      <c r="G104" s="3">
        <v>0.13023470319022629</v>
      </c>
      <c r="H104" s="3">
        <v>4</v>
      </c>
      <c r="I104" s="3">
        <v>0.31087500000000001</v>
      </c>
      <c r="J104" s="3">
        <v>8.2599999999999993E-2</v>
      </c>
      <c r="K104" s="3">
        <v>0.48899999999999999</v>
      </c>
      <c r="L104" s="3">
        <v>0.17082008810441474</v>
      </c>
      <c r="M104" s="3">
        <v>6</v>
      </c>
      <c r="N104" s="3">
        <v>0.28755753999999994</v>
      </c>
      <c r="O104" s="3">
        <v>0.09</v>
      </c>
      <c r="P104" s="3">
        <v>0.49230000000000002</v>
      </c>
      <c r="Q104" s="3">
        <v>0.14291427055794539</v>
      </c>
    </row>
    <row r="105" spans="1:17" x14ac:dyDescent="0.2">
      <c r="B105" t="s">
        <v>480</v>
      </c>
      <c r="C105" s="3">
        <v>2</v>
      </c>
      <c r="D105" s="3">
        <v>0.46613636363636357</v>
      </c>
      <c r="E105" s="3">
        <v>0.32727272727272722</v>
      </c>
      <c r="F105" s="3">
        <v>0.60499999999999998</v>
      </c>
      <c r="G105" s="3">
        <v>0.19638283786590038</v>
      </c>
      <c r="H105" s="3">
        <v>0</v>
      </c>
      <c r="I105" s="3" t="e">
        <v>#DIV/0!</v>
      </c>
      <c r="J105" s="3">
        <v>0</v>
      </c>
      <c r="K105" s="3">
        <v>0</v>
      </c>
      <c r="L105" s="3" t="e">
        <v>#DIV/0!</v>
      </c>
      <c r="M105" s="3">
        <v>2</v>
      </c>
      <c r="N105" s="3">
        <v>0.44272727272727275</v>
      </c>
      <c r="O105" s="3">
        <v>0.34</v>
      </c>
      <c r="P105" s="3">
        <v>0.54545454545454541</v>
      </c>
      <c r="Q105" s="3">
        <v>0.14527830231650865</v>
      </c>
    </row>
    <row r="106" spans="1:17" x14ac:dyDescent="0.2">
      <c r="B106" t="s">
        <v>2174</v>
      </c>
      <c r="C106" s="3">
        <v>1</v>
      </c>
      <c r="D106" s="3">
        <v>1.33</v>
      </c>
      <c r="E106" s="3">
        <v>1.33</v>
      </c>
      <c r="F106" s="3">
        <v>1.33</v>
      </c>
      <c r="G106" s="3" t="e">
        <v>#DIV/0!</v>
      </c>
      <c r="H106" s="3">
        <v>0</v>
      </c>
      <c r="I106" s="3" t="e">
        <v>#DIV/0!</v>
      </c>
      <c r="J106" s="3">
        <v>0</v>
      </c>
      <c r="K106" s="3">
        <v>0</v>
      </c>
      <c r="L106" s="3" t="e">
        <v>#DIV/0!</v>
      </c>
      <c r="M106" s="3"/>
      <c r="N106" s="3"/>
      <c r="O106" s="3"/>
      <c r="P106" s="3"/>
      <c r="Q106" s="3"/>
    </row>
    <row r="107" spans="1:17" x14ac:dyDescent="0.2">
      <c r="B107" t="s">
        <v>2177</v>
      </c>
      <c r="C107" s="3">
        <v>3</v>
      </c>
      <c r="D107" s="3">
        <v>0.54333333333333333</v>
      </c>
      <c r="E107" s="3">
        <v>0.32</v>
      </c>
      <c r="F107" s="3">
        <v>0.88</v>
      </c>
      <c r="G107" s="3">
        <v>0.29670411748631564</v>
      </c>
      <c r="H107" s="3">
        <v>0</v>
      </c>
      <c r="I107" s="3" t="e">
        <v>#DIV/0!</v>
      </c>
      <c r="J107" s="3">
        <v>0</v>
      </c>
      <c r="K107" s="3">
        <v>0</v>
      </c>
      <c r="L107" s="3" t="e">
        <v>#DIV/0!</v>
      </c>
      <c r="M107" s="3"/>
      <c r="N107" s="3"/>
      <c r="O107" s="3"/>
      <c r="P107" s="3"/>
      <c r="Q107" s="3"/>
    </row>
    <row r="108" spans="1:17" x14ac:dyDescent="0.2">
      <c r="B108" t="s">
        <v>2230</v>
      </c>
      <c r="C108" s="3">
        <v>2</v>
      </c>
      <c r="D108" s="3">
        <v>0.22747826086956513</v>
      </c>
      <c r="E108" s="3">
        <v>0.192</v>
      </c>
      <c r="F108" s="3">
        <v>0.26295652173913026</v>
      </c>
      <c r="G108" s="3">
        <v>5.0173837691149539E-2</v>
      </c>
      <c r="H108" s="3">
        <v>0</v>
      </c>
      <c r="I108" s="3" t="e">
        <v>#DIV/0!</v>
      </c>
      <c r="J108" s="3">
        <v>0</v>
      </c>
      <c r="K108" s="3">
        <v>0</v>
      </c>
      <c r="L108" s="3" t="e">
        <v>#DIV/0!</v>
      </c>
      <c r="M108" s="3">
        <v>5</v>
      </c>
      <c r="N108" s="3">
        <v>4.6533565217391297</v>
      </c>
      <c r="O108" s="3">
        <v>0.41599999999999998</v>
      </c>
      <c r="P108" s="3">
        <v>7.7</v>
      </c>
      <c r="Q108" s="3">
        <v>3.855114342280979</v>
      </c>
    </row>
    <row r="109" spans="1:17" x14ac:dyDescent="0.2">
      <c r="B109" t="s">
        <v>2282</v>
      </c>
      <c r="C109" s="3">
        <v>11</v>
      </c>
      <c r="D109" s="3">
        <v>0.57899999999999996</v>
      </c>
      <c r="E109" s="3">
        <v>0.21</v>
      </c>
      <c r="F109" s="3">
        <v>1.39</v>
      </c>
      <c r="G109" s="3">
        <v>0.39096368117767671</v>
      </c>
      <c r="H109" s="3">
        <v>0</v>
      </c>
      <c r="I109" s="3" t="e">
        <v>#DIV/0!</v>
      </c>
      <c r="J109" s="3">
        <v>0</v>
      </c>
      <c r="K109" s="3">
        <v>0</v>
      </c>
      <c r="L109" s="3" t="e">
        <v>#DIV/0!</v>
      </c>
      <c r="M109" s="3">
        <v>8</v>
      </c>
      <c r="N109" s="3">
        <v>1.6042500000000002</v>
      </c>
      <c r="O109" s="3">
        <v>0.28000000000000003</v>
      </c>
      <c r="P109" s="3">
        <v>7.3520000000000003</v>
      </c>
      <c r="Q109" s="3">
        <v>2.3416618488342236</v>
      </c>
    </row>
    <row r="110" spans="1:17" x14ac:dyDescent="0.2">
      <c r="B110" t="s">
        <v>4060</v>
      </c>
      <c r="C110" s="3">
        <v>0</v>
      </c>
      <c r="D110" s="3" t="e">
        <v>#DIV/0!</v>
      </c>
      <c r="E110" s="3">
        <v>0</v>
      </c>
      <c r="F110" s="3">
        <v>0</v>
      </c>
      <c r="G110" s="3" t="e">
        <v>#DIV/0!</v>
      </c>
      <c r="H110" s="3">
        <v>0</v>
      </c>
      <c r="I110" s="3" t="e">
        <v>#DIV/0!</v>
      </c>
      <c r="J110" s="3">
        <v>0</v>
      </c>
      <c r="K110" s="3">
        <v>0</v>
      </c>
      <c r="L110" s="3" t="e">
        <v>#DIV/0!</v>
      </c>
      <c r="M110" s="3">
        <v>1</v>
      </c>
      <c r="N110" s="3">
        <v>0.69499999999999995</v>
      </c>
      <c r="O110" s="3">
        <v>0.69499999999999995</v>
      </c>
      <c r="P110" s="3">
        <v>0.69499999999999995</v>
      </c>
      <c r="Q110" s="3" t="e">
        <v>#DIV/0!</v>
      </c>
    </row>
    <row r="111" spans="1:17" s="72" customFormat="1" x14ac:dyDescent="0.2">
      <c r="A111"/>
      <c r="B111" t="s">
        <v>1548</v>
      </c>
      <c r="C111" s="3">
        <v>1</v>
      </c>
      <c r="D111" s="3">
        <v>0.34499999999999997</v>
      </c>
      <c r="E111" s="3">
        <v>0.34499999999999997</v>
      </c>
      <c r="F111" s="3">
        <v>0.34499999999999997</v>
      </c>
      <c r="G111" s="3" t="e">
        <v>#DIV/0!</v>
      </c>
      <c r="H111" s="3">
        <v>0</v>
      </c>
      <c r="I111" s="3" t="e">
        <v>#DIV/0!</v>
      </c>
      <c r="J111" s="3">
        <v>0</v>
      </c>
      <c r="K111" s="3">
        <v>0</v>
      </c>
      <c r="L111" s="3" t="e">
        <v>#DIV/0!</v>
      </c>
      <c r="M111" s="3"/>
      <c r="N111" s="3"/>
      <c r="O111" s="3"/>
      <c r="P111" s="3"/>
      <c r="Q111" s="3"/>
    </row>
    <row r="112" spans="1:17" x14ac:dyDescent="0.2">
      <c r="B112" t="s">
        <v>2452</v>
      </c>
      <c r="C112" s="3">
        <v>2</v>
      </c>
      <c r="D112" s="3">
        <v>3.28</v>
      </c>
      <c r="E112" s="3">
        <v>2.09</v>
      </c>
      <c r="F112" s="3">
        <v>4.47</v>
      </c>
      <c r="G112" s="3">
        <v>1.6829141392239833</v>
      </c>
      <c r="H112" s="3">
        <v>0</v>
      </c>
      <c r="I112" s="3" t="e">
        <v>#DIV/0!</v>
      </c>
      <c r="J112" s="3">
        <v>0</v>
      </c>
      <c r="K112" s="3">
        <v>0</v>
      </c>
      <c r="L112" s="3" t="e">
        <v>#DIV/0!</v>
      </c>
      <c r="M112" s="3"/>
      <c r="N112" s="3"/>
      <c r="O112" s="3"/>
      <c r="P112" s="3"/>
      <c r="Q112" s="3"/>
    </row>
    <row r="113" spans="1:17" x14ac:dyDescent="0.2">
      <c r="B113" t="s">
        <v>2343</v>
      </c>
      <c r="C113" s="3">
        <v>3</v>
      </c>
      <c r="D113" s="3">
        <v>1.0133333333333334</v>
      </c>
      <c r="E113" s="3">
        <v>0.38</v>
      </c>
      <c r="F113" s="3">
        <v>1.33</v>
      </c>
      <c r="G113" s="3">
        <v>0.5484827557301446</v>
      </c>
      <c r="H113" s="3">
        <v>0</v>
      </c>
      <c r="I113" s="3" t="e">
        <v>#DIV/0!</v>
      </c>
      <c r="J113" s="3">
        <v>0</v>
      </c>
      <c r="K113" s="3">
        <v>0</v>
      </c>
      <c r="L113" s="3" t="e">
        <v>#DIV/0!</v>
      </c>
      <c r="M113" s="3"/>
      <c r="N113" s="3"/>
      <c r="O113" s="3"/>
      <c r="P113" s="3"/>
      <c r="Q113" s="3"/>
    </row>
    <row r="114" spans="1:17" x14ac:dyDescent="0.2">
      <c r="B114" t="s">
        <v>3295</v>
      </c>
      <c r="C114" s="3">
        <v>1</v>
      </c>
      <c r="D114" s="3">
        <v>-0.01</v>
      </c>
      <c r="E114" s="3">
        <v>-0.01</v>
      </c>
      <c r="F114" s="3">
        <v>-0.01</v>
      </c>
      <c r="G114" s="3" t="e">
        <v>#DIV/0!</v>
      </c>
      <c r="H114" s="3">
        <v>0</v>
      </c>
      <c r="I114" s="3" t="e">
        <v>#DIV/0!</v>
      </c>
      <c r="J114" s="3">
        <v>0</v>
      </c>
      <c r="K114" s="3">
        <v>0</v>
      </c>
      <c r="L114" s="3" t="e">
        <v>#DIV/0!</v>
      </c>
      <c r="M114" s="3"/>
      <c r="N114" s="3"/>
      <c r="O114" s="3"/>
      <c r="P114" s="3"/>
      <c r="Q114" s="3"/>
    </row>
    <row r="115" spans="1:17" x14ac:dyDescent="0.2">
      <c r="B115" t="s">
        <v>3294</v>
      </c>
      <c r="C115" s="3">
        <v>1</v>
      </c>
      <c r="D115" s="3">
        <v>2.2252010723860591</v>
      </c>
      <c r="E115" s="3">
        <v>2.2252010723860591</v>
      </c>
      <c r="F115" s="3">
        <v>2.2252010723860591</v>
      </c>
      <c r="G115" s="3" t="e">
        <v>#DIV/0!</v>
      </c>
      <c r="H115" s="3">
        <v>1</v>
      </c>
      <c r="I115" s="3">
        <v>2.4530831099195711</v>
      </c>
      <c r="J115" s="3">
        <v>2.4530831099195711</v>
      </c>
      <c r="K115" s="3">
        <v>2.4530831099195711</v>
      </c>
      <c r="L115" s="3" t="e">
        <v>#DIV/0!</v>
      </c>
      <c r="M115" s="3">
        <v>1</v>
      </c>
      <c r="N115" s="3">
        <v>3.2975871313672922</v>
      </c>
      <c r="O115" s="3">
        <v>3.2975871313672922</v>
      </c>
      <c r="P115" s="3">
        <v>3.2975871313672922</v>
      </c>
      <c r="Q115" s="3" t="e">
        <v>#DIV/0!</v>
      </c>
    </row>
    <row r="116" spans="1:17" x14ac:dyDescent="0.2">
      <c r="A116" s="72" t="s">
        <v>2835</v>
      </c>
      <c r="B116" s="72"/>
      <c r="C116" s="73">
        <v>175</v>
      </c>
      <c r="D116" s="73">
        <v>0.42461728028371049</v>
      </c>
      <c r="E116" s="73">
        <v>-0.01</v>
      </c>
      <c r="F116" s="73">
        <v>4.47</v>
      </c>
      <c r="G116" s="73">
        <v>0.55541947797416169</v>
      </c>
      <c r="H116" s="73">
        <v>14</v>
      </c>
      <c r="I116" s="73">
        <v>0.41459093642282646</v>
      </c>
      <c r="J116" s="73">
        <v>6.787E-2</v>
      </c>
      <c r="K116" s="73">
        <v>2.4530831099195711</v>
      </c>
      <c r="L116" s="73">
        <v>0.59901369880170452</v>
      </c>
      <c r="M116" s="73">
        <v>73</v>
      </c>
      <c r="N116" s="73">
        <v>1.5413883009035469</v>
      </c>
      <c r="O116" s="73">
        <v>7.6490909090909096E-2</v>
      </c>
      <c r="P116" s="73">
        <v>13.093</v>
      </c>
      <c r="Q116" s="73">
        <v>2.7922713685382576</v>
      </c>
    </row>
    <row r="117" spans="1:17" x14ac:dyDescent="0.2">
      <c r="A117" t="s">
        <v>760</v>
      </c>
      <c r="B117" t="s">
        <v>1728</v>
      </c>
      <c r="C117" s="3">
        <v>8</v>
      </c>
      <c r="D117" s="3">
        <v>2.2720312499999999</v>
      </c>
      <c r="E117" s="3">
        <v>0.79625000000000001</v>
      </c>
      <c r="F117" s="3">
        <v>4.16</v>
      </c>
      <c r="G117" s="3">
        <v>1.1714696541821485</v>
      </c>
      <c r="H117" s="3">
        <v>5</v>
      </c>
      <c r="I117" s="3">
        <v>2.2840000000000003</v>
      </c>
      <c r="J117" s="3">
        <v>0.91</v>
      </c>
      <c r="K117" s="3">
        <v>4.3100000000000005</v>
      </c>
      <c r="L117" s="3">
        <v>1.2383981589133597</v>
      </c>
      <c r="M117" s="3">
        <v>5</v>
      </c>
      <c r="N117" s="3">
        <v>2.8560000000000003</v>
      </c>
      <c r="O117" s="3">
        <v>0.91</v>
      </c>
      <c r="P117" s="3">
        <v>4.8</v>
      </c>
      <c r="Q117" s="3">
        <v>1.3850559555483666</v>
      </c>
    </row>
    <row r="118" spans="1:17" x14ac:dyDescent="0.2">
      <c r="B118" t="s">
        <v>1787</v>
      </c>
      <c r="C118" s="3">
        <v>2</v>
      </c>
      <c r="D118" s="3">
        <v>1.1675900000000001</v>
      </c>
      <c r="E118" s="3">
        <v>0.50936000000000003</v>
      </c>
      <c r="F118" s="3">
        <v>1.82582</v>
      </c>
      <c r="G118" s="3">
        <v>0.93087779316084207</v>
      </c>
      <c r="H118" s="3">
        <v>0</v>
      </c>
      <c r="I118" s="3" t="e">
        <v>#DIV/0!</v>
      </c>
      <c r="J118" s="3">
        <v>0</v>
      </c>
      <c r="K118" s="3">
        <v>0</v>
      </c>
      <c r="L118" s="3" t="e">
        <v>#DIV/0!</v>
      </c>
      <c r="M118" s="3"/>
      <c r="N118" s="3"/>
      <c r="O118" s="3"/>
      <c r="P118" s="3"/>
      <c r="Q118" s="3"/>
    </row>
    <row r="119" spans="1:17" x14ac:dyDescent="0.2">
      <c r="B119" t="s">
        <v>1791</v>
      </c>
      <c r="C119" s="3">
        <v>1</v>
      </c>
      <c r="D119" s="3">
        <v>0.61</v>
      </c>
      <c r="E119" s="3">
        <v>0.61</v>
      </c>
      <c r="F119" s="3">
        <v>0.61</v>
      </c>
      <c r="G119" s="3" t="e">
        <v>#DIV/0!</v>
      </c>
      <c r="H119" s="3">
        <v>0</v>
      </c>
      <c r="I119" s="3" t="e">
        <v>#DIV/0!</v>
      </c>
      <c r="J119" s="3">
        <v>0</v>
      </c>
      <c r="K119" s="3">
        <v>0</v>
      </c>
      <c r="L119" s="3" t="e">
        <v>#DIV/0!</v>
      </c>
      <c r="M119" s="3"/>
      <c r="N119" s="3"/>
      <c r="O119" s="3"/>
      <c r="P119" s="3"/>
      <c r="Q119" s="3"/>
    </row>
    <row r="120" spans="1:17" x14ac:dyDescent="0.2">
      <c r="B120" t="s">
        <v>3292</v>
      </c>
      <c r="C120" s="3">
        <v>9</v>
      </c>
      <c r="D120" s="3">
        <v>0.30778666666666665</v>
      </c>
      <c r="E120" s="3">
        <v>8.6599999999999996E-2</v>
      </c>
      <c r="F120" s="3">
        <v>0.68</v>
      </c>
      <c r="G120" s="3">
        <v>0.19451811637994038</v>
      </c>
      <c r="H120" s="3">
        <v>0</v>
      </c>
      <c r="I120" s="3" t="e">
        <v>#DIV/0!</v>
      </c>
      <c r="J120" s="3">
        <v>0</v>
      </c>
      <c r="K120" s="3">
        <v>0</v>
      </c>
      <c r="L120" s="3" t="e">
        <v>#DIV/0!</v>
      </c>
      <c r="M120" s="3"/>
      <c r="N120" s="3"/>
      <c r="O120" s="3"/>
      <c r="P120" s="3"/>
      <c r="Q120" s="3"/>
    </row>
    <row r="121" spans="1:17" x14ac:dyDescent="0.2">
      <c r="B121" t="s">
        <v>1867</v>
      </c>
      <c r="C121" s="3">
        <v>3</v>
      </c>
      <c r="D121" s="3">
        <v>4.9989999999999997</v>
      </c>
      <c r="E121" s="3">
        <v>1.867</v>
      </c>
      <c r="F121" s="3">
        <v>8.94</v>
      </c>
      <c r="G121" s="3">
        <v>3.6052313379310337</v>
      </c>
      <c r="H121" s="3">
        <v>13</v>
      </c>
      <c r="I121" s="3">
        <v>2.2785235897435898</v>
      </c>
      <c r="J121" s="3">
        <v>0.14235</v>
      </c>
      <c r="K121" s="3">
        <v>4.75617</v>
      </c>
      <c r="L121" s="3">
        <v>1.3210663604055997</v>
      </c>
      <c r="M121" s="3">
        <v>13</v>
      </c>
      <c r="N121" s="3">
        <v>2.5828517948717948</v>
      </c>
      <c r="O121" s="3">
        <v>0.38302000000000003</v>
      </c>
      <c r="P121" s="3">
        <v>5.1371000000000002</v>
      </c>
      <c r="Q121" s="3">
        <v>1.3648964762259819</v>
      </c>
    </row>
    <row r="122" spans="1:17" x14ac:dyDescent="0.2">
      <c r="B122" t="s">
        <v>1883</v>
      </c>
      <c r="C122" s="3">
        <v>3</v>
      </c>
      <c r="D122" s="3">
        <v>1.0233333333333334</v>
      </c>
      <c r="E122" s="3">
        <v>0.43</v>
      </c>
      <c r="F122" s="3">
        <v>1.32</v>
      </c>
      <c r="G122" s="3">
        <v>0.51384173957876711</v>
      </c>
      <c r="H122" s="3">
        <v>2</v>
      </c>
      <c r="I122" s="3">
        <v>1.46</v>
      </c>
      <c r="J122" s="3">
        <v>1.37</v>
      </c>
      <c r="K122" s="3">
        <v>1.55</v>
      </c>
      <c r="L122" s="3">
        <v>0.12727922061358377</v>
      </c>
      <c r="M122" s="3">
        <v>2</v>
      </c>
      <c r="N122" s="3">
        <v>1.46</v>
      </c>
      <c r="O122" s="3">
        <v>1.37</v>
      </c>
      <c r="P122" s="3">
        <v>1.55</v>
      </c>
      <c r="Q122" s="3">
        <v>0.12727922061358377</v>
      </c>
    </row>
    <row r="123" spans="1:17" x14ac:dyDescent="0.2">
      <c r="B123" t="s">
        <v>1896</v>
      </c>
      <c r="C123" s="3">
        <v>1</v>
      </c>
      <c r="D123" s="3">
        <v>0.4914</v>
      </c>
      <c r="E123" s="3">
        <v>0.4914</v>
      </c>
      <c r="F123" s="3">
        <v>0.4914</v>
      </c>
      <c r="G123" s="3" t="e">
        <v>#DIV/0!</v>
      </c>
      <c r="H123" s="3">
        <v>0</v>
      </c>
      <c r="I123" s="3" t="e">
        <v>#DIV/0!</v>
      </c>
      <c r="J123" s="3">
        <v>0</v>
      </c>
      <c r="K123" s="3">
        <v>0</v>
      </c>
      <c r="L123" s="3" t="e">
        <v>#DIV/0!</v>
      </c>
      <c r="M123" s="3"/>
      <c r="N123" s="3"/>
      <c r="O123" s="3"/>
      <c r="P123" s="3"/>
      <c r="Q123" s="3"/>
    </row>
    <row r="124" spans="1:17" s="72" customFormat="1" x14ac:dyDescent="0.2">
      <c r="A124"/>
      <c r="B124" t="s">
        <v>1920</v>
      </c>
      <c r="C124" s="3">
        <v>3</v>
      </c>
      <c r="D124" s="3">
        <v>0.79196527777777781</v>
      </c>
      <c r="E124" s="3">
        <v>0.48656250000000001</v>
      </c>
      <c r="F124" s="3">
        <v>1.3134791666666668</v>
      </c>
      <c r="G124" s="3">
        <v>0.45384557138087972</v>
      </c>
      <c r="H124" s="3">
        <v>0</v>
      </c>
      <c r="I124" s="3" t="e">
        <v>#DIV/0!</v>
      </c>
      <c r="J124" s="3">
        <v>0</v>
      </c>
      <c r="K124" s="3">
        <v>0</v>
      </c>
      <c r="L124" s="3" t="e">
        <v>#DIV/0!</v>
      </c>
      <c r="M124" s="3"/>
      <c r="N124" s="3"/>
      <c r="O124" s="3"/>
      <c r="P124" s="3"/>
      <c r="Q124" s="3"/>
    </row>
    <row r="125" spans="1:17" x14ac:dyDescent="0.2">
      <c r="B125" t="s">
        <v>2029</v>
      </c>
      <c r="C125" s="3">
        <v>2</v>
      </c>
      <c r="D125" s="3">
        <v>0.99</v>
      </c>
      <c r="E125" s="3">
        <v>0.52</v>
      </c>
      <c r="F125" s="3">
        <v>1.46</v>
      </c>
      <c r="G125" s="3">
        <v>0.66468037431535454</v>
      </c>
      <c r="H125" s="3">
        <v>1</v>
      </c>
      <c r="I125" s="3">
        <v>0.64</v>
      </c>
      <c r="J125" s="3">
        <v>0.64</v>
      </c>
      <c r="K125" s="3">
        <v>0.64</v>
      </c>
      <c r="L125" s="3" t="e">
        <v>#DIV/0!</v>
      </c>
      <c r="M125" s="3">
        <v>4</v>
      </c>
      <c r="N125" s="3">
        <v>0.8479199999999999</v>
      </c>
      <c r="O125" s="3">
        <v>0.66598999999999997</v>
      </c>
      <c r="P125" s="3">
        <v>1.2</v>
      </c>
      <c r="Q125" s="3">
        <v>0.23933319800367645</v>
      </c>
    </row>
    <row r="126" spans="1:17" x14ac:dyDescent="0.2">
      <c r="B126" t="s">
        <v>1471</v>
      </c>
      <c r="C126" s="3">
        <v>1</v>
      </c>
      <c r="D126" s="3">
        <v>2.41</v>
      </c>
      <c r="E126" s="3">
        <v>2.41</v>
      </c>
      <c r="F126" s="3">
        <v>2.41</v>
      </c>
      <c r="G126" s="3" t="e">
        <v>#DIV/0!</v>
      </c>
      <c r="H126" s="3">
        <v>1</v>
      </c>
      <c r="I126" s="3">
        <v>2.6100000000000003</v>
      </c>
      <c r="J126" s="3">
        <v>2.6100000000000003</v>
      </c>
      <c r="K126" s="3">
        <v>2.6100000000000003</v>
      </c>
      <c r="L126" s="3" t="e">
        <v>#DIV/0!</v>
      </c>
      <c r="M126" s="3">
        <v>1</v>
      </c>
      <c r="N126" s="3">
        <v>3.43</v>
      </c>
      <c r="O126" s="3">
        <v>3.43</v>
      </c>
      <c r="P126" s="3">
        <v>3.43</v>
      </c>
      <c r="Q126" s="3" t="e">
        <v>#DIV/0!</v>
      </c>
    </row>
    <row r="127" spans="1:17" x14ac:dyDescent="0.2">
      <c r="B127" t="s">
        <v>1466</v>
      </c>
      <c r="C127" s="3">
        <v>2</v>
      </c>
      <c r="D127" s="3">
        <v>1.135</v>
      </c>
      <c r="E127" s="3">
        <v>1.1300000000000001</v>
      </c>
      <c r="F127" s="3">
        <v>1.1399999999999999</v>
      </c>
      <c r="G127" s="3">
        <v>7.0710678118886374E-3</v>
      </c>
      <c r="H127" s="3">
        <v>2</v>
      </c>
      <c r="I127" s="3">
        <v>1.7749999999999999</v>
      </c>
      <c r="J127" s="3">
        <v>1.77</v>
      </c>
      <c r="K127" s="3">
        <v>1.7799999999999998</v>
      </c>
      <c r="L127" s="3">
        <v>7.0710678118572354E-3</v>
      </c>
      <c r="M127" s="3">
        <v>2</v>
      </c>
      <c r="N127" s="3">
        <v>2.71</v>
      </c>
      <c r="O127" s="3">
        <v>2.61</v>
      </c>
      <c r="P127" s="3">
        <v>2.81</v>
      </c>
      <c r="Q127" s="3">
        <v>0.141421356237308</v>
      </c>
    </row>
    <row r="128" spans="1:17" x14ac:dyDescent="0.2">
      <c r="B128" t="s">
        <v>2431</v>
      </c>
      <c r="C128" s="3">
        <v>2</v>
      </c>
      <c r="D128" s="3">
        <v>0.52</v>
      </c>
      <c r="E128" s="3">
        <v>0.52</v>
      </c>
      <c r="F128" s="3">
        <v>0.52</v>
      </c>
      <c r="G128" s="3">
        <v>0</v>
      </c>
      <c r="H128" s="3">
        <v>2</v>
      </c>
      <c r="I128" s="3">
        <v>0.75</v>
      </c>
      <c r="J128" s="3">
        <v>0.75</v>
      </c>
      <c r="K128" s="3">
        <v>0.75</v>
      </c>
      <c r="L128" s="3">
        <v>0</v>
      </c>
      <c r="M128" s="3">
        <v>2</v>
      </c>
      <c r="N128" s="3">
        <v>1.6850000000000001</v>
      </c>
      <c r="O128" s="3">
        <v>1.59</v>
      </c>
      <c r="P128" s="3">
        <v>1.78</v>
      </c>
      <c r="Q128" s="3">
        <v>0.13435028842544283</v>
      </c>
    </row>
    <row r="129" spans="1:17" x14ac:dyDescent="0.2">
      <c r="B129" t="s">
        <v>2450</v>
      </c>
      <c r="C129" s="3">
        <v>2</v>
      </c>
      <c r="D129" s="3">
        <v>1.88035</v>
      </c>
      <c r="E129" s="3">
        <v>0.42380000000000001</v>
      </c>
      <c r="F129" s="3">
        <v>3.3369</v>
      </c>
      <c r="G129" s="3">
        <v>2.059872764274532</v>
      </c>
      <c r="H129" s="3">
        <v>0</v>
      </c>
      <c r="I129" s="3" t="e">
        <v>#DIV/0!</v>
      </c>
      <c r="J129" s="3">
        <v>0</v>
      </c>
      <c r="K129" s="3">
        <v>0</v>
      </c>
      <c r="L129" s="3" t="e">
        <v>#DIV/0!</v>
      </c>
      <c r="M129" s="3"/>
      <c r="N129" s="3"/>
      <c r="O129" s="3"/>
      <c r="P129" s="3"/>
      <c r="Q129" s="3"/>
    </row>
    <row r="130" spans="1:17" x14ac:dyDescent="0.2">
      <c r="B130" t="s">
        <v>2126</v>
      </c>
      <c r="C130" s="3">
        <v>9</v>
      </c>
      <c r="D130" s="3">
        <v>0.61730597111111107</v>
      </c>
      <c r="E130" s="3">
        <v>0.26357739000000002</v>
      </c>
      <c r="F130" s="3">
        <v>2.0447562000000001</v>
      </c>
      <c r="G130" s="3">
        <v>0.55525554108424213</v>
      </c>
      <c r="H130" s="3">
        <v>0</v>
      </c>
      <c r="I130" s="3" t="e">
        <v>#DIV/0!</v>
      </c>
      <c r="J130" s="3">
        <v>0</v>
      </c>
      <c r="K130" s="3">
        <v>0</v>
      </c>
      <c r="L130" s="3" t="e">
        <v>#DIV/0!</v>
      </c>
      <c r="M130" s="3"/>
      <c r="N130" s="3"/>
      <c r="O130" s="3"/>
      <c r="P130" s="3"/>
      <c r="Q130" s="3"/>
    </row>
    <row r="131" spans="1:17" x14ac:dyDescent="0.2">
      <c r="B131" t="s">
        <v>2130</v>
      </c>
      <c r="C131" s="3">
        <v>1</v>
      </c>
      <c r="D131" s="3">
        <v>1.0539000000000001</v>
      </c>
      <c r="E131" s="3">
        <v>1.0539000000000001</v>
      </c>
      <c r="F131" s="3">
        <v>1.0539000000000001</v>
      </c>
      <c r="G131" s="3" t="e">
        <v>#DIV/0!</v>
      </c>
      <c r="H131" s="3">
        <v>0</v>
      </c>
      <c r="I131" s="3" t="e">
        <v>#DIV/0!</v>
      </c>
      <c r="J131" s="3">
        <v>0</v>
      </c>
      <c r="K131" s="3">
        <v>0</v>
      </c>
      <c r="L131" s="3" t="e">
        <v>#DIV/0!</v>
      </c>
      <c r="M131" s="3"/>
      <c r="N131" s="3"/>
      <c r="O131" s="3"/>
      <c r="P131" s="3"/>
      <c r="Q131" s="3"/>
    </row>
    <row r="132" spans="1:17" x14ac:dyDescent="0.2">
      <c r="B132" t="s">
        <v>2140</v>
      </c>
      <c r="C132" s="3">
        <v>5</v>
      </c>
      <c r="D132" s="3">
        <v>0.374</v>
      </c>
      <c r="E132" s="3">
        <v>0.30099999999999999</v>
      </c>
      <c r="F132" s="3">
        <v>0.62</v>
      </c>
      <c r="G132" s="3">
        <v>0.13798007102476806</v>
      </c>
      <c r="H132" s="3">
        <v>1</v>
      </c>
      <c r="I132" s="3">
        <v>0.82</v>
      </c>
      <c r="J132" s="3">
        <v>0.82</v>
      </c>
      <c r="K132" s="3">
        <v>0.82</v>
      </c>
      <c r="L132" s="3" t="e">
        <v>#DIV/0!</v>
      </c>
      <c r="M132" s="3">
        <v>1</v>
      </c>
      <c r="N132" s="3">
        <v>1.36</v>
      </c>
      <c r="O132" s="3">
        <v>1.36</v>
      </c>
      <c r="P132" s="3">
        <v>1.36</v>
      </c>
      <c r="Q132" s="3" t="e">
        <v>#DIV/0!</v>
      </c>
    </row>
    <row r="133" spans="1:17" s="72" customFormat="1" x14ac:dyDescent="0.2">
      <c r="A133"/>
      <c r="B133" t="s">
        <v>2142</v>
      </c>
      <c r="C133" s="3">
        <v>3</v>
      </c>
      <c r="D133" s="3">
        <v>0.58366666666666667</v>
      </c>
      <c r="E133" s="3">
        <v>0.51100000000000001</v>
      </c>
      <c r="F133" s="3">
        <v>0.62</v>
      </c>
      <c r="G133" s="3">
        <v>6.2931179341670168E-2</v>
      </c>
      <c r="H133" s="3">
        <v>3</v>
      </c>
      <c r="I133" s="3">
        <v>1.1323333333333332</v>
      </c>
      <c r="J133" s="3">
        <v>0.89999999999999991</v>
      </c>
      <c r="K133" s="3">
        <v>1.597</v>
      </c>
      <c r="L133" s="3">
        <v>0.40241313762516906</v>
      </c>
      <c r="M133" s="3">
        <v>3</v>
      </c>
      <c r="N133" s="3">
        <v>2.1066666666666669</v>
      </c>
      <c r="O133" s="3">
        <v>1.75</v>
      </c>
      <c r="P133" s="3">
        <v>2.64</v>
      </c>
      <c r="Q133" s="3">
        <v>0.47056703383612819</v>
      </c>
    </row>
    <row r="134" spans="1:17" x14ac:dyDescent="0.2">
      <c r="B134" t="s">
        <v>1463</v>
      </c>
      <c r="C134" s="3">
        <v>1</v>
      </c>
      <c r="D134" s="3">
        <v>1.74</v>
      </c>
      <c r="E134" s="3">
        <v>1.74</v>
      </c>
      <c r="F134" s="3">
        <v>1.74</v>
      </c>
      <c r="G134" s="3" t="e">
        <v>#DIV/0!</v>
      </c>
      <c r="H134" s="3">
        <v>1</v>
      </c>
      <c r="I134" s="3">
        <v>1.84</v>
      </c>
      <c r="J134" s="3">
        <v>1.84</v>
      </c>
      <c r="K134" s="3">
        <v>1.84</v>
      </c>
      <c r="L134" s="3" t="e">
        <v>#DIV/0!</v>
      </c>
      <c r="M134" s="3">
        <v>1</v>
      </c>
      <c r="N134" s="3">
        <v>2.33</v>
      </c>
      <c r="O134" s="3">
        <v>2.33</v>
      </c>
      <c r="P134" s="3">
        <v>2.33</v>
      </c>
      <c r="Q134" s="3" t="e">
        <v>#DIV/0!</v>
      </c>
    </row>
    <row r="135" spans="1:17" x14ac:dyDescent="0.2">
      <c r="B135" t="s">
        <v>2253</v>
      </c>
      <c r="C135" s="3">
        <v>1</v>
      </c>
      <c r="D135" s="3">
        <v>1.05</v>
      </c>
      <c r="E135" s="3">
        <v>1.05</v>
      </c>
      <c r="F135" s="3">
        <v>1.05</v>
      </c>
      <c r="G135" s="3" t="e">
        <v>#DIV/0!</v>
      </c>
      <c r="H135" s="3">
        <v>0</v>
      </c>
      <c r="I135" s="3" t="e">
        <v>#DIV/0!</v>
      </c>
      <c r="J135" s="3">
        <v>0</v>
      </c>
      <c r="K135" s="3">
        <v>0</v>
      </c>
      <c r="L135" s="3" t="e">
        <v>#DIV/0!</v>
      </c>
      <c r="M135" s="3"/>
      <c r="N135" s="3"/>
      <c r="O135" s="3"/>
      <c r="P135" s="3"/>
      <c r="Q135" s="3"/>
    </row>
    <row r="136" spans="1:17" x14ac:dyDescent="0.2">
      <c r="B136" t="s">
        <v>2970</v>
      </c>
      <c r="C136" s="3">
        <v>0</v>
      </c>
      <c r="D136" s="3" t="e">
        <v>#DIV/0!</v>
      </c>
      <c r="E136" s="3">
        <v>0</v>
      </c>
      <c r="F136" s="3">
        <v>0</v>
      </c>
      <c r="G136" s="3" t="e">
        <v>#DIV/0!</v>
      </c>
      <c r="H136" s="3">
        <v>1</v>
      </c>
      <c r="I136" s="3">
        <v>0.40566000000000002</v>
      </c>
      <c r="J136" s="3">
        <v>0.40566000000000002</v>
      </c>
      <c r="K136" s="3">
        <v>0.40566000000000002</v>
      </c>
      <c r="L136" s="3" t="e">
        <v>#DIV/0!</v>
      </c>
      <c r="M136" s="3">
        <v>1</v>
      </c>
      <c r="N136" s="3">
        <v>0.40566000000000002</v>
      </c>
      <c r="O136" s="3">
        <v>0.40566000000000002</v>
      </c>
      <c r="P136" s="3">
        <v>0.40566000000000002</v>
      </c>
      <c r="Q136" s="3" t="e">
        <v>#DIV/0!</v>
      </c>
    </row>
    <row r="137" spans="1:17" x14ac:dyDescent="0.2">
      <c r="B137" t="s">
        <v>2270</v>
      </c>
      <c r="C137" s="3">
        <v>4</v>
      </c>
      <c r="D137" s="3">
        <v>1.15428</v>
      </c>
      <c r="E137" s="3">
        <v>0.19</v>
      </c>
      <c r="F137" s="3">
        <v>3.8</v>
      </c>
      <c r="G137" s="3">
        <v>1.7655963975193576</v>
      </c>
      <c r="H137" s="3">
        <v>0</v>
      </c>
      <c r="I137" s="3" t="e">
        <v>#DIV/0!</v>
      </c>
      <c r="J137" s="3">
        <v>0</v>
      </c>
      <c r="K137" s="3">
        <v>0</v>
      </c>
      <c r="L137" s="3" t="e">
        <v>#DIV/0!</v>
      </c>
      <c r="M137" s="3"/>
      <c r="N137" s="3"/>
      <c r="O137" s="3"/>
      <c r="P137" s="3"/>
      <c r="Q137" s="3"/>
    </row>
    <row r="138" spans="1:17" x14ac:dyDescent="0.2">
      <c r="B138" t="s">
        <v>2290</v>
      </c>
      <c r="C138" s="3">
        <v>11</v>
      </c>
      <c r="D138" s="3">
        <v>0.84844163909090919</v>
      </c>
      <c r="E138" s="3">
        <v>0.47313101000000002</v>
      </c>
      <c r="F138" s="3">
        <v>1.2574736</v>
      </c>
      <c r="G138" s="3">
        <v>0.21658594508979795</v>
      </c>
      <c r="H138" s="3">
        <v>0</v>
      </c>
      <c r="I138" s="3" t="e">
        <v>#DIV/0!</v>
      </c>
      <c r="J138" s="3">
        <v>0</v>
      </c>
      <c r="K138" s="3">
        <v>0</v>
      </c>
      <c r="L138" s="3" t="e">
        <v>#DIV/0!</v>
      </c>
      <c r="M138" s="3"/>
      <c r="N138" s="3"/>
      <c r="O138" s="3"/>
      <c r="P138" s="3"/>
      <c r="Q138" s="3"/>
    </row>
    <row r="139" spans="1:17" x14ac:dyDescent="0.2">
      <c r="B139" t="s">
        <v>761</v>
      </c>
      <c r="C139" s="3">
        <v>2</v>
      </c>
      <c r="D139" s="3">
        <v>0.96350000000000002</v>
      </c>
      <c r="E139" s="3">
        <v>0.95499999999999996</v>
      </c>
      <c r="F139" s="3">
        <v>0.97199999999999998</v>
      </c>
      <c r="G139" s="3">
        <v>1.2020815280161733E-2</v>
      </c>
      <c r="H139" s="3">
        <v>0</v>
      </c>
      <c r="I139" s="3" t="e">
        <v>#DIV/0!</v>
      </c>
      <c r="J139" s="3">
        <v>0</v>
      </c>
      <c r="K139" s="3">
        <v>0</v>
      </c>
      <c r="L139" s="3" t="e">
        <v>#DIV/0!</v>
      </c>
      <c r="M139" s="3"/>
      <c r="N139" s="3"/>
      <c r="O139" s="3"/>
      <c r="P139" s="3"/>
      <c r="Q139" s="3"/>
    </row>
    <row r="140" spans="1:17" x14ac:dyDescent="0.2">
      <c r="B140" t="s">
        <v>2335</v>
      </c>
      <c r="C140" s="3">
        <v>3</v>
      </c>
      <c r="D140" s="3">
        <v>1.657</v>
      </c>
      <c r="E140" s="3">
        <v>0.499</v>
      </c>
      <c r="F140" s="3">
        <v>2.9420000000000002</v>
      </c>
      <c r="G140" s="3">
        <v>1.2264416007295249</v>
      </c>
      <c r="H140" s="3">
        <v>1</v>
      </c>
      <c r="I140" s="3">
        <v>1.903</v>
      </c>
      <c r="J140" s="3">
        <v>1.903</v>
      </c>
      <c r="K140" s="3">
        <v>1.903</v>
      </c>
      <c r="L140" s="3" t="e">
        <v>#DIV/0!</v>
      </c>
      <c r="M140" s="3">
        <v>1</v>
      </c>
      <c r="N140" s="3">
        <v>2.129</v>
      </c>
      <c r="O140" s="3">
        <v>2.129</v>
      </c>
      <c r="P140" s="3">
        <v>2.129</v>
      </c>
      <c r="Q140" s="3" t="e">
        <v>#DIV/0!</v>
      </c>
    </row>
    <row r="141" spans="1:17" x14ac:dyDescent="0.2">
      <c r="A141" s="72" t="s">
        <v>2836</v>
      </c>
      <c r="B141" s="72"/>
      <c r="C141" s="73">
        <v>79</v>
      </c>
      <c r="D141" s="73">
        <v>1.1412042734599155</v>
      </c>
      <c r="E141" s="73">
        <v>8.6599999999999996E-2</v>
      </c>
      <c r="F141" s="73">
        <v>8.94</v>
      </c>
      <c r="G141" s="73">
        <v>1.3012016186842774</v>
      </c>
      <c r="H141" s="73">
        <v>33</v>
      </c>
      <c r="I141" s="73">
        <v>1.8371656565656562</v>
      </c>
      <c r="J141" s="73">
        <v>0.14235</v>
      </c>
      <c r="K141" s="73">
        <v>4.75617</v>
      </c>
      <c r="L141" s="73">
        <v>1.1210070566941039</v>
      </c>
      <c r="M141" s="73">
        <v>36</v>
      </c>
      <c r="N141" s="73">
        <v>2.1925948148148144</v>
      </c>
      <c r="O141" s="73">
        <v>0.38302000000000003</v>
      </c>
      <c r="P141" s="73">
        <v>5.1371000000000002</v>
      </c>
      <c r="Q141" s="73">
        <v>1.1916079832995166</v>
      </c>
    </row>
    <row r="142" spans="1:17" s="72" customFormat="1" x14ac:dyDescent="0.2">
      <c r="A142" t="s">
        <v>24</v>
      </c>
      <c r="B142" t="s">
        <v>53</v>
      </c>
      <c r="C142" s="3">
        <v>95</v>
      </c>
      <c r="D142" s="3">
        <v>33.105179355719855</v>
      </c>
      <c r="E142" s="3">
        <v>15.56</v>
      </c>
      <c r="F142" s="3">
        <v>118.54537847355391</v>
      </c>
      <c r="G142" s="3">
        <v>12.613499974064888</v>
      </c>
      <c r="H142" s="3">
        <v>12</v>
      </c>
      <c r="I142" s="3">
        <v>34.404098987893754</v>
      </c>
      <c r="J142" s="3">
        <v>16.77</v>
      </c>
      <c r="K142" s="3">
        <v>58.44</v>
      </c>
      <c r="L142" s="3">
        <v>11.151241689097434</v>
      </c>
      <c r="M142" s="3">
        <v>30</v>
      </c>
      <c r="N142" s="3">
        <v>33.118322819431754</v>
      </c>
      <c r="O142" s="3">
        <v>9</v>
      </c>
      <c r="P142" s="3">
        <v>87.1</v>
      </c>
      <c r="Q142" s="3">
        <v>16.489076329180474</v>
      </c>
    </row>
    <row r="143" spans="1:17" x14ac:dyDescent="0.2">
      <c r="B143" t="s">
        <v>4056</v>
      </c>
      <c r="C143" s="3">
        <v>10</v>
      </c>
      <c r="D143" s="3">
        <v>19.020808695652171</v>
      </c>
      <c r="E143" s="3">
        <v>6.92</v>
      </c>
      <c r="F143" s="3">
        <v>27.586206896551719</v>
      </c>
      <c r="G143" s="3">
        <v>8.7149773865107107</v>
      </c>
      <c r="H143" s="3">
        <v>1</v>
      </c>
      <c r="I143" s="3">
        <v>8.5809999999999995</v>
      </c>
      <c r="J143" s="3">
        <v>8.5809999999999995</v>
      </c>
      <c r="K143" s="3">
        <v>8.5809999999999995</v>
      </c>
      <c r="L143" s="3" t="e">
        <v>#DIV/0!</v>
      </c>
      <c r="M143" s="3">
        <v>1</v>
      </c>
      <c r="N143" s="3">
        <v>8.9059999999999988</v>
      </c>
      <c r="O143" s="3">
        <v>8.9059999999999988</v>
      </c>
      <c r="P143" s="3">
        <v>8.9059999999999988</v>
      </c>
      <c r="Q143" s="3" t="e">
        <v>#DIV/0!</v>
      </c>
    </row>
    <row r="144" spans="1:17" x14ac:dyDescent="0.2">
      <c r="B144" t="s">
        <v>283</v>
      </c>
      <c r="C144" s="3">
        <v>32</v>
      </c>
      <c r="D144" s="3">
        <v>4.1878483887317701</v>
      </c>
      <c r="E144" s="3">
        <v>1.7857142857142856</v>
      </c>
      <c r="F144" s="3">
        <v>10.657</v>
      </c>
      <c r="G144" s="3">
        <v>2.3000746274481916</v>
      </c>
      <c r="H144" s="3">
        <v>14</v>
      </c>
      <c r="I144" s="3">
        <v>3.2411372541743972</v>
      </c>
      <c r="J144" s="3">
        <v>2.3775000000000004</v>
      </c>
      <c r="K144" s="3">
        <v>5.2207792207792201</v>
      </c>
      <c r="L144" s="3">
        <v>0.91227621493033295</v>
      </c>
      <c r="M144" s="3">
        <v>19</v>
      </c>
      <c r="N144" s="3">
        <v>4.2534033037138306</v>
      </c>
      <c r="O144" s="3">
        <v>2.416666666666667</v>
      </c>
      <c r="P144" s="3">
        <v>6.4</v>
      </c>
      <c r="Q144" s="3">
        <v>1.4605402159025118</v>
      </c>
    </row>
    <row r="145" spans="1:17" x14ac:dyDescent="0.2">
      <c r="B145" t="s">
        <v>348</v>
      </c>
      <c r="C145" s="3">
        <v>0</v>
      </c>
      <c r="D145" s="3" t="e">
        <v>#DIV/0!</v>
      </c>
      <c r="E145" s="3">
        <v>0</v>
      </c>
      <c r="F145" s="3">
        <v>0</v>
      </c>
      <c r="G145" s="3" t="e">
        <v>#DIV/0!</v>
      </c>
      <c r="H145" s="3">
        <v>0</v>
      </c>
      <c r="I145" s="3" t="e">
        <v>#DIV/0!</v>
      </c>
      <c r="J145" s="3">
        <v>0</v>
      </c>
      <c r="K145" s="3">
        <v>0</v>
      </c>
      <c r="L145" s="3" t="e">
        <v>#DIV/0!</v>
      </c>
      <c r="M145" s="3">
        <v>1</v>
      </c>
      <c r="N145" s="3">
        <v>35.714285714285715</v>
      </c>
      <c r="O145" s="3">
        <v>35.714285714285715</v>
      </c>
      <c r="P145" s="3">
        <v>35.714285714285715</v>
      </c>
      <c r="Q145" s="3" t="e">
        <v>#DIV/0!</v>
      </c>
    </row>
    <row r="146" spans="1:17" x14ac:dyDescent="0.2">
      <c r="B146" t="s">
        <v>2073</v>
      </c>
      <c r="C146" s="3">
        <v>0</v>
      </c>
      <c r="D146" s="3" t="e">
        <v>#DIV/0!</v>
      </c>
      <c r="E146" s="3">
        <v>0</v>
      </c>
      <c r="F146" s="3">
        <v>0</v>
      </c>
      <c r="G146" s="3" t="e">
        <v>#DIV/0!</v>
      </c>
      <c r="H146" s="3">
        <v>1</v>
      </c>
      <c r="I146" s="3">
        <v>0.84</v>
      </c>
      <c r="J146" s="3">
        <v>0.84</v>
      </c>
      <c r="K146" s="3">
        <v>0.84</v>
      </c>
      <c r="L146" s="3" t="e">
        <v>#DIV/0!</v>
      </c>
      <c r="M146" s="3"/>
      <c r="N146" s="3"/>
      <c r="O146" s="3"/>
      <c r="P146" s="3"/>
      <c r="Q146" s="3"/>
    </row>
    <row r="147" spans="1:17" x14ac:dyDescent="0.2">
      <c r="B147" t="s">
        <v>269</v>
      </c>
      <c r="C147" s="3">
        <v>50</v>
      </c>
      <c r="D147" s="3">
        <v>5.5600439454132689</v>
      </c>
      <c r="E147" s="3">
        <v>3.0178326474622774</v>
      </c>
      <c r="F147" s="3">
        <v>8.8065843621399171</v>
      </c>
      <c r="G147" s="3">
        <v>1.5896088267882067</v>
      </c>
      <c r="H147" s="3">
        <v>22</v>
      </c>
      <c r="I147" s="3">
        <v>4.8839803218975346</v>
      </c>
      <c r="J147" s="3">
        <v>3.3956</v>
      </c>
      <c r="K147" s="3">
        <v>7.544581618655692</v>
      </c>
      <c r="L147" s="3">
        <v>1.2022203128852633</v>
      </c>
      <c r="M147" s="3">
        <v>36</v>
      </c>
      <c r="N147" s="3">
        <v>6.0960087259425739</v>
      </c>
      <c r="O147" s="3">
        <v>3.0178326474622774</v>
      </c>
      <c r="P147" s="3">
        <v>10.26</v>
      </c>
      <c r="Q147" s="3">
        <v>2.2597877173085248</v>
      </c>
    </row>
    <row r="148" spans="1:17" x14ac:dyDescent="0.2">
      <c r="B148" t="s">
        <v>4010</v>
      </c>
      <c r="C148" s="3">
        <v>5</v>
      </c>
      <c r="D148" s="3">
        <v>2.8307692307692305</v>
      </c>
      <c r="E148" s="3">
        <v>1.6</v>
      </c>
      <c r="F148" s="3">
        <v>4.3538461538461535</v>
      </c>
      <c r="G148" s="3">
        <v>1.1258001756541696</v>
      </c>
      <c r="H148" s="3">
        <v>2</v>
      </c>
      <c r="I148" s="3">
        <v>4.5841025641025634</v>
      </c>
      <c r="J148" s="3">
        <v>4.3066666666666666</v>
      </c>
      <c r="K148" s="3">
        <v>4.8615384615384611</v>
      </c>
      <c r="L148" s="3">
        <v>0.39235360884301373</v>
      </c>
      <c r="M148" s="3">
        <v>5</v>
      </c>
      <c r="N148" s="3">
        <v>4.1943076923076923</v>
      </c>
      <c r="O148" s="3">
        <v>2.6</v>
      </c>
      <c r="P148" s="3">
        <v>6.11</v>
      </c>
      <c r="Q148" s="3">
        <v>1.4803353610128629</v>
      </c>
    </row>
    <row r="149" spans="1:17" x14ac:dyDescent="0.2">
      <c r="B149" t="s">
        <v>2224</v>
      </c>
      <c r="C149" s="3">
        <v>1</v>
      </c>
      <c r="D149" s="3">
        <v>4.5408805031446535</v>
      </c>
      <c r="E149" s="3">
        <v>4.5408805031446535</v>
      </c>
      <c r="F149" s="3">
        <v>4.5408805031446535</v>
      </c>
      <c r="G149" s="3" t="e">
        <v>#DIV/0!</v>
      </c>
      <c r="H149" s="3">
        <v>1</v>
      </c>
      <c r="I149" s="3">
        <v>5.3723270440251572</v>
      </c>
      <c r="J149" s="3">
        <v>5.3723270440251572</v>
      </c>
      <c r="K149" s="3">
        <v>5.3723270440251572</v>
      </c>
      <c r="L149" s="3" t="e">
        <v>#DIV/0!</v>
      </c>
      <c r="M149" s="3">
        <v>4</v>
      </c>
      <c r="N149" s="3">
        <v>10.431100628930817</v>
      </c>
      <c r="O149" s="3">
        <v>5.5044025157232701</v>
      </c>
      <c r="P149" s="3">
        <v>20.14</v>
      </c>
      <c r="Q149" s="3">
        <v>6.5847198303237624</v>
      </c>
    </row>
    <row r="150" spans="1:17" x14ac:dyDescent="0.2">
      <c r="B150" t="s">
        <v>346</v>
      </c>
      <c r="C150" s="3">
        <v>25</v>
      </c>
      <c r="D150" s="3">
        <v>34.745269501950553</v>
      </c>
      <c r="E150" s="3">
        <v>9.6999999999999993</v>
      </c>
      <c r="F150" s="3">
        <v>166.71732522796353</v>
      </c>
      <c r="G150" s="3">
        <v>30.511572332540641</v>
      </c>
      <c r="H150" s="3">
        <v>4</v>
      </c>
      <c r="I150" s="3">
        <v>19.838776594232524</v>
      </c>
      <c r="J150" s="3">
        <v>15.770000000000001</v>
      </c>
      <c r="K150" s="3">
        <v>24.316109422492403</v>
      </c>
      <c r="L150" s="3">
        <v>4.5863591111316708</v>
      </c>
      <c r="M150" s="3">
        <v>9</v>
      </c>
      <c r="N150" s="3">
        <v>19.768307328605196</v>
      </c>
      <c r="O150" s="3">
        <v>11.6</v>
      </c>
      <c r="P150" s="3">
        <v>36.474164133738597</v>
      </c>
      <c r="Q150" s="3">
        <v>7.6216582352964464</v>
      </c>
    </row>
    <row r="151" spans="1:17" x14ac:dyDescent="0.2">
      <c r="B151" t="s">
        <v>2432</v>
      </c>
      <c r="C151" s="3">
        <v>1</v>
      </c>
      <c r="D151" s="3">
        <v>0.7</v>
      </c>
      <c r="E151" s="3">
        <v>0.7</v>
      </c>
      <c r="F151" s="3">
        <v>0.7</v>
      </c>
      <c r="G151" s="3" t="e">
        <v>#DIV/0!</v>
      </c>
      <c r="H151" s="3">
        <v>0</v>
      </c>
      <c r="I151" s="3" t="e">
        <v>#DIV/0!</v>
      </c>
      <c r="J151" s="3">
        <v>0</v>
      </c>
      <c r="K151" s="3">
        <v>0</v>
      </c>
      <c r="L151" s="3" t="e">
        <v>#DIV/0!</v>
      </c>
      <c r="M151" s="3"/>
      <c r="N151" s="3"/>
      <c r="O151" s="3"/>
      <c r="P151" s="3"/>
      <c r="Q151" s="3"/>
    </row>
    <row r="152" spans="1:17" x14ac:dyDescent="0.2">
      <c r="B152" t="s">
        <v>173</v>
      </c>
      <c r="C152" s="3">
        <v>1</v>
      </c>
      <c r="D152" s="3">
        <v>2.5714285714285712</v>
      </c>
      <c r="E152" s="3">
        <v>2.5714285714285712</v>
      </c>
      <c r="F152" s="3">
        <v>2.5714285714285712</v>
      </c>
      <c r="G152" s="3" t="e">
        <v>#DIV/0!</v>
      </c>
      <c r="H152" s="3">
        <v>0</v>
      </c>
      <c r="I152" s="3" t="e">
        <v>#DIV/0!</v>
      </c>
      <c r="J152" s="3">
        <v>0</v>
      </c>
      <c r="K152" s="3">
        <v>0</v>
      </c>
      <c r="L152" s="3" t="e">
        <v>#DIV/0!</v>
      </c>
      <c r="M152" s="3">
        <v>2</v>
      </c>
      <c r="N152" s="3">
        <v>9.0949999999999989</v>
      </c>
      <c r="O152" s="3">
        <v>8.85</v>
      </c>
      <c r="P152" s="3">
        <v>9.34</v>
      </c>
      <c r="Q152" s="3">
        <v>0.34648232278143776</v>
      </c>
    </row>
    <row r="153" spans="1:17" x14ac:dyDescent="0.2">
      <c r="B153" t="s">
        <v>394</v>
      </c>
      <c r="C153" s="3">
        <v>1</v>
      </c>
      <c r="D153" s="3">
        <v>5.7670000000000003</v>
      </c>
      <c r="E153" s="3">
        <v>5.7670000000000003</v>
      </c>
      <c r="F153" s="3">
        <v>5.7670000000000003</v>
      </c>
      <c r="G153" s="3" t="e">
        <v>#DIV/0!</v>
      </c>
      <c r="H153" s="3">
        <v>1</v>
      </c>
      <c r="I153" s="3">
        <v>5.9300000000000006</v>
      </c>
      <c r="J153" s="3">
        <v>5.9300000000000006</v>
      </c>
      <c r="K153" s="3">
        <v>5.9300000000000006</v>
      </c>
      <c r="L153" s="3" t="e">
        <v>#DIV/0!</v>
      </c>
      <c r="M153" s="3">
        <v>4</v>
      </c>
      <c r="N153" s="3">
        <v>18.937750000000001</v>
      </c>
      <c r="O153" s="3">
        <v>6.2510000000000003</v>
      </c>
      <c r="P153" s="3">
        <v>27.4</v>
      </c>
      <c r="Q153" s="3">
        <v>9.9433646342674127</v>
      </c>
    </row>
    <row r="154" spans="1:17" x14ac:dyDescent="0.2">
      <c r="A154" s="72" t="s">
        <v>2837</v>
      </c>
      <c r="B154" s="72"/>
      <c r="C154" s="73">
        <v>221</v>
      </c>
      <c r="D154" s="73">
        <v>21.011666806503026</v>
      </c>
      <c r="E154" s="73">
        <v>0.7</v>
      </c>
      <c r="F154" s="73">
        <v>166.71732522796353</v>
      </c>
      <c r="G154" s="73">
        <v>19.167651911490012</v>
      </c>
      <c r="H154" s="73">
        <v>58</v>
      </c>
      <c r="I154" s="73">
        <v>11.636539914552978</v>
      </c>
      <c r="J154" s="73">
        <v>0.84</v>
      </c>
      <c r="K154" s="73">
        <v>58.44</v>
      </c>
      <c r="L154" s="73">
        <v>13.409085485806207</v>
      </c>
      <c r="M154" s="73">
        <v>111</v>
      </c>
      <c r="N154" s="73">
        <v>15.072005893121101</v>
      </c>
      <c r="O154" s="73">
        <v>2.416666666666667</v>
      </c>
      <c r="P154" s="73">
        <v>87.1</v>
      </c>
      <c r="Q154" s="73">
        <v>15.186175873741274</v>
      </c>
    </row>
    <row r="155" spans="1:17" s="72" customFormat="1" x14ac:dyDescent="0.2">
      <c r="A155" t="s">
        <v>398</v>
      </c>
      <c r="B155" t="s">
        <v>399</v>
      </c>
      <c r="C155" s="3">
        <v>0</v>
      </c>
      <c r="D155" s="3" t="e">
        <v>#DIV/0!</v>
      </c>
      <c r="E155" s="3">
        <v>0</v>
      </c>
      <c r="F155" s="3">
        <v>0</v>
      </c>
      <c r="G155" s="3" t="e">
        <v>#DIV/0!</v>
      </c>
      <c r="H155" s="3">
        <v>0</v>
      </c>
      <c r="I155" s="3" t="e">
        <v>#DIV/0!</v>
      </c>
      <c r="J155" s="3">
        <v>0</v>
      </c>
      <c r="K155" s="3">
        <v>0</v>
      </c>
      <c r="L155" s="3" t="e">
        <v>#DIV/0!</v>
      </c>
      <c r="M155" s="3">
        <v>1</v>
      </c>
      <c r="N155" s="3">
        <v>2.5099999999999998</v>
      </c>
      <c r="O155" s="3">
        <v>2.5099999999999998</v>
      </c>
      <c r="P155" s="3">
        <v>2.5099999999999998</v>
      </c>
      <c r="Q155" s="3" t="e">
        <v>#DIV/0!</v>
      </c>
    </row>
    <row r="156" spans="1:17" x14ac:dyDescent="0.2">
      <c r="B156" t="s">
        <v>402</v>
      </c>
      <c r="C156" s="3">
        <v>0</v>
      </c>
      <c r="D156" s="3" t="e">
        <v>#DIV/0!</v>
      </c>
      <c r="E156" s="3">
        <v>0</v>
      </c>
      <c r="F156" s="3">
        <v>0</v>
      </c>
      <c r="G156" s="3" t="e">
        <v>#DIV/0!</v>
      </c>
      <c r="H156" s="3">
        <v>0</v>
      </c>
      <c r="I156" s="3" t="e">
        <v>#DIV/0!</v>
      </c>
      <c r="J156" s="3">
        <v>0</v>
      </c>
      <c r="K156" s="3">
        <v>0</v>
      </c>
      <c r="L156" s="3" t="e">
        <v>#DIV/0!</v>
      </c>
      <c r="M156" s="3">
        <v>1</v>
      </c>
      <c r="N156" s="3">
        <v>2.29</v>
      </c>
      <c r="O156" s="3">
        <v>2.29</v>
      </c>
      <c r="P156" s="3">
        <v>2.29</v>
      </c>
      <c r="Q156" s="3" t="e">
        <v>#DIV/0!</v>
      </c>
    </row>
    <row r="157" spans="1:17" x14ac:dyDescent="0.2">
      <c r="B157" t="s">
        <v>404</v>
      </c>
      <c r="C157" s="3">
        <v>0</v>
      </c>
      <c r="D157" s="3" t="e">
        <v>#DIV/0!</v>
      </c>
      <c r="E157" s="3">
        <v>0</v>
      </c>
      <c r="F157" s="3">
        <v>0</v>
      </c>
      <c r="G157" s="3" t="e">
        <v>#DIV/0!</v>
      </c>
      <c r="H157" s="3">
        <v>0</v>
      </c>
      <c r="I157" s="3" t="e">
        <v>#DIV/0!</v>
      </c>
      <c r="J157" s="3">
        <v>0</v>
      </c>
      <c r="K157" s="3">
        <v>0</v>
      </c>
      <c r="L157" s="3" t="e">
        <v>#DIV/0!</v>
      </c>
      <c r="M157" s="3">
        <v>1</v>
      </c>
      <c r="N157" s="3">
        <v>2.4</v>
      </c>
      <c r="O157" s="3">
        <v>2.4</v>
      </c>
      <c r="P157" s="3">
        <v>2.4</v>
      </c>
      <c r="Q157" s="3" t="e">
        <v>#DIV/0!</v>
      </c>
    </row>
    <row r="158" spans="1:17" s="72" customFormat="1" x14ac:dyDescent="0.2">
      <c r="A158"/>
      <c r="B158" t="s">
        <v>1211</v>
      </c>
      <c r="C158" s="3">
        <v>0</v>
      </c>
      <c r="D158" s="3" t="e">
        <v>#DIV/0!</v>
      </c>
      <c r="E158" s="3">
        <v>0</v>
      </c>
      <c r="F158" s="3">
        <v>0</v>
      </c>
      <c r="G158" s="3" t="e">
        <v>#DIV/0!</v>
      </c>
      <c r="H158" s="3">
        <v>0</v>
      </c>
      <c r="I158" s="3" t="e">
        <v>#DIV/0!</v>
      </c>
      <c r="J158" s="3">
        <v>0</v>
      </c>
      <c r="K158" s="3">
        <v>0</v>
      </c>
      <c r="L158" s="3" t="e">
        <v>#DIV/0!</v>
      </c>
      <c r="M158" s="3"/>
      <c r="N158" s="3"/>
      <c r="O158" s="3"/>
      <c r="P158" s="3"/>
      <c r="Q158" s="3"/>
    </row>
    <row r="159" spans="1:17" x14ac:dyDescent="0.2">
      <c r="B159" t="s">
        <v>3382</v>
      </c>
      <c r="C159" s="3">
        <v>1</v>
      </c>
      <c r="D159" s="3">
        <v>0.45300000000000001</v>
      </c>
      <c r="E159" s="3">
        <v>0.45300000000000001</v>
      </c>
      <c r="F159" s="3">
        <v>0.45300000000000001</v>
      </c>
      <c r="G159" s="3" t="e">
        <v>#DIV/0!</v>
      </c>
      <c r="H159" s="3">
        <v>1</v>
      </c>
      <c r="I159" s="3">
        <v>0.77300000000000002</v>
      </c>
      <c r="J159" s="3">
        <v>0.77300000000000002</v>
      </c>
      <c r="K159" s="3">
        <v>0.77300000000000002</v>
      </c>
      <c r="L159" s="3" t="e">
        <v>#DIV/0!</v>
      </c>
      <c r="M159" s="3">
        <v>1</v>
      </c>
      <c r="N159" s="3">
        <v>1.093</v>
      </c>
      <c r="O159" s="3">
        <v>1.093</v>
      </c>
      <c r="P159" s="3">
        <v>1.093</v>
      </c>
      <c r="Q159" s="3" t="e">
        <v>#DIV/0!</v>
      </c>
    </row>
    <row r="160" spans="1:17" x14ac:dyDescent="0.2">
      <c r="B160" t="s">
        <v>406</v>
      </c>
      <c r="C160" s="3">
        <v>1</v>
      </c>
      <c r="D160" s="3">
        <v>0.61</v>
      </c>
      <c r="E160" s="3">
        <v>0.61</v>
      </c>
      <c r="F160" s="3">
        <v>0.61</v>
      </c>
      <c r="G160" s="3" t="e">
        <v>#DIV/0!</v>
      </c>
      <c r="H160" s="3">
        <v>1</v>
      </c>
      <c r="I160" s="3">
        <v>1.6639999999999999</v>
      </c>
      <c r="J160" s="3">
        <v>1.6639999999999999</v>
      </c>
      <c r="K160" s="3">
        <v>1.6639999999999999</v>
      </c>
      <c r="L160" s="3" t="e">
        <v>#DIV/0!</v>
      </c>
      <c r="M160" s="3">
        <v>6</v>
      </c>
      <c r="N160" s="3">
        <v>2.6972533333333328</v>
      </c>
      <c r="O160" s="3">
        <v>1.6995199999999999</v>
      </c>
      <c r="P160" s="3">
        <v>3.72</v>
      </c>
      <c r="Q160" s="3">
        <v>0.76956753639084052</v>
      </c>
    </row>
    <row r="161" spans="1:17" x14ac:dyDescent="0.2">
      <c r="B161" t="s">
        <v>411</v>
      </c>
      <c r="C161" s="3">
        <v>1</v>
      </c>
      <c r="D161" s="3">
        <v>3.573</v>
      </c>
      <c r="E161" s="3">
        <v>3.573</v>
      </c>
      <c r="F161" s="3">
        <v>3.573</v>
      </c>
      <c r="G161" s="3" t="e">
        <v>#DIV/0!</v>
      </c>
      <c r="H161" s="3">
        <v>1</v>
      </c>
      <c r="I161" s="3">
        <v>5.9063333333333325</v>
      </c>
      <c r="J161" s="3">
        <v>5.9063333333333325</v>
      </c>
      <c r="K161" s="3">
        <v>5.9063333333333325</v>
      </c>
      <c r="L161" s="3" t="e">
        <v>#DIV/0!</v>
      </c>
      <c r="M161" s="3">
        <v>2</v>
      </c>
      <c r="N161" s="3">
        <v>5.008166666666666</v>
      </c>
      <c r="O161" s="3">
        <v>3.79</v>
      </c>
      <c r="P161" s="3">
        <v>6.2263333333333328</v>
      </c>
      <c r="Q161" s="3">
        <v>1.7227478212308271</v>
      </c>
    </row>
    <row r="162" spans="1:17" x14ac:dyDescent="0.2">
      <c r="B162" t="s">
        <v>400</v>
      </c>
      <c r="C162" s="3">
        <v>0</v>
      </c>
      <c r="D162" s="3" t="e">
        <v>#DIV/0!</v>
      </c>
      <c r="E162" s="3">
        <v>0</v>
      </c>
      <c r="F162" s="3">
        <v>0</v>
      </c>
      <c r="G162" s="3" t="e">
        <v>#DIV/0!</v>
      </c>
      <c r="H162" s="3">
        <v>0</v>
      </c>
      <c r="I162" s="3" t="e">
        <v>#DIV/0!</v>
      </c>
      <c r="J162" s="3">
        <v>0</v>
      </c>
      <c r="K162" s="3">
        <v>0</v>
      </c>
      <c r="L162" s="3" t="e">
        <v>#DIV/0!</v>
      </c>
      <c r="M162" s="3">
        <v>1</v>
      </c>
      <c r="N162" s="3">
        <v>2.95</v>
      </c>
      <c r="O162" s="3">
        <v>2.95</v>
      </c>
      <c r="P162" s="3">
        <v>2.95</v>
      </c>
      <c r="Q162" s="3" t="e">
        <v>#DIV/0!</v>
      </c>
    </row>
    <row r="163" spans="1:17" x14ac:dyDescent="0.2">
      <c r="A163" s="72" t="s">
        <v>2838</v>
      </c>
      <c r="B163" s="72"/>
      <c r="C163" s="73">
        <v>3</v>
      </c>
      <c r="D163" s="73">
        <v>1.5453333333333334</v>
      </c>
      <c r="E163" s="73">
        <v>0.45300000000000001</v>
      </c>
      <c r="F163" s="73">
        <v>3.573</v>
      </c>
      <c r="G163" s="73">
        <v>1.7577645841617506</v>
      </c>
      <c r="H163" s="73">
        <v>3</v>
      </c>
      <c r="I163" s="73">
        <v>2.7811111111111106</v>
      </c>
      <c r="J163" s="73">
        <v>0.77300000000000002</v>
      </c>
      <c r="K163" s="73">
        <v>5.9063333333333325</v>
      </c>
      <c r="L163" s="73">
        <v>2.7429419796458876</v>
      </c>
      <c r="M163" s="73">
        <v>13</v>
      </c>
      <c r="N163" s="73">
        <v>2.8802194871794873</v>
      </c>
      <c r="O163" s="73">
        <v>1.093</v>
      </c>
      <c r="P163" s="73">
        <v>6.2263333333333328</v>
      </c>
      <c r="Q163" s="73">
        <v>1.26165447534536</v>
      </c>
    </row>
    <row r="164" spans="1:17" x14ac:dyDescent="0.2">
      <c r="A164" t="s">
        <v>542</v>
      </c>
      <c r="B164" t="s">
        <v>1925</v>
      </c>
      <c r="C164" s="3">
        <v>0</v>
      </c>
      <c r="D164" s="3" t="e">
        <v>#DIV/0!</v>
      </c>
      <c r="E164" s="3">
        <v>0</v>
      </c>
      <c r="F164" s="3">
        <v>0</v>
      </c>
      <c r="G164" s="3" t="e">
        <v>#DIV/0!</v>
      </c>
      <c r="H164" s="3">
        <v>3</v>
      </c>
      <c r="I164" s="3">
        <v>2.7294392999999997</v>
      </c>
      <c r="J164" s="3">
        <v>2.0942848999999999</v>
      </c>
      <c r="K164" s="3">
        <v>3.8596341000000001</v>
      </c>
      <c r="L164" s="3">
        <v>0.98128140597347435</v>
      </c>
      <c r="M164" s="3">
        <v>3</v>
      </c>
      <c r="N164" s="3">
        <v>2.7294392999999997</v>
      </c>
      <c r="O164" s="3">
        <v>2.0942848999999999</v>
      </c>
      <c r="P164" s="3">
        <v>3.8596341000000001</v>
      </c>
      <c r="Q164" s="3">
        <v>0.98128140597347435</v>
      </c>
    </row>
    <row r="165" spans="1:17" x14ac:dyDescent="0.2">
      <c r="B165" t="s">
        <v>1939</v>
      </c>
      <c r="C165" s="3">
        <v>0</v>
      </c>
      <c r="D165" s="3" t="e">
        <v>#DIV/0!</v>
      </c>
      <c r="E165" s="3">
        <v>0</v>
      </c>
      <c r="F165" s="3">
        <v>0</v>
      </c>
      <c r="G165" s="3" t="e">
        <v>#DIV/0!</v>
      </c>
      <c r="H165" s="3">
        <v>2</v>
      </c>
      <c r="I165" s="3">
        <v>1.1993259000000001</v>
      </c>
      <c r="J165" s="3">
        <v>1.1531735000000001</v>
      </c>
      <c r="K165" s="3">
        <v>1.2454783</v>
      </c>
      <c r="L165" s="3">
        <v>6.5269350016069774E-2</v>
      </c>
      <c r="M165" s="3">
        <v>2</v>
      </c>
      <c r="N165" s="3">
        <v>1.1993259000000001</v>
      </c>
      <c r="O165" s="3">
        <v>1.1531735000000001</v>
      </c>
      <c r="P165" s="3">
        <v>1.2454783</v>
      </c>
      <c r="Q165" s="3">
        <v>6.5269350016069774E-2</v>
      </c>
    </row>
    <row r="166" spans="1:17" x14ac:dyDescent="0.2">
      <c r="B166" t="s">
        <v>1947</v>
      </c>
      <c r="C166" s="3">
        <v>0</v>
      </c>
      <c r="D166" s="3" t="e">
        <v>#DIV/0!</v>
      </c>
      <c r="E166" s="3">
        <v>0</v>
      </c>
      <c r="F166" s="3">
        <v>0</v>
      </c>
      <c r="G166" s="3" t="e">
        <v>#DIV/0!</v>
      </c>
      <c r="H166" s="3">
        <v>1</v>
      </c>
      <c r="I166" s="3">
        <v>2.14</v>
      </c>
      <c r="J166" s="3">
        <v>2.14</v>
      </c>
      <c r="K166" s="3">
        <v>2.14</v>
      </c>
      <c r="L166" s="3" t="e">
        <v>#DIV/0!</v>
      </c>
      <c r="M166" s="3">
        <v>1</v>
      </c>
      <c r="N166" s="3">
        <v>2.14</v>
      </c>
      <c r="O166" s="3">
        <v>2.14</v>
      </c>
      <c r="P166" s="3">
        <v>2.14</v>
      </c>
      <c r="Q166" s="3" t="e">
        <v>#DIV/0!</v>
      </c>
    </row>
    <row r="167" spans="1:17" x14ac:dyDescent="0.2">
      <c r="B167" t="s">
        <v>2100</v>
      </c>
      <c r="C167" s="3">
        <v>3</v>
      </c>
      <c r="D167" s="3">
        <v>2.9654012204424105</v>
      </c>
      <c r="E167" s="3">
        <v>2.3910434782608694</v>
      </c>
      <c r="F167" s="3">
        <v>3.9130434782608696</v>
      </c>
      <c r="G167" s="3">
        <v>0.82681739048638336</v>
      </c>
      <c r="H167" s="3">
        <v>3</v>
      </c>
      <c r="I167" s="3">
        <v>3.206006864988558</v>
      </c>
      <c r="J167" s="3">
        <v>2.695652173913043</v>
      </c>
      <c r="K167" s="3">
        <v>4.1706521739130435</v>
      </c>
      <c r="L167" s="3">
        <v>0.83587751740264049</v>
      </c>
      <c r="M167" s="3">
        <v>5</v>
      </c>
      <c r="N167" s="3">
        <v>0.70186498855835222</v>
      </c>
      <c r="O167" s="3">
        <v>-3.4347826086956519</v>
      </c>
      <c r="P167" s="3">
        <v>4.1706521739130435</v>
      </c>
      <c r="Q167" s="3">
        <v>3.4898887061595856</v>
      </c>
    </row>
    <row r="168" spans="1:17" x14ac:dyDescent="0.2">
      <c r="B168" t="s">
        <v>2114</v>
      </c>
      <c r="C168" s="3">
        <v>1</v>
      </c>
      <c r="D168" s="3">
        <v>3.2585000000000002</v>
      </c>
      <c r="E168" s="3">
        <v>3.2585000000000002</v>
      </c>
      <c r="F168" s="3">
        <v>3.2585000000000002</v>
      </c>
      <c r="G168" s="3" t="e">
        <v>#DIV/0!</v>
      </c>
      <c r="H168" s="3">
        <v>4</v>
      </c>
      <c r="I168" s="3">
        <v>7.2205906750000004</v>
      </c>
      <c r="J168" s="3">
        <v>4.2419000000000002</v>
      </c>
      <c r="K168" s="3">
        <v>11.189705</v>
      </c>
      <c r="L168" s="3">
        <v>3.0679869566568918</v>
      </c>
      <c r="M168" s="3">
        <v>5</v>
      </c>
      <c r="N168" s="3">
        <v>6.1164725400000002</v>
      </c>
      <c r="O168" s="3">
        <v>1.7</v>
      </c>
      <c r="P168" s="3">
        <v>11.189705</v>
      </c>
      <c r="Q168" s="3">
        <v>3.6269535777070541</v>
      </c>
    </row>
    <row r="169" spans="1:17" x14ac:dyDescent="0.2">
      <c r="B169" t="s">
        <v>3067</v>
      </c>
      <c r="C169" s="3">
        <v>1</v>
      </c>
      <c r="D169" s="3">
        <v>2.714</v>
      </c>
      <c r="E169" s="3">
        <v>2.714</v>
      </c>
      <c r="F169" s="3">
        <v>2.714</v>
      </c>
      <c r="G169" s="3" t="e">
        <v>#DIV/0!</v>
      </c>
      <c r="H169" s="3">
        <v>2</v>
      </c>
      <c r="I169" s="3">
        <v>4.6559032</v>
      </c>
      <c r="J169" s="3">
        <v>4.3630063999999997</v>
      </c>
      <c r="K169" s="3">
        <v>4.9488000000000003</v>
      </c>
      <c r="L169" s="3">
        <v>0.41421862693567491</v>
      </c>
      <c r="M169" s="3">
        <v>3</v>
      </c>
      <c r="N169" s="3">
        <v>3.6372687999999997</v>
      </c>
      <c r="O169" s="3">
        <v>1.6</v>
      </c>
      <c r="P169" s="3">
        <v>4.9487999999999994</v>
      </c>
      <c r="Q169" s="3">
        <v>1.7884732757411597</v>
      </c>
    </row>
    <row r="170" spans="1:17" x14ac:dyDescent="0.2">
      <c r="B170" t="s">
        <v>2228</v>
      </c>
      <c r="C170" s="3">
        <v>1</v>
      </c>
      <c r="D170" s="3">
        <v>2.2469999999999999</v>
      </c>
      <c r="E170" s="3">
        <v>2.2469999999999999</v>
      </c>
      <c r="F170" s="3">
        <v>2.2469999999999999</v>
      </c>
      <c r="G170" s="3" t="e">
        <v>#DIV/0!</v>
      </c>
      <c r="H170" s="3">
        <v>2</v>
      </c>
      <c r="I170" s="3">
        <v>2.2749999999999999</v>
      </c>
      <c r="J170" s="3">
        <v>1.92</v>
      </c>
      <c r="K170" s="3">
        <v>2.63</v>
      </c>
      <c r="L170" s="3">
        <v>0.50204581464244924</v>
      </c>
      <c r="M170" s="3">
        <v>2</v>
      </c>
      <c r="N170" s="3">
        <v>2.3239999999999998</v>
      </c>
      <c r="O170" s="3">
        <v>1.92</v>
      </c>
      <c r="P170" s="3">
        <v>2.7280000000000002</v>
      </c>
      <c r="Q170" s="3">
        <v>0.57134227919873237</v>
      </c>
    </row>
    <row r="171" spans="1:17" x14ac:dyDescent="0.2">
      <c r="B171" t="s">
        <v>2969</v>
      </c>
      <c r="C171" s="3">
        <v>0</v>
      </c>
      <c r="D171" s="3" t="e">
        <v>#DIV/0!</v>
      </c>
      <c r="E171" s="3">
        <v>0</v>
      </c>
      <c r="F171" s="3">
        <v>0</v>
      </c>
      <c r="G171" s="3" t="e">
        <v>#DIV/0!</v>
      </c>
      <c r="H171" s="3">
        <v>1</v>
      </c>
      <c r="I171" s="3">
        <v>0.80688000000000004</v>
      </c>
      <c r="J171" s="3">
        <v>0.80688000000000004</v>
      </c>
      <c r="K171" s="3">
        <v>0.80688000000000004</v>
      </c>
      <c r="L171" s="3" t="e">
        <v>#DIV/0!</v>
      </c>
      <c r="M171" s="3">
        <v>6</v>
      </c>
      <c r="N171" s="3">
        <v>1.3656466666666667</v>
      </c>
      <c r="O171" s="3">
        <v>0.80688000000000004</v>
      </c>
      <c r="P171" s="3">
        <v>2.024</v>
      </c>
      <c r="Q171" s="3">
        <v>0.4367826519754035</v>
      </c>
    </row>
    <row r="172" spans="1:17" x14ac:dyDescent="0.2">
      <c r="B172" t="s">
        <v>2289</v>
      </c>
      <c r="C172" s="3">
        <v>1</v>
      </c>
      <c r="D172" s="3">
        <v>1.968</v>
      </c>
      <c r="E172" s="3">
        <v>1.968</v>
      </c>
      <c r="F172" s="3">
        <v>1.968</v>
      </c>
      <c r="G172" s="3" t="e">
        <v>#DIV/0!</v>
      </c>
      <c r="H172" s="3">
        <v>1</v>
      </c>
      <c r="I172" s="3">
        <v>2.6459999999999999</v>
      </c>
      <c r="J172" s="3">
        <v>2.6459999999999999</v>
      </c>
      <c r="K172" s="3">
        <v>2.6459999999999999</v>
      </c>
      <c r="L172" s="3" t="e">
        <v>#DIV/0!</v>
      </c>
      <c r="M172" s="3">
        <v>2</v>
      </c>
      <c r="N172" s="3">
        <v>3.2679999999999998</v>
      </c>
      <c r="O172" s="3">
        <v>2.6360000000000001</v>
      </c>
      <c r="P172" s="3">
        <v>3.9</v>
      </c>
      <c r="Q172" s="3">
        <v>0.89378297141979779</v>
      </c>
    </row>
    <row r="173" spans="1:17" x14ac:dyDescent="0.2">
      <c r="B173" t="s">
        <v>3296</v>
      </c>
      <c r="C173" s="3">
        <v>0</v>
      </c>
      <c r="D173" s="3" t="e">
        <v>#DIV/0!</v>
      </c>
      <c r="E173" s="3">
        <v>0</v>
      </c>
      <c r="F173" s="3">
        <v>0</v>
      </c>
      <c r="G173" s="3" t="e">
        <v>#DIV/0!</v>
      </c>
      <c r="H173" s="3">
        <v>0</v>
      </c>
      <c r="I173" s="3" t="e">
        <v>#DIV/0!</v>
      </c>
      <c r="J173" s="3">
        <v>0</v>
      </c>
      <c r="K173" s="3">
        <v>0</v>
      </c>
      <c r="L173" s="3" t="e">
        <v>#DIV/0!</v>
      </c>
      <c r="M173" s="3">
        <v>1</v>
      </c>
      <c r="N173" s="3">
        <v>-0.05</v>
      </c>
      <c r="O173" s="3">
        <v>-0.05</v>
      </c>
      <c r="P173" s="3">
        <v>-0.05</v>
      </c>
      <c r="Q173" s="3" t="e">
        <v>#DIV/0!</v>
      </c>
    </row>
    <row r="174" spans="1:17" x14ac:dyDescent="0.2">
      <c r="A174" s="72" t="s">
        <v>2839</v>
      </c>
      <c r="B174" s="72"/>
      <c r="C174" s="73">
        <v>7</v>
      </c>
      <c r="D174" s="73">
        <v>2.7262433801896044</v>
      </c>
      <c r="E174" s="73">
        <v>1.968</v>
      </c>
      <c r="F174" s="73">
        <v>3.9130434782608696</v>
      </c>
      <c r="G174" s="73">
        <v>0.66167686761640754</v>
      </c>
      <c r="H174" s="73">
        <v>19</v>
      </c>
      <c r="I174" s="73">
        <v>3.6074757576297722</v>
      </c>
      <c r="J174" s="73">
        <v>0.80688000000000004</v>
      </c>
      <c r="K174" s="73">
        <v>11.189705</v>
      </c>
      <c r="L174" s="73">
        <v>2.5306182127862722</v>
      </c>
      <c r="M174" s="73">
        <v>30</v>
      </c>
      <c r="N174" s="73">
        <v>2.5686114580930588</v>
      </c>
      <c r="O174" s="73">
        <v>-3.4347826086956519</v>
      </c>
      <c r="P174" s="73">
        <v>11.189705</v>
      </c>
      <c r="Q174" s="73">
        <v>2.730279801560429</v>
      </c>
    </row>
    <row r="175" spans="1:17" x14ac:dyDescent="0.2">
      <c r="A175" t="s">
        <v>1110</v>
      </c>
      <c r="B175" t="s">
        <v>1194</v>
      </c>
      <c r="C175" s="3">
        <v>0</v>
      </c>
      <c r="D175" s="3" t="e">
        <v>#DIV/0!</v>
      </c>
      <c r="E175" s="3">
        <v>0</v>
      </c>
      <c r="F175" s="3">
        <v>0</v>
      </c>
      <c r="G175" s="3" t="e">
        <v>#DIV/0!</v>
      </c>
      <c r="H175" s="3">
        <v>0</v>
      </c>
      <c r="I175" s="3" t="e">
        <v>#DIV/0!</v>
      </c>
      <c r="J175" s="3">
        <v>0</v>
      </c>
      <c r="K175" s="3">
        <v>0</v>
      </c>
      <c r="L175" s="3" t="e">
        <v>#DIV/0!</v>
      </c>
      <c r="M175" s="3">
        <v>2</v>
      </c>
      <c r="N175" s="3">
        <v>2.6550000000000002</v>
      </c>
      <c r="O175" s="3">
        <v>2.4900000000000002</v>
      </c>
      <c r="P175" s="3">
        <v>2.82</v>
      </c>
      <c r="Q175" s="3">
        <v>0.23334523779155522</v>
      </c>
    </row>
    <row r="176" spans="1:17" x14ac:dyDescent="0.2">
      <c r="B176" t="s">
        <v>1117</v>
      </c>
      <c r="C176" s="3">
        <v>0</v>
      </c>
      <c r="D176" s="3" t="e">
        <v>#DIV/0!</v>
      </c>
      <c r="E176" s="3">
        <v>0</v>
      </c>
      <c r="F176" s="3">
        <v>0</v>
      </c>
      <c r="G176" s="3" t="e">
        <v>#DIV/0!</v>
      </c>
      <c r="H176" s="3">
        <v>0</v>
      </c>
      <c r="I176" s="3" t="e">
        <v>#DIV/0!</v>
      </c>
      <c r="J176" s="3">
        <v>0</v>
      </c>
      <c r="K176" s="3">
        <v>0</v>
      </c>
      <c r="L176" s="3" t="e">
        <v>#DIV/0!</v>
      </c>
      <c r="M176" s="3">
        <v>2</v>
      </c>
      <c r="N176" s="3">
        <v>3.12</v>
      </c>
      <c r="O176" s="3">
        <v>2.4</v>
      </c>
      <c r="P176" s="3">
        <v>3.84</v>
      </c>
      <c r="Q176" s="3">
        <v>1.0182337649086282</v>
      </c>
    </row>
    <row r="177" spans="2:17" x14ac:dyDescent="0.2">
      <c r="B177" t="s">
        <v>1434</v>
      </c>
      <c r="C177" s="3">
        <v>1</v>
      </c>
      <c r="D177" s="3">
        <v>0.30199999999999999</v>
      </c>
      <c r="E177" s="3">
        <v>0.30199999999999999</v>
      </c>
      <c r="F177" s="3">
        <v>0.30199999999999999</v>
      </c>
      <c r="G177" s="3" t="e">
        <v>#DIV/0!</v>
      </c>
      <c r="H177" s="3">
        <v>1</v>
      </c>
      <c r="I177" s="3">
        <v>0.59399999999999997</v>
      </c>
      <c r="J177" s="3">
        <v>0.59399999999999997</v>
      </c>
      <c r="K177" s="3">
        <v>0.59399999999999997</v>
      </c>
      <c r="L177" s="3" t="e">
        <v>#DIV/0!</v>
      </c>
      <c r="M177" s="3">
        <v>1</v>
      </c>
      <c r="N177" s="3">
        <v>0.59399999999999997</v>
      </c>
      <c r="O177" s="3">
        <v>0.59399999999999997</v>
      </c>
      <c r="P177" s="3">
        <v>0.59399999999999997</v>
      </c>
      <c r="Q177" s="3" t="e">
        <v>#DIV/0!</v>
      </c>
    </row>
    <row r="178" spans="2:17" x14ac:dyDescent="0.2">
      <c r="B178" t="s">
        <v>1908</v>
      </c>
      <c r="C178" s="3">
        <v>1</v>
      </c>
      <c r="D178" s="3">
        <v>0.87</v>
      </c>
      <c r="E178" s="3">
        <v>0.87</v>
      </c>
      <c r="F178" s="3">
        <v>0.87</v>
      </c>
      <c r="G178" s="3" t="e">
        <v>#DIV/0!</v>
      </c>
      <c r="H178" s="3">
        <v>0</v>
      </c>
      <c r="I178" s="3" t="e">
        <v>#DIV/0!</v>
      </c>
      <c r="J178" s="3">
        <v>0</v>
      </c>
      <c r="K178" s="3">
        <v>0</v>
      </c>
      <c r="L178" s="3" t="e">
        <v>#DIV/0!</v>
      </c>
      <c r="M178" s="3"/>
      <c r="N178" s="3"/>
      <c r="O178" s="3"/>
      <c r="P178" s="3"/>
      <c r="Q178" s="3"/>
    </row>
    <row r="179" spans="2:17" x14ac:dyDescent="0.2">
      <c r="B179" t="s">
        <v>3051</v>
      </c>
      <c r="C179" s="3">
        <v>7</v>
      </c>
      <c r="D179" s="3">
        <v>11.250181571428572</v>
      </c>
      <c r="E179" s="3">
        <v>3.6700000000000003E-2</v>
      </c>
      <c r="F179" s="3">
        <v>39.491154999999999</v>
      </c>
      <c r="G179" s="3">
        <v>14.144379387981161</v>
      </c>
      <c r="H179" s="3">
        <v>0</v>
      </c>
      <c r="I179" s="3" t="e">
        <v>#DIV/0!</v>
      </c>
      <c r="J179" s="3">
        <v>0</v>
      </c>
      <c r="K179" s="3">
        <v>0</v>
      </c>
      <c r="L179" s="3" t="e">
        <v>#DIV/0!</v>
      </c>
      <c r="M179" s="3">
        <v>4</v>
      </c>
      <c r="N179" s="3">
        <v>3.0750000000000002</v>
      </c>
      <c r="O179" s="3">
        <v>2.1</v>
      </c>
      <c r="P179" s="3">
        <v>4.0999999999999996</v>
      </c>
      <c r="Q179" s="3">
        <v>0.93229108472979882</v>
      </c>
    </row>
    <row r="180" spans="2:17" x14ac:dyDescent="0.2">
      <c r="B180" t="s">
        <v>3050</v>
      </c>
      <c r="C180" s="3">
        <v>0</v>
      </c>
      <c r="D180" s="3" t="e">
        <v>#DIV/0!</v>
      </c>
      <c r="E180" s="3">
        <v>0</v>
      </c>
      <c r="F180" s="3">
        <v>0</v>
      </c>
      <c r="G180" s="3" t="e">
        <v>#DIV/0!</v>
      </c>
      <c r="H180" s="3">
        <v>3</v>
      </c>
      <c r="I180" s="3">
        <v>33.647091000000003</v>
      </c>
      <c r="J180" s="3">
        <v>25.23237</v>
      </c>
      <c r="K180" s="3">
        <v>50.440724000000003</v>
      </c>
      <c r="L180" s="3">
        <v>14.543723820780452</v>
      </c>
      <c r="M180" s="3">
        <v>4</v>
      </c>
      <c r="N180" s="3">
        <v>26.311518250000002</v>
      </c>
      <c r="O180" s="3">
        <v>4.3048000000000002</v>
      </c>
      <c r="P180" s="3">
        <v>50.440724000000003</v>
      </c>
      <c r="Q180" s="3">
        <v>18.874739168147322</v>
      </c>
    </row>
    <row r="181" spans="2:17" x14ac:dyDescent="0.2">
      <c r="B181" t="s">
        <v>3293</v>
      </c>
      <c r="C181" s="3">
        <v>0</v>
      </c>
      <c r="D181" s="3" t="e">
        <v>#DIV/0!</v>
      </c>
      <c r="E181" s="3">
        <v>0</v>
      </c>
      <c r="F181" s="3">
        <v>0</v>
      </c>
      <c r="G181" s="3" t="e">
        <v>#DIV/0!</v>
      </c>
      <c r="H181" s="3">
        <v>0</v>
      </c>
      <c r="I181" s="3" t="e">
        <v>#DIV/0!</v>
      </c>
      <c r="J181" s="3">
        <v>0</v>
      </c>
      <c r="K181" s="3">
        <v>0</v>
      </c>
      <c r="L181" s="3" t="e">
        <v>#DIV/0!</v>
      </c>
      <c r="M181" s="3">
        <v>1</v>
      </c>
      <c r="N181" s="3">
        <v>1.3961513513513513</v>
      </c>
      <c r="O181" s="3">
        <v>1.3961513513513513</v>
      </c>
      <c r="P181" s="3">
        <v>1.3961513513513513</v>
      </c>
      <c r="Q181" s="3" t="e">
        <v>#DIV/0!</v>
      </c>
    </row>
    <row r="182" spans="2:17" x14ac:dyDescent="0.2">
      <c r="B182" t="s">
        <v>1356</v>
      </c>
      <c r="C182" s="3">
        <v>0</v>
      </c>
      <c r="D182" s="3" t="e">
        <v>#DIV/0!</v>
      </c>
      <c r="E182" s="3">
        <v>0</v>
      </c>
      <c r="F182" s="3">
        <v>0</v>
      </c>
      <c r="G182" s="3" t="e">
        <v>#DIV/0!</v>
      </c>
      <c r="H182" s="3">
        <v>0</v>
      </c>
      <c r="I182" s="3" t="e">
        <v>#DIV/0!</v>
      </c>
      <c r="J182" s="3">
        <v>0</v>
      </c>
      <c r="K182" s="3">
        <v>0</v>
      </c>
      <c r="L182" s="3" t="e">
        <v>#DIV/0!</v>
      </c>
      <c r="M182" s="3">
        <v>1</v>
      </c>
      <c r="N182" s="3">
        <v>1.2013395348837208</v>
      </c>
      <c r="O182" s="3">
        <v>1.2013395348837208</v>
      </c>
      <c r="P182" s="3">
        <v>1.2013395348837208</v>
      </c>
      <c r="Q182" s="3" t="e">
        <v>#DIV/0!</v>
      </c>
    </row>
    <row r="183" spans="2:17" x14ac:dyDescent="0.2">
      <c r="B183" t="s">
        <v>1347</v>
      </c>
      <c r="C183" s="3">
        <v>0</v>
      </c>
      <c r="D183" s="3" t="e">
        <v>#DIV/0!</v>
      </c>
      <c r="E183" s="3">
        <v>0</v>
      </c>
      <c r="F183" s="3">
        <v>0</v>
      </c>
      <c r="G183" s="3" t="e">
        <v>#DIV/0!</v>
      </c>
      <c r="H183" s="3">
        <v>0</v>
      </c>
      <c r="I183" s="3" t="e">
        <v>#DIV/0!</v>
      </c>
      <c r="J183" s="3">
        <v>0</v>
      </c>
      <c r="K183" s="3">
        <v>0</v>
      </c>
      <c r="L183" s="3" t="e">
        <v>#DIV/0!</v>
      </c>
      <c r="M183" s="3">
        <v>1</v>
      </c>
      <c r="N183" s="3">
        <v>1.0105796919994992</v>
      </c>
      <c r="O183" s="3">
        <v>1.0105796919994992</v>
      </c>
      <c r="P183" s="3">
        <v>1.0105796919994992</v>
      </c>
      <c r="Q183" s="3" t="e">
        <v>#DIV/0!</v>
      </c>
    </row>
    <row r="184" spans="2:17" x14ac:dyDescent="0.2">
      <c r="B184" t="s">
        <v>1188</v>
      </c>
      <c r="C184" s="3">
        <v>0</v>
      </c>
      <c r="D184" s="3" t="e">
        <v>#DIV/0!</v>
      </c>
      <c r="E184" s="3">
        <v>0</v>
      </c>
      <c r="F184" s="3">
        <v>0</v>
      </c>
      <c r="G184" s="3" t="e">
        <v>#DIV/0!</v>
      </c>
      <c r="H184" s="3">
        <v>0</v>
      </c>
      <c r="I184" s="3" t="e">
        <v>#DIV/0!</v>
      </c>
      <c r="J184" s="3">
        <v>0</v>
      </c>
      <c r="K184" s="3">
        <v>0</v>
      </c>
      <c r="L184" s="3" t="e">
        <v>#DIV/0!</v>
      </c>
      <c r="M184" s="3">
        <v>1</v>
      </c>
      <c r="N184" s="3">
        <v>1.325</v>
      </c>
      <c r="O184" s="3">
        <v>1.325</v>
      </c>
      <c r="P184" s="3">
        <v>1.325</v>
      </c>
      <c r="Q184" s="3" t="e">
        <v>#DIV/0!</v>
      </c>
    </row>
    <row r="185" spans="2:17" x14ac:dyDescent="0.2">
      <c r="B185" t="s">
        <v>1491</v>
      </c>
      <c r="C185" s="3">
        <v>0</v>
      </c>
      <c r="D185" s="3" t="e">
        <v>#DIV/0!</v>
      </c>
      <c r="E185" s="3">
        <v>0</v>
      </c>
      <c r="F185" s="3">
        <v>0</v>
      </c>
      <c r="G185" s="3" t="e">
        <v>#DIV/0!</v>
      </c>
      <c r="H185" s="3">
        <v>0</v>
      </c>
      <c r="I185" s="3" t="e">
        <v>#DIV/0!</v>
      </c>
      <c r="J185" s="3">
        <v>0</v>
      </c>
      <c r="K185" s="3">
        <v>0</v>
      </c>
      <c r="L185" s="3" t="e">
        <v>#DIV/0!</v>
      </c>
      <c r="M185" s="3">
        <v>1</v>
      </c>
      <c r="N185" s="3">
        <v>43</v>
      </c>
      <c r="O185" s="3">
        <v>43</v>
      </c>
      <c r="P185" s="3">
        <v>43</v>
      </c>
      <c r="Q185" s="3" t="e">
        <v>#DIV/0!</v>
      </c>
    </row>
    <row r="186" spans="2:17" x14ac:dyDescent="0.2">
      <c r="B186" t="s">
        <v>1487</v>
      </c>
      <c r="C186" s="3">
        <v>0</v>
      </c>
      <c r="D186" s="3" t="e">
        <v>#DIV/0!</v>
      </c>
      <c r="E186" s="3">
        <v>0</v>
      </c>
      <c r="F186" s="3">
        <v>0</v>
      </c>
      <c r="G186" s="3" t="e">
        <v>#DIV/0!</v>
      </c>
      <c r="H186" s="3">
        <v>0</v>
      </c>
      <c r="I186" s="3" t="e">
        <v>#DIV/0!</v>
      </c>
      <c r="J186" s="3">
        <v>0</v>
      </c>
      <c r="K186" s="3">
        <v>0</v>
      </c>
      <c r="L186" s="3" t="e">
        <v>#DIV/0!</v>
      </c>
      <c r="M186" s="3">
        <v>1</v>
      </c>
      <c r="N186" s="3">
        <v>72.5</v>
      </c>
      <c r="O186" s="3">
        <v>72.5</v>
      </c>
      <c r="P186" s="3">
        <v>72.5</v>
      </c>
      <c r="Q186" s="3" t="e">
        <v>#DIV/0!</v>
      </c>
    </row>
    <row r="187" spans="2:17" x14ac:dyDescent="0.2">
      <c r="B187" t="s">
        <v>1998</v>
      </c>
      <c r="C187" s="3">
        <v>1</v>
      </c>
      <c r="D187" s="3">
        <v>0.88</v>
      </c>
      <c r="E187" s="3">
        <v>0.88</v>
      </c>
      <c r="F187" s="3">
        <v>0.88</v>
      </c>
      <c r="G187" s="3" t="e">
        <v>#DIV/0!</v>
      </c>
      <c r="H187" s="3">
        <v>0</v>
      </c>
      <c r="I187" s="3" t="e">
        <v>#DIV/0!</v>
      </c>
      <c r="J187" s="3">
        <v>0</v>
      </c>
      <c r="K187" s="3">
        <v>0</v>
      </c>
      <c r="L187" s="3" t="e">
        <v>#DIV/0!</v>
      </c>
      <c r="M187" s="3"/>
      <c r="N187" s="3"/>
      <c r="O187" s="3"/>
      <c r="P187" s="3"/>
      <c r="Q187" s="3"/>
    </row>
    <row r="188" spans="2:17" x14ac:dyDescent="0.2">
      <c r="B188" t="s">
        <v>3063</v>
      </c>
      <c r="C188" s="3">
        <v>1</v>
      </c>
      <c r="D188" s="3">
        <v>1.4</v>
      </c>
      <c r="E188" s="3">
        <v>1.4</v>
      </c>
      <c r="F188" s="3">
        <v>1.4</v>
      </c>
      <c r="G188" s="3" t="e">
        <v>#DIV/0!</v>
      </c>
      <c r="H188" s="3">
        <v>0</v>
      </c>
      <c r="I188" s="3" t="e">
        <v>#DIV/0!</v>
      </c>
      <c r="J188" s="3">
        <v>0</v>
      </c>
      <c r="K188" s="3">
        <v>0</v>
      </c>
      <c r="L188" s="3" t="e">
        <v>#DIV/0!</v>
      </c>
      <c r="M188" s="3"/>
      <c r="N188" s="3"/>
      <c r="O188" s="3"/>
      <c r="P188" s="3"/>
      <c r="Q188" s="3"/>
    </row>
    <row r="189" spans="2:17" x14ac:dyDescent="0.2">
      <c r="B189" t="s">
        <v>3419</v>
      </c>
      <c r="C189" s="3">
        <v>1</v>
      </c>
      <c r="D189" s="3">
        <v>0.375</v>
      </c>
      <c r="E189" s="3">
        <v>0.375</v>
      </c>
      <c r="F189" s="3">
        <v>0.375</v>
      </c>
      <c r="G189" s="3" t="e">
        <v>#DIV/0!</v>
      </c>
      <c r="H189" s="3">
        <v>0</v>
      </c>
      <c r="I189" s="3" t="e">
        <v>#DIV/0!</v>
      </c>
      <c r="J189" s="3">
        <v>0</v>
      </c>
      <c r="K189" s="3">
        <v>0</v>
      </c>
      <c r="L189" s="3" t="e">
        <v>#DIV/0!</v>
      </c>
      <c r="M189" s="3">
        <v>1</v>
      </c>
      <c r="N189" s="3">
        <v>0.66500000000000004</v>
      </c>
      <c r="O189" s="3">
        <v>0.66500000000000004</v>
      </c>
      <c r="P189" s="3">
        <v>0.66500000000000004</v>
      </c>
      <c r="Q189" s="3" t="e">
        <v>#DIV/0!</v>
      </c>
    </row>
    <row r="190" spans="2:17" x14ac:dyDescent="0.2">
      <c r="B190" t="s">
        <v>2954</v>
      </c>
      <c r="C190" s="3">
        <v>1</v>
      </c>
      <c r="D190" s="3">
        <v>2.35</v>
      </c>
      <c r="E190" s="3">
        <v>2.35</v>
      </c>
      <c r="F190" s="3">
        <v>2.35</v>
      </c>
      <c r="G190" s="3" t="e">
        <v>#DIV/0!</v>
      </c>
      <c r="H190" s="3">
        <v>0</v>
      </c>
      <c r="I190" s="3" t="e">
        <v>#DIV/0!</v>
      </c>
      <c r="J190" s="3">
        <v>0</v>
      </c>
      <c r="K190" s="3">
        <v>0</v>
      </c>
      <c r="L190" s="3" t="e">
        <v>#DIV/0!</v>
      </c>
      <c r="M190" s="3"/>
      <c r="N190" s="3"/>
      <c r="O190" s="3"/>
      <c r="P190" s="3"/>
      <c r="Q190" s="3"/>
    </row>
    <row r="191" spans="2:17" x14ac:dyDescent="0.2">
      <c r="B191" t="s">
        <v>2157</v>
      </c>
      <c r="C191" s="3">
        <v>1</v>
      </c>
      <c r="D191" s="3">
        <v>0.87</v>
      </c>
      <c r="E191" s="3">
        <v>0.87</v>
      </c>
      <c r="F191" s="3">
        <v>0.87</v>
      </c>
      <c r="G191" s="3" t="e">
        <v>#DIV/0!</v>
      </c>
      <c r="H191" s="3">
        <v>0</v>
      </c>
      <c r="I191" s="3" t="e">
        <v>#DIV/0!</v>
      </c>
      <c r="J191" s="3">
        <v>0</v>
      </c>
      <c r="K191" s="3">
        <v>0</v>
      </c>
      <c r="L191" s="3" t="e">
        <v>#DIV/0!</v>
      </c>
      <c r="M191" s="3"/>
      <c r="N191" s="3"/>
      <c r="O191" s="3"/>
      <c r="P191" s="3"/>
      <c r="Q191" s="3"/>
    </row>
    <row r="192" spans="2:17" x14ac:dyDescent="0.2">
      <c r="B192" t="s">
        <v>2198</v>
      </c>
      <c r="C192" s="3">
        <v>3</v>
      </c>
      <c r="D192" s="3">
        <v>0.56333333333333335</v>
      </c>
      <c r="E192" s="3">
        <v>0.25</v>
      </c>
      <c r="F192" s="3">
        <v>1</v>
      </c>
      <c r="G192" s="3">
        <v>0.38991452054691861</v>
      </c>
      <c r="H192" s="3">
        <v>3</v>
      </c>
      <c r="I192" s="3">
        <v>1.5449999999999999</v>
      </c>
      <c r="J192" s="3">
        <v>0.92999999999999994</v>
      </c>
      <c r="K192" s="3">
        <v>1.9849999999999999</v>
      </c>
      <c r="L192" s="3">
        <v>0.54883968515405301</v>
      </c>
      <c r="M192" s="3">
        <v>3</v>
      </c>
      <c r="N192" s="3">
        <v>2.1619999999999995</v>
      </c>
      <c r="O192" s="3">
        <v>2.06</v>
      </c>
      <c r="P192" s="3">
        <v>2.2709999999999999</v>
      </c>
      <c r="Q192" s="3">
        <v>0.10567402708329639</v>
      </c>
    </row>
    <row r="193" spans="1:17" x14ac:dyDescent="0.2">
      <c r="A193" s="72" t="s">
        <v>2840</v>
      </c>
      <c r="B193" s="72"/>
      <c r="C193" s="73">
        <v>17</v>
      </c>
      <c r="D193" s="73">
        <v>5.1463688823529417</v>
      </c>
      <c r="E193" s="73">
        <v>3.6700000000000003E-2</v>
      </c>
      <c r="F193" s="73">
        <v>39.491154999999999</v>
      </c>
      <c r="G193" s="73">
        <v>10.146916467923868</v>
      </c>
      <c r="H193" s="73">
        <v>7</v>
      </c>
      <c r="I193" s="73">
        <v>15.167181857142859</v>
      </c>
      <c r="J193" s="73">
        <v>0.59399999999999997</v>
      </c>
      <c r="K193" s="73">
        <v>50.440724000000003</v>
      </c>
      <c r="L193" s="73">
        <v>19.223390812686215</v>
      </c>
      <c r="M193" s="73">
        <v>23</v>
      </c>
      <c r="N193" s="73">
        <v>11.185832329488459</v>
      </c>
      <c r="O193" s="73">
        <v>0.59399999999999997</v>
      </c>
      <c r="P193" s="73">
        <v>72.5</v>
      </c>
      <c r="Q193" s="73">
        <v>19.260738978891847</v>
      </c>
    </row>
    <row r="194" spans="1:17" s="72" customFormat="1" x14ac:dyDescent="0.2">
      <c r="A194" t="s">
        <v>587</v>
      </c>
      <c r="B194" t="s">
        <v>2955</v>
      </c>
      <c r="C194" s="3">
        <v>0</v>
      </c>
      <c r="D194" s="3" t="e">
        <v>#DIV/0!</v>
      </c>
      <c r="E194" s="3">
        <v>0</v>
      </c>
      <c r="F194" s="3">
        <v>0</v>
      </c>
      <c r="G194" s="3" t="e">
        <v>#DIV/0!</v>
      </c>
      <c r="H194" s="3">
        <v>4</v>
      </c>
      <c r="I194" s="3">
        <v>0.39078305999999996</v>
      </c>
      <c r="J194" s="3">
        <v>0.29486158999999995</v>
      </c>
      <c r="K194" s="3">
        <v>0.47034267000000002</v>
      </c>
      <c r="L194" s="3">
        <v>7.6284474512375716E-2</v>
      </c>
      <c r="M194" s="3">
        <v>4</v>
      </c>
      <c r="N194" s="3">
        <v>0.39078305999999996</v>
      </c>
      <c r="O194" s="3">
        <v>0.29486158999999995</v>
      </c>
      <c r="P194" s="3">
        <v>0.47034267000000002</v>
      </c>
      <c r="Q194" s="3">
        <v>7.6284474512375716E-2</v>
      </c>
    </row>
    <row r="195" spans="1:17" s="74" customFormat="1" x14ac:dyDescent="0.2">
      <c r="A195"/>
      <c r="B195" t="s">
        <v>2981</v>
      </c>
      <c r="C195" s="3">
        <v>0</v>
      </c>
      <c r="D195" s="3" t="e">
        <v>#DIV/0!</v>
      </c>
      <c r="E195" s="3">
        <v>0</v>
      </c>
      <c r="F195" s="3">
        <v>0</v>
      </c>
      <c r="G195" s="3" t="e">
        <v>#DIV/0!</v>
      </c>
      <c r="H195" s="3">
        <v>4</v>
      </c>
      <c r="I195" s="3">
        <v>0.28759249999999997</v>
      </c>
      <c r="J195" s="3">
        <v>0.23335</v>
      </c>
      <c r="K195" s="3">
        <v>0.34007999999999999</v>
      </c>
      <c r="L195" s="3">
        <v>4.7032511716187927E-2</v>
      </c>
      <c r="M195" s="3">
        <v>4</v>
      </c>
      <c r="N195" s="3">
        <v>0.28759249999999997</v>
      </c>
      <c r="O195" s="3">
        <v>0.23335</v>
      </c>
      <c r="P195" s="3">
        <v>0.34007999999999999</v>
      </c>
      <c r="Q195" s="3">
        <v>4.7032511716187927E-2</v>
      </c>
    </row>
    <row r="196" spans="1:17" s="74" customFormat="1" x14ac:dyDescent="0.2">
      <c r="A196"/>
      <c r="B196" t="s">
        <v>588</v>
      </c>
      <c r="C196" s="3">
        <v>1</v>
      </c>
      <c r="D196" s="3">
        <v>0.21</v>
      </c>
      <c r="E196" s="3">
        <v>0.21</v>
      </c>
      <c r="F196" s="3">
        <v>0.21</v>
      </c>
      <c r="G196" s="3" t="e">
        <v>#DIV/0!</v>
      </c>
      <c r="H196" s="3">
        <v>1</v>
      </c>
      <c r="I196" s="3">
        <v>2.44</v>
      </c>
      <c r="J196" s="3">
        <v>2.44</v>
      </c>
      <c r="K196" s="3">
        <v>2.44</v>
      </c>
      <c r="L196" s="3" t="e">
        <v>#DIV/0!</v>
      </c>
      <c r="M196" s="3">
        <v>2</v>
      </c>
      <c r="N196" s="3">
        <v>1.655</v>
      </c>
      <c r="O196" s="3">
        <v>0.81</v>
      </c>
      <c r="P196" s="3">
        <v>2.5</v>
      </c>
      <c r="Q196" s="3">
        <v>1.1950104602052651</v>
      </c>
    </row>
    <row r="197" spans="1:17" x14ac:dyDescent="0.2">
      <c r="B197" t="s">
        <v>2068</v>
      </c>
      <c r="C197" s="3">
        <v>0</v>
      </c>
      <c r="D197" s="3" t="e">
        <v>#DIV/0!</v>
      </c>
      <c r="E197" s="3">
        <v>0</v>
      </c>
      <c r="F197" s="3">
        <v>0</v>
      </c>
      <c r="G197" s="3" t="e">
        <v>#DIV/0!</v>
      </c>
      <c r="H197" s="3">
        <v>1</v>
      </c>
      <c r="I197" s="3">
        <v>6.7544572691172551</v>
      </c>
      <c r="J197" s="3">
        <v>6.7544572691172551</v>
      </c>
      <c r="K197" s="3">
        <v>6.7544572691172551</v>
      </c>
      <c r="L197" s="3" t="e">
        <v>#DIV/0!</v>
      </c>
      <c r="M197" s="3"/>
      <c r="N197" s="3"/>
      <c r="O197" s="3"/>
      <c r="P197" s="3"/>
      <c r="Q197" s="3"/>
    </row>
    <row r="198" spans="1:17" x14ac:dyDescent="0.2">
      <c r="B198" t="s">
        <v>2285</v>
      </c>
      <c r="C198" s="3">
        <v>0</v>
      </c>
      <c r="D198" s="3" t="e">
        <v>#DIV/0!</v>
      </c>
      <c r="E198" s="3">
        <v>0</v>
      </c>
      <c r="F198" s="3">
        <v>0</v>
      </c>
      <c r="G198" s="3" t="e">
        <v>#DIV/0!</v>
      </c>
      <c r="H198" s="3">
        <v>1</v>
      </c>
      <c r="I198" s="3">
        <v>0.48759999999999998</v>
      </c>
      <c r="J198" s="3">
        <v>0.48759999999999998</v>
      </c>
      <c r="K198" s="3">
        <v>0.48759999999999998</v>
      </c>
      <c r="L198" s="3" t="e">
        <v>#DIV/0!</v>
      </c>
      <c r="M198" s="3">
        <v>1</v>
      </c>
      <c r="N198" s="3">
        <v>0.48759999999999998</v>
      </c>
      <c r="O198" s="3">
        <v>0.48759999999999998</v>
      </c>
      <c r="P198" s="3">
        <v>0.48759999999999998</v>
      </c>
      <c r="Q198" s="3" t="e">
        <v>#DIV/0!</v>
      </c>
    </row>
    <row r="199" spans="1:17" x14ac:dyDescent="0.2">
      <c r="B199" t="s">
        <v>2287</v>
      </c>
      <c r="C199" s="3">
        <v>1</v>
      </c>
      <c r="D199" s="3">
        <v>0.68779999999999997</v>
      </c>
      <c r="E199" s="3">
        <v>0.68779999999999997</v>
      </c>
      <c r="F199" s="3">
        <v>0.68779999999999997</v>
      </c>
      <c r="G199" s="3" t="e">
        <v>#DIV/0!</v>
      </c>
      <c r="H199" s="3">
        <v>2</v>
      </c>
      <c r="I199" s="3">
        <v>0.69992868499999994</v>
      </c>
      <c r="J199" s="3">
        <v>0.66705736999999998</v>
      </c>
      <c r="K199" s="3">
        <v>0.73280000000000001</v>
      </c>
      <c r="L199" s="3">
        <v>4.6487059486040455E-2</v>
      </c>
      <c r="M199" s="3">
        <v>2</v>
      </c>
      <c r="N199" s="3">
        <v>0.70892868499999995</v>
      </c>
      <c r="O199" s="3">
        <v>0.66705736999999998</v>
      </c>
      <c r="P199" s="3">
        <v>0.75079999999999991</v>
      </c>
      <c r="Q199" s="3">
        <v>5.9214981547397003E-2</v>
      </c>
    </row>
    <row r="200" spans="1:17" x14ac:dyDescent="0.2">
      <c r="A200" s="72" t="s">
        <v>2841</v>
      </c>
      <c r="B200" s="72"/>
      <c r="C200" s="73">
        <v>2</v>
      </c>
      <c r="D200" s="73">
        <v>0.44889999999999997</v>
      </c>
      <c r="E200" s="73">
        <v>0.21</v>
      </c>
      <c r="F200" s="73">
        <v>0.68779999999999997</v>
      </c>
      <c r="G200" s="73">
        <v>0.33785562005093245</v>
      </c>
      <c r="H200" s="73">
        <v>13</v>
      </c>
      <c r="I200" s="73">
        <v>1.0611859137782504</v>
      </c>
      <c r="J200" s="73">
        <v>0.23335</v>
      </c>
      <c r="K200" s="73">
        <v>6.7544572691172551</v>
      </c>
      <c r="L200" s="73">
        <v>1.8055997061726943</v>
      </c>
      <c r="M200" s="73">
        <v>13</v>
      </c>
      <c r="N200" s="73">
        <v>0.60991996999999998</v>
      </c>
      <c r="O200" s="73">
        <v>0.23335</v>
      </c>
      <c r="P200" s="73">
        <v>2.5</v>
      </c>
      <c r="Q200" s="73">
        <v>0.59737388112440726</v>
      </c>
    </row>
    <row r="201" spans="1:17" x14ac:dyDescent="0.2">
      <c r="A201" t="s">
        <v>162</v>
      </c>
      <c r="B201" t="s">
        <v>1755</v>
      </c>
      <c r="C201" s="3">
        <v>2</v>
      </c>
      <c r="D201" s="3">
        <v>0.33839999999999998</v>
      </c>
      <c r="E201" s="3">
        <v>0.1968</v>
      </c>
      <c r="F201" s="3">
        <v>0.48</v>
      </c>
      <c r="G201" s="3">
        <v>0.20025264043203023</v>
      </c>
      <c r="H201" s="3">
        <v>0</v>
      </c>
      <c r="I201" s="3" t="e">
        <v>#DIV/0!</v>
      </c>
      <c r="J201" s="3">
        <v>0</v>
      </c>
      <c r="K201" s="3">
        <v>0</v>
      </c>
      <c r="L201" s="3" t="e">
        <v>#DIV/0!</v>
      </c>
      <c r="M201" s="3"/>
      <c r="N201" s="3"/>
      <c r="O201" s="3"/>
      <c r="P201" s="3"/>
      <c r="Q201" s="3"/>
    </row>
    <row r="202" spans="1:17" x14ac:dyDescent="0.2">
      <c r="B202" t="s">
        <v>827</v>
      </c>
      <c r="C202" s="3">
        <v>7</v>
      </c>
      <c r="D202" s="3">
        <v>1.1489100000000003</v>
      </c>
      <c r="E202" s="3">
        <v>0.315</v>
      </c>
      <c r="F202" s="3">
        <v>2.54</v>
      </c>
      <c r="G202" s="3">
        <v>0.79065739811880531</v>
      </c>
      <c r="H202" s="3">
        <v>1</v>
      </c>
      <c r="I202" s="3">
        <v>0.40100000000000002</v>
      </c>
      <c r="J202" s="3">
        <v>0.40100000000000002</v>
      </c>
      <c r="K202" s="3">
        <v>0.40100000000000002</v>
      </c>
      <c r="L202" s="3" t="e">
        <v>#DIV/0!</v>
      </c>
      <c r="M202" s="3">
        <v>1</v>
      </c>
      <c r="N202" s="3">
        <v>0.80099999999999993</v>
      </c>
      <c r="O202" s="3">
        <v>0.80099999999999993</v>
      </c>
      <c r="P202" s="3">
        <v>0.80099999999999993</v>
      </c>
      <c r="Q202" s="3" t="e">
        <v>#DIV/0!</v>
      </c>
    </row>
    <row r="203" spans="1:17" x14ac:dyDescent="0.2">
      <c r="B203" t="s">
        <v>4061</v>
      </c>
      <c r="C203" s="3">
        <v>0</v>
      </c>
      <c r="D203" s="3" t="e">
        <v>#DIV/0!</v>
      </c>
      <c r="E203" s="3">
        <v>0</v>
      </c>
      <c r="F203" s="3">
        <v>0</v>
      </c>
      <c r="G203" s="3" t="e">
        <v>#DIV/0!</v>
      </c>
      <c r="H203" s="3">
        <v>0</v>
      </c>
      <c r="I203" s="3" t="e">
        <v>#DIV/0!</v>
      </c>
      <c r="J203" s="3">
        <v>0</v>
      </c>
      <c r="K203" s="3">
        <v>0</v>
      </c>
      <c r="L203" s="3" t="e">
        <v>#DIV/0!</v>
      </c>
      <c r="M203" s="3">
        <v>1</v>
      </c>
      <c r="N203" s="3">
        <v>8.8699999999999992</v>
      </c>
      <c r="O203" s="3">
        <v>8.8699999999999992</v>
      </c>
      <c r="P203" s="3">
        <v>8.8699999999999992</v>
      </c>
      <c r="Q203" s="3" t="e">
        <v>#DIV/0!</v>
      </c>
    </row>
    <row r="204" spans="1:17" x14ac:dyDescent="0.2">
      <c r="B204" t="s">
        <v>1805</v>
      </c>
      <c r="C204" s="3">
        <v>9</v>
      </c>
      <c r="D204" s="3">
        <v>0.66155555555555567</v>
      </c>
      <c r="E204" s="3">
        <v>0.10100000000000001</v>
      </c>
      <c r="F204" s="3">
        <v>2.89</v>
      </c>
      <c r="G204" s="3">
        <v>0.92540506146107593</v>
      </c>
      <c r="H204" s="3">
        <v>2</v>
      </c>
      <c r="I204" s="3">
        <v>0.5</v>
      </c>
      <c r="J204" s="3">
        <v>0.45999999999999996</v>
      </c>
      <c r="K204" s="3">
        <v>0.54</v>
      </c>
      <c r="L204" s="3">
        <v>5.6568542494923629E-2</v>
      </c>
      <c r="M204" s="3">
        <v>2</v>
      </c>
      <c r="N204" s="3">
        <v>1.7349999999999999</v>
      </c>
      <c r="O204" s="3">
        <v>1.63</v>
      </c>
      <c r="P204" s="3">
        <v>1.8399999999999999</v>
      </c>
      <c r="Q204" s="3">
        <v>0.1484924240491724</v>
      </c>
    </row>
    <row r="205" spans="1:17" x14ac:dyDescent="0.2">
      <c r="B205" t="s">
        <v>4058</v>
      </c>
      <c r="C205" s="3">
        <v>2</v>
      </c>
      <c r="D205" s="3">
        <v>0.09</v>
      </c>
      <c r="E205" s="3">
        <v>0.06</v>
      </c>
      <c r="F205" s="3">
        <v>0.12</v>
      </c>
      <c r="G205" s="3">
        <v>4.2426406871192847E-2</v>
      </c>
      <c r="H205" s="3">
        <v>0</v>
      </c>
      <c r="I205" s="3" t="e">
        <v>#DIV/0!</v>
      </c>
      <c r="J205" s="3">
        <v>0</v>
      </c>
      <c r="K205" s="3">
        <v>0</v>
      </c>
      <c r="L205" s="3" t="e">
        <v>#DIV/0!</v>
      </c>
      <c r="M205" s="3">
        <v>2</v>
      </c>
      <c r="N205" s="3">
        <v>10.814999999999998</v>
      </c>
      <c r="O205" s="3">
        <v>10.729999999999999</v>
      </c>
      <c r="P205" s="3">
        <v>10.899999999999999</v>
      </c>
      <c r="Q205" s="3">
        <v>0.12020815280187594</v>
      </c>
    </row>
    <row r="206" spans="1:17" x14ac:dyDescent="0.2">
      <c r="B206" t="s">
        <v>1822</v>
      </c>
      <c r="C206" s="3">
        <v>2</v>
      </c>
      <c r="D206" s="3">
        <v>0.17499999999999999</v>
      </c>
      <c r="E206" s="3">
        <v>0.11</v>
      </c>
      <c r="F206" s="3">
        <v>0.24</v>
      </c>
      <c r="G206" s="3">
        <v>9.1923881554251213E-2</v>
      </c>
      <c r="H206" s="3">
        <v>0</v>
      </c>
      <c r="I206" s="3" t="e">
        <v>#DIV/0!</v>
      </c>
      <c r="J206" s="3">
        <v>0</v>
      </c>
      <c r="K206" s="3">
        <v>0</v>
      </c>
      <c r="L206" s="3" t="e">
        <v>#DIV/0!</v>
      </c>
      <c r="M206" s="3"/>
      <c r="N206" s="3"/>
      <c r="O206" s="3"/>
      <c r="P206" s="3"/>
      <c r="Q206" s="3"/>
    </row>
    <row r="207" spans="1:17" x14ac:dyDescent="0.2">
      <c r="B207" t="s">
        <v>771</v>
      </c>
      <c r="C207" s="3">
        <v>17</v>
      </c>
      <c r="D207" s="3">
        <v>0.48613236187165776</v>
      </c>
      <c r="E207" s="3">
        <v>0.2</v>
      </c>
      <c r="F207" s="3">
        <v>1.73</v>
      </c>
      <c r="G207" s="3">
        <v>0.35138775912544246</v>
      </c>
      <c r="H207" s="3">
        <v>11</v>
      </c>
      <c r="I207" s="3">
        <v>0.52407768595041326</v>
      </c>
      <c r="J207" s="3">
        <v>0.35</v>
      </c>
      <c r="K207" s="3">
        <v>0.7827272727272726</v>
      </c>
      <c r="L207" s="3">
        <v>0.15014109701968623</v>
      </c>
      <c r="M207" s="3">
        <v>12</v>
      </c>
      <c r="N207" s="3">
        <v>1.2440924242424243</v>
      </c>
      <c r="O207" s="3">
        <v>0.43</v>
      </c>
      <c r="P207" s="3">
        <v>2.6000000000000005</v>
      </c>
      <c r="Q207" s="3">
        <v>0.69035682704862289</v>
      </c>
    </row>
    <row r="208" spans="1:17" x14ac:dyDescent="0.2">
      <c r="B208" t="s">
        <v>1853</v>
      </c>
      <c r="C208" s="3">
        <v>2</v>
      </c>
      <c r="D208" s="3">
        <v>0.17499999999999999</v>
      </c>
      <c r="E208" s="3">
        <v>0.12</v>
      </c>
      <c r="F208" s="3">
        <v>0.23</v>
      </c>
      <c r="G208" s="3">
        <v>7.7781745930520271E-2</v>
      </c>
      <c r="H208" s="3">
        <v>0</v>
      </c>
      <c r="I208" s="3" t="e">
        <v>#DIV/0!</v>
      </c>
      <c r="J208" s="3">
        <v>0</v>
      </c>
      <c r="K208" s="3">
        <v>0</v>
      </c>
      <c r="L208" s="3" t="e">
        <v>#DIV/0!</v>
      </c>
      <c r="M208" s="3"/>
      <c r="N208" s="3"/>
      <c r="O208" s="3"/>
      <c r="P208" s="3"/>
      <c r="Q208" s="3"/>
    </row>
    <row r="209" spans="2:17" x14ac:dyDescent="0.2">
      <c r="B209" t="s">
        <v>3819</v>
      </c>
      <c r="C209" s="3">
        <v>1</v>
      </c>
      <c r="D209" s="3">
        <v>0.25</v>
      </c>
      <c r="E209" s="3">
        <v>0.25</v>
      </c>
      <c r="F209" s="3">
        <v>0.25</v>
      </c>
      <c r="G209" s="3" t="e">
        <v>#DIV/0!</v>
      </c>
      <c r="H209" s="3">
        <v>0</v>
      </c>
      <c r="I209" s="3" t="e">
        <v>#DIV/0!</v>
      </c>
      <c r="J209" s="3">
        <v>0</v>
      </c>
      <c r="K209" s="3">
        <v>0</v>
      </c>
      <c r="L209" s="3" t="e">
        <v>#DIV/0!</v>
      </c>
      <c r="M209" s="3"/>
      <c r="N209" s="3"/>
      <c r="O209" s="3"/>
      <c r="P209" s="3"/>
      <c r="Q209" s="3"/>
    </row>
    <row r="210" spans="2:17" x14ac:dyDescent="0.2">
      <c r="B210" t="s">
        <v>1864</v>
      </c>
      <c r="C210" s="3">
        <v>5</v>
      </c>
      <c r="D210" s="3">
        <v>8.1799999999999998E-2</v>
      </c>
      <c r="E210" s="3">
        <v>1.7999999999999999E-2</v>
      </c>
      <c r="F210" s="3">
        <v>0.14000000000000001</v>
      </c>
      <c r="G210" s="3">
        <v>5.1982689426385009E-2</v>
      </c>
      <c r="H210" s="3">
        <v>0</v>
      </c>
      <c r="I210" s="3" t="e">
        <v>#DIV/0!</v>
      </c>
      <c r="J210" s="3">
        <v>0</v>
      </c>
      <c r="K210" s="3">
        <v>0</v>
      </c>
      <c r="L210" s="3" t="e">
        <v>#DIV/0!</v>
      </c>
      <c r="M210" s="3">
        <v>6</v>
      </c>
      <c r="N210" s="3">
        <v>0.18000000000000002</v>
      </c>
      <c r="O210" s="3">
        <v>4.0000000000000001E-3</v>
      </c>
      <c r="P210" s="3">
        <v>0.43</v>
      </c>
      <c r="Q210" s="3">
        <v>0.15353566360946894</v>
      </c>
    </row>
    <row r="211" spans="2:17" x14ac:dyDescent="0.2">
      <c r="B211" t="s">
        <v>3511</v>
      </c>
      <c r="C211" s="3">
        <v>2</v>
      </c>
      <c r="D211" s="3">
        <v>0.1115</v>
      </c>
      <c r="E211" s="3">
        <v>2.3E-2</v>
      </c>
      <c r="F211" s="3">
        <v>0.2</v>
      </c>
      <c r="G211" s="3">
        <v>0.12515790027001894</v>
      </c>
      <c r="H211" s="3">
        <v>1</v>
      </c>
      <c r="I211" s="3">
        <v>0.218</v>
      </c>
      <c r="J211" s="3">
        <v>0.218</v>
      </c>
      <c r="K211" s="3">
        <v>0.218</v>
      </c>
      <c r="L211" s="3" t="e">
        <v>#DIV/0!</v>
      </c>
      <c r="M211" s="3">
        <v>1</v>
      </c>
      <c r="N211" s="3">
        <v>0.26700000000000002</v>
      </c>
      <c r="O211" s="3">
        <v>0.26700000000000002</v>
      </c>
      <c r="P211" s="3">
        <v>0.26700000000000002</v>
      </c>
      <c r="Q211" s="3" t="e">
        <v>#DIV/0!</v>
      </c>
    </row>
    <row r="212" spans="2:17" x14ac:dyDescent="0.2">
      <c r="B212" t="s">
        <v>1868</v>
      </c>
      <c r="C212" s="3">
        <v>1</v>
      </c>
      <c r="D212" s="3">
        <v>7.8799999999999995E-2</v>
      </c>
      <c r="E212" s="3">
        <v>7.8799999999999995E-2</v>
      </c>
      <c r="F212" s="3">
        <v>7.8799999999999995E-2</v>
      </c>
      <c r="G212" s="3" t="e">
        <v>#DIV/0!</v>
      </c>
      <c r="H212" s="3">
        <v>0</v>
      </c>
      <c r="I212" s="3" t="e">
        <v>#DIV/0!</v>
      </c>
      <c r="J212" s="3">
        <v>0</v>
      </c>
      <c r="K212" s="3">
        <v>0</v>
      </c>
      <c r="L212" s="3" t="e">
        <v>#DIV/0!</v>
      </c>
      <c r="M212" s="3"/>
      <c r="N212" s="3"/>
      <c r="O212" s="3"/>
      <c r="P212" s="3"/>
      <c r="Q212" s="3"/>
    </row>
    <row r="213" spans="2:17" x14ac:dyDescent="0.2">
      <c r="B213" t="s">
        <v>875</v>
      </c>
      <c r="C213" s="3">
        <v>3</v>
      </c>
      <c r="D213" s="3">
        <v>0.36483185999999995</v>
      </c>
      <c r="E213" s="3">
        <v>0.27288365999999997</v>
      </c>
      <c r="F213" s="3">
        <v>0.44161191999999999</v>
      </c>
      <c r="G213" s="3">
        <v>8.5380681561765842E-2</v>
      </c>
      <c r="H213" s="3">
        <v>0</v>
      </c>
      <c r="I213" s="3" t="e">
        <v>#DIV/0!</v>
      </c>
      <c r="J213" s="3">
        <v>0</v>
      </c>
      <c r="K213" s="3">
        <v>0</v>
      </c>
      <c r="L213" s="3" t="e">
        <v>#DIV/0!</v>
      </c>
      <c r="M213" s="3">
        <v>1</v>
      </c>
      <c r="N213" s="3">
        <v>0.39</v>
      </c>
      <c r="O213" s="3">
        <v>0.39</v>
      </c>
      <c r="P213" s="3">
        <v>0.39</v>
      </c>
      <c r="Q213" s="3" t="e">
        <v>#DIV/0!</v>
      </c>
    </row>
    <row r="214" spans="2:17" x14ac:dyDescent="0.2">
      <c r="B214" t="s">
        <v>1872</v>
      </c>
      <c r="C214" s="3">
        <v>2</v>
      </c>
      <c r="D214" s="3">
        <v>0.29557500000000003</v>
      </c>
      <c r="E214" s="3">
        <v>0.18</v>
      </c>
      <c r="F214" s="3">
        <v>0.41115000000000002</v>
      </c>
      <c r="G214" s="3">
        <v>0.16344773247127031</v>
      </c>
      <c r="H214" s="3">
        <v>0</v>
      </c>
      <c r="I214" s="3" t="e">
        <v>#DIV/0!</v>
      </c>
      <c r="J214" s="3">
        <v>0</v>
      </c>
      <c r="K214" s="3">
        <v>0</v>
      </c>
      <c r="L214" s="3" t="e">
        <v>#DIV/0!</v>
      </c>
      <c r="M214" s="3"/>
      <c r="N214" s="3"/>
      <c r="O214" s="3"/>
      <c r="P214" s="3"/>
      <c r="Q214" s="3"/>
    </row>
    <row r="215" spans="2:17" x14ac:dyDescent="0.2">
      <c r="B215" t="s">
        <v>2991</v>
      </c>
      <c r="C215" s="3">
        <v>2</v>
      </c>
      <c r="D215" s="3">
        <v>5.0446000000000005E-2</v>
      </c>
      <c r="E215" s="3">
        <v>4.4065E-2</v>
      </c>
      <c r="F215" s="3">
        <v>5.6827000000000003E-2</v>
      </c>
      <c r="G215" s="3">
        <v>9.0240967415026966E-3</v>
      </c>
      <c r="H215" s="3">
        <v>0</v>
      </c>
      <c r="I215" s="3" t="e">
        <v>#DIV/0!</v>
      </c>
      <c r="J215" s="3">
        <v>0</v>
      </c>
      <c r="K215" s="3">
        <v>0</v>
      </c>
      <c r="L215" s="3" t="e">
        <v>#DIV/0!</v>
      </c>
      <c r="M215" s="3"/>
      <c r="N215" s="3"/>
      <c r="O215" s="3"/>
      <c r="P215" s="3"/>
      <c r="Q215" s="3"/>
    </row>
    <row r="216" spans="2:17" x14ac:dyDescent="0.2">
      <c r="B216" t="s">
        <v>2904</v>
      </c>
      <c r="C216" s="3">
        <v>1</v>
      </c>
      <c r="D216" s="3">
        <v>6.25</v>
      </c>
      <c r="E216" s="3">
        <v>6.25</v>
      </c>
      <c r="F216" s="3">
        <v>6.25</v>
      </c>
      <c r="G216" s="3" t="e">
        <v>#DIV/0!</v>
      </c>
      <c r="H216" s="3">
        <v>0</v>
      </c>
      <c r="I216" s="3" t="e">
        <v>#DIV/0!</v>
      </c>
      <c r="J216" s="3">
        <v>0</v>
      </c>
      <c r="K216" s="3">
        <v>0</v>
      </c>
      <c r="L216" s="3" t="e">
        <v>#DIV/0!</v>
      </c>
      <c r="M216" s="3"/>
      <c r="N216" s="3"/>
      <c r="O216" s="3"/>
      <c r="P216" s="3"/>
      <c r="Q216" s="3"/>
    </row>
    <row r="217" spans="2:17" x14ac:dyDescent="0.2">
      <c r="B217" t="s">
        <v>1946</v>
      </c>
      <c r="C217" s="3">
        <v>4</v>
      </c>
      <c r="D217" s="3">
        <v>0.272331875</v>
      </c>
      <c r="E217" s="3">
        <v>0.18450696</v>
      </c>
      <c r="F217" s="3">
        <v>0.37178664</v>
      </c>
      <c r="G217" s="3">
        <v>7.8881189566321147E-2</v>
      </c>
      <c r="H217" s="3">
        <v>0</v>
      </c>
      <c r="I217" s="3" t="e">
        <v>#DIV/0!</v>
      </c>
      <c r="J217" s="3">
        <v>0</v>
      </c>
      <c r="K217" s="3">
        <v>0</v>
      </c>
      <c r="L217" s="3" t="e">
        <v>#DIV/0!</v>
      </c>
      <c r="M217" s="3"/>
      <c r="N217" s="3"/>
      <c r="O217" s="3"/>
      <c r="P217" s="3"/>
      <c r="Q217" s="3"/>
    </row>
    <row r="218" spans="2:17" x14ac:dyDescent="0.2">
      <c r="B218" t="s">
        <v>845</v>
      </c>
      <c r="C218" s="3">
        <v>4</v>
      </c>
      <c r="D218" s="3">
        <v>0.39734749999999996</v>
      </c>
      <c r="E218" s="3">
        <v>0.08</v>
      </c>
      <c r="F218" s="3">
        <v>1.25</v>
      </c>
      <c r="G218" s="3">
        <v>0.56891757723915215</v>
      </c>
      <c r="H218" s="3">
        <v>0</v>
      </c>
      <c r="I218" s="3" t="e">
        <v>#DIV/0!</v>
      </c>
      <c r="J218" s="3">
        <v>0</v>
      </c>
      <c r="K218" s="3">
        <v>0</v>
      </c>
      <c r="L218" s="3" t="e">
        <v>#DIV/0!</v>
      </c>
      <c r="M218" s="3"/>
      <c r="N218" s="3"/>
      <c r="O218" s="3"/>
      <c r="P218" s="3"/>
      <c r="Q218" s="3"/>
    </row>
    <row r="219" spans="2:17" x14ac:dyDescent="0.2">
      <c r="B219" t="s">
        <v>4059</v>
      </c>
      <c r="C219" s="3">
        <v>1</v>
      </c>
      <c r="D219" s="3">
        <v>3.8605999999999998</v>
      </c>
      <c r="E219" s="3">
        <v>3.8605999999999998</v>
      </c>
      <c r="F219" s="3">
        <v>3.8605999999999998</v>
      </c>
      <c r="G219" s="3" t="e">
        <v>#DIV/0!</v>
      </c>
      <c r="H219" s="3">
        <v>0</v>
      </c>
      <c r="I219" s="3" t="e">
        <v>#DIV/0!</v>
      </c>
      <c r="J219" s="3">
        <v>0</v>
      </c>
      <c r="K219" s="3">
        <v>0</v>
      </c>
      <c r="L219" s="3" t="e">
        <v>#DIV/0!</v>
      </c>
      <c r="M219" s="3">
        <v>1</v>
      </c>
      <c r="N219" s="3">
        <v>3.98</v>
      </c>
      <c r="O219" s="3">
        <v>3.98</v>
      </c>
      <c r="P219" s="3">
        <v>3.98</v>
      </c>
      <c r="Q219" s="3" t="e">
        <v>#DIV/0!</v>
      </c>
    </row>
    <row r="220" spans="2:17" x14ac:dyDescent="0.2">
      <c r="B220" t="s">
        <v>884</v>
      </c>
      <c r="C220" s="3">
        <v>0</v>
      </c>
      <c r="D220" s="3" t="e">
        <v>#DIV/0!</v>
      </c>
      <c r="E220" s="3">
        <v>0</v>
      </c>
      <c r="F220" s="3">
        <v>0</v>
      </c>
      <c r="G220" s="3" t="e">
        <v>#DIV/0!</v>
      </c>
      <c r="H220" s="3">
        <v>0</v>
      </c>
      <c r="I220" s="3" t="e">
        <v>#DIV/0!</v>
      </c>
      <c r="J220" s="3">
        <v>0</v>
      </c>
      <c r="K220" s="3">
        <v>0</v>
      </c>
      <c r="L220" s="3" t="e">
        <v>#DIV/0!</v>
      </c>
      <c r="M220" s="3">
        <v>1</v>
      </c>
      <c r="N220" s="3">
        <v>1.3</v>
      </c>
      <c r="O220" s="3">
        <v>1.3</v>
      </c>
      <c r="P220" s="3">
        <v>1.3</v>
      </c>
      <c r="Q220" s="3" t="e">
        <v>#DIV/0!</v>
      </c>
    </row>
    <row r="221" spans="2:17" x14ac:dyDescent="0.2">
      <c r="B221" t="s">
        <v>659</v>
      </c>
      <c r="C221" s="3">
        <v>3</v>
      </c>
      <c r="D221" s="3">
        <v>5.5666666666666663E-2</v>
      </c>
      <c r="E221" s="3">
        <v>5.1400000000000001E-2</v>
      </c>
      <c r="F221" s="3">
        <v>5.8299999999999998E-2</v>
      </c>
      <c r="G221" s="3">
        <v>3.7287173844814292E-3</v>
      </c>
      <c r="H221" s="3">
        <v>0</v>
      </c>
      <c r="I221" s="3" t="e">
        <v>#DIV/0!</v>
      </c>
      <c r="J221" s="3">
        <v>0</v>
      </c>
      <c r="K221" s="3">
        <v>0</v>
      </c>
      <c r="L221" s="3" t="e">
        <v>#DIV/0!</v>
      </c>
      <c r="M221" s="3"/>
      <c r="N221" s="3"/>
      <c r="O221" s="3"/>
      <c r="P221" s="3"/>
      <c r="Q221" s="3"/>
    </row>
    <row r="222" spans="2:17" x14ac:dyDescent="0.2">
      <c r="B222" t="s">
        <v>4057</v>
      </c>
      <c r="C222" s="3">
        <v>1</v>
      </c>
      <c r="D222" s="3">
        <v>0.30299999999999999</v>
      </c>
      <c r="E222" s="3">
        <v>0.30299999999999999</v>
      </c>
      <c r="F222" s="3">
        <v>0.30299999999999999</v>
      </c>
      <c r="G222" s="3" t="e">
        <v>#DIV/0!</v>
      </c>
      <c r="H222" s="3">
        <v>0</v>
      </c>
      <c r="I222" s="3" t="e">
        <v>#DIV/0!</v>
      </c>
      <c r="J222" s="3">
        <v>0</v>
      </c>
      <c r="K222" s="3">
        <v>0</v>
      </c>
      <c r="L222" s="3" t="e">
        <v>#DIV/0!</v>
      </c>
      <c r="M222" s="3"/>
      <c r="N222" s="3"/>
      <c r="O222" s="3"/>
      <c r="P222" s="3"/>
      <c r="Q222" s="3"/>
    </row>
    <row r="223" spans="2:17" x14ac:dyDescent="0.2">
      <c r="B223" t="s">
        <v>887</v>
      </c>
      <c r="C223" s="3">
        <v>0</v>
      </c>
      <c r="D223" s="3" t="e">
        <v>#DIV/0!</v>
      </c>
      <c r="E223" s="3">
        <v>0</v>
      </c>
      <c r="F223" s="3">
        <v>0</v>
      </c>
      <c r="G223" s="3" t="e">
        <v>#DIV/0!</v>
      </c>
      <c r="H223" s="3">
        <v>0</v>
      </c>
      <c r="I223" s="3" t="e">
        <v>#DIV/0!</v>
      </c>
      <c r="J223" s="3">
        <v>0</v>
      </c>
      <c r="K223" s="3">
        <v>0</v>
      </c>
      <c r="L223" s="3" t="e">
        <v>#DIV/0!</v>
      </c>
      <c r="M223" s="3">
        <v>1</v>
      </c>
      <c r="N223" s="3">
        <v>0.48</v>
      </c>
      <c r="O223" s="3">
        <v>0.48</v>
      </c>
      <c r="P223" s="3">
        <v>0.48</v>
      </c>
      <c r="Q223" s="3" t="e">
        <v>#DIV/0!</v>
      </c>
    </row>
    <row r="224" spans="2:17" x14ac:dyDescent="0.2">
      <c r="B224" t="s">
        <v>1976</v>
      </c>
      <c r="C224" s="3">
        <v>0</v>
      </c>
      <c r="D224" s="3" t="e">
        <v>#DIV/0!</v>
      </c>
      <c r="E224" s="3">
        <v>0</v>
      </c>
      <c r="F224" s="3">
        <v>0</v>
      </c>
      <c r="G224" s="3" t="e">
        <v>#DIV/0!</v>
      </c>
      <c r="H224" s="3">
        <v>0</v>
      </c>
      <c r="I224" s="3" t="e">
        <v>#DIV/0!</v>
      </c>
      <c r="J224" s="3">
        <v>0</v>
      </c>
      <c r="K224" s="3">
        <v>0</v>
      </c>
      <c r="L224" s="3" t="e">
        <v>#DIV/0!</v>
      </c>
      <c r="M224" s="3">
        <v>1</v>
      </c>
      <c r="N224" s="3">
        <v>0.43</v>
      </c>
      <c r="O224" s="3">
        <v>0.43</v>
      </c>
      <c r="P224" s="3">
        <v>0.43</v>
      </c>
      <c r="Q224" s="3" t="e">
        <v>#DIV/0!</v>
      </c>
    </row>
    <row r="225" spans="2:17" x14ac:dyDescent="0.2">
      <c r="B225" t="s">
        <v>1995</v>
      </c>
      <c r="C225" s="3">
        <v>3</v>
      </c>
      <c r="D225" s="3">
        <v>0.64566666666666672</v>
      </c>
      <c r="E225" s="3">
        <v>0.56999999999999995</v>
      </c>
      <c r="F225" s="3">
        <v>0.68700000000000006</v>
      </c>
      <c r="G225" s="3">
        <v>6.562265868839369E-2</v>
      </c>
      <c r="H225" s="3">
        <v>0</v>
      </c>
      <c r="I225" s="3" t="e">
        <v>#DIV/0!</v>
      </c>
      <c r="J225" s="3">
        <v>0</v>
      </c>
      <c r="K225" s="3">
        <v>0</v>
      </c>
      <c r="L225" s="3" t="e">
        <v>#DIV/0!</v>
      </c>
      <c r="M225" s="3">
        <v>3</v>
      </c>
      <c r="N225" s="3">
        <v>4.3209999999999997</v>
      </c>
      <c r="O225" s="3">
        <v>0.66800000000000004</v>
      </c>
      <c r="P225" s="3">
        <v>11.420999999999999</v>
      </c>
      <c r="Q225" s="3">
        <v>6.149642997768245</v>
      </c>
    </row>
    <row r="226" spans="2:17" x14ac:dyDescent="0.2">
      <c r="B226" t="s">
        <v>2460</v>
      </c>
      <c r="C226" s="3">
        <v>2</v>
      </c>
      <c r="D226" s="3">
        <v>0.11785933500000001</v>
      </c>
      <c r="E226" s="3">
        <v>0.11627535</v>
      </c>
      <c r="F226" s="3">
        <v>0.11944332000000001</v>
      </c>
      <c r="G226" s="3">
        <v>2.2400930695946389E-3</v>
      </c>
      <c r="H226" s="3">
        <v>0</v>
      </c>
      <c r="I226" s="3" t="e">
        <v>#DIV/0!</v>
      </c>
      <c r="J226" s="3">
        <v>0</v>
      </c>
      <c r="K226" s="3">
        <v>0</v>
      </c>
      <c r="L226" s="3" t="e">
        <v>#DIV/0!</v>
      </c>
      <c r="M226" s="3"/>
      <c r="N226" s="3"/>
      <c r="O226" s="3"/>
      <c r="P226" s="3"/>
      <c r="Q226" s="3"/>
    </row>
    <row r="227" spans="2:17" x14ac:dyDescent="0.2">
      <c r="B227" t="s">
        <v>868</v>
      </c>
      <c r="C227" s="3">
        <v>2</v>
      </c>
      <c r="D227" s="3">
        <v>6.9000000000000006E-2</v>
      </c>
      <c r="E227" s="3">
        <v>4.3999999999999997E-2</v>
      </c>
      <c r="F227" s="3">
        <v>9.4E-2</v>
      </c>
      <c r="G227" s="3">
        <v>3.5355339059327369E-2</v>
      </c>
      <c r="H227" s="3">
        <v>0</v>
      </c>
      <c r="I227" s="3" t="e">
        <v>#DIV/0!</v>
      </c>
      <c r="J227" s="3">
        <v>0</v>
      </c>
      <c r="K227" s="3">
        <v>0</v>
      </c>
      <c r="L227" s="3" t="e">
        <v>#DIV/0!</v>
      </c>
      <c r="M227" s="3">
        <v>1</v>
      </c>
      <c r="N227" s="3">
        <v>0.43</v>
      </c>
      <c r="O227" s="3">
        <v>0.43</v>
      </c>
      <c r="P227" s="3">
        <v>0.43</v>
      </c>
      <c r="Q227" s="3" t="e">
        <v>#DIV/0!</v>
      </c>
    </row>
    <row r="228" spans="2:17" x14ac:dyDescent="0.2">
      <c r="B228" t="s">
        <v>3754</v>
      </c>
      <c r="C228" s="3">
        <v>5</v>
      </c>
      <c r="D228" s="3">
        <v>1.2138120000000001</v>
      </c>
      <c r="E228" s="3">
        <v>0.20499999999999999</v>
      </c>
      <c r="F228" s="3">
        <v>2.9725000000000001</v>
      </c>
      <c r="G228" s="3">
        <v>1.3824788015445302</v>
      </c>
      <c r="H228" s="3">
        <v>2</v>
      </c>
      <c r="I228" s="3">
        <v>2.77338</v>
      </c>
      <c r="J228" s="3">
        <v>2.5492599999999999</v>
      </c>
      <c r="K228" s="3">
        <v>2.9975000000000001</v>
      </c>
      <c r="L228" s="3">
        <v>0.3169535435990552</v>
      </c>
      <c r="M228" s="3">
        <v>2</v>
      </c>
      <c r="N228" s="3">
        <v>3.0407500000000001</v>
      </c>
      <c r="O228" s="3">
        <v>2.62</v>
      </c>
      <c r="P228" s="3">
        <v>3.4615</v>
      </c>
      <c r="Q228" s="3">
        <v>0.59503035636848078</v>
      </c>
    </row>
    <row r="229" spans="2:17" x14ac:dyDescent="0.2">
      <c r="B229" t="s">
        <v>2949</v>
      </c>
      <c r="C229" s="3">
        <v>1</v>
      </c>
      <c r="D229" s="3">
        <v>0.15075</v>
      </c>
      <c r="E229" s="3">
        <v>0.15075</v>
      </c>
      <c r="F229" s="3">
        <v>0.15075</v>
      </c>
      <c r="G229" s="3" t="e">
        <v>#DIV/0!</v>
      </c>
      <c r="H229" s="3">
        <v>0</v>
      </c>
      <c r="I229" s="3" t="e">
        <v>#DIV/0!</v>
      </c>
      <c r="J229" s="3">
        <v>0</v>
      </c>
      <c r="K229" s="3">
        <v>0</v>
      </c>
      <c r="L229" s="3" t="e">
        <v>#DIV/0!</v>
      </c>
      <c r="M229" s="3"/>
      <c r="N229" s="3"/>
      <c r="O229" s="3"/>
      <c r="P229" s="3"/>
      <c r="Q229" s="3"/>
    </row>
    <row r="230" spans="2:17" x14ac:dyDescent="0.2">
      <c r="B230" t="s">
        <v>2057</v>
      </c>
      <c r="C230" s="3">
        <v>18</v>
      </c>
      <c r="D230" s="3">
        <v>0.18167166666666665</v>
      </c>
      <c r="E230" s="3">
        <v>2.5000000000000001E-2</v>
      </c>
      <c r="F230" s="3">
        <v>0.32700000000000001</v>
      </c>
      <c r="G230" s="3">
        <v>0.10341343206930592</v>
      </c>
      <c r="H230" s="3">
        <v>5</v>
      </c>
      <c r="I230" s="3">
        <v>0.25296600000000002</v>
      </c>
      <c r="J230" s="3">
        <v>0.18359999999999999</v>
      </c>
      <c r="K230" s="3">
        <v>0.34499999999999997</v>
      </c>
      <c r="L230" s="3">
        <v>6.1072839953615884E-2</v>
      </c>
      <c r="M230" s="3">
        <v>8</v>
      </c>
      <c r="N230" s="3">
        <v>0.85615000000000008</v>
      </c>
      <c r="O230" s="3">
        <v>0.19800000000000001</v>
      </c>
      <c r="P230" s="3">
        <v>3.24</v>
      </c>
      <c r="Q230" s="3">
        <v>1.0012153157894803</v>
      </c>
    </row>
    <row r="231" spans="2:17" x14ac:dyDescent="0.2">
      <c r="B231" t="s">
        <v>4062</v>
      </c>
      <c r="C231" s="3">
        <v>1</v>
      </c>
      <c r="D231" s="3">
        <v>0.05</v>
      </c>
      <c r="E231" s="3">
        <v>0.05</v>
      </c>
      <c r="F231" s="3">
        <v>0.05</v>
      </c>
      <c r="G231" s="3" t="e">
        <v>#DIV/0!</v>
      </c>
      <c r="H231" s="3">
        <v>0</v>
      </c>
      <c r="I231" s="3" t="e">
        <v>#DIV/0!</v>
      </c>
      <c r="J231" s="3">
        <v>0</v>
      </c>
      <c r="K231" s="3">
        <v>0</v>
      </c>
      <c r="L231" s="3" t="e">
        <v>#DIV/0!</v>
      </c>
      <c r="M231" s="3">
        <v>1</v>
      </c>
      <c r="N231" s="3">
        <v>10.109000000000002</v>
      </c>
      <c r="O231" s="3">
        <v>10.109000000000002</v>
      </c>
      <c r="P231" s="3">
        <v>10.109000000000002</v>
      </c>
      <c r="Q231" s="3" t="e">
        <v>#DIV/0!</v>
      </c>
    </row>
    <row r="232" spans="2:17" x14ac:dyDescent="0.2">
      <c r="B232" t="s">
        <v>736</v>
      </c>
      <c r="C232" s="3">
        <v>6</v>
      </c>
      <c r="D232" s="3">
        <v>3.0025563318042816</v>
      </c>
      <c r="E232" s="3">
        <v>0.06</v>
      </c>
      <c r="F232" s="3">
        <v>5.0029450000000004</v>
      </c>
      <c r="G232" s="3">
        <v>1.7628178625103332</v>
      </c>
      <c r="H232" s="3">
        <v>1</v>
      </c>
      <c r="I232" s="3">
        <v>2.2935779816513762</v>
      </c>
      <c r="J232" s="3">
        <v>2.2935779816513762</v>
      </c>
      <c r="K232" s="3">
        <v>2.2935779816513762</v>
      </c>
      <c r="L232" s="3" t="e">
        <v>#DIV/0!</v>
      </c>
      <c r="M232" s="3">
        <v>1</v>
      </c>
      <c r="N232" s="3">
        <v>2.7614678899082565</v>
      </c>
      <c r="O232" s="3">
        <v>2.7614678899082565</v>
      </c>
      <c r="P232" s="3">
        <v>2.7614678899082565</v>
      </c>
      <c r="Q232" s="3" t="e">
        <v>#DIV/0!</v>
      </c>
    </row>
    <row r="233" spans="2:17" x14ac:dyDescent="0.2">
      <c r="B233" t="s">
        <v>872</v>
      </c>
      <c r="C233" s="3">
        <v>3</v>
      </c>
      <c r="D233" s="3">
        <v>9.8333333333333328E-2</v>
      </c>
      <c r="E233" s="3">
        <v>3.9E-2</v>
      </c>
      <c r="F233" s="3">
        <v>0.21</v>
      </c>
      <c r="G233" s="3">
        <v>9.6769485548561907E-2</v>
      </c>
      <c r="H233" s="3">
        <v>0</v>
      </c>
      <c r="I233" s="3" t="e">
        <v>#DIV/0!</v>
      </c>
      <c r="J233" s="3">
        <v>0</v>
      </c>
      <c r="K233" s="3">
        <v>0</v>
      </c>
      <c r="L233" s="3" t="e">
        <v>#DIV/0!</v>
      </c>
      <c r="M233" s="3">
        <v>2</v>
      </c>
      <c r="N233" s="3">
        <v>0.107</v>
      </c>
      <c r="O233" s="3">
        <v>6.9000000000000006E-2</v>
      </c>
      <c r="P233" s="3">
        <v>0.14499999999999999</v>
      </c>
      <c r="Q233" s="3">
        <v>5.374011537017763E-2</v>
      </c>
    </row>
    <row r="234" spans="2:17" x14ac:dyDescent="0.2">
      <c r="B234" t="s">
        <v>2447</v>
      </c>
      <c r="C234" s="3">
        <v>7</v>
      </c>
      <c r="D234" s="3">
        <v>0.24193688857142856</v>
      </c>
      <c r="E234" s="3">
        <v>9.8400000000000001E-2</v>
      </c>
      <c r="F234" s="3">
        <v>0.54483833000000004</v>
      </c>
      <c r="G234" s="3">
        <v>0.15546099980427586</v>
      </c>
      <c r="H234" s="3">
        <v>0</v>
      </c>
      <c r="I234" s="3" t="e">
        <v>#DIV/0!</v>
      </c>
      <c r="J234" s="3">
        <v>0</v>
      </c>
      <c r="K234" s="3">
        <v>0</v>
      </c>
      <c r="L234" s="3" t="e">
        <v>#DIV/0!</v>
      </c>
      <c r="M234" s="3">
        <v>1</v>
      </c>
      <c r="N234" s="3">
        <v>0.43</v>
      </c>
      <c r="O234" s="3">
        <v>0.43</v>
      </c>
      <c r="P234" s="3">
        <v>0.43</v>
      </c>
      <c r="Q234" s="3" t="e">
        <v>#DIV/0!</v>
      </c>
    </row>
    <row r="235" spans="2:17" x14ac:dyDescent="0.2">
      <c r="B235" t="s">
        <v>2134</v>
      </c>
      <c r="C235" s="3">
        <v>6</v>
      </c>
      <c r="D235" s="3">
        <v>1.3299999999999998</v>
      </c>
      <c r="E235" s="3">
        <v>0.28999999999999998</v>
      </c>
      <c r="F235" s="3">
        <v>3.94</v>
      </c>
      <c r="G235" s="3">
        <v>1.5235484895466898</v>
      </c>
      <c r="H235" s="3">
        <v>0</v>
      </c>
      <c r="I235" s="3" t="e">
        <v>#DIV/0!</v>
      </c>
      <c r="J235" s="3">
        <v>0</v>
      </c>
      <c r="K235" s="3">
        <v>0</v>
      </c>
      <c r="L235" s="3" t="e">
        <v>#DIV/0!</v>
      </c>
      <c r="M235" s="3">
        <v>3</v>
      </c>
      <c r="N235" s="3">
        <v>3.8733333333333331</v>
      </c>
      <c r="O235" s="3">
        <v>0.38800000000000001</v>
      </c>
      <c r="P235" s="3">
        <v>10.635</v>
      </c>
      <c r="Q235" s="3">
        <v>5.8567074652344839</v>
      </c>
    </row>
    <row r="236" spans="2:17" x14ac:dyDescent="0.2">
      <c r="B236" t="s">
        <v>2152</v>
      </c>
      <c r="C236" s="3">
        <v>2</v>
      </c>
      <c r="D236" s="3">
        <v>0.43</v>
      </c>
      <c r="E236" s="3">
        <v>0.27</v>
      </c>
      <c r="F236" s="3">
        <v>0.59</v>
      </c>
      <c r="G236" s="3">
        <v>0.22627416997969527</v>
      </c>
      <c r="H236" s="3">
        <v>0</v>
      </c>
      <c r="I236" s="3" t="e">
        <v>#DIV/0!</v>
      </c>
      <c r="J236" s="3">
        <v>0</v>
      </c>
      <c r="K236" s="3">
        <v>0</v>
      </c>
      <c r="L236" s="3" t="e">
        <v>#DIV/0!</v>
      </c>
      <c r="M236" s="3">
        <v>1</v>
      </c>
      <c r="N236" s="3">
        <v>0.88</v>
      </c>
      <c r="O236" s="3">
        <v>0.88</v>
      </c>
      <c r="P236" s="3">
        <v>0.88</v>
      </c>
      <c r="Q236" s="3" t="e">
        <v>#DIV/0!</v>
      </c>
    </row>
    <row r="237" spans="2:17" x14ac:dyDescent="0.2">
      <c r="B237" t="s">
        <v>3963</v>
      </c>
      <c r="C237" s="3">
        <v>0</v>
      </c>
      <c r="D237" s="3" t="e">
        <v>#DIV/0!</v>
      </c>
      <c r="E237" s="3">
        <v>0</v>
      </c>
      <c r="F237" s="3">
        <v>0</v>
      </c>
      <c r="G237" s="3" t="e">
        <v>#DIV/0!</v>
      </c>
      <c r="H237" s="3">
        <v>0</v>
      </c>
      <c r="I237" s="3" t="e">
        <v>#DIV/0!</v>
      </c>
      <c r="J237" s="3">
        <v>0</v>
      </c>
      <c r="K237" s="3">
        <v>0</v>
      </c>
      <c r="L237" s="3" t="e">
        <v>#DIV/0!</v>
      </c>
      <c r="M237" s="3">
        <v>1</v>
      </c>
      <c r="N237" s="3">
        <v>0.91549999999999998</v>
      </c>
      <c r="O237" s="3">
        <v>0.91549999999999998</v>
      </c>
      <c r="P237" s="3">
        <v>0.91549999999999998</v>
      </c>
      <c r="Q237" s="3" t="e">
        <v>#DIV/0!</v>
      </c>
    </row>
    <row r="238" spans="2:17" x14ac:dyDescent="0.2">
      <c r="B238" t="s">
        <v>3815</v>
      </c>
      <c r="C238" s="3">
        <v>1</v>
      </c>
      <c r="D238" s="3">
        <v>0.66</v>
      </c>
      <c r="E238" s="3">
        <v>0.66</v>
      </c>
      <c r="F238" s="3">
        <v>0.66</v>
      </c>
      <c r="G238" s="3" t="e">
        <v>#DIV/0!</v>
      </c>
      <c r="H238" s="3">
        <v>0</v>
      </c>
      <c r="I238" s="3" t="e">
        <v>#DIV/0!</v>
      </c>
      <c r="J238" s="3">
        <v>0</v>
      </c>
      <c r="K238" s="3">
        <v>0</v>
      </c>
      <c r="L238" s="3" t="e">
        <v>#DIV/0!</v>
      </c>
      <c r="M238" s="3"/>
      <c r="N238" s="3"/>
      <c r="O238" s="3"/>
      <c r="P238" s="3"/>
      <c r="Q238" s="3"/>
    </row>
    <row r="239" spans="2:17" x14ac:dyDescent="0.2">
      <c r="B239" t="s">
        <v>3061</v>
      </c>
      <c r="C239" s="3">
        <v>1</v>
      </c>
      <c r="D239" s="3">
        <v>0.38279999999999997</v>
      </c>
      <c r="E239" s="3">
        <v>0.38279999999999997</v>
      </c>
      <c r="F239" s="3">
        <v>0.38279999999999997</v>
      </c>
      <c r="G239" s="3" t="e">
        <v>#DIV/0!</v>
      </c>
      <c r="H239" s="3">
        <v>2</v>
      </c>
      <c r="I239" s="3">
        <v>0.95251464499999994</v>
      </c>
      <c r="J239" s="3">
        <v>0.93291893999999997</v>
      </c>
      <c r="K239" s="3">
        <v>0.97211035000000001</v>
      </c>
      <c r="L239" s="3">
        <v>2.771251177526626E-2</v>
      </c>
      <c r="M239" s="3">
        <v>3</v>
      </c>
      <c r="N239" s="3">
        <v>0.85500976333333334</v>
      </c>
      <c r="O239" s="3">
        <v>0.66</v>
      </c>
      <c r="P239" s="3">
        <v>0.97211035000000001</v>
      </c>
      <c r="Q239" s="3">
        <v>0.17001646244096161</v>
      </c>
    </row>
    <row r="240" spans="2:17" x14ac:dyDescent="0.2">
      <c r="B240" t="s">
        <v>2204</v>
      </c>
      <c r="C240" s="3">
        <v>2</v>
      </c>
      <c r="D240" s="3">
        <v>0.16249999999999998</v>
      </c>
      <c r="E240" s="3">
        <v>0.151</v>
      </c>
      <c r="F240" s="3">
        <v>0.17399999999999999</v>
      </c>
      <c r="G240" s="3">
        <v>1.6263455967291045E-2</v>
      </c>
      <c r="H240" s="3">
        <v>2</v>
      </c>
      <c r="I240" s="3">
        <v>0.1895</v>
      </c>
      <c r="J240" s="3">
        <v>0.17799999999999999</v>
      </c>
      <c r="K240" s="3">
        <v>0.20099999999999998</v>
      </c>
      <c r="L240" s="3">
        <v>1.6263455967290192E-2</v>
      </c>
      <c r="M240" s="3">
        <v>2</v>
      </c>
      <c r="N240" s="3">
        <v>0.2545</v>
      </c>
      <c r="O240" s="3">
        <v>0.247</v>
      </c>
      <c r="P240" s="3">
        <v>0.26200000000000001</v>
      </c>
      <c r="Q240" s="3">
        <v>1.0606601717798937E-2</v>
      </c>
    </row>
    <row r="241" spans="2:17" x14ac:dyDescent="0.2">
      <c r="B241" t="s">
        <v>2206</v>
      </c>
      <c r="C241" s="3">
        <v>17</v>
      </c>
      <c r="D241" s="3">
        <v>0.21741176470588239</v>
      </c>
      <c r="E241" s="3">
        <v>0.09</v>
      </c>
      <c r="F241" s="3">
        <v>0.51800000000000002</v>
      </c>
      <c r="G241" s="3">
        <v>0.11818473824035466</v>
      </c>
      <c r="H241" s="3">
        <v>2</v>
      </c>
      <c r="I241" s="3">
        <v>0.998</v>
      </c>
      <c r="J241" s="3">
        <v>0.21000000000000002</v>
      </c>
      <c r="K241" s="3">
        <v>1.786</v>
      </c>
      <c r="L241" s="3">
        <v>1.1144002871499989</v>
      </c>
      <c r="M241" s="3">
        <v>9</v>
      </c>
      <c r="N241" s="3">
        <v>0.49477777777777782</v>
      </c>
      <c r="O241" s="3">
        <v>0.12</v>
      </c>
      <c r="P241" s="3">
        <v>2.0720000000000001</v>
      </c>
      <c r="Q241" s="3">
        <v>0.60960474444056334</v>
      </c>
    </row>
    <row r="242" spans="2:17" x14ac:dyDescent="0.2">
      <c r="B242" t="s">
        <v>2845</v>
      </c>
      <c r="C242" s="3">
        <v>2</v>
      </c>
      <c r="D242" s="3">
        <v>0.8919999999999999</v>
      </c>
      <c r="E242" s="3">
        <v>0.82899999999999996</v>
      </c>
      <c r="F242" s="3">
        <v>0.95499999999999996</v>
      </c>
      <c r="G242" s="3">
        <v>8.9095454429506241E-2</v>
      </c>
      <c r="H242" s="3">
        <v>2</v>
      </c>
      <c r="I242" s="3">
        <v>2.839</v>
      </c>
      <c r="J242" s="3">
        <v>2.7759999999999998</v>
      </c>
      <c r="K242" s="3">
        <v>2.9020000000000001</v>
      </c>
      <c r="L242" s="3">
        <v>8.9095454429521187E-2</v>
      </c>
      <c r="M242" s="3">
        <v>2</v>
      </c>
      <c r="N242" s="3">
        <v>3.1965000000000003</v>
      </c>
      <c r="O242" s="3">
        <v>3.1920000000000002</v>
      </c>
      <c r="P242" s="3">
        <v>3.2010000000000001</v>
      </c>
      <c r="Q242" s="3">
        <v>6.3639610304607706E-3</v>
      </c>
    </row>
    <row r="243" spans="2:17" x14ac:dyDescent="0.2">
      <c r="B243" t="s">
        <v>2746</v>
      </c>
      <c r="C243" s="3">
        <v>6</v>
      </c>
      <c r="D243" s="3">
        <v>0.1525</v>
      </c>
      <c r="E243" s="3">
        <v>1.46E-2</v>
      </c>
      <c r="F243" s="3">
        <v>0.63</v>
      </c>
      <c r="G243" s="3">
        <v>0.23890277520363803</v>
      </c>
      <c r="H243" s="3">
        <v>0</v>
      </c>
      <c r="I243" s="3" t="e">
        <v>#DIV/0!</v>
      </c>
      <c r="J243" s="3">
        <v>0</v>
      </c>
      <c r="K243" s="3">
        <v>0</v>
      </c>
      <c r="L243" s="3" t="e">
        <v>#DIV/0!</v>
      </c>
      <c r="M243" s="3">
        <v>4</v>
      </c>
      <c r="N243" s="3">
        <v>0.41900000000000004</v>
      </c>
      <c r="O243" s="3">
        <v>0.104</v>
      </c>
      <c r="P243" s="3">
        <v>0.68600000000000005</v>
      </c>
      <c r="Q243" s="3">
        <v>0.30819582519344202</v>
      </c>
    </row>
    <row r="244" spans="2:17" x14ac:dyDescent="0.2">
      <c r="B244" t="s">
        <v>892</v>
      </c>
      <c r="C244" s="3">
        <v>3</v>
      </c>
      <c r="D244" s="3">
        <v>0.22093143666666668</v>
      </c>
      <c r="E244" s="3">
        <v>0.13511646999999999</v>
      </c>
      <c r="F244" s="3">
        <v>0.30199999999999999</v>
      </c>
      <c r="G244" s="3">
        <v>8.3542949461742316E-2</v>
      </c>
      <c r="H244" s="3">
        <v>0</v>
      </c>
      <c r="I244" s="3" t="e">
        <v>#DIV/0!</v>
      </c>
      <c r="J244" s="3">
        <v>0</v>
      </c>
      <c r="K244" s="3">
        <v>0</v>
      </c>
      <c r="L244" s="3" t="e">
        <v>#DIV/0!</v>
      </c>
      <c r="M244" s="3">
        <v>1</v>
      </c>
      <c r="N244" s="3">
        <v>0.13</v>
      </c>
      <c r="O244" s="3">
        <v>0.13</v>
      </c>
      <c r="P244" s="3">
        <v>0.13</v>
      </c>
      <c r="Q244" s="3" t="e">
        <v>#DIV/0!</v>
      </c>
    </row>
    <row r="245" spans="2:17" x14ac:dyDescent="0.2">
      <c r="B245" t="s">
        <v>2359</v>
      </c>
      <c r="C245" s="3">
        <v>1</v>
      </c>
      <c r="D245" s="3">
        <v>1.17</v>
      </c>
      <c r="E245" s="3">
        <v>1.17</v>
      </c>
      <c r="F245" s="3">
        <v>1.17</v>
      </c>
      <c r="G245" s="3" t="e">
        <v>#DIV/0!</v>
      </c>
      <c r="H245" s="3">
        <v>0</v>
      </c>
      <c r="I245" s="3" t="e">
        <v>#DIV/0!</v>
      </c>
      <c r="J245" s="3">
        <v>0</v>
      </c>
      <c r="K245" s="3">
        <v>0</v>
      </c>
      <c r="L245" s="3" t="e">
        <v>#DIV/0!</v>
      </c>
      <c r="M245" s="3">
        <v>1</v>
      </c>
      <c r="N245" s="3">
        <v>0.3</v>
      </c>
      <c r="O245" s="3">
        <v>0.3</v>
      </c>
      <c r="P245" s="3">
        <v>0.3</v>
      </c>
      <c r="Q245" s="3" t="e">
        <v>#DIV/0!</v>
      </c>
    </row>
    <row r="246" spans="2:17" x14ac:dyDescent="0.2">
      <c r="B246" t="s">
        <v>2935</v>
      </c>
      <c r="C246" s="3">
        <v>5</v>
      </c>
      <c r="D246" s="3">
        <v>4.4600000000000001E-2</v>
      </c>
      <c r="E246" s="3">
        <v>1.46E-2</v>
      </c>
      <c r="F246" s="3">
        <v>0.09</v>
      </c>
      <c r="G246" s="3">
        <v>2.7660350684689455E-2</v>
      </c>
      <c r="H246" s="3">
        <v>0</v>
      </c>
      <c r="I246" s="3" t="e">
        <v>#DIV/0!</v>
      </c>
      <c r="J246" s="3">
        <v>0</v>
      </c>
      <c r="K246" s="3">
        <v>0</v>
      </c>
      <c r="L246" s="3" t="e">
        <v>#DIV/0!</v>
      </c>
      <c r="M246" s="3">
        <v>4</v>
      </c>
      <c r="N246" s="3">
        <v>0.45188907500000008</v>
      </c>
      <c r="O246" s="3">
        <v>0.13905000000000001</v>
      </c>
      <c r="P246" s="3">
        <v>0.71560029999999997</v>
      </c>
      <c r="Q246" s="3">
        <v>0.30425465073337676</v>
      </c>
    </row>
    <row r="247" spans="2:17" x14ac:dyDescent="0.2">
      <c r="B247" t="s">
        <v>3822</v>
      </c>
      <c r="C247" s="3">
        <v>1</v>
      </c>
      <c r="D247" s="3">
        <v>1.38</v>
      </c>
      <c r="E247" s="3">
        <v>1.38</v>
      </c>
      <c r="F247" s="3">
        <v>1.38</v>
      </c>
      <c r="G247" s="3" t="e">
        <v>#DIV/0!</v>
      </c>
      <c r="H247" s="3">
        <v>0</v>
      </c>
      <c r="I247" s="3" t="e">
        <v>#DIV/0!</v>
      </c>
      <c r="J247" s="3">
        <v>0</v>
      </c>
      <c r="K247" s="3">
        <v>0</v>
      </c>
      <c r="L247" s="3" t="e">
        <v>#DIV/0!</v>
      </c>
      <c r="M247" s="3"/>
      <c r="N247" s="3"/>
      <c r="O247" s="3"/>
      <c r="P247" s="3"/>
      <c r="Q247" s="3"/>
    </row>
    <row r="248" spans="2:17" x14ac:dyDescent="0.2">
      <c r="B248" t="s">
        <v>2311</v>
      </c>
      <c r="C248" s="3">
        <v>25</v>
      </c>
      <c r="D248" s="3">
        <v>0.4276125714285714</v>
      </c>
      <c r="E248" s="3">
        <v>2.1000000000000001E-2</v>
      </c>
      <c r="F248" s="3">
        <v>5.59</v>
      </c>
      <c r="G248" s="3">
        <v>1.0810218335279169</v>
      </c>
      <c r="H248" s="3">
        <v>5</v>
      </c>
      <c r="I248" s="3">
        <v>0.25967700000000005</v>
      </c>
      <c r="J248" s="3">
        <v>9.0400000000000008E-2</v>
      </c>
      <c r="K248" s="3">
        <v>0.68500000000000005</v>
      </c>
      <c r="L248" s="3">
        <v>0.24413747284061085</v>
      </c>
      <c r="M248" s="3">
        <v>14</v>
      </c>
      <c r="N248" s="3">
        <v>0.87918605714285702</v>
      </c>
      <c r="O248" s="3">
        <v>0.109</v>
      </c>
      <c r="P248" s="3">
        <v>6.1549999999999994</v>
      </c>
      <c r="Q248" s="3">
        <v>1.5403300715116151</v>
      </c>
    </row>
    <row r="249" spans="2:17" x14ac:dyDescent="0.2">
      <c r="B249" t="s">
        <v>3073</v>
      </c>
      <c r="C249" s="3">
        <v>4</v>
      </c>
      <c r="D249" s="3">
        <v>0.38727499999999998</v>
      </c>
      <c r="E249" s="3">
        <v>8.9300000000000004E-2</v>
      </c>
      <c r="F249" s="3">
        <v>0.55049999999999999</v>
      </c>
      <c r="G249" s="3">
        <v>0.20372423149934818</v>
      </c>
      <c r="H249" s="3">
        <v>4</v>
      </c>
      <c r="I249" s="3">
        <v>0.57712500000000011</v>
      </c>
      <c r="J249" s="3">
        <v>9.2700000000000005E-2</v>
      </c>
      <c r="K249" s="3">
        <v>0.86030000000000006</v>
      </c>
      <c r="L249" s="3">
        <v>0.33421891403689286</v>
      </c>
      <c r="M249" s="3">
        <v>6</v>
      </c>
      <c r="N249" s="3">
        <v>1.0832333333333335</v>
      </c>
      <c r="O249" s="3">
        <v>0.40920000000000001</v>
      </c>
      <c r="P249" s="3">
        <v>1.6077999999999999</v>
      </c>
      <c r="Q249" s="3">
        <v>0.51421123156409798</v>
      </c>
    </row>
    <row r="250" spans="2:17" x14ac:dyDescent="0.2">
      <c r="B250" t="s">
        <v>4055</v>
      </c>
      <c r="C250" s="3">
        <v>26</v>
      </c>
      <c r="D250" s="3">
        <v>3.400575307692308</v>
      </c>
      <c r="E250" s="3">
        <v>0.24493000000000001</v>
      </c>
      <c r="F250" s="3">
        <v>17.5</v>
      </c>
      <c r="G250" s="3">
        <v>4.0487232003173226</v>
      </c>
      <c r="H250" s="3">
        <v>3</v>
      </c>
      <c r="I250" s="3">
        <v>0.97499499999999995</v>
      </c>
      <c r="J250" s="3">
        <v>0.81556000000000006</v>
      </c>
      <c r="K250" s="3">
        <v>1.2919999999999998</v>
      </c>
      <c r="L250" s="3">
        <v>0.27453596681491466</v>
      </c>
      <c r="M250" s="3">
        <v>15</v>
      </c>
      <c r="N250" s="3">
        <v>2.0510069866666663</v>
      </c>
      <c r="O250" s="3">
        <v>0.74</v>
      </c>
      <c r="P250" s="3">
        <v>4.1399999999999997</v>
      </c>
      <c r="Q250" s="3">
        <v>1.1395462693279086</v>
      </c>
    </row>
    <row r="251" spans="2:17" x14ac:dyDescent="0.2">
      <c r="B251" t="s">
        <v>2315</v>
      </c>
      <c r="C251" s="3">
        <v>1</v>
      </c>
      <c r="D251" s="3">
        <v>8.9300000000000004E-2</v>
      </c>
      <c r="E251" s="3">
        <v>8.9300000000000004E-2</v>
      </c>
      <c r="F251" s="3">
        <v>8.9300000000000004E-2</v>
      </c>
      <c r="G251" s="3" t="e">
        <v>#DIV/0!</v>
      </c>
      <c r="H251" s="3">
        <v>1</v>
      </c>
      <c r="I251" s="3">
        <v>0.1002</v>
      </c>
      <c r="J251" s="3">
        <v>0.1002</v>
      </c>
      <c r="K251" s="3">
        <v>0.1002</v>
      </c>
      <c r="L251" s="3" t="e">
        <v>#DIV/0!</v>
      </c>
      <c r="M251" s="3">
        <v>1</v>
      </c>
      <c r="N251" s="3">
        <v>0.57269999999999999</v>
      </c>
      <c r="O251" s="3">
        <v>0.57269999999999999</v>
      </c>
      <c r="P251" s="3">
        <v>0.57269999999999999</v>
      </c>
      <c r="Q251" s="3" t="e">
        <v>#DIV/0!</v>
      </c>
    </row>
    <row r="252" spans="2:17" x14ac:dyDescent="0.2">
      <c r="B252" t="s">
        <v>2316</v>
      </c>
      <c r="C252" s="3">
        <v>1</v>
      </c>
      <c r="D252" s="3">
        <v>8.9300000000000004E-2</v>
      </c>
      <c r="E252" s="3">
        <v>8.9300000000000004E-2</v>
      </c>
      <c r="F252" s="3">
        <v>8.9300000000000004E-2</v>
      </c>
      <c r="G252" s="3" t="e">
        <v>#DIV/0!</v>
      </c>
      <c r="H252" s="3">
        <v>1</v>
      </c>
      <c r="I252" s="3">
        <v>0.11840000000000001</v>
      </c>
      <c r="J252" s="3">
        <v>0.11840000000000001</v>
      </c>
      <c r="K252" s="3">
        <v>0.11840000000000001</v>
      </c>
      <c r="L252" s="3" t="e">
        <v>#DIV/0!</v>
      </c>
      <c r="M252" s="3">
        <v>3</v>
      </c>
      <c r="N252" s="3">
        <v>1.0375333333333332</v>
      </c>
      <c r="O252" s="3">
        <v>0.18260000000000001</v>
      </c>
      <c r="P252" s="3">
        <v>1.5</v>
      </c>
      <c r="Q252" s="3">
        <v>0.74122078582115714</v>
      </c>
    </row>
    <row r="253" spans="2:17" x14ac:dyDescent="0.2">
      <c r="B253" t="s">
        <v>3074</v>
      </c>
      <c r="C253" s="3">
        <v>5</v>
      </c>
      <c r="D253" s="3">
        <v>0.28467999999999993</v>
      </c>
      <c r="E253" s="3">
        <v>8.500000000000002E-2</v>
      </c>
      <c r="F253" s="3">
        <v>0.43869999999999998</v>
      </c>
      <c r="G253" s="3">
        <v>0.18084368111714619</v>
      </c>
      <c r="H253" s="3">
        <v>5</v>
      </c>
      <c r="I253" s="3">
        <v>0.45885999999999993</v>
      </c>
      <c r="J253" s="3">
        <v>9.2700000000000005E-2</v>
      </c>
      <c r="K253" s="3">
        <v>0.66649999999999998</v>
      </c>
      <c r="L253" s="3">
        <v>0.27141798577102455</v>
      </c>
      <c r="M253" s="3">
        <v>5</v>
      </c>
      <c r="N253" s="3">
        <v>1.0349200000000001</v>
      </c>
      <c r="O253" s="3">
        <v>0.40920000000000001</v>
      </c>
      <c r="P253" s="3">
        <v>1.3321000000000001</v>
      </c>
      <c r="Q253" s="3">
        <v>0.39838821142197461</v>
      </c>
    </row>
    <row r="254" spans="2:17" x14ac:dyDescent="0.2">
      <c r="B254" t="s">
        <v>2318</v>
      </c>
      <c r="C254" s="3">
        <v>10</v>
      </c>
      <c r="D254" s="3">
        <v>0.41390714285714286</v>
      </c>
      <c r="E254" s="3">
        <v>5.0999999999999997E-2</v>
      </c>
      <c r="F254" s="3">
        <v>0.59240000000000004</v>
      </c>
      <c r="G254" s="3">
        <v>0.21042197408272451</v>
      </c>
      <c r="H254" s="3">
        <v>10</v>
      </c>
      <c r="I254" s="3">
        <v>1.1474857142857142</v>
      </c>
      <c r="J254" s="3">
        <v>0.41285714285714287</v>
      </c>
      <c r="K254" s="3">
        <v>2.7309999999999999</v>
      </c>
      <c r="L254" s="3">
        <v>0.7643459059519967</v>
      </c>
      <c r="M254" s="3">
        <v>10</v>
      </c>
      <c r="N254" s="3">
        <v>1.518595714285714</v>
      </c>
      <c r="O254" s="3">
        <v>0.96285714285714297</v>
      </c>
      <c r="P254" s="3">
        <v>3.06</v>
      </c>
      <c r="Q254" s="3">
        <v>0.75376853012650424</v>
      </c>
    </row>
    <row r="255" spans="2:17" x14ac:dyDescent="0.2">
      <c r="B255" t="s">
        <v>2332</v>
      </c>
      <c r="C255" s="3">
        <v>2</v>
      </c>
      <c r="D255" s="3">
        <v>0.40500000000000003</v>
      </c>
      <c r="E255" s="3">
        <v>0.35</v>
      </c>
      <c r="F255" s="3">
        <v>0.46</v>
      </c>
      <c r="G255" s="3">
        <v>7.7781745930519869E-2</v>
      </c>
      <c r="H255" s="3">
        <v>0</v>
      </c>
      <c r="I255" s="3" t="e">
        <v>#DIV/0!</v>
      </c>
      <c r="J255" s="3">
        <v>0</v>
      </c>
      <c r="K255" s="3">
        <v>0</v>
      </c>
      <c r="L255" s="3" t="e">
        <v>#DIV/0!</v>
      </c>
      <c r="M255" s="3"/>
      <c r="N255" s="3"/>
      <c r="O255" s="3"/>
      <c r="P255" s="3"/>
      <c r="Q255" s="3"/>
    </row>
    <row r="256" spans="2:17" x14ac:dyDescent="0.2">
      <c r="B256" t="s">
        <v>3297</v>
      </c>
      <c r="C256" s="3">
        <v>1</v>
      </c>
      <c r="D256" s="3">
        <v>2.2971014492753623</v>
      </c>
      <c r="E256" s="3">
        <v>2.2971014492753623</v>
      </c>
      <c r="F256" s="3">
        <v>2.2971014492753623</v>
      </c>
      <c r="G256" s="3" t="e">
        <v>#DIV/0!</v>
      </c>
      <c r="H256" s="3">
        <v>1</v>
      </c>
      <c r="I256" s="3">
        <v>2.4130434782608692</v>
      </c>
      <c r="J256" s="3">
        <v>2.4130434782608692</v>
      </c>
      <c r="K256" s="3">
        <v>2.4130434782608692</v>
      </c>
      <c r="L256" s="3" t="e">
        <v>#DIV/0!</v>
      </c>
      <c r="M256" s="3">
        <v>1</v>
      </c>
      <c r="N256" s="3">
        <v>3.760869565217392</v>
      </c>
      <c r="O256" s="3">
        <v>3.760869565217392</v>
      </c>
      <c r="P256" s="3">
        <v>3.760869565217392</v>
      </c>
      <c r="Q256" s="3" t="e">
        <v>#DIV/0!</v>
      </c>
    </row>
    <row r="257" spans="1:17" x14ac:dyDescent="0.2">
      <c r="B257" t="s">
        <v>2356</v>
      </c>
      <c r="C257" s="3">
        <v>1</v>
      </c>
      <c r="D257" s="3">
        <v>0.88</v>
      </c>
      <c r="E257" s="3">
        <v>0.88</v>
      </c>
      <c r="F257" s="3">
        <v>0.88</v>
      </c>
      <c r="G257" s="3" t="e">
        <v>#DIV/0!</v>
      </c>
      <c r="H257" s="3">
        <v>0</v>
      </c>
      <c r="I257" s="3" t="e">
        <v>#DIV/0!</v>
      </c>
      <c r="J257" s="3">
        <v>0</v>
      </c>
      <c r="K257" s="3">
        <v>0</v>
      </c>
      <c r="L257" s="3" t="e">
        <v>#DIV/0!</v>
      </c>
      <c r="M257" s="3"/>
      <c r="N257" s="3"/>
      <c r="O257" s="3"/>
      <c r="P257" s="3"/>
      <c r="Q257" s="3"/>
    </row>
    <row r="258" spans="1:17" x14ac:dyDescent="0.2">
      <c r="B258" t="s">
        <v>890</v>
      </c>
      <c r="C258" s="3">
        <v>1</v>
      </c>
      <c r="D258" s="3">
        <v>2.2156125099999997</v>
      </c>
      <c r="E258" s="3">
        <v>2.2156125099999997</v>
      </c>
      <c r="F258" s="3">
        <v>2.2156125099999997</v>
      </c>
      <c r="G258" s="3" t="e">
        <v>#DIV/0!</v>
      </c>
      <c r="H258" s="3">
        <v>0</v>
      </c>
      <c r="I258" s="3" t="e">
        <v>#DIV/0!</v>
      </c>
      <c r="J258" s="3">
        <v>0</v>
      </c>
      <c r="K258" s="3">
        <v>0</v>
      </c>
      <c r="L258" s="3" t="e">
        <v>#DIV/0!</v>
      </c>
      <c r="M258" s="3"/>
      <c r="N258" s="3"/>
      <c r="O258" s="3"/>
      <c r="P258" s="3"/>
      <c r="Q258" s="3"/>
    </row>
    <row r="259" spans="1:17" x14ac:dyDescent="0.2">
      <c r="B259" t="s">
        <v>3964</v>
      </c>
      <c r="C259" s="3">
        <v>0</v>
      </c>
      <c r="D259" s="3" t="e">
        <v>#DIV/0!</v>
      </c>
      <c r="E259" s="3">
        <v>0</v>
      </c>
      <c r="F259" s="3">
        <v>0</v>
      </c>
      <c r="G259" s="3" t="e">
        <v>#DIV/0!</v>
      </c>
      <c r="H259" s="3">
        <v>0</v>
      </c>
      <c r="I259" s="3" t="e">
        <v>#DIV/0!</v>
      </c>
      <c r="J259" s="3">
        <v>0</v>
      </c>
      <c r="K259" s="3">
        <v>0</v>
      </c>
      <c r="L259" s="3" t="e">
        <v>#DIV/0!</v>
      </c>
      <c r="M259" s="3">
        <v>1</v>
      </c>
      <c r="N259" s="3">
        <v>1.571</v>
      </c>
      <c r="O259" s="3">
        <v>1.571</v>
      </c>
      <c r="P259" s="3">
        <v>1.571</v>
      </c>
      <c r="Q259" s="3" t="e">
        <v>#DIV/0!</v>
      </c>
    </row>
    <row r="260" spans="1:17" x14ac:dyDescent="0.2">
      <c r="A260" s="72" t="s">
        <v>2842</v>
      </c>
      <c r="B260" s="72"/>
      <c r="C260" s="73">
        <v>243</v>
      </c>
      <c r="D260" s="73">
        <v>0.84080387693911562</v>
      </c>
      <c r="E260" s="73">
        <v>1.46E-2</v>
      </c>
      <c r="F260" s="73">
        <v>17.5</v>
      </c>
      <c r="G260" s="73">
        <v>1.8068404172084134</v>
      </c>
      <c r="H260" s="73">
        <v>61</v>
      </c>
      <c r="I260" s="73">
        <v>0.80950364652826134</v>
      </c>
      <c r="J260" s="73">
        <v>9.0400000000000008E-2</v>
      </c>
      <c r="K260" s="73">
        <v>2.9975000000000001</v>
      </c>
      <c r="L260" s="73">
        <v>0.7871722552731486</v>
      </c>
      <c r="M260" s="73">
        <v>136</v>
      </c>
      <c r="N260" s="73">
        <v>1.5269499917565579</v>
      </c>
      <c r="O260" s="73">
        <v>4.0000000000000001E-3</v>
      </c>
      <c r="P260" s="73">
        <v>11.420999999999999</v>
      </c>
      <c r="Q260" s="73">
        <v>2.1946747014602281</v>
      </c>
    </row>
    <row r="261" spans="1:17" x14ac:dyDescent="0.2">
      <c r="A261" t="s">
        <v>2863</v>
      </c>
      <c r="B261" t="s">
        <v>2863</v>
      </c>
      <c r="L261" s="3"/>
      <c r="M261" s="3"/>
      <c r="N261" s="3"/>
      <c r="O261" s="3"/>
      <c r="P261" s="3"/>
      <c r="Q261" s="3"/>
    </row>
    <row r="262" spans="1:17" x14ac:dyDescent="0.2">
      <c r="A262" t="s">
        <v>2864</v>
      </c>
      <c r="B262"/>
      <c r="L262" s="3"/>
      <c r="M262" s="3"/>
      <c r="N262" s="3"/>
      <c r="O262" s="3"/>
      <c r="P262" s="3"/>
      <c r="Q262" s="3"/>
    </row>
    <row r="263" spans="1:17" x14ac:dyDescent="0.2">
      <c r="A263" t="s">
        <v>1711</v>
      </c>
      <c r="B263"/>
      <c r="C263" s="3">
        <v>1256</v>
      </c>
      <c r="D263" s="3">
        <v>5.2217984932799162</v>
      </c>
      <c r="E263" s="3">
        <v>-0.01</v>
      </c>
      <c r="F263" s="3">
        <v>166.71732522796353</v>
      </c>
      <c r="G263" s="3">
        <v>11.986569277413135</v>
      </c>
      <c r="H263" s="3">
        <v>446</v>
      </c>
      <c r="I263" s="3">
        <v>3.2902219255294423</v>
      </c>
      <c r="J263" s="3">
        <v>2.7919572459079257E-4</v>
      </c>
      <c r="K263" s="3">
        <v>58.44</v>
      </c>
      <c r="L263" s="3">
        <v>7.100441932086059</v>
      </c>
      <c r="M263" s="3">
        <v>841</v>
      </c>
      <c r="N263" s="3">
        <v>4.816687142864164</v>
      </c>
      <c r="O263" s="3">
        <v>-3.4347826086956519</v>
      </c>
      <c r="P263" s="3">
        <v>118.62548000000001</v>
      </c>
      <c r="Q263" s="3">
        <v>10.068324419940023</v>
      </c>
    </row>
    <row r="264" spans="1:17" x14ac:dyDescent="0.2">
      <c r="B264"/>
      <c r="C264"/>
      <c r="D264"/>
      <c r="E264"/>
      <c r="F264"/>
      <c r="G264"/>
      <c r="H264"/>
      <c r="I264"/>
      <c r="J264"/>
      <c r="K264"/>
    </row>
    <row r="265" spans="1:17" x14ac:dyDescent="0.2">
      <c r="B265"/>
      <c r="C265"/>
      <c r="D265"/>
      <c r="E265"/>
      <c r="F265"/>
      <c r="G265"/>
      <c r="H265"/>
      <c r="I265"/>
      <c r="J265"/>
      <c r="K265"/>
    </row>
    <row r="266" spans="1:17" x14ac:dyDescent="0.2">
      <c r="B266"/>
      <c r="C266"/>
      <c r="D266"/>
      <c r="E266"/>
      <c r="F266"/>
      <c r="G266"/>
      <c r="H266"/>
      <c r="I266"/>
      <c r="J266"/>
      <c r="K266"/>
    </row>
    <row r="267" spans="1:17" x14ac:dyDescent="0.2">
      <c r="B267"/>
      <c r="C267"/>
      <c r="D267"/>
      <c r="E267"/>
      <c r="F267"/>
      <c r="G267"/>
      <c r="H267"/>
      <c r="I267"/>
      <c r="J267"/>
      <c r="K267"/>
    </row>
    <row r="268" spans="1:17" x14ac:dyDescent="0.2">
      <c r="B268"/>
      <c r="C268"/>
      <c r="D268"/>
      <c r="E268"/>
      <c r="F268"/>
      <c r="G268"/>
      <c r="H268"/>
      <c r="I268"/>
      <c r="J268"/>
      <c r="K268"/>
    </row>
    <row r="269" spans="1:17" x14ac:dyDescent="0.2">
      <c r="B269"/>
      <c r="C269"/>
      <c r="D269"/>
      <c r="E269"/>
      <c r="F269"/>
      <c r="G269"/>
      <c r="H269"/>
      <c r="I269"/>
      <c r="J269"/>
      <c r="K269"/>
    </row>
    <row r="270" spans="1:17" x14ac:dyDescent="0.2">
      <c r="B270"/>
      <c r="C270"/>
      <c r="D270"/>
      <c r="E270"/>
      <c r="F270"/>
      <c r="G270"/>
      <c r="H270"/>
      <c r="I270"/>
      <c r="J270"/>
      <c r="K270"/>
    </row>
    <row r="271" spans="1:17" x14ac:dyDescent="0.2">
      <c r="B271"/>
      <c r="C271"/>
      <c r="D271"/>
      <c r="E271"/>
      <c r="F271"/>
      <c r="G271"/>
      <c r="H271"/>
      <c r="I271"/>
      <c r="J271"/>
      <c r="K271"/>
    </row>
    <row r="272" spans="1:17" x14ac:dyDescent="0.2">
      <c r="B272"/>
      <c r="C272"/>
      <c r="D272"/>
      <c r="E272"/>
      <c r="F272"/>
      <c r="G272"/>
      <c r="H272"/>
      <c r="I272"/>
      <c r="J272"/>
      <c r="K272"/>
    </row>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sheetData>
  <mergeCells count="3">
    <mergeCell ref="C2:G2"/>
    <mergeCell ref="H2:L2"/>
    <mergeCell ref="M2:Q2"/>
  </mergeCells>
  <conditionalFormatting sqref="N1:O1 N276:O1048576 N3:O4">
    <cfRule type="iconSet" priority="1">
      <iconSet reverse="1">
        <cfvo type="percent" val="0"/>
        <cfvo type="num" val="0.5"/>
        <cfvo type="num" val="1"/>
      </iconSet>
    </cfRule>
  </conditionalFormatting>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R274"/>
  <sheetViews>
    <sheetView workbookViewId="0">
      <pane xSplit="1" ySplit="4" topLeftCell="B161" activePane="bottomRight" state="frozen"/>
      <selection pane="topRight" activeCell="B1" sqref="B1"/>
      <selection pane="bottomLeft" activeCell="A5" sqref="A5"/>
      <selection pane="bottomRight" activeCell="E178" sqref="E178"/>
    </sheetView>
  </sheetViews>
  <sheetFormatPr baseColWidth="10" defaultColWidth="8.83203125" defaultRowHeight="16" x14ac:dyDescent="0.2"/>
  <cols>
    <col min="1" max="1" width="32.6640625" customWidth="1"/>
    <col min="2" max="2" width="30.83203125" style="3" customWidth="1"/>
    <col min="3" max="4" width="12.6640625" style="3" customWidth="1"/>
    <col min="5" max="6" width="15" style="3" customWidth="1"/>
    <col min="7" max="7" width="12.6640625" style="3" customWidth="1"/>
    <col min="8" max="8" width="13" style="3" customWidth="1"/>
    <col min="9" max="9" width="13.33203125" style="3" customWidth="1"/>
    <col min="10" max="11" width="11.1640625" customWidth="1"/>
    <col min="12" max="12" width="13" customWidth="1"/>
    <col min="13" max="13" width="11" customWidth="1"/>
    <col min="14" max="17" width="11.1640625" customWidth="1"/>
    <col min="18" max="18" width="28.6640625" customWidth="1"/>
    <col min="19" max="19" width="6.1640625" customWidth="1"/>
    <col min="20" max="20" width="20.5" customWidth="1"/>
    <col min="21" max="21" width="25.33203125" customWidth="1"/>
    <col min="22" max="22" width="14.1640625" customWidth="1"/>
    <col min="23" max="23" width="26.33203125" customWidth="1"/>
    <col min="24" max="24" width="6.83203125" customWidth="1"/>
    <col min="25" max="25" width="16.1640625" customWidth="1"/>
    <col min="26" max="26" width="11.83203125" customWidth="1"/>
    <col min="27" max="27" width="10.1640625" customWidth="1"/>
    <col min="28" max="28" width="27" customWidth="1"/>
    <col min="29" max="29" width="18.1640625" customWidth="1"/>
    <col min="30" max="30" width="16.6640625" customWidth="1"/>
    <col min="31" max="31" width="9.33203125" customWidth="1"/>
    <col min="32" max="32" width="14" customWidth="1"/>
    <col min="33" max="33" width="13.1640625" customWidth="1"/>
    <col min="34" max="34" width="13.6640625" customWidth="1"/>
    <col min="35" max="35" width="12.1640625" customWidth="1"/>
    <col min="36" max="36" width="23" customWidth="1"/>
    <col min="37" max="37" width="27.1640625" customWidth="1"/>
    <col min="38" max="38" width="8.1640625" customWidth="1"/>
    <col min="39" max="39" width="14.33203125" customWidth="1"/>
    <col min="40" max="40" width="6.1640625" customWidth="1"/>
    <col min="41" max="41" width="20.5" customWidth="1"/>
    <col min="42" max="42" width="25.33203125" customWidth="1"/>
    <col min="43" max="43" width="14.1640625" customWidth="1"/>
    <col min="44" max="44" width="26.33203125" customWidth="1"/>
    <col min="45" max="45" width="11.83203125" customWidth="1"/>
    <col min="46" max="46" width="16.1640625" customWidth="1"/>
    <col min="47" max="47" width="9.6640625" customWidth="1"/>
    <col min="48" max="48" width="10.1640625" customWidth="1"/>
    <col min="49" max="49" width="27" customWidth="1"/>
    <col min="50" max="50" width="18.1640625" customWidth="1"/>
    <col min="51" max="51" width="16.6640625" customWidth="1"/>
    <col min="52" max="52" width="9.33203125" customWidth="1"/>
    <col min="53" max="53" width="14" customWidth="1"/>
    <col min="54" max="54" width="13.1640625" customWidth="1"/>
    <col min="55" max="55" width="13.6640625" customWidth="1"/>
    <col min="56" max="56" width="12.1640625" customWidth="1"/>
    <col min="57" max="57" width="23" customWidth="1"/>
    <col min="58" max="58" width="27.1640625" customWidth="1"/>
    <col min="59" max="59" width="8.1640625" customWidth="1"/>
    <col min="60" max="60" width="14.33203125" customWidth="1"/>
    <col min="61" max="61" width="6.1640625" customWidth="1"/>
    <col min="62" max="62" width="20.5" customWidth="1"/>
    <col min="63" max="63" width="25.33203125" customWidth="1"/>
    <col min="64" max="64" width="14.1640625" customWidth="1"/>
    <col min="65" max="65" width="26.33203125" customWidth="1"/>
    <col min="66" max="66" width="11.83203125" customWidth="1"/>
    <col min="67" max="67" width="16.1640625" customWidth="1"/>
    <col min="68" max="68" width="9.6640625" customWidth="1"/>
    <col min="69" max="69" width="10.1640625" customWidth="1"/>
    <col min="70" max="70" width="27" customWidth="1"/>
    <col min="71" max="71" width="18.1640625" customWidth="1"/>
    <col min="72" max="72" width="16.6640625" customWidth="1"/>
    <col min="73" max="73" width="9.33203125" customWidth="1"/>
    <col min="74" max="74" width="14" customWidth="1"/>
    <col min="75" max="75" width="13.1640625" customWidth="1"/>
    <col min="76" max="76" width="13.6640625" customWidth="1"/>
    <col min="77" max="77" width="12.1640625" customWidth="1"/>
    <col min="78" max="78" width="23" customWidth="1"/>
    <col min="79" max="79" width="27.1640625" customWidth="1"/>
    <col min="80" max="80" width="8.1640625" customWidth="1"/>
    <col min="81" max="81" width="14.33203125" customWidth="1"/>
    <col min="82" max="82" width="6.1640625" customWidth="1"/>
    <col min="83" max="83" width="20.5" customWidth="1"/>
    <col min="84" max="84" width="25.33203125" customWidth="1"/>
    <col min="85" max="85" width="14.1640625" customWidth="1"/>
    <col min="86" max="86" width="26.33203125" customWidth="1"/>
    <col min="87" max="87" width="11.83203125" customWidth="1"/>
    <col min="88" max="88" width="35.6640625" customWidth="1"/>
    <col min="89" max="89" width="37.5" customWidth="1"/>
    <col min="90" max="90" width="33.83203125" customWidth="1"/>
    <col min="91" max="91" width="34.1640625" customWidth="1"/>
    <col min="92" max="92" width="12.1640625" customWidth="1"/>
    <col min="93" max="93" width="4.5" customWidth="1"/>
    <col min="94" max="94" width="5.5" customWidth="1"/>
    <col min="95" max="95" width="4.6640625" customWidth="1"/>
    <col min="96" max="96" width="7.1640625" customWidth="1"/>
    <col min="97" max="97" width="16.5" customWidth="1"/>
    <col min="98" max="98" width="31.1640625" customWidth="1"/>
    <col min="99" max="99" width="20" customWidth="1"/>
    <col min="100" max="100" width="4.5" customWidth="1"/>
    <col min="101" max="101" width="8.6640625" customWidth="1"/>
    <col min="102" max="102" width="14.6640625" customWidth="1"/>
    <col min="103" max="103" width="10" customWidth="1"/>
    <col min="104" max="104" width="6.83203125" customWidth="1"/>
    <col min="105" max="105" width="9.6640625" customWidth="1"/>
    <col min="106" max="106" width="8.33203125" customWidth="1"/>
    <col min="107" max="107" width="6.33203125" customWidth="1"/>
    <col min="108" max="108" width="4.6640625" customWidth="1"/>
    <col min="109" max="109" width="11" customWidth="1"/>
    <col min="110" max="110" width="7.5" customWidth="1"/>
    <col min="111" max="111" width="8.1640625" customWidth="1"/>
    <col min="112" max="112" width="8" customWidth="1"/>
    <col min="113" max="113" width="8.5" customWidth="1"/>
    <col min="114" max="114" width="10.33203125" customWidth="1"/>
    <col min="115" max="115" width="12.33203125" bestFit="1" customWidth="1"/>
    <col min="116" max="116" width="11.6640625" customWidth="1"/>
    <col min="117" max="117" width="13.1640625" bestFit="1" customWidth="1"/>
    <col min="118" max="118" width="8.1640625" customWidth="1"/>
    <col min="119" max="119" width="6" customWidth="1"/>
    <col min="120" max="120" width="6.83203125" customWidth="1"/>
    <col min="121" max="121" width="7.83203125" customWidth="1"/>
    <col min="122" max="122" width="8.83203125" customWidth="1"/>
    <col min="123" max="123" width="11.6640625" customWidth="1"/>
    <col min="124" max="124" width="7.6640625" customWidth="1"/>
    <col min="125" max="125" width="13.1640625" bestFit="1" customWidth="1"/>
    <col min="126" max="126" width="7.6640625" customWidth="1"/>
    <col min="127" max="127" width="5.5" customWidth="1"/>
    <col min="128" max="128" width="4.6640625" customWidth="1"/>
    <col min="129" max="129" width="9.33203125" customWidth="1"/>
    <col min="130" max="130" width="8.6640625" customWidth="1"/>
    <col min="131" max="131" width="14.83203125" customWidth="1"/>
    <col min="132" max="132" width="4.83203125" customWidth="1"/>
    <col min="133" max="133" width="8.5" customWidth="1"/>
    <col min="134" max="134" width="6.33203125" customWidth="1"/>
    <col min="135" max="135" width="6.5" customWidth="1"/>
    <col min="136" max="136" width="9" customWidth="1"/>
    <col min="137" max="137" width="10.6640625" customWidth="1"/>
    <col min="138" max="138" width="4.33203125" customWidth="1"/>
    <col min="139" max="139" width="16.6640625" customWidth="1"/>
    <col min="140" max="140" width="6.1640625" customWidth="1"/>
    <col min="141" max="141" width="7.1640625" customWidth="1"/>
    <col min="142" max="142" width="15" customWidth="1"/>
    <col min="143" max="143" width="22.6640625" bestFit="1" customWidth="1"/>
    <col min="144" max="144" width="14.6640625" bestFit="1" customWidth="1"/>
    <col min="145" max="145" width="15.6640625" bestFit="1" customWidth="1"/>
    <col min="146" max="146" width="13.6640625" customWidth="1"/>
    <col min="147" max="147" width="14.83203125" bestFit="1" customWidth="1"/>
    <col min="148" max="148" width="15.5" bestFit="1" customWidth="1"/>
    <col min="149" max="149" width="6.1640625" customWidth="1"/>
    <col min="150" max="150" width="14.5" customWidth="1"/>
    <col min="151" max="151" width="5.6640625" customWidth="1"/>
    <col min="152" max="152" width="10.1640625" customWidth="1"/>
    <col min="153" max="153" width="10.6640625" customWidth="1"/>
    <col min="154" max="154" width="10.1640625" customWidth="1"/>
    <col min="155" max="155" width="17.6640625" customWidth="1"/>
    <col min="156" max="156" width="9" customWidth="1"/>
    <col min="157" max="157" width="12.1640625" customWidth="1"/>
    <col min="158" max="158" width="7.6640625" customWidth="1"/>
    <col min="159" max="159" width="11.6640625" customWidth="1"/>
    <col min="160" max="160" width="5.6640625" customWidth="1"/>
    <col min="161" max="161" width="3.83203125" customWidth="1"/>
    <col min="162" max="162" width="6.5" customWidth="1"/>
    <col min="163" max="163" width="4.6640625" customWidth="1"/>
    <col min="164" max="164" width="9.1640625" customWidth="1"/>
    <col min="165" max="165" width="8.33203125" customWidth="1"/>
    <col min="166" max="166" width="13.1640625" customWidth="1"/>
    <col min="167" max="167" width="21.83203125" bestFit="1" customWidth="1"/>
    <col min="168" max="168" width="5.1640625" customWidth="1"/>
    <col min="169" max="169" width="14.1640625" bestFit="1" customWidth="1"/>
    <col min="170" max="170" width="6.6640625" customWidth="1"/>
    <col min="171" max="171" width="6" customWidth="1"/>
    <col min="172" max="172" width="4.5" customWidth="1"/>
    <col min="173" max="173" width="14.6640625" customWidth="1"/>
    <col min="174" max="174" width="8" customWidth="1"/>
    <col min="175" max="175" width="6.6640625" customWidth="1"/>
    <col min="176" max="176" width="11.1640625" customWidth="1"/>
    <col min="177" max="177" width="8" customWidth="1"/>
    <col min="178" max="178" width="11" customWidth="1"/>
    <col min="179" max="180" width="6.83203125" customWidth="1"/>
    <col min="181" max="181" width="11.83203125" bestFit="1" customWidth="1"/>
    <col min="182" max="182" width="4.83203125" customWidth="1"/>
    <col min="183" max="183" width="11.83203125" bestFit="1" customWidth="1"/>
    <col min="184" max="184" width="9.83203125" bestFit="1" customWidth="1"/>
    <col min="185" max="186" width="7.83203125" customWidth="1"/>
    <col min="187" max="187" width="5.83203125" customWidth="1"/>
    <col min="188" max="189" width="3.83203125" customWidth="1"/>
    <col min="190" max="190" width="7.83203125" customWidth="1"/>
    <col min="191" max="191" width="3.83203125" customWidth="1"/>
    <col min="192" max="192" width="11.83203125" bestFit="1" customWidth="1"/>
    <col min="193" max="193" width="6.1640625" customWidth="1"/>
    <col min="194" max="194" width="6.83203125" customWidth="1"/>
    <col min="195" max="195" width="11" bestFit="1" customWidth="1"/>
  </cols>
  <sheetData>
    <row r="2" spans="1:18" ht="26" x14ac:dyDescent="0.3">
      <c r="C2" s="483" t="s">
        <v>3251</v>
      </c>
      <c r="D2" s="483"/>
      <c r="E2" s="483"/>
      <c r="F2" s="483"/>
      <c r="G2" s="483"/>
      <c r="H2" s="484" t="s">
        <v>3252</v>
      </c>
      <c r="I2" s="484"/>
      <c r="J2" s="484"/>
      <c r="K2" s="484"/>
      <c r="L2" s="484"/>
      <c r="M2" s="485" t="s">
        <v>3253</v>
      </c>
      <c r="N2" s="485"/>
      <c r="O2" s="485"/>
      <c r="P2" s="485"/>
      <c r="Q2" s="485"/>
    </row>
    <row r="3" spans="1:18" ht="25" x14ac:dyDescent="0.3">
      <c r="B3"/>
      <c r="C3" s="459" t="s">
        <v>1705</v>
      </c>
      <c r="D3" s="178"/>
      <c r="E3" s="178"/>
      <c r="F3" s="178"/>
      <c r="G3" s="178"/>
      <c r="H3" s="179"/>
      <c r="I3" s="179"/>
      <c r="J3" s="179"/>
      <c r="K3" s="179"/>
      <c r="L3" s="179"/>
      <c r="M3" s="180"/>
      <c r="N3" s="180"/>
      <c r="O3" s="180"/>
      <c r="P3" s="180"/>
      <c r="Q3" s="180"/>
    </row>
    <row r="4" spans="1:18" s="3" customFormat="1" ht="68" x14ac:dyDescent="0.2">
      <c r="A4" s="2" t="s">
        <v>0</v>
      </c>
      <c r="B4" s="2" t="s">
        <v>1</v>
      </c>
      <c r="C4" s="178" t="s">
        <v>3245</v>
      </c>
      <c r="D4" s="178" t="s">
        <v>3248</v>
      </c>
      <c r="E4" s="178" t="s">
        <v>3249</v>
      </c>
      <c r="F4" s="178" t="s">
        <v>3250</v>
      </c>
      <c r="G4" s="178" t="s">
        <v>3254</v>
      </c>
      <c r="H4" s="179" t="s">
        <v>3246</v>
      </c>
      <c r="I4" s="179" t="s">
        <v>3255</v>
      </c>
      <c r="J4" s="179" t="s">
        <v>3256</v>
      </c>
      <c r="K4" s="179" t="s">
        <v>3257</v>
      </c>
      <c r="L4" s="179" t="s">
        <v>3247</v>
      </c>
      <c r="M4" s="180" t="s">
        <v>1710</v>
      </c>
      <c r="N4" s="180" t="s">
        <v>1709</v>
      </c>
      <c r="O4" s="180" t="s">
        <v>1708</v>
      </c>
      <c r="P4" s="180" t="s">
        <v>1707</v>
      </c>
      <c r="Q4" s="180" t="s">
        <v>1706</v>
      </c>
      <c r="R4"/>
    </row>
    <row r="5" spans="1:18" x14ac:dyDescent="0.2">
      <c r="A5" t="s">
        <v>596</v>
      </c>
      <c r="B5" t="s">
        <v>1418</v>
      </c>
      <c r="C5" s="3">
        <v>3</v>
      </c>
      <c r="D5" s="3">
        <v>6.1819496855345903</v>
      </c>
      <c r="E5" s="3">
        <v>5.7364150943396197</v>
      </c>
      <c r="F5" s="3">
        <v>6.4132075471698116</v>
      </c>
      <c r="G5" s="3">
        <v>0.38593768107699156</v>
      </c>
      <c r="H5" s="3">
        <v>3</v>
      </c>
      <c r="I5" s="3">
        <v>7.6742138364779864</v>
      </c>
      <c r="J5" s="3">
        <v>7.0594339622641495</v>
      </c>
      <c r="K5" s="3">
        <v>7.9952830188679238</v>
      </c>
      <c r="L5" s="3">
        <v>0.53259068904300577</v>
      </c>
      <c r="M5" s="3">
        <v>3</v>
      </c>
      <c r="N5" s="3">
        <v>11.72955974842767</v>
      </c>
      <c r="O5" s="3">
        <v>9.7169811320754711</v>
      </c>
      <c r="P5" s="3">
        <v>14.811320754716981</v>
      </c>
      <c r="Q5" s="3">
        <v>2.7102467203038088</v>
      </c>
    </row>
    <row r="6" spans="1:18" x14ac:dyDescent="0.2">
      <c r="B6" t="s">
        <v>1043</v>
      </c>
      <c r="C6" s="3">
        <v>4</v>
      </c>
      <c r="D6" s="3">
        <v>1.5399712092130515</v>
      </c>
      <c r="E6" s="3">
        <v>1.1568138195777349</v>
      </c>
      <c r="F6" s="3">
        <v>2.0596928982725524</v>
      </c>
      <c r="G6" s="3">
        <v>0.37693962677068554</v>
      </c>
      <c r="H6" s="3">
        <v>4</v>
      </c>
      <c r="I6" s="3">
        <v>2.7599520153550854</v>
      </c>
      <c r="J6" s="3">
        <v>1.5294337811900189</v>
      </c>
      <c r="K6" s="3">
        <v>4.2380038387715917</v>
      </c>
      <c r="L6" s="3">
        <v>1.1172242979755409</v>
      </c>
      <c r="M6" s="3">
        <v>7</v>
      </c>
      <c r="N6" s="3">
        <v>5.4548778157223454</v>
      </c>
      <c r="O6" s="3">
        <v>1.7158145756994125</v>
      </c>
      <c r="P6" s="3">
        <v>9.6928982725527817</v>
      </c>
      <c r="Q6" s="3">
        <v>2.6212940776470317</v>
      </c>
    </row>
    <row r="7" spans="1:18" x14ac:dyDescent="0.2">
      <c r="B7" t="s">
        <v>2760</v>
      </c>
      <c r="C7" s="3">
        <v>1</v>
      </c>
      <c r="D7" s="3">
        <v>2.8319000000000001</v>
      </c>
      <c r="E7" s="3">
        <v>2.8319000000000001</v>
      </c>
      <c r="F7" s="3">
        <v>2.8319000000000001</v>
      </c>
      <c r="H7" s="3">
        <v>0</v>
      </c>
      <c r="J7" s="3">
        <v>0</v>
      </c>
      <c r="K7" s="3">
        <v>0</v>
      </c>
      <c r="L7" s="3"/>
      <c r="M7" s="3">
        <v>4</v>
      </c>
      <c r="N7" s="3">
        <v>12.333480565371026</v>
      </c>
      <c r="O7" s="3">
        <v>2.831927232150405</v>
      </c>
      <c r="P7" s="3">
        <v>21.400000000000002</v>
      </c>
      <c r="Q7" s="3">
        <v>9.2799925422887082</v>
      </c>
    </row>
    <row r="8" spans="1:18" x14ac:dyDescent="0.2">
      <c r="B8" t="s">
        <v>3052</v>
      </c>
      <c r="C8" s="3">
        <v>1</v>
      </c>
      <c r="D8" s="3">
        <v>115</v>
      </c>
      <c r="E8" s="3">
        <v>115</v>
      </c>
      <c r="F8" s="3">
        <v>115</v>
      </c>
      <c r="H8" s="3">
        <v>2</v>
      </c>
      <c r="I8" s="3">
        <v>181.25</v>
      </c>
      <c r="J8" s="3">
        <v>175</v>
      </c>
      <c r="K8" s="3">
        <v>187.5</v>
      </c>
      <c r="L8" s="3">
        <v>8.8388347648318444</v>
      </c>
      <c r="M8" s="3">
        <v>2</v>
      </c>
      <c r="N8" s="3">
        <v>522.5</v>
      </c>
      <c r="O8" s="3">
        <v>417.5</v>
      </c>
      <c r="P8" s="3">
        <v>627.5</v>
      </c>
      <c r="Q8" s="3">
        <v>148.49242404917499</v>
      </c>
    </row>
    <row r="9" spans="1:18" x14ac:dyDescent="0.2">
      <c r="B9" t="s">
        <v>1928</v>
      </c>
      <c r="C9" s="3">
        <v>2</v>
      </c>
      <c r="D9" s="3">
        <v>59.145299145299148</v>
      </c>
      <c r="E9" s="3">
        <v>44.444444444444443</v>
      </c>
      <c r="F9" s="3">
        <v>73.846153846153854</v>
      </c>
      <c r="G9" s="3">
        <v>20.790148096425007</v>
      </c>
      <c r="H9" s="3">
        <v>3</v>
      </c>
      <c r="I9" s="3">
        <v>64.580789580789585</v>
      </c>
      <c r="J9" s="3">
        <v>53.571428571428569</v>
      </c>
      <c r="K9" s="3">
        <v>84.615384615384627</v>
      </c>
      <c r="L9" s="3">
        <v>17.37880716914858</v>
      </c>
      <c r="M9" s="3">
        <v>3</v>
      </c>
      <c r="N9" s="3">
        <v>205.51421788088456</v>
      </c>
      <c r="O9" s="3">
        <v>91.471428571428561</v>
      </c>
      <c r="P9" s="3">
        <v>296.92307692307696</v>
      </c>
      <c r="Q9" s="3">
        <v>104.57923336929693</v>
      </c>
    </row>
    <row r="10" spans="1:18" x14ac:dyDescent="0.2">
      <c r="B10" t="s">
        <v>2020</v>
      </c>
      <c r="C10" s="3">
        <v>0</v>
      </c>
      <c r="E10" s="3">
        <v>0</v>
      </c>
      <c r="F10" s="3">
        <v>0</v>
      </c>
      <c r="H10" s="3">
        <v>0</v>
      </c>
      <c r="J10" s="3">
        <v>0</v>
      </c>
      <c r="K10" s="3">
        <v>0</v>
      </c>
      <c r="L10" s="3"/>
      <c r="M10" s="3"/>
      <c r="N10" s="3"/>
      <c r="O10" s="3"/>
      <c r="P10" s="3"/>
      <c r="Q10" s="3"/>
    </row>
    <row r="11" spans="1:18" x14ac:dyDescent="0.2">
      <c r="B11" t="s">
        <v>2050</v>
      </c>
      <c r="C11" s="3">
        <v>1</v>
      </c>
      <c r="D11" s="3">
        <v>4</v>
      </c>
      <c r="E11" s="3">
        <v>4</v>
      </c>
      <c r="F11" s="3">
        <v>4</v>
      </c>
      <c r="H11" s="3">
        <v>1</v>
      </c>
      <c r="I11" s="3">
        <v>6</v>
      </c>
      <c r="J11" s="3">
        <v>6</v>
      </c>
      <c r="K11" s="3">
        <v>6</v>
      </c>
      <c r="L11" s="3"/>
      <c r="M11" s="3">
        <v>1</v>
      </c>
      <c r="N11" s="3">
        <v>9.8000000000000007</v>
      </c>
      <c r="O11" s="3">
        <v>9.8000000000000007</v>
      </c>
      <c r="P11" s="3">
        <v>9.8000000000000007</v>
      </c>
      <c r="Q11" s="3"/>
    </row>
    <row r="12" spans="1:18" x14ac:dyDescent="0.2">
      <c r="B12" t="s">
        <v>3065</v>
      </c>
      <c r="C12" s="3">
        <v>0</v>
      </c>
      <c r="E12" s="3">
        <v>0</v>
      </c>
      <c r="F12" s="3">
        <v>0</v>
      </c>
      <c r="H12" s="3">
        <v>0</v>
      </c>
      <c r="J12" s="3">
        <v>0</v>
      </c>
      <c r="K12" s="3">
        <v>0</v>
      </c>
      <c r="L12" s="3"/>
      <c r="M12" s="3">
        <v>1</v>
      </c>
      <c r="N12" s="3">
        <v>76</v>
      </c>
      <c r="O12" s="3">
        <v>76</v>
      </c>
      <c r="P12" s="3">
        <v>76</v>
      </c>
      <c r="Q12" s="3"/>
    </row>
    <row r="13" spans="1:18" x14ac:dyDescent="0.2">
      <c r="B13" t="s">
        <v>2808</v>
      </c>
      <c r="C13" s="3">
        <v>0</v>
      </c>
      <c r="E13" s="3">
        <v>0</v>
      </c>
      <c r="F13" s="3">
        <v>0</v>
      </c>
      <c r="H13" s="3">
        <v>0</v>
      </c>
      <c r="J13" s="3">
        <v>0</v>
      </c>
      <c r="K13" s="3">
        <v>0</v>
      </c>
      <c r="L13" s="3"/>
      <c r="M13" s="3"/>
      <c r="N13" s="3"/>
      <c r="O13" s="3"/>
      <c r="P13" s="3"/>
      <c r="Q13" s="3"/>
    </row>
    <row r="14" spans="1:18" x14ac:dyDescent="0.2">
      <c r="B14" t="s">
        <v>3064</v>
      </c>
      <c r="C14" s="3">
        <v>4</v>
      </c>
      <c r="D14" s="3">
        <v>2.1775324427480913</v>
      </c>
      <c r="E14" s="3">
        <v>0.89312977099236635</v>
      </c>
      <c r="F14" s="3">
        <v>5.6</v>
      </c>
      <c r="G14" s="3">
        <v>2.2874745631336899</v>
      </c>
      <c r="H14" s="3">
        <v>2</v>
      </c>
      <c r="I14" s="3">
        <v>5.5726145038167934</v>
      </c>
      <c r="J14" s="3">
        <v>2.7452290076335877</v>
      </c>
      <c r="K14" s="3">
        <v>8.3999999999999986</v>
      </c>
      <c r="L14" s="3">
        <v>3.998526914759271</v>
      </c>
      <c r="M14" s="3">
        <v>2</v>
      </c>
      <c r="N14" s="3">
        <v>10.196087786259541</v>
      </c>
      <c r="O14" s="3">
        <v>6.3921755725190836</v>
      </c>
      <c r="P14" s="3">
        <v>14</v>
      </c>
      <c r="Q14" s="3">
        <v>5.3795442427484197</v>
      </c>
    </row>
    <row r="15" spans="1:18" x14ac:dyDescent="0.2">
      <c r="B15" t="s">
        <v>3066</v>
      </c>
      <c r="C15" s="3">
        <v>0</v>
      </c>
      <c r="E15" s="3">
        <v>0</v>
      </c>
      <c r="F15" s="3">
        <v>0</v>
      </c>
      <c r="H15" s="3">
        <v>0</v>
      </c>
      <c r="J15" s="3">
        <v>0</v>
      </c>
      <c r="K15" s="3">
        <v>0</v>
      </c>
      <c r="L15" s="3"/>
      <c r="M15" s="3">
        <v>1</v>
      </c>
      <c r="N15" s="3">
        <v>108</v>
      </c>
      <c r="O15" s="3">
        <v>108</v>
      </c>
      <c r="P15" s="3">
        <v>108</v>
      </c>
      <c r="Q15" s="3"/>
    </row>
    <row r="16" spans="1:18" x14ac:dyDescent="0.2">
      <c r="B16" t="s">
        <v>2272</v>
      </c>
      <c r="C16" s="3">
        <v>0</v>
      </c>
      <c r="E16" s="3">
        <v>0</v>
      </c>
      <c r="F16" s="3">
        <v>0</v>
      </c>
      <c r="H16" s="3">
        <v>2</v>
      </c>
      <c r="I16" s="3">
        <v>1.682897205</v>
      </c>
      <c r="J16" s="3">
        <v>1.6030119999999999</v>
      </c>
      <c r="K16" s="3">
        <v>1.76278241</v>
      </c>
      <c r="L16" s="3">
        <v>0.11297474034395312</v>
      </c>
      <c r="M16" s="3">
        <v>2</v>
      </c>
      <c r="N16" s="3">
        <v>1.682897205</v>
      </c>
      <c r="O16" s="3">
        <v>1.6030119999999999</v>
      </c>
      <c r="P16" s="3">
        <v>1.76278241</v>
      </c>
      <c r="Q16" s="3">
        <v>0.11297474034395312</v>
      </c>
    </row>
    <row r="17" spans="1:17" x14ac:dyDescent="0.2">
      <c r="B17" t="s">
        <v>1028</v>
      </c>
      <c r="C17" s="3">
        <v>0</v>
      </c>
      <c r="E17" s="3">
        <v>0</v>
      </c>
      <c r="F17" s="3">
        <v>0</v>
      </c>
      <c r="H17" s="3">
        <v>0</v>
      </c>
      <c r="J17" s="3">
        <v>0</v>
      </c>
      <c r="K17" s="3">
        <v>0</v>
      </c>
      <c r="L17" s="3"/>
      <c r="M17" s="3">
        <v>4</v>
      </c>
      <c r="N17" s="3">
        <v>3.2672496406324871</v>
      </c>
      <c r="O17" s="3">
        <v>3.0346590001597189</v>
      </c>
      <c r="P17" s="3">
        <v>3.4539210988659961</v>
      </c>
      <c r="Q17" s="3">
        <v>0.20563807698449826</v>
      </c>
    </row>
    <row r="18" spans="1:17" x14ac:dyDescent="0.2">
      <c r="B18" t="s">
        <v>2305</v>
      </c>
      <c r="C18" s="3">
        <v>2</v>
      </c>
      <c r="D18" s="3">
        <v>54.285714285714285</v>
      </c>
      <c r="E18" s="3">
        <v>51.428571428571423</v>
      </c>
      <c r="F18" s="3">
        <v>57.142857142857146</v>
      </c>
      <c r="G18" s="3">
        <v>4.0406101782088335</v>
      </c>
      <c r="H18" s="3">
        <v>3</v>
      </c>
      <c r="I18" s="3">
        <v>53.431428571428569</v>
      </c>
      <c r="J18" s="3">
        <v>50.580000000000005</v>
      </c>
      <c r="K18" s="3">
        <v>57.714285714285715</v>
      </c>
      <c r="L18" s="3">
        <v>3.7764068874516132</v>
      </c>
      <c r="M18" s="3">
        <v>3</v>
      </c>
      <c r="N18" s="3">
        <v>307.90761904761911</v>
      </c>
      <c r="O18" s="3">
        <v>50.580000000000005</v>
      </c>
      <c r="P18" s="3">
        <v>442.28571428571433</v>
      </c>
      <c r="Q18" s="3">
        <v>222.92550483235854</v>
      </c>
    </row>
    <row r="19" spans="1:17" x14ac:dyDescent="0.2">
      <c r="B19" t="s">
        <v>2338</v>
      </c>
      <c r="C19" s="3">
        <v>0</v>
      </c>
      <c r="E19" s="3">
        <v>0</v>
      </c>
      <c r="F19" s="3">
        <v>0</v>
      </c>
      <c r="H19" s="3">
        <v>24</v>
      </c>
      <c r="I19" s="3">
        <v>0.1330633338122082</v>
      </c>
      <c r="J19" s="3">
        <v>6.2488517667000911E-3</v>
      </c>
      <c r="K19" s="3">
        <v>0.16778808044395427</v>
      </c>
      <c r="L19" s="3">
        <v>6.1505960514037068E-2</v>
      </c>
      <c r="M19" s="3">
        <v>24</v>
      </c>
      <c r="N19" s="3">
        <v>4.2306243846397855</v>
      </c>
      <c r="O19" s="3">
        <v>1.0447093493117277</v>
      </c>
      <c r="P19" s="3">
        <v>20.267817916308267</v>
      </c>
      <c r="Q19" s="3">
        <v>3.9991560647242537</v>
      </c>
    </row>
    <row r="20" spans="1:17" x14ac:dyDescent="0.2">
      <c r="B20" t="s">
        <v>2339</v>
      </c>
      <c r="C20" s="3">
        <v>0</v>
      </c>
      <c r="E20" s="3">
        <v>0</v>
      </c>
      <c r="F20" s="3">
        <v>0</v>
      </c>
      <c r="H20" s="3">
        <v>12</v>
      </c>
      <c r="I20" s="3">
        <v>7.2234348031658029E-3</v>
      </c>
      <c r="J20" s="3">
        <v>4.1807661240187933E-3</v>
      </c>
      <c r="K20" s="3">
        <v>1.1148709664050117E-2</v>
      </c>
      <c r="L20" s="3">
        <v>2.0428260692884307E-3</v>
      </c>
      <c r="M20" s="3">
        <v>12</v>
      </c>
      <c r="N20" s="3">
        <v>0.49312620704877702</v>
      </c>
      <c r="O20" s="3">
        <v>2.0322202436920473E-2</v>
      </c>
      <c r="P20" s="3">
        <v>1.1492312895896142</v>
      </c>
      <c r="Q20" s="3">
        <v>0.28493780060632629</v>
      </c>
    </row>
    <row r="21" spans="1:17" x14ac:dyDescent="0.2">
      <c r="A21" t="s">
        <v>2830</v>
      </c>
      <c r="B21"/>
      <c r="C21" s="3">
        <v>18</v>
      </c>
      <c r="D21" s="3">
        <v>21.228321695915291</v>
      </c>
      <c r="E21" s="3">
        <v>0.89312977099236635</v>
      </c>
      <c r="F21" s="3">
        <v>115</v>
      </c>
      <c r="G21" s="3">
        <v>33.109232024866074</v>
      </c>
      <c r="H21" s="3">
        <v>56</v>
      </c>
      <c r="I21" s="3">
        <v>13.828398726326316</v>
      </c>
      <c r="J21" s="3">
        <v>4.1807661240187933E-3</v>
      </c>
      <c r="K21" s="3">
        <v>187.5</v>
      </c>
      <c r="L21" s="3">
        <v>37.444207176680102</v>
      </c>
      <c r="M21" s="3">
        <v>69</v>
      </c>
      <c r="N21" s="3">
        <v>44.145677177729326</v>
      </c>
      <c r="O21" s="3">
        <v>2.0322202436920473E-2</v>
      </c>
      <c r="P21" s="3">
        <v>627.5</v>
      </c>
      <c r="Q21" s="3">
        <v>120.42532768758643</v>
      </c>
    </row>
    <row r="22" spans="1:17" x14ac:dyDescent="0.2">
      <c r="A22" t="s">
        <v>259</v>
      </c>
      <c r="B22" t="s">
        <v>641</v>
      </c>
      <c r="C22" s="3">
        <v>0</v>
      </c>
      <c r="E22" s="3">
        <v>0</v>
      </c>
      <c r="F22" s="3">
        <v>0</v>
      </c>
      <c r="H22" s="3">
        <v>0</v>
      </c>
      <c r="J22" s="3">
        <v>0</v>
      </c>
      <c r="K22" s="3">
        <v>0</v>
      </c>
      <c r="L22" s="3"/>
      <c r="M22" s="3"/>
      <c r="N22" s="3"/>
      <c r="O22" s="3"/>
      <c r="P22" s="3"/>
      <c r="Q22" s="3"/>
    </row>
    <row r="23" spans="1:17" x14ac:dyDescent="0.2">
      <c r="B23" t="s">
        <v>260</v>
      </c>
      <c r="C23" s="3">
        <v>2</v>
      </c>
      <c r="D23" s="3">
        <v>2.625</v>
      </c>
      <c r="E23" s="3">
        <v>1.61</v>
      </c>
      <c r="F23" s="3">
        <v>3.64</v>
      </c>
      <c r="G23" s="3">
        <v>1.4354267658086919</v>
      </c>
      <c r="H23" s="3">
        <v>2</v>
      </c>
      <c r="I23" s="3">
        <v>13.195</v>
      </c>
      <c r="J23" s="3">
        <v>12.18</v>
      </c>
      <c r="K23" s="3">
        <v>14.21</v>
      </c>
      <c r="L23" s="3">
        <v>1.4354267658087123</v>
      </c>
      <c r="M23" s="3">
        <v>4</v>
      </c>
      <c r="N23" s="3">
        <v>3120.25</v>
      </c>
      <c r="O23" s="3">
        <v>13.3</v>
      </c>
      <c r="P23" s="3">
        <v>7200</v>
      </c>
      <c r="Q23" s="3">
        <v>3673.521312038356</v>
      </c>
    </row>
    <row r="24" spans="1:17" x14ac:dyDescent="0.2">
      <c r="B24" t="s">
        <v>1271</v>
      </c>
      <c r="C24" s="3">
        <v>2</v>
      </c>
      <c r="D24" s="3">
        <v>3.7</v>
      </c>
      <c r="E24" s="3">
        <v>2.2000000000000002</v>
      </c>
      <c r="F24" s="3">
        <v>5.2</v>
      </c>
      <c r="G24" s="3">
        <v>2.1213203435596424</v>
      </c>
      <c r="H24" s="3">
        <v>0</v>
      </c>
      <c r="J24" s="3">
        <v>0</v>
      </c>
      <c r="K24" s="3">
        <v>0</v>
      </c>
      <c r="L24" s="3"/>
      <c r="M24" s="3"/>
      <c r="N24" s="3"/>
      <c r="O24" s="3"/>
      <c r="P24" s="3"/>
      <c r="Q24" s="3"/>
    </row>
    <row r="25" spans="1:17" x14ac:dyDescent="0.2">
      <c r="B25" t="s">
        <v>1200</v>
      </c>
      <c r="C25" s="3">
        <v>0</v>
      </c>
      <c r="E25" s="3">
        <v>0</v>
      </c>
      <c r="F25" s="3">
        <v>0</v>
      </c>
      <c r="H25" s="3">
        <v>0</v>
      </c>
      <c r="J25" s="3">
        <v>0</v>
      </c>
      <c r="K25" s="3">
        <v>0</v>
      </c>
      <c r="L25" s="3"/>
      <c r="M25" s="3">
        <v>2</v>
      </c>
      <c r="N25" s="3">
        <v>54.94</v>
      </c>
      <c r="O25" s="3">
        <v>32.39</v>
      </c>
      <c r="P25" s="3">
        <v>77.489999999999995</v>
      </c>
      <c r="Q25" s="3">
        <v>31.890515831513294</v>
      </c>
    </row>
    <row r="26" spans="1:17" x14ac:dyDescent="0.2">
      <c r="B26" t="s">
        <v>2430</v>
      </c>
      <c r="C26" s="3">
        <v>2</v>
      </c>
      <c r="D26" s="3">
        <v>1.85</v>
      </c>
      <c r="E26" s="3">
        <v>1.3</v>
      </c>
      <c r="F26" s="3">
        <v>2.4</v>
      </c>
      <c r="G26" s="3">
        <v>0.77781745930520196</v>
      </c>
      <c r="H26" s="3">
        <v>0</v>
      </c>
      <c r="J26" s="3">
        <v>0</v>
      </c>
      <c r="K26" s="3">
        <v>0</v>
      </c>
      <c r="L26" s="3"/>
      <c r="M26" s="3"/>
      <c r="N26" s="3"/>
      <c r="O26" s="3"/>
      <c r="P26" s="3"/>
      <c r="Q26" s="3"/>
    </row>
    <row r="27" spans="1:17" x14ac:dyDescent="0.2">
      <c r="B27" t="s">
        <v>1934</v>
      </c>
      <c r="C27" s="3">
        <v>0</v>
      </c>
      <c r="E27" s="3">
        <v>0</v>
      </c>
      <c r="F27" s="3">
        <v>0</v>
      </c>
      <c r="H27" s="3">
        <v>1</v>
      </c>
      <c r="I27" s="3">
        <v>5.8</v>
      </c>
      <c r="J27" s="3">
        <v>5.8</v>
      </c>
      <c r="K27" s="3">
        <v>5.8</v>
      </c>
      <c r="L27" s="3"/>
      <c r="M27" s="3">
        <v>1</v>
      </c>
      <c r="N27" s="3">
        <v>5.8</v>
      </c>
      <c r="O27" s="3">
        <v>5.8</v>
      </c>
      <c r="P27" s="3">
        <v>5.8</v>
      </c>
      <c r="Q27" s="3"/>
    </row>
    <row r="28" spans="1:17" x14ac:dyDescent="0.2">
      <c r="B28" t="s">
        <v>1936</v>
      </c>
      <c r="C28" s="3">
        <v>0</v>
      </c>
      <c r="E28" s="3">
        <v>0</v>
      </c>
      <c r="F28" s="3">
        <v>0</v>
      </c>
      <c r="H28" s="3">
        <v>0</v>
      </c>
      <c r="J28" s="3">
        <v>0</v>
      </c>
      <c r="K28" s="3">
        <v>0</v>
      </c>
      <c r="L28" s="3"/>
      <c r="M28" s="3">
        <v>1</v>
      </c>
      <c r="N28" s="3">
        <v>4.2</v>
      </c>
      <c r="O28" s="3">
        <v>4.2</v>
      </c>
      <c r="P28" s="3">
        <v>4.2</v>
      </c>
      <c r="Q28" s="3"/>
    </row>
    <row r="29" spans="1:17" x14ac:dyDescent="0.2">
      <c r="B29" t="s">
        <v>3053</v>
      </c>
      <c r="C29" s="3">
        <v>0</v>
      </c>
      <c r="E29" s="3">
        <v>0</v>
      </c>
      <c r="F29" s="3">
        <v>0</v>
      </c>
      <c r="H29" s="3">
        <v>1</v>
      </c>
      <c r="I29" s="3">
        <v>8.8000000000000007</v>
      </c>
      <c r="J29" s="3">
        <v>8.8000000000000007</v>
      </c>
      <c r="K29" s="3">
        <v>8.8000000000000007</v>
      </c>
      <c r="L29" s="3"/>
      <c r="M29" s="3">
        <v>1</v>
      </c>
      <c r="N29" s="3">
        <v>8.8000000000000007</v>
      </c>
      <c r="O29" s="3">
        <v>8.8000000000000007</v>
      </c>
      <c r="P29" s="3">
        <v>8.8000000000000007</v>
      </c>
      <c r="Q29" s="3"/>
    </row>
    <row r="30" spans="1:17" x14ac:dyDescent="0.2">
      <c r="B30" t="s">
        <v>2083</v>
      </c>
      <c r="C30" s="3">
        <v>0</v>
      </c>
      <c r="E30" s="3">
        <v>0</v>
      </c>
      <c r="F30" s="3">
        <v>0</v>
      </c>
      <c r="H30" s="3">
        <v>0</v>
      </c>
      <c r="J30" s="3">
        <v>0</v>
      </c>
      <c r="K30" s="3">
        <v>0</v>
      </c>
      <c r="L30" s="3"/>
      <c r="M30" s="3"/>
      <c r="N30" s="3"/>
      <c r="O30" s="3"/>
      <c r="P30" s="3"/>
      <c r="Q30" s="3"/>
    </row>
    <row r="31" spans="1:17" x14ac:dyDescent="0.2">
      <c r="B31" t="s">
        <v>2093</v>
      </c>
      <c r="C31" s="3">
        <v>0</v>
      </c>
      <c r="E31" s="3">
        <v>0</v>
      </c>
      <c r="F31" s="3">
        <v>0</v>
      </c>
      <c r="H31" s="3">
        <v>2</v>
      </c>
      <c r="I31" s="3">
        <v>4.6857999999999995</v>
      </c>
      <c r="J31" s="3">
        <v>4.5222999999999995</v>
      </c>
      <c r="K31" s="3">
        <v>4.8492999999999995</v>
      </c>
      <c r="L31" s="3">
        <v>0.23122391744800974</v>
      </c>
      <c r="M31" s="3">
        <v>2</v>
      </c>
      <c r="N31" s="3">
        <v>4.6857999999999995</v>
      </c>
      <c r="O31" s="3">
        <v>4.5222999999999995</v>
      </c>
      <c r="P31" s="3">
        <v>4.8492999999999995</v>
      </c>
      <c r="Q31" s="3">
        <v>0.23122391744800974</v>
      </c>
    </row>
    <row r="32" spans="1:17" x14ac:dyDescent="0.2">
      <c r="B32" t="s">
        <v>2094</v>
      </c>
      <c r="C32" s="3">
        <v>3</v>
      </c>
      <c r="D32" s="3">
        <v>2.7705333333333328</v>
      </c>
      <c r="E32" s="3">
        <v>2.5423</v>
      </c>
      <c r="F32" s="3">
        <v>2.9</v>
      </c>
      <c r="G32" s="3">
        <v>0.19825101092638764</v>
      </c>
      <c r="H32" s="3">
        <v>0</v>
      </c>
      <c r="J32" s="3">
        <v>0</v>
      </c>
      <c r="K32" s="3">
        <v>0</v>
      </c>
      <c r="L32" s="3"/>
      <c r="M32" s="3"/>
      <c r="N32" s="3"/>
      <c r="O32" s="3"/>
      <c r="P32" s="3"/>
      <c r="Q32" s="3"/>
    </row>
    <row r="33" spans="1:17" x14ac:dyDescent="0.2">
      <c r="B33" t="s">
        <v>3579</v>
      </c>
      <c r="C33" s="3">
        <v>0</v>
      </c>
      <c r="E33" s="3">
        <v>0</v>
      </c>
      <c r="F33" s="3">
        <v>0</v>
      </c>
      <c r="H33" s="3">
        <v>0</v>
      </c>
      <c r="J33" s="3">
        <v>0</v>
      </c>
      <c r="K33" s="3">
        <v>0</v>
      </c>
      <c r="L33" s="3"/>
      <c r="M33" s="3"/>
      <c r="N33" s="3"/>
      <c r="O33" s="3"/>
      <c r="P33" s="3"/>
      <c r="Q33" s="3"/>
    </row>
    <row r="34" spans="1:17" x14ac:dyDescent="0.2">
      <c r="B34" t="s">
        <v>513</v>
      </c>
      <c r="C34" s="3">
        <v>1</v>
      </c>
      <c r="D34" s="3">
        <v>4.9000000000000004</v>
      </c>
      <c r="E34" s="3">
        <v>4.9000000000000004</v>
      </c>
      <c r="F34" s="3">
        <v>4.9000000000000004</v>
      </c>
      <c r="H34" s="3">
        <v>0</v>
      </c>
      <c r="J34" s="3">
        <v>0</v>
      </c>
      <c r="K34" s="3">
        <v>0</v>
      </c>
      <c r="L34" s="3"/>
      <c r="M34" s="3"/>
      <c r="N34" s="3"/>
      <c r="O34" s="3"/>
      <c r="P34" s="3"/>
      <c r="Q34" s="3"/>
    </row>
    <row r="35" spans="1:17" x14ac:dyDescent="0.2">
      <c r="B35" t="s">
        <v>2235</v>
      </c>
      <c r="C35" s="3">
        <v>0</v>
      </c>
      <c r="E35" s="3">
        <v>0</v>
      </c>
      <c r="F35" s="3">
        <v>0</v>
      </c>
      <c r="H35" s="3">
        <v>1</v>
      </c>
      <c r="I35" s="3">
        <v>5.3975</v>
      </c>
      <c r="J35" s="3">
        <v>5.3975</v>
      </c>
      <c r="K35" s="3">
        <v>5.3975</v>
      </c>
      <c r="L35" s="3"/>
      <c r="M35" s="3">
        <v>1</v>
      </c>
      <c r="N35" s="3">
        <v>5.3975</v>
      </c>
      <c r="O35" s="3">
        <v>5.3975</v>
      </c>
      <c r="P35" s="3">
        <v>5.3975</v>
      </c>
      <c r="Q35" s="3"/>
    </row>
    <row r="36" spans="1:17" x14ac:dyDescent="0.2">
      <c r="B36" t="s">
        <v>2236</v>
      </c>
      <c r="C36" s="3">
        <v>6</v>
      </c>
      <c r="D36" s="3">
        <v>6.6866666666666665</v>
      </c>
      <c r="E36" s="3">
        <v>4.5999999999999996</v>
      </c>
      <c r="F36" s="3">
        <v>9.5299999999999994</v>
      </c>
      <c r="G36" s="3">
        <v>1.7820175831530605</v>
      </c>
      <c r="H36" s="3">
        <v>1</v>
      </c>
      <c r="I36" s="3">
        <v>0.13930000000000001</v>
      </c>
      <c r="J36" s="3">
        <v>0.13930000000000001</v>
      </c>
      <c r="K36" s="3">
        <v>0.13930000000000001</v>
      </c>
      <c r="L36" s="3"/>
      <c r="M36" s="3"/>
      <c r="N36" s="3"/>
      <c r="O36" s="3"/>
      <c r="P36" s="3"/>
      <c r="Q36" s="3"/>
    </row>
    <row r="37" spans="1:17" x14ac:dyDescent="0.2">
      <c r="B37" t="s">
        <v>2239</v>
      </c>
      <c r="C37" s="3">
        <v>4</v>
      </c>
      <c r="D37" s="3">
        <v>5.5272600000000001</v>
      </c>
      <c r="E37" s="3">
        <v>1.456</v>
      </c>
      <c r="F37" s="3">
        <v>7.4</v>
      </c>
      <c r="G37" s="3">
        <v>2.738641074888541</v>
      </c>
      <c r="H37" s="3">
        <v>3</v>
      </c>
      <c r="I37" s="3">
        <v>5.8391599999999997</v>
      </c>
      <c r="J37" s="3">
        <v>1.8596999999999999</v>
      </c>
      <c r="K37" s="3">
        <v>7.9077800000000007</v>
      </c>
      <c r="L37" s="3">
        <v>3.4472162756055815</v>
      </c>
      <c r="M37" s="3">
        <v>3</v>
      </c>
      <c r="N37" s="3">
        <v>8.0665666666666667</v>
      </c>
      <c r="O37" s="3">
        <v>1.8596999999999999</v>
      </c>
      <c r="P37" s="3">
        <v>14.59</v>
      </c>
      <c r="Q37" s="3">
        <v>6.3710513546300467</v>
      </c>
    </row>
    <row r="38" spans="1:17" x14ac:dyDescent="0.2">
      <c r="B38" t="s">
        <v>2242</v>
      </c>
      <c r="C38" s="3">
        <v>0</v>
      </c>
      <c r="E38" s="3">
        <v>0</v>
      </c>
      <c r="F38" s="3">
        <v>0</v>
      </c>
      <c r="H38" s="3">
        <v>3</v>
      </c>
      <c r="I38" s="3">
        <v>3.9486279999999998</v>
      </c>
      <c r="J38" s="3">
        <v>3.5523142999999999</v>
      </c>
      <c r="K38" s="3">
        <v>4.3230949000000001</v>
      </c>
      <c r="L38" s="3">
        <v>0.38585443542451386</v>
      </c>
      <c r="M38" s="3">
        <v>3</v>
      </c>
      <c r="N38" s="3">
        <v>3.9486279999999998</v>
      </c>
      <c r="O38" s="3">
        <v>3.5523142999999999</v>
      </c>
      <c r="P38" s="3">
        <v>4.3230949000000001</v>
      </c>
      <c r="Q38" s="3">
        <v>0.38585443542451386</v>
      </c>
    </row>
    <row r="39" spans="1:17" x14ac:dyDescent="0.2">
      <c r="B39" t="s">
        <v>2243</v>
      </c>
      <c r="C39" s="3">
        <v>20</v>
      </c>
      <c r="D39" s="3">
        <v>2.6956580300000001</v>
      </c>
      <c r="E39" s="3">
        <v>1.3583780000000001</v>
      </c>
      <c r="F39" s="3">
        <v>7.5897613000000002</v>
      </c>
      <c r="G39" s="3">
        <v>1.3247895032637358</v>
      </c>
      <c r="H39" s="3">
        <v>0</v>
      </c>
      <c r="J39" s="3">
        <v>0</v>
      </c>
      <c r="K39" s="3">
        <v>0</v>
      </c>
      <c r="L39" s="3"/>
      <c r="M39" s="3"/>
      <c r="N39" s="3"/>
      <c r="O39" s="3"/>
      <c r="P39" s="3"/>
      <c r="Q39" s="3"/>
    </row>
    <row r="40" spans="1:17" x14ac:dyDescent="0.2">
      <c r="B40" t="s">
        <v>2348</v>
      </c>
      <c r="C40" s="3">
        <v>0</v>
      </c>
      <c r="E40" s="3">
        <v>0</v>
      </c>
      <c r="F40" s="3">
        <v>0</v>
      </c>
      <c r="H40" s="3">
        <v>3</v>
      </c>
      <c r="I40" s="3">
        <v>2.3743276000000004</v>
      </c>
      <c r="J40" s="3">
        <v>2.2685884999999999</v>
      </c>
      <c r="K40" s="3">
        <v>2.5439123000000001</v>
      </c>
      <c r="L40" s="3">
        <v>0.14835091570707604</v>
      </c>
      <c r="M40" s="3">
        <v>5</v>
      </c>
      <c r="N40" s="3">
        <v>1.4263876047761195</v>
      </c>
      <c r="O40" s="3">
        <v>4.0298507462686569E-3</v>
      </c>
      <c r="P40" s="3">
        <v>2.5439123000000001</v>
      </c>
      <c r="Q40" s="3">
        <v>1.302252197968035</v>
      </c>
    </row>
    <row r="41" spans="1:17" x14ac:dyDescent="0.2">
      <c r="B41" t="s">
        <v>2351</v>
      </c>
      <c r="C41" s="3">
        <v>8</v>
      </c>
      <c r="D41" s="3">
        <v>2.2353750000000003</v>
      </c>
      <c r="E41" s="3">
        <v>0.8</v>
      </c>
      <c r="F41" s="3">
        <v>3.8849999999999998</v>
      </c>
      <c r="G41" s="3">
        <v>1.0285647333611454</v>
      </c>
      <c r="H41" s="3">
        <v>0</v>
      </c>
      <c r="J41" s="3">
        <v>0</v>
      </c>
      <c r="K41" s="3">
        <v>0</v>
      </c>
      <c r="L41" s="3"/>
      <c r="M41" s="3"/>
      <c r="N41" s="3"/>
      <c r="O41" s="3"/>
      <c r="P41" s="3"/>
      <c r="Q41" s="3"/>
    </row>
    <row r="42" spans="1:17" x14ac:dyDescent="0.2">
      <c r="A42" t="s">
        <v>2831</v>
      </c>
      <c r="B42"/>
      <c r="C42" s="3">
        <v>48</v>
      </c>
      <c r="D42" s="3">
        <v>3.4080583458333336</v>
      </c>
      <c r="E42" s="3">
        <v>0.8</v>
      </c>
      <c r="F42" s="3">
        <v>9.5299999999999994</v>
      </c>
      <c r="G42" s="3">
        <v>2.0612067246085664</v>
      </c>
      <c r="H42" s="3">
        <v>17</v>
      </c>
      <c r="I42" s="3">
        <v>5.4343968705882357</v>
      </c>
      <c r="J42" s="3">
        <v>0.13930000000000001</v>
      </c>
      <c r="K42" s="3">
        <v>14.21</v>
      </c>
      <c r="L42" s="3">
        <v>3.7291375965242168</v>
      </c>
      <c r="M42" s="3">
        <v>23</v>
      </c>
      <c r="N42" s="3">
        <v>550.7663748706035</v>
      </c>
      <c r="O42" s="3">
        <v>4.0298507462686569E-3</v>
      </c>
      <c r="P42" s="3">
        <v>7200</v>
      </c>
      <c r="Q42" s="3">
        <v>1814.8229314764287</v>
      </c>
    </row>
    <row r="43" spans="1:17" x14ac:dyDescent="0.2">
      <c r="A43" t="s">
        <v>11</v>
      </c>
      <c r="B43" t="s">
        <v>143</v>
      </c>
      <c r="C43" s="3">
        <v>0</v>
      </c>
      <c r="E43" s="3">
        <v>0</v>
      </c>
      <c r="F43" s="3">
        <v>0</v>
      </c>
      <c r="H43" s="3">
        <v>0</v>
      </c>
      <c r="J43" s="3">
        <v>0</v>
      </c>
      <c r="K43" s="3">
        <v>0</v>
      </c>
      <c r="L43" s="3"/>
      <c r="M43" s="3">
        <v>3</v>
      </c>
      <c r="N43" s="3">
        <v>34.666666666666664</v>
      </c>
      <c r="O43" s="3">
        <v>30</v>
      </c>
      <c r="P43" s="3">
        <v>42</v>
      </c>
      <c r="Q43" s="3">
        <v>6.4291005073286307</v>
      </c>
    </row>
    <row r="44" spans="1:17" x14ac:dyDescent="0.2">
      <c r="B44" t="s">
        <v>443</v>
      </c>
      <c r="C44" s="3">
        <v>0</v>
      </c>
      <c r="E44" s="3">
        <v>0</v>
      </c>
      <c r="F44" s="3">
        <v>0</v>
      </c>
      <c r="H44" s="3">
        <v>0</v>
      </c>
      <c r="J44" s="3">
        <v>0</v>
      </c>
      <c r="K44" s="3">
        <v>0</v>
      </c>
      <c r="L44" s="3"/>
      <c r="M44" s="3"/>
      <c r="N44" s="3"/>
      <c r="O44" s="3"/>
      <c r="P44" s="3"/>
      <c r="Q44" s="3"/>
    </row>
    <row r="45" spans="1:17" x14ac:dyDescent="0.2">
      <c r="B45" t="s">
        <v>426</v>
      </c>
      <c r="C45" s="3">
        <v>4</v>
      </c>
      <c r="D45" s="3">
        <v>29.651750000000003</v>
      </c>
      <c r="E45" s="3">
        <v>17.55</v>
      </c>
      <c r="F45" s="3">
        <v>45.29</v>
      </c>
      <c r="G45" s="3">
        <v>12.03501802726803</v>
      </c>
      <c r="H45" s="3">
        <v>4</v>
      </c>
      <c r="I45" s="3">
        <v>43.141750000000002</v>
      </c>
      <c r="J45" s="3">
        <v>29.19</v>
      </c>
      <c r="K45" s="3">
        <v>67.600999999999999</v>
      </c>
      <c r="L45" s="3">
        <v>17.261180577140905</v>
      </c>
      <c r="M45" s="3">
        <v>6</v>
      </c>
      <c r="N45" s="3">
        <v>50.35</v>
      </c>
      <c r="O45" s="3">
        <v>40</v>
      </c>
      <c r="P45" s="3">
        <v>71.98</v>
      </c>
      <c r="Q45" s="3">
        <v>11.089219990603482</v>
      </c>
    </row>
    <row r="46" spans="1:17" x14ac:dyDescent="0.2">
      <c r="B46" t="s">
        <v>436</v>
      </c>
      <c r="C46" s="3">
        <v>0</v>
      </c>
      <c r="E46" s="3">
        <v>0</v>
      </c>
      <c r="F46" s="3">
        <v>0</v>
      </c>
      <c r="H46" s="3">
        <v>0</v>
      </c>
      <c r="J46" s="3">
        <v>0</v>
      </c>
      <c r="K46" s="3">
        <v>0</v>
      </c>
      <c r="L46" s="3"/>
      <c r="M46" s="3"/>
      <c r="N46" s="3"/>
      <c r="O46" s="3"/>
      <c r="P46" s="3"/>
      <c r="Q46" s="3"/>
    </row>
    <row r="47" spans="1:17" x14ac:dyDescent="0.2">
      <c r="B47" t="s">
        <v>187</v>
      </c>
      <c r="C47" s="3">
        <v>0</v>
      </c>
      <c r="E47" s="3">
        <v>0</v>
      </c>
      <c r="F47" s="3">
        <v>0</v>
      </c>
      <c r="H47" s="3">
        <v>0</v>
      </c>
      <c r="J47" s="3">
        <v>0</v>
      </c>
      <c r="K47" s="3">
        <v>0</v>
      </c>
      <c r="L47" s="3"/>
      <c r="M47" s="3"/>
      <c r="N47" s="3"/>
      <c r="O47" s="3"/>
      <c r="P47" s="3"/>
      <c r="Q47" s="3"/>
    </row>
    <row r="48" spans="1:17" x14ac:dyDescent="0.2">
      <c r="B48" t="s">
        <v>194</v>
      </c>
      <c r="C48" s="3">
        <v>0</v>
      </c>
      <c r="E48" s="3">
        <v>0</v>
      </c>
      <c r="F48" s="3">
        <v>0</v>
      </c>
      <c r="H48" s="3">
        <v>0</v>
      </c>
      <c r="J48" s="3">
        <v>0</v>
      </c>
      <c r="K48" s="3">
        <v>0</v>
      </c>
      <c r="L48" s="3"/>
      <c r="M48" s="3"/>
      <c r="N48" s="3"/>
      <c r="O48" s="3"/>
      <c r="P48" s="3"/>
      <c r="Q48" s="3"/>
    </row>
    <row r="49" spans="1:17" x14ac:dyDescent="0.2">
      <c r="B49" t="s">
        <v>193</v>
      </c>
      <c r="C49" s="3">
        <v>0</v>
      </c>
      <c r="E49" s="3">
        <v>0</v>
      </c>
      <c r="F49" s="3">
        <v>0</v>
      </c>
      <c r="H49" s="3">
        <v>0</v>
      </c>
      <c r="J49" s="3">
        <v>0</v>
      </c>
      <c r="K49" s="3">
        <v>0</v>
      </c>
      <c r="L49" s="3"/>
      <c r="M49" s="3"/>
      <c r="N49" s="3"/>
      <c r="O49" s="3"/>
      <c r="P49" s="3"/>
      <c r="Q49" s="3"/>
    </row>
    <row r="50" spans="1:17" x14ac:dyDescent="0.2">
      <c r="B50" t="s">
        <v>344</v>
      </c>
      <c r="C50" s="3">
        <v>0</v>
      </c>
      <c r="E50" s="3">
        <v>0</v>
      </c>
      <c r="F50" s="3">
        <v>0</v>
      </c>
      <c r="H50" s="3">
        <v>0</v>
      </c>
      <c r="J50" s="3">
        <v>0</v>
      </c>
      <c r="K50" s="3">
        <v>0</v>
      </c>
      <c r="L50" s="3"/>
      <c r="M50" s="3"/>
      <c r="N50" s="3"/>
      <c r="O50" s="3"/>
      <c r="P50" s="3"/>
      <c r="Q50" s="3"/>
    </row>
    <row r="51" spans="1:17" x14ac:dyDescent="0.2">
      <c r="B51" t="s">
        <v>191</v>
      </c>
      <c r="C51" s="3">
        <v>0</v>
      </c>
      <c r="E51" s="3">
        <v>0</v>
      </c>
      <c r="F51" s="3">
        <v>0</v>
      </c>
      <c r="H51" s="3">
        <v>0</v>
      </c>
      <c r="J51" s="3">
        <v>0</v>
      </c>
      <c r="K51" s="3">
        <v>0</v>
      </c>
      <c r="L51" s="3"/>
      <c r="M51" s="3"/>
      <c r="N51" s="3"/>
      <c r="O51" s="3"/>
      <c r="P51" s="3"/>
      <c r="Q51" s="3"/>
    </row>
    <row r="52" spans="1:17" x14ac:dyDescent="0.2">
      <c r="B52" t="s">
        <v>195</v>
      </c>
      <c r="C52" s="3">
        <v>0</v>
      </c>
      <c r="E52" s="3">
        <v>0</v>
      </c>
      <c r="F52" s="3">
        <v>0</v>
      </c>
      <c r="H52" s="3">
        <v>0</v>
      </c>
      <c r="J52" s="3">
        <v>0</v>
      </c>
      <c r="K52" s="3">
        <v>0</v>
      </c>
      <c r="L52" s="3"/>
      <c r="M52" s="3"/>
      <c r="N52" s="3"/>
      <c r="O52" s="3"/>
      <c r="P52" s="3"/>
      <c r="Q52" s="3"/>
    </row>
    <row r="53" spans="1:17" x14ac:dyDescent="0.2">
      <c r="B53" t="s">
        <v>12</v>
      </c>
      <c r="C53" s="3">
        <v>41</v>
      </c>
      <c r="D53" s="3">
        <v>3.5895304878048782</v>
      </c>
      <c r="E53" s="3">
        <v>0.55000000000000004</v>
      </c>
      <c r="F53" s="3">
        <v>6.91</v>
      </c>
      <c r="G53" s="3">
        <v>1.4165480069908509</v>
      </c>
      <c r="H53" s="3">
        <v>4</v>
      </c>
      <c r="I53" s="3">
        <v>7.1286207824999996</v>
      </c>
      <c r="J53" s="3">
        <v>3.2395500000000004</v>
      </c>
      <c r="K53" s="3">
        <v>10.56295793</v>
      </c>
      <c r="L53" s="3">
        <v>3.4350520731026917</v>
      </c>
      <c r="M53" s="3">
        <v>6</v>
      </c>
      <c r="N53" s="3">
        <v>8.9931855333333335</v>
      </c>
      <c r="O53" s="3">
        <v>4.5640000000000001</v>
      </c>
      <c r="P53" s="3">
        <v>18.921113199999997</v>
      </c>
      <c r="Q53" s="3">
        <v>5.5209220336005158</v>
      </c>
    </row>
    <row r="54" spans="1:17" x14ac:dyDescent="0.2">
      <c r="B54" t="s">
        <v>142</v>
      </c>
      <c r="C54" s="3">
        <v>0</v>
      </c>
      <c r="E54" s="3">
        <v>0</v>
      </c>
      <c r="F54" s="3">
        <v>0</v>
      </c>
      <c r="H54" s="3">
        <v>0</v>
      </c>
      <c r="J54" s="3">
        <v>0</v>
      </c>
      <c r="K54" s="3">
        <v>0</v>
      </c>
      <c r="L54" s="3"/>
      <c r="M54" s="3"/>
      <c r="N54" s="3"/>
      <c r="O54" s="3"/>
      <c r="P54" s="3"/>
      <c r="Q54" s="3"/>
    </row>
    <row r="55" spans="1:17" x14ac:dyDescent="0.2">
      <c r="B55" t="s">
        <v>425</v>
      </c>
      <c r="C55" s="3">
        <v>1</v>
      </c>
      <c r="D55" s="3">
        <v>9.56</v>
      </c>
      <c r="E55" s="3">
        <v>9.56</v>
      </c>
      <c r="F55" s="3">
        <v>9.56</v>
      </c>
      <c r="H55" s="3">
        <v>0</v>
      </c>
      <c r="J55" s="3">
        <v>0</v>
      </c>
      <c r="K55" s="3">
        <v>0</v>
      </c>
      <c r="L55" s="3"/>
      <c r="M55" s="3"/>
      <c r="N55" s="3"/>
      <c r="O55" s="3"/>
      <c r="P55" s="3"/>
      <c r="Q55" s="3"/>
    </row>
    <row r="56" spans="1:17" x14ac:dyDescent="0.2">
      <c r="B56" t="s">
        <v>347</v>
      </c>
      <c r="C56" s="3">
        <v>1</v>
      </c>
      <c r="D56" s="3">
        <v>6.55</v>
      </c>
      <c r="E56" s="3">
        <v>6.55</v>
      </c>
      <c r="F56" s="3">
        <v>6.55</v>
      </c>
      <c r="H56" s="3">
        <v>0</v>
      </c>
      <c r="J56" s="3">
        <v>0</v>
      </c>
      <c r="K56" s="3">
        <v>0</v>
      </c>
      <c r="L56" s="3"/>
      <c r="M56" s="3"/>
      <c r="N56" s="3"/>
      <c r="O56" s="3"/>
      <c r="P56" s="3"/>
      <c r="Q56" s="3"/>
    </row>
    <row r="57" spans="1:17" x14ac:dyDescent="0.2">
      <c r="B57" t="s">
        <v>254</v>
      </c>
      <c r="C57" s="3">
        <v>0</v>
      </c>
      <c r="E57" s="3">
        <v>0</v>
      </c>
      <c r="F57" s="3">
        <v>0</v>
      </c>
      <c r="H57" s="3">
        <v>0</v>
      </c>
      <c r="J57" s="3">
        <v>0</v>
      </c>
      <c r="K57" s="3">
        <v>0</v>
      </c>
      <c r="L57" s="3"/>
      <c r="M57" s="3">
        <v>3</v>
      </c>
      <c r="N57" s="3">
        <v>22.066666666666666</v>
      </c>
      <c r="O57" s="3">
        <v>18.2</v>
      </c>
      <c r="P57" s="3">
        <v>26</v>
      </c>
      <c r="Q57" s="3">
        <v>3.9004273270160095</v>
      </c>
    </row>
    <row r="58" spans="1:17" x14ac:dyDescent="0.2">
      <c r="B58" t="s">
        <v>188</v>
      </c>
      <c r="C58" s="3">
        <v>0</v>
      </c>
      <c r="E58" s="3">
        <v>0</v>
      </c>
      <c r="F58" s="3">
        <v>0</v>
      </c>
      <c r="H58" s="3">
        <v>0</v>
      </c>
      <c r="J58" s="3">
        <v>0</v>
      </c>
      <c r="K58" s="3">
        <v>0</v>
      </c>
      <c r="L58" s="3"/>
      <c r="M58" s="3"/>
      <c r="N58" s="3"/>
      <c r="O58" s="3"/>
      <c r="P58" s="3"/>
      <c r="Q58" s="3"/>
    </row>
    <row r="59" spans="1:17" x14ac:dyDescent="0.2">
      <c r="B59" t="s">
        <v>140</v>
      </c>
      <c r="C59" s="3">
        <v>1</v>
      </c>
      <c r="D59" s="3">
        <v>3.1236359999999999</v>
      </c>
      <c r="E59" s="3">
        <v>3.1236359999999999</v>
      </c>
      <c r="F59" s="3">
        <v>3.1236359999999999</v>
      </c>
      <c r="H59" s="3">
        <v>1</v>
      </c>
      <c r="I59" s="3">
        <v>9.6909869999999998</v>
      </c>
      <c r="J59" s="3">
        <v>9.6909869999999998</v>
      </c>
      <c r="K59" s="3">
        <v>9.6909869999999998</v>
      </c>
      <c r="L59" s="3"/>
      <c r="M59" s="3">
        <v>2</v>
      </c>
      <c r="N59" s="3">
        <v>13.040002000000001</v>
      </c>
      <c r="O59" s="3">
        <v>8.9</v>
      </c>
      <c r="P59" s="3">
        <v>17.180004</v>
      </c>
      <c r="Q59" s="3">
        <v>5.8548469766517357</v>
      </c>
    </row>
    <row r="60" spans="1:17" x14ac:dyDescent="0.2">
      <c r="A60" t="s">
        <v>2832</v>
      </c>
      <c r="B60"/>
      <c r="C60" s="3">
        <v>48</v>
      </c>
      <c r="D60" s="3">
        <v>5.937737208333334</v>
      </c>
      <c r="E60" s="3">
        <v>0.55000000000000004</v>
      </c>
      <c r="F60" s="3">
        <v>45.29</v>
      </c>
      <c r="G60" s="3">
        <v>8.0049171108073747</v>
      </c>
      <c r="H60" s="3">
        <v>9</v>
      </c>
      <c r="I60" s="3">
        <v>23.419163347777783</v>
      </c>
      <c r="J60" s="3">
        <v>3.2395500000000004</v>
      </c>
      <c r="K60" s="3">
        <v>67.600999999999999</v>
      </c>
      <c r="L60" s="3">
        <v>21.607740060342472</v>
      </c>
      <c r="M60" s="3">
        <v>20</v>
      </c>
      <c r="N60" s="3">
        <v>27.616955860000001</v>
      </c>
      <c r="O60" s="3">
        <v>4.5640000000000001</v>
      </c>
      <c r="P60" s="3">
        <v>71.98</v>
      </c>
      <c r="Q60" s="3">
        <v>18.866475048982164</v>
      </c>
    </row>
    <row r="61" spans="1:17" x14ac:dyDescent="0.2">
      <c r="A61" t="s">
        <v>39</v>
      </c>
      <c r="B61" t="s">
        <v>40</v>
      </c>
      <c r="C61" s="3">
        <v>10</v>
      </c>
      <c r="D61" s="3">
        <v>20.177</v>
      </c>
      <c r="E61" s="3">
        <v>12</v>
      </c>
      <c r="F61" s="3">
        <v>26.41</v>
      </c>
      <c r="G61" s="3">
        <v>4.1586270437355752</v>
      </c>
      <c r="H61" s="3">
        <v>0</v>
      </c>
      <c r="J61" s="3">
        <v>0</v>
      </c>
      <c r="K61" s="3">
        <v>0</v>
      </c>
      <c r="L61" s="3"/>
      <c r="M61" s="3"/>
      <c r="N61" s="3"/>
      <c r="O61" s="3"/>
      <c r="P61" s="3"/>
      <c r="Q61" s="3"/>
    </row>
    <row r="62" spans="1:17" x14ac:dyDescent="0.2">
      <c r="A62" t="s">
        <v>2833</v>
      </c>
      <c r="B62"/>
      <c r="C62" s="3">
        <v>10</v>
      </c>
      <c r="D62" s="3">
        <v>20.177</v>
      </c>
      <c r="E62" s="3">
        <v>12</v>
      </c>
      <c r="F62" s="3">
        <v>26.41</v>
      </c>
      <c r="G62" s="3">
        <v>4.1586270437355752</v>
      </c>
      <c r="H62" s="3">
        <v>0</v>
      </c>
      <c r="J62" s="3">
        <v>0</v>
      </c>
      <c r="K62" s="3">
        <v>0</v>
      </c>
      <c r="L62" s="3"/>
      <c r="M62" s="3"/>
      <c r="N62" s="3"/>
      <c r="O62" s="3"/>
      <c r="P62" s="3"/>
      <c r="Q62" s="3"/>
    </row>
    <row r="63" spans="1:17" x14ac:dyDescent="0.2">
      <c r="A63" t="s">
        <v>975</v>
      </c>
      <c r="B63" t="s">
        <v>3625</v>
      </c>
      <c r="C63" s="3">
        <v>0</v>
      </c>
      <c r="E63" s="3">
        <v>0</v>
      </c>
      <c r="F63" s="3">
        <v>0</v>
      </c>
      <c r="H63" s="3">
        <v>0</v>
      </c>
      <c r="J63" s="3">
        <v>0</v>
      </c>
      <c r="K63" s="3">
        <v>0</v>
      </c>
      <c r="L63" s="3"/>
      <c r="M63" s="3"/>
      <c r="N63" s="3"/>
      <c r="O63" s="3"/>
      <c r="P63" s="3"/>
      <c r="Q63" s="3"/>
    </row>
    <row r="64" spans="1:17" x14ac:dyDescent="0.2">
      <c r="B64" t="s">
        <v>3055</v>
      </c>
      <c r="C64" s="3">
        <v>2</v>
      </c>
      <c r="D64" s="3">
        <v>22.35</v>
      </c>
      <c r="E64" s="3">
        <v>22.35</v>
      </c>
      <c r="F64" s="3">
        <v>22.35</v>
      </c>
      <c r="G64" s="3">
        <v>0</v>
      </c>
      <c r="H64" s="3">
        <v>2</v>
      </c>
      <c r="I64" s="3">
        <v>25.2895</v>
      </c>
      <c r="J64" s="3">
        <v>23.878999999999998</v>
      </c>
      <c r="K64" s="3">
        <v>26.700000000000003</v>
      </c>
      <c r="L64" s="3">
        <v>1.9947482297272909</v>
      </c>
      <c r="M64" s="3">
        <v>2</v>
      </c>
      <c r="N64" s="3">
        <v>29.8</v>
      </c>
      <c r="O64" s="3">
        <v>29.3</v>
      </c>
      <c r="P64" s="3">
        <v>30.3</v>
      </c>
      <c r="Q64" s="3">
        <v>0.7071067811863867</v>
      </c>
    </row>
    <row r="65" spans="1:17" x14ac:dyDescent="0.2">
      <c r="B65" t="s">
        <v>3056</v>
      </c>
      <c r="C65" s="3">
        <v>29</v>
      </c>
      <c r="D65" s="3">
        <v>157.43202321950599</v>
      </c>
      <c r="E65" s="3">
        <v>20.307692307692307</v>
      </c>
      <c r="F65" s="3">
        <v>644.05405405405406</v>
      </c>
      <c r="G65" s="3">
        <v>186.79273651503158</v>
      </c>
      <c r="H65" s="3">
        <v>0</v>
      </c>
      <c r="J65" s="3">
        <v>0</v>
      </c>
      <c r="K65" s="3">
        <v>0</v>
      </c>
      <c r="L65" s="3"/>
      <c r="M65" s="3">
        <v>7</v>
      </c>
      <c r="N65" s="3">
        <v>74.385714285714272</v>
      </c>
      <c r="O65" s="3">
        <v>40.700000000000003</v>
      </c>
      <c r="P65" s="3">
        <v>210.2</v>
      </c>
      <c r="Q65" s="3">
        <v>60.535235705370482</v>
      </c>
    </row>
    <row r="66" spans="1:17" x14ac:dyDescent="0.2">
      <c r="B66" t="s">
        <v>3057</v>
      </c>
      <c r="C66" s="3">
        <v>14</v>
      </c>
      <c r="D66" s="3">
        <v>130.89395530303031</v>
      </c>
      <c r="E66" s="3">
        <v>1.19529</v>
      </c>
      <c r="F66" s="3">
        <v>636.36363636363637</v>
      </c>
      <c r="G66" s="3">
        <v>233.19558932677532</v>
      </c>
      <c r="H66" s="3">
        <v>8</v>
      </c>
      <c r="I66" s="3">
        <v>8.8643575000000006</v>
      </c>
      <c r="J66" s="3">
        <v>1.42272</v>
      </c>
      <c r="K66" s="3">
        <v>22.540000000000003</v>
      </c>
      <c r="L66" s="3">
        <v>6.4401273332082285</v>
      </c>
      <c r="M66" s="3">
        <v>28</v>
      </c>
      <c r="N66" s="3">
        <v>27.229285714285716</v>
      </c>
      <c r="O66" s="3">
        <v>1.71</v>
      </c>
      <c r="P66" s="3">
        <v>68</v>
      </c>
      <c r="Q66" s="3">
        <v>15.606947866034595</v>
      </c>
    </row>
    <row r="67" spans="1:17" x14ac:dyDescent="0.2">
      <c r="B67" t="s">
        <v>3058</v>
      </c>
      <c r="C67" s="3">
        <v>12</v>
      </c>
      <c r="D67" s="3">
        <v>32.179921839080464</v>
      </c>
      <c r="E67" s="3">
        <v>24.104910344827587</v>
      </c>
      <c r="F67" s="3">
        <v>37.718979310344828</v>
      </c>
      <c r="G67" s="3">
        <v>4.9375578262682183</v>
      </c>
      <c r="H67" s="3">
        <v>0</v>
      </c>
      <c r="J67" s="3">
        <v>0</v>
      </c>
      <c r="K67" s="3">
        <v>0</v>
      </c>
      <c r="L67" s="3"/>
      <c r="M67" s="3"/>
      <c r="N67" s="3"/>
      <c r="O67" s="3"/>
      <c r="P67" s="3"/>
      <c r="Q67" s="3"/>
    </row>
    <row r="68" spans="1:17" x14ac:dyDescent="0.2">
      <c r="B68" t="s">
        <v>3059</v>
      </c>
      <c r="C68" s="3">
        <v>9</v>
      </c>
      <c r="D68" s="3">
        <v>321.07141042570584</v>
      </c>
      <c r="E68" s="3">
        <v>60.000000000000007</v>
      </c>
      <c r="F68" s="3">
        <v>1066.6666666666667</v>
      </c>
      <c r="G68" s="3">
        <v>321.89075964329794</v>
      </c>
      <c r="H68" s="3">
        <v>3</v>
      </c>
      <c r="I68" s="3">
        <v>215.94638125122188</v>
      </c>
      <c r="J68" s="3">
        <v>182.6181818181818</v>
      </c>
      <c r="K68" s="3">
        <v>246.05</v>
      </c>
      <c r="L68" s="3">
        <v>31.838613818833434</v>
      </c>
      <c r="M68" s="3">
        <v>7</v>
      </c>
      <c r="N68" s="3">
        <v>610.76849602010896</v>
      </c>
      <c r="O68" s="3">
        <v>189.81818181818178</v>
      </c>
      <c r="P68" s="3">
        <v>1564.516129032258</v>
      </c>
      <c r="Q68" s="3">
        <v>539.01842487226099</v>
      </c>
    </row>
    <row r="69" spans="1:17" x14ac:dyDescent="0.2">
      <c r="B69" t="s">
        <v>3060</v>
      </c>
      <c r="C69" s="3">
        <v>0</v>
      </c>
      <c r="E69" s="3">
        <v>0</v>
      </c>
      <c r="F69" s="3">
        <v>0</v>
      </c>
      <c r="H69" s="3">
        <v>0</v>
      </c>
      <c r="J69" s="3">
        <v>0</v>
      </c>
      <c r="K69" s="3">
        <v>0</v>
      </c>
      <c r="L69" s="3"/>
      <c r="M69" s="3">
        <v>1</v>
      </c>
      <c r="N69" s="3">
        <v>45.1</v>
      </c>
      <c r="O69" s="3">
        <v>45.1</v>
      </c>
      <c r="P69" s="3">
        <v>45.1</v>
      </c>
      <c r="Q69" s="3"/>
    </row>
    <row r="70" spans="1:17" x14ac:dyDescent="0.2">
      <c r="A70" t="s">
        <v>2834</v>
      </c>
      <c r="B70"/>
      <c r="C70" s="3">
        <v>66</v>
      </c>
      <c r="D70" s="3">
        <v>147.25069399255176</v>
      </c>
      <c r="E70" s="3">
        <v>1.19529</v>
      </c>
      <c r="F70" s="3">
        <v>1066.6666666666667</v>
      </c>
      <c r="G70" s="3">
        <v>214.18370392223781</v>
      </c>
      <c r="H70" s="3">
        <v>13</v>
      </c>
      <c r="I70" s="3">
        <v>59.179461827205053</v>
      </c>
      <c r="J70" s="3">
        <v>1.42272</v>
      </c>
      <c r="K70" s="3">
        <v>246.05</v>
      </c>
      <c r="L70" s="3">
        <v>90.645480789553972</v>
      </c>
      <c r="M70" s="3">
        <v>45</v>
      </c>
      <c r="N70" s="3">
        <v>125.84887715868362</v>
      </c>
      <c r="O70" s="3">
        <v>1.71</v>
      </c>
      <c r="P70" s="3">
        <v>1564.516129032258</v>
      </c>
      <c r="Q70" s="3">
        <v>291.30084479056791</v>
      </c>
    </row>
    <row r="71" spans="1:17" x14ac:dyDescent="0.2">
      <c r="A71" t="s">
        <v>236</v>
      </c>
      <c r="B71" t="s">
        <v>1739</v>
      </c>
      <c r="C71" s="3">
        <v>18</v>
      </c>
      <c r="D71" s="3">
        <v>1.4371666666666671</v>
      </c>
      <c r="E71" s="3">
        <v>0.41699999999999998</v>
      </c>
      <c r="F71" s="3">
        <v>6.1</v>
      </c>
      <c r="G71" s="3">
        <v>1.3479662458681962</v>
      </c>
      <c r="H71" s="3">
        <v>6</v>
      </c>
      <c r="I71" s="3">
        <v>2.9143500000000002</v>
      </c>
      <c r="J71" s="3">
        <v>1.1576000000000002</v>
      </c>
      <c r="K71" s="3">
        <v>4.6150000000000002</v>
      </c>
      <c r="L71" s="3">
        <v>1.3822443325982561</v>
      </c>
      <c r="M71" s="3">
        <v>8</v>
      </c>
      <c r="N71" s="3">
        <v>5.4212500000000006</v>
      </c>
      <c r="O71" s="3">
        <v>3.3499999999999996</v>
      </c>
      <c r="P71" s="3">
        <v>11.2</v>
      </c>
      <c r="Q71" s="3">
        <v>2.4205677462706361</v>
      </c>
    </row>
    <row r="72" spans="1:17" x14ac:dyDescent="0.2">
      <c r="B72" t="s">
        <v>1747</v>
      </c>
      <c r="C72" s="3">
        <v>0</v>
      </c>
      <c r="E72" s="3">
        <v>0</v>
      </c>
      <c r="F72" s="3">
        <v>0</v>
      </c>
      <c r="H72" s="3">
        <v>0</v>
      </c>
      <c r="J72" s="3">
        <v>0</v>
      </c>
      <c r="K72" s="3">
        <v>0</v>
      </c>
      <c r="L72" s="3"/>
      <c r="M72" s="3"/>
      <c r="N72" s="3"/>
      <c r="O72" s="3"/>
      <c r="P72" s="3"/>
      <c r="Q72" s="3"/>
    </row>
    <row r="73" spans="1:17" x14ac:dyDescent="0.2">
      <c r="B73" t="s">
        <v>859</v>
      </c>
      <c r="C73" s="3">
        <v>2</v>
      </c>
      <c r="D73" s="3">
        <v>6.8049999999999997</v>
      </c>
      <c r="E73" s="3">
        <v>5.61</v>
      </c>
      <c r="F73" s="3">
        <v>8</v>
      </c>
      <c r="G73" s="3">
        <v>1.6899852070358559</v>
      </c>
      <c r="H73" s="3">
        <v>0</v>
      </c>
      <c r="J73" s="3">
        <v>0</v>
      </c>
      <c r="K73" s="3">
        <v>0</v>
      </c>
      <c r="L73" s="3"/>
      <c r="M73" s="3"/>
      <c r="N73" s="3"/>
      <c r="O73" s="3"/>
      <c r="P73" s="3"/>
      <c r="Q73" s="3"/>
    </row>
    <row r="74" spans="1:17" x14ac:dyDescent="0.2">
      <c r="B74" t="s">
        <v>1769</v>
      </c>
      <c r="C74" s="3">
        <v>5</v>
      </c>
      <c r="D74" s="3">
        <v>2.5506476338599997</v>
      </c>
      <c r="E74" s="3">
        <v>0.97439113229999996</v>
      </c>
      <c r="F74" s="3">
        <v>3.3026936950999999</v>
      </c>
      <c r="G74" s="3">
        <v>0.92727365263139316</v>
      </c>
      <c r="H74" s="3">
        <v>0</v>
      </c>
      <c r="J74" s="3">
        <v>0</v>
      </c>
      <c r="K74" s="3">
        <v>0</v>
      </c>
      <c r="L74" s="3"/>
      <c r="M74" s="3"/>
      <c r="N74" s="3"/>
      <c r="O74" s="3"/>
      <c r="P74" s="3"/>
      <c r="Q74" s="3"/>
    </row>
    <row r="75" spans="1:17" x14ac:dyDescent="0.2">
      <c r="B75" t="s">
        <v>1539</v>
      </c>
      <c r="C75" s="3">
        <v>0</v>
      </c>
      <c r="E75" s="3">
        <v>0</v>
      </c>
      <c r="F75" s="3">
        <v>0</v>
      </c>
      <c r="H75" s="3">
        <v>0</v>
      </c>
      <c r="J75" s="3">
        <v>0</v>
      </c>
      <c r="K75" s="3">
        <v>0</v>
      </c>
      <c r="L75" s="3"/>
      <c r="M75" s="3"/>
      <c r="N75" s="3"/>
      <c r="O75" s="3"/>
      <c r="P75" s="3"/>
      <c r="Q75" s="3"/>
    </row>
    <row r="76" spans="1:17" x14ac:dyDescent="0.2">
      <c r="B76" t="s">
        <v>1837</v>
      </c>
      <c r="C76" s="3">
        <v>2</v>
      </c>
      <c r="D76" s="3">
        <v>3.3426666666666671</v>
      </c>
      <c r="E76" s="3">
        <v>3.2320000000000002</v>
      </c>
      <c r="F76" s="3">
        <v>3.4533333333333345</v>
      </c>
      <c r="G76" s="3">
        <v>0.15650630090263803</v>
      </c>
      <c r="H76" s="3">
        <v>0</v>
      </c>
      <c r="J76" s="3">
        <v>0</v>
      </c>
      <c r="K76" s="3">
        <v>0</v>
      </c>
      <c r="L76" s="3"/>
      <c r="M76" s="3">
        <v>2</v>
      </c>
      <c r="N76" s="3">
        <v>9.4253333333333345</v>
      </c>
      <c r="O76" s="3">
        <v>8.984</v>
      </c>
      <c r="P76" s="3">
        <v>9.8666666666666671</v>
      </c>
      <c r="Q76" s="3">
        <v>0.62413958552730642</v>
      </c>
    </row>
    <row r="77" spans="1:17" x14ac:dyDescent="0.2">
      <c r="B77" t="s">
        <v>1879</v>
      </c>
      <c r="C77" s="3">
        <v>2</v>
      </c>
      <c r="D77" s="3">
        <v>4</v>
      </c>
      <c r="E77" s="3">
        <v>3</v>
      </c>
      <c r="F77" s="3">
        <v>5</v>
      </c>
      <c r="G77" s="3">
        <v>1.4142135623730951</v>
      </c>
      <c r="H77" s="3">
        <v>0</v>
      </c>
      <c r="J77" s="3">
        <v>0</v>
      </c>
      <c r="K77" s="3">
        <v>0</v>
      </c>
      <c r="L77" s="3"/>
      <c r="M77" s="3"/>
      <c r="N77" s="3"/>
      <c r="O77" s="3"/>
      <c r="P77" s="3"/>
      <c r="Q77" s="3"/>
    </row>
    <row r="78" spans="1:17" x14ac:dyDescent="0.2">
      <c r="B78" t="s">
        <v>1948</v>
      </c>
      <c r="C78" s="3">
        <v>0</v>
      </c>
      <c r="E78" s="3">
        <v>0</v>
      </c>
      <c r="F78" s="3">
        <v>0</v>
      </c>
      <c r="H78" s="3">
        <v>0</v>
      </c>
      <c r="J78" s="3">
        <v>0</v>
      </c>
      <c r="K78" s="3">
        <v>0</v>
      </c>
      <c r="L78" s="3"/>
      <c r="M78" s="3"/>
      <c r="N78" s="3"/>
      <c r="O78" s="3"/>
      <c r="P78" s="3"/>
      <c r="Q78" s="3"/>
    </row>
    <row r="79" spans="1:17" x14ac:dyDescent="0.2">
      <c r="B79" t="s">
        <v>1962</v>
      </c>
      <c r="C79" s="3">
        <v>2</v>
      </c>
      <c r="D79" s="3">
        <v>18.986058499999999</v>
      </c>
      <c r="E79" s="3">
        <v>18.157867</v>
      </c>
      <c r="F79" s="3">
        <v>19.814250000000001</v>
      </c>
      <c r="G79" s="3">
        <v>1.1712396515422097</v>
      </c>
      <c r="H79" s="3">
        <v>0</v>
      </c>
      <c r="J79" s="3">
        <v>0</v>
      </c>
      <c r="K79" s="3">
        <v>0</v>
      </c>
      <c r="L79" s="3"/>
      <c r="M79" s="3"/>
      <c r="N79" s="3"/>
      <c r="O79" s="3"/>
      <c r="P79" s="3"/>
      <c r="Q79" s="3"/>
    </row>
    <row r="80" spans="1:17" x14ac:dyDescent="0.2">
      <c r="B80" t="s">
        <v>756</v>
      </c>
      <c r="C80" s="3">
        <v>0</v>
      </c>
      <c r="E80" s="3">
        <v>0</v>
      </c>
      <c r="F80" s="3">
        <v>0</v>
      </c>
      <c r="H80" s="3">
        <v>0</v>
      </c>
      <c r="J80" s="3">
        <v>0</v>
      </c>
      <c r="K80" s="3">
        <v>0</v>
      </c>
      <c r="L80" s="3"/>
      <c r="M80" s="3"/>
      <c r="N80" s="3"/>
      <c r="O80" s="3"/>
      <c r="P80" s="3"/>
      <c r="Q80" s="3"/>
    </row>
    <row r="81" spans="2:17" x14ac:dyDescent="0.2">
      <c r="B81" t="s">
        <v>843</v>
      </c>
      <c r="C81" s="3">
        <v>0</v>
      </c>
      <c r="E81" s="3">
        <v>0</v>
      </c>
      <c r="F81" s="3">
        <v>0</v>
      </c>
      <c r="H81" s="3">
        <v>0</v>
      </c>
      <c r="J81" s="3">
        <v>0</v>
      </c>
      <c r="K81" s="3">
        <v>0</v>
      </c>
      <c r="L81" s="3"/>
      <c r="M81" s="3"/>
      <c r="N81" s="3"/>
      <c r="O81" s="3"/>
      <c r="P81" s="3"/>
      <c r="Q81" s="3"/>
    </row>
    <row r="82" spans="2:17" x14ac:dyDescent="0.2">
      <c r="B82" t="s">
        <v>758</v>
      </c>
      <c r="C82" s="3">
        <v>0</v>
      </c>
      <c r="E82" s="3">
        <v>0</v>
      </c>
      <c r="F82" s="3">
        <v>0</v>
      </c>
      <c r="H82" s="3">
        <v>0</v>
      </c>
      <c r="J82" s="3">
        <v>0</v>
      </c>
      <c r="K82" s="3">
        <v>0</v>
      </c>
      <c r="L82" s="3"/>
      <c r="M82" s="3"/>
      <c r="N82" s="3"/>
      <c r="O82" s="3"/>
      <c r="P82" s="3"/>
      <c r="Q82" s="3"/>
    </row>
    <row r="83" spans="2:17" x14ac:dyDescent="0.2">
      <c r="B83" t="s">
        <v>1549</v>
      </c>
      <c r="C83" s="3">
        <v>0</v>
      </c>
      <c r="E83" s="3">
        <v>0</v>
      </c>
      <c r="F83" s="3">
        <v>0</v>
      </c>
      <c r="H83" s="3">
        <v>0</v>
      </c>
      <c r="J83" s="3">
        <v>0</v>
      </c>
      <c r="K83" s="3">
        <v>0</v>
      </c>
      <c r="L83" s="3"/>
      <c r="M83" s="3"/>
      <c r="N83" s="3"/>
      <c r="O83" s="3"/>
      <c r="P83" s="3"/>
      <c r="Q83" s="3"/>
    </row>
    <row r="84" spans="2:17" x14ac:dyDescent="0.2">
      <c r="B84" t="s">
        <v>2010</v>
      </c>
      <c r="C84" s="3">
        <v>0</v>
      </c>
      <c r="E84" s="3">
        <v>0</v>
      </c>
      <c r="F84" s="3">
        <v>0</v>
      </c>
      <c r="H84" s="3">
        <v>0</v>
      </c>
      <c r="J84" s="3">
        <v>0</v>
      </c>
      <c r="K84" s="3">
        <v>0</v>
      </c>
      <c r="L84" s="3"/>
      <c r="M84" s="3"/>
      <c r="N84" s="3"/>
      <c r="O84" s="3"/>
      <c r="P84" s="3"/>
      <c r="Q84" s="3"/>
    </row>
    <row r="85" spans="2:17" x14ac:dyDescent="0.2">
      <c r="B85" t="s">
        <v>2011</v>
      </c>
      <c r="C85" s="3">
        <v>1</v>
      </c>
      <c r="D85" s="3">
        <v>2.7020649299999997</v>
      </c>
      <c r="E85" s="3">
        <v>2.7020649299999997</v>
      </c>
      <c r="F85" s="3">
        <v>2.7020649299999997</v>
      </c>
      <c r="H85" s="3">
        <v>0</v>
      </c>
      <c r="J85" s="3">
        <v>0</v>
      </c>
      <c r="K85" s="3">
        <v>0</v>
      </c>
      <c r="L85" s="3"/>
      <c r="M85" s="3"/>
      <c r="N85" s="3"/>
      <c r="O85" s="3"/>
      <c r="P85" s="3"/>
      <c r="Q85" s="3"/>
    </row>
    <row r="86" spans="2:17" x14ac:dyDescent="0.2">
      <c r="B86" t="s">
        <v>3062</v>
      </c>
      <c r="C86" s="3">
        <v>1</v>
      </c>
      <c r="D86" s="3">
        <v>28.264295951765718</v>
      </c>
      <c r="E86" s="3">
        <v>28.264295951765718</v>
      </c>
      <c r="F86" s="3">
        <v>28.264295951765718</v>
      </c>
      <c r="H86" s="3">
        <v>0</v>
      </c>
      <c r="J86" s="3">
        <v>0</v>
      </c>
      <c r="K86" s="3">
        <v>0</v>
      </c>
      <c r="L86" s="3"/>
      <c r="M86" s="3"/>
      <c r="N86" s="3"/>
      <c r="O86" s="3"/>
      <c r="P86" s="3"/>
      <c r="Q86" s="3"/>
    </row>
    <row r="87" spans="2:17" x14ac:dyDescent="0.2">
      <c r="B87" t="s">
        <v>2022</v>
      </c>
      <c r="C87" s="3">
        <v>0</v>
      </c>
      <c r="E87" s="3">
        <v>0</v>
      </c>
      <c r="F87" s="3">
        <v>0</v>
      </c>
      <c r="H87" s="3">
        <v>0</v>
      </c>
      <c r="J87" s="3">
        <v>0</v>
      </c>
      <c r="K87" s="3">
        <v>0</v>
      </c>
      <c r="L87" s="3"/>
      <c r="M87" s="3"/>
      <c r="N87" s="3"/>
      <c r="O87" s="3"/>
      <c r="P87" s="3"/>
      <c r="Q87" s="3"/>
    </row>
    <row r="88" spans="2:17" x14ac:dyDescent="0.2">
      <c r="B88" t="s">
        <v>597</v>
      </c>
      <c r="C88" s="3">
        <v>0</v>
      </c>
      <c r="E88" s="3">
        <v>0</v>
      </c>
      <c r="F88" s="3">
        <v>0</v>
      </c>
      <c r="H88" s="3">
        <v>0</v>
      </c>
      <c r="J88" s="3">
        <v>0</v>
      </c>
      <c r="K88" s="3">
        <v>0</v>
      </c>
      <c r="L88" s="3"/>
      <c r="M88" s="3">
        <v>2</v>
      </c>
      <c r="N88" s="3">
        <v>4.6440000000000001</v>
      </c>
      <c r="O88" s="3">
        <v>2.7589999999999999</v>
      </c>
      <c r="P88" s="3">
        <v>6.5289999999999999</v>
      </c>
      <c r="Q88" s="3">
        <v>2.6657925650732821</v>
      </c>
    </row>
    <row r="89" spans="2:17" x14ac:dyDescent="0.2">
      <c r="B89" t="s">
        <v>2028</v>
      </c>
      <c r="C89" s="3">
        <v>0</v>
      </c>
      <c r="E89" s="3">
        <v>0</v>
      </c>
      <c r="F89" s="3">
        <v>0</v>
      </c>
      <c r="H89" s="3">
        <v>0</v>
      </c>
      <c r="J89" s="3">
        <v>0</v>
      </c>
      <c r="K89" s="3">
        <v>0</v>
      </c>
      <c r="L89" s="3"/>
      <c r="M89" s="3"/>
      <c r="N89" s="3"/>
      <c r="O89" s="3"/>
      <c r="P89" s="3"/>
      <c r="Q89" s="3"/>
    </row>
    <row r="90" spans="2:17" x14ac:dyDescent="0.2">
      <c r="B90" t="s">
        <v>2034</v>
      </c>
      <c r="C90" s="3">
        <v>1</v>
      </c>
      <c r="D90" s="3">
        <v>1.46</v>
      </c>
      <c r="E90" s="3">
        <v>1.46</v>
      </c>
      <c r="F90" s="3">
        <v>1.46</v>
      </c>
      <c r="H90" s="3">
        <v>0</v>
      </c>
      <c r="J90" s="3">
        <v>0</v>
      </c>
      <c r="K90" s="3">
        <v>0</v>
      </c>
      <c r="L90" s="3"/>
      <c r="M90" s="3"/>
      <c r="N90" s="3"/>
      <c r="O90" s="3"/>
      <c r="P90" s="3"/>
      <c r="Q90" s="3"/>
    </row>
    <row r="91" spans="2:17" x14ac:dyDescent="0.2">
      <c r="B91" t="s">
        <v>2042</v>
      </c>
      <c r="C91" s="3">
        <v>1</v>
      </c>
      <c r="D91" s="3">
        <v>5.4400101999999997</v>
      </c>
      <c r="E91" s="3">
        <v>5.4400101999999997</v>
      </c>
      <c r="F91" s="3">
        <v>5.4400101999999997</v>
      </c>
      <c r="H91" s="3">
        <v>0</v>
      </c>
      <c r="J91" s="3">
        <v>0</v>
      </c>
      <c r="K91" s="3">
        <v>0</v>
      </c>
      <c r="L91" s="3"/>
      <c r="M91" s="3"/>
      <c r="N91" s="3"/>
      <c r="O91" s="3"/>
      <c r="P91" s="3"/>
      <c r="Q91" s="3"/>
    </row>
    <row r="92" spans="2:17" x14ac:dyDescent="0.2">
      <c r="B92" t="s">
        <v>2049</v>
      </c>
      <c r="C92" s="3">
        <v>2</v>
      </c>
      <c r="D92" s="3">
        <v>2.4750000000000001</v>
      </c>
      <c r="E92" s="3">
        <v>2.1</v>
      </c>
      <c r="F92" s="3">
        <v>2.85</v>
      </c>
      <c r="G92" s="3">
        <v>0.5303300858899106</v>
      </c>
      <c r="H92" s="3">
        <v>0</v>
      </c>
      <c r="J92" s="3">
        <v>0</v>
      </c>
      <c r="K92" s="3">
        <v>0</v>
      </c>
      <c r="L92" s="3"/>
      <c r="M92" s="3"/>
      <c r="N92" s="3"/>
      <c r="O92" s="3"/>
      <c r="P92" s="3"/>
      <c r="Q92" s="3"/>
    </row>
    <row r="93" spans="2:17" x14ac:dyDescent="0.2">
      <c r="B93" t="s">
        <v>2059</v>
      </c>
      <c r="C93" s="3">
        <v>0</v>
      </c>
      <c r="E93" s="3">
        <v>0</v>
      </c>
      <c r="F93" s="3">
        <v>0</v>
      </c>
      <c r="H93" s="3">
        <v>0</v>
      </c>
      <c r="J93" s="3">
        <v>0</v>
      </c>
      <c r="K93" s="3">
        <v>0</v>
      </c>
      <c r="L93" s="3"/>
      <c r="M93" s="3"/>
      <c r="N93" s="3"/>
      <c r="O93" s="3"/>
      <c r="P93" s="3"/>
      <c r="Q93" s="3"/>
    </row>
    <row r="94" spans="2:17" x14ac:dyDescent="0.2">
      <c r="B94" t="s">
        <v>1546</v>
      </c>
      <c r="C94" s="3">
        <v>0</v>
      </c>
      <c r="E94" s="3">
        <v>0</v>
      </c>
      <c r="F94" s="3">
        <v>0</v>
      </c>
      <c r="H94" s="3">
        <v>0</v>
      </c>
      <c r="J94" s="3">
        <v>0</v>
      </c>
      <c r="K94" s="3">
        <v>0</v>
      </c>
      <c r="L94" s="3"/>
      <c r="M94" s="3"/>
      <c r="N94" s="3"/>
      <c r="O94" s="3"/>
      <c r="P94" s="3"/>
      <c r="Q94" s="3"/>
    </row>
    <row r="95" spans="2:17" x14ac:dyDescent="0.2">
      <c r="B95" t="s">
        <v>1412</v>
      </c>
      <c r="C95" s="3">
        <v>0</v>
      </c>
      <c r="E95" s="3">
        <v>0</v>
      </c>
      <c r="F95" s="3">
        <v>0</v>
      </c>
      <c r="H95" s="3">
        <v>0</v>
      </c>
      <c r="J95" s="3">
        <v>0</v>
      </c>
      <c r="K95" s="3">
        <v>0</v>
      </c>
      <c r="L95" s="3"/>
      <c r="M95" s="3"/>
      <c r="N95" s="3"/>
      <c r="O95" s="3"/>
      <c r="P95" s="3"/>
      <c r="Q95" s="3"/>
    </row>
    <row r="96" spans="2:17" x14ac:dyDescent="0.2">
      <c r="B96" t="s">
        <v>1551</v>
      </c>
      <c r="C96" s="3">
        <v>0</v>
      </c>
      <c r="E96" s="3">
        <v>0</v>
      </c>
      <c r="F96" s="3">
        <v>0</v>
      </c>
      <c r="H96" s="3">
        <v>0</v>
      </c>
      <c r="J96" s="3">
        <v>0</v>
      </c>
      <c r="K96" s="3">
        <v>0</v>
      </c>
      <c r="L96" s="3"/>
      <c r="M96" s="3"/>
      <c r="N96" s="3"/>
      <c r="O96" s="3"/>
      <c r="P96" s="3"/>
      <c r="Q96" s="3"/>
    </row>
    <row r="97" spans="2:17" x14ac:dyDescent="0.2">
      <c r="B97" t="s">
        <v>3902</v>
      </c>
      <c r="C97" s="3">
        <v>0</v>
      </c>
      <c r="E97" s="3">
        <v>0</v>
      </c>
      <c r="F97" s="3">
        <v>0</v>
      </c>
      <c r="H97" s="3">
        <v>0</v>
      </c>
      <c r="J97" s="3">
        <v>0</v>
      </c>
      <c r="K97" s="3">
        <v>0</v>
      </c>
      <c r="L97" s="3"/>
      <c r="M97" s="3"/>
      <c r="N97" s="3"/>
      <c r="O97" s="3"/>
      <c r="P97" s="3"/>
      <c r="Q97" s="3"/>
    </row>
    <row r="98" spans="2:17" x14ac:dyDescent="0.2">
      <c r="B98" t="s">
        <v>3956</v>
      </c>
      <c r="C98" s="3">
        <v>0</v>
      </c>
      <c r="E98" s="3">
        <v>0</v>
      </c>
      <c r="F98" s="3">
        <v>0</v>
      </c>
      <c r="H98" s="3">
        <v>0</v>
      </c>
      <c r="J98" s="3">
        <v>0</v>
      </c>
      <c r="K98" s="3">
        <v>0</v>
      </c>
      <c r="L98" s="3"/>
      <c r="M98" s="3">
        <v>1</v>
      </c>
      <c r="N98" s="3">
        <v>24</v>
      </c>
      <c r="O98" s="3">
        <v>24</v>
      </c>
      <c r="P98" s="3">
        <v>24</v>
      </c>
      <c r="Q98" s="3"/>
    </row>
    <row r="99" spans="2:17" x14ac:dyDescent="0.2">
      <c r="B99" t="s">
        <v>2098</v>
      </c>
      <c r="C99" s="3">
        <v>4</v>
      </c>
      <c r="D99" s="3">
        <v>5.7064999999999992</v>
      </c>
      <c r="E99" s="3">
        <v>2.8</v>
      </c>
      <c r="F99" s="3">
        <v>7.7979999999999992</v>
      </c>
      <c r="G99" s="3">
        <v>2.505057484370369</v>
      </c>
      <c r="H99" s="3">
        <v>0</v>
      </c>
      <c r="J99" s="3">
        <v>0</v>
      </c>
      <c r="K99" s="3">
        <v>0</v>
      </c>
      <c r="L99" s="3"/>
      <c r="M99" s="3">
        <v>2</v>
      </c>
      <c r="N99" s="3">
        <v>18.308</v>
      </c>
      <c r="O99" s="3">
        <v>16.840999999999998</v>
      </c>
      <c r="P99" s="3">
        <v>19.774999999999999</v>
      </c>
      <c r="Q99" s="3">
        <v>2.0746512960012979</v>
      </c>
    </row>
    <row r="100" spans="2:17" x14ac:dyDescent="0.2">
      <c r="B100" t="s">
        <v>2769</v>
      </c>
      <c r="C100" s="3">
        <v>4</v>
      </c>
      <c r="D100" s="3">
        <v>2.7199999999999998</v>
      </c>
      <c r="E100" s="3">
        <v>1.93</v>
      </c>
      <c r="F100" s="3">
        <v>3.7</v>
      </c>
      <c r="G100" s="3">
        <v>0.75775985641890686</v>
      </c>
      <c r="H100" s="3">
        <v>0</v>
      </c>
      <c r="J100" s="3">
        <v>0</v>
      </c>
      <c r="K100" s="3">
        <v>0</v>
      </c>
      <c r="L100" s="3"/>
      <c r="M100" s="3">
        <v>2</v>
      </c>
      <c r="N100" s="3">
        <v>3.5350000000000001</v>
      </c>
      <c r="O100" s="3">
        <v>1.54</v>
      </c>
      <c r="P100" s="3">
        <v>5.53</v>
      </c>
      <c r="Q100" s="3">
        <v>2.8213560569343246</v>
      </c>
    </row>
    <row r="101" spans="2:17" x14ac:dyDescent="0.2">
      <c r="B101" t="s">
        <v>2115</v>
      </c>
      <c r="C101" s="3">
        <v>1</v>
      </c>
      <c r="D101" s="3">
        <v>1.3288105999999997</v>
      </c>
      <c r="E101" s="3">
        <v>1.3288105999999997</v>
      </c>
      <c r="F101" s="3">
        <v>1.3288105999999997</v>
      </c>
      <c r="H101" s="3">
        <v>0</v>
      </c>
      <c r="J101" s="3">
        <v>0</v>
      </c>
      <c r="K101" s="3">
        <v>0</v>
      </c>
      <c r="L101" s="3"/>
      <c r="M101" s="3"/>
      <c r="N101" s="3"/>
      <c r="O101" s="3"/>
      <c r="P101" s="3"/>
      <c r="Q101" s="3"/>
    </row>
    <row r="102" spans="2:17" x14ac:dyDescent="0.2">
      <c r="B102" t="s">
        <v>1547</v>
      </c>
      <c r="C102" s="3">
        <v>0</v>
      </c>
      <c r="E102" s="3">
        <v>0</v>
      </c>
      <c r="F102" s="3">
        <v>0</v>
      </c>
      <c r="H102" s="3">
        <v>0</v>
      </c>
      <c r="J102" s="3">
        <v>0</v>
      </c>
      <c r="K102" s="3">
        <v>0</v>
      </c>
      <c r="L102" s="3"/>
      <c r="M102" s="3"/>
      <c r="N102" s="3"/>
      <c r="O102" s="3"/>
      <c r="P102" s="3"/>
      <c r="Q102" s="3"/>
    </row>
    <row r="103" spans="2:17" x14ac:dyDescent="0.2">
      <c r="B103" t="s">
        <v>2136</v>
      </c>
      <c r="C103" s="3">
        <v>5</v>
      </c>
      <c r="D103" s="3">
        <v>2.786</v>
      </c>
      <c r="E103" s="3">
        <v>1.0900000000000001</v>
      </c>
      <c r="F103" s="3">
        <v>7.08</v>
      </c>
      <c r="G103" s="3">
        <v>2.443968084898001</v>
      </c>
      <c r="H103" s="3">
        <v>0</v>
      </c>
      <c r="J103" s="3">
        <v>0</v>
      </c>
      <c r="K103" s="3">
        <v>0</v>
      </c>
      <c r="L103" s="3"/>
      <c r="M103" s="3">
        <v>1</v>
      </c>
      <c r="N103" s="3">
        <v>8.6666666666666661</v>
      </c>
      <c r="O103" s="3">
        <v>8.6666666666666661</v>
      </c>
      <c r="P103" s="3">
        <v>8.6666666666666661</v>
      </c>
      <c r="Q103" s="3"/>
    </row>
    <row r="104" spans="2:17" x14ac:dyDescent="0.2">
      <c r="B104" t="s">
        <v>2145</v>
      </c>
      <c r="C104" s="3">
        <v>5</v>
      </c>
      <c r="D104" s="3">
        <v>2.6320000000000001</v>
      </c>
      <c r="E104" s="3">
        <v>1.1120000000000001</v>
      </c>
      <c r="F104" s="3">
        <v>6.0720000000000001</v>
      </c>
      <c r="G104" s="3">
        <v>2.0091103752656303</v>
      </c>
      <c r="H104" s="3">
        <v>4</v>
      </c>
      <c r="I104" s="3">
        <v>3.0709750000000002</v>
      </c>
      <c r="J104" s="3">
        <v>1.5225</v>
      </c>
      <c r="K104" s="3">
        <v>5.2657000000000007</v>
      </c>
      <c r="L104" s="3">
        <v>1.8445870565431894</v>
      </c>
      <c r="M104" s="3">
        <v>4</v>
      </c>
      <c r="N104" s="3">
        <v>3.9464749999999995</v>
      </c>
      <c r="O104" s="3">
        <v>2.7725</v>
      </c>
      <c r="P104" s="3">
        <v>5.6906999999999996</v>
      </c>
      <c r="Q104" s="3">
        <v>1.4140804229250905</v>
      </c>
    </row>
    <row r="105" spans="2:17" x14ac:dyDescent="0.2">
      <c r="B105" t="s">
        <v>480</v>
      </c>
      <c r="C105" s="3">
        <v>1</v>
      </c>
      <c r="D105" s="3">
        <v>2.8666666666666667</v>
      </c>
      <c r="E105" s="3">
        <v>2.8666666666666667</v>
      </c>
      <c r="F105" s="3">
        <v>2.8666666666666667</v>
      </c>
      <c r="H105" s="3">
        <v>0</v>
      </c>
      <c r="J105" s="3">
        <v>0</v>
      </c>
      <c r="K105" s="3">
        <v>0</v>
      </c>
      <c r="L105" s="3"/>
      <c r="M105" s="3">
        <v>1</v>
      </c>
      <c r="N105" s="3">
        <v>6.0606060606060606</v>
      </c>
      <c r="O105" s="3">
        <v>6.0606060606060606</v>
      </c>
      <c r="P105" s="3">
        <v>6.0606060606060606</v>
      </c>
      <c r="Q105" s="3"/>
    </row>
    <row r="106" spans="2:17" x14ac:dyDescent="0.2">
      <c r="B106" t="s">
        <v>2174</v>
      </c>
      <c r="C106" s="3">
        <v>0</v>
      </c>
      <c r="E106" s="3">
        <v>0</v>
      </c>
      <c r="F106" s="3">
        <v>0</v>
      </c>
      <c r="H106" s="3">
        <v>0</v>
      </c>
      <c r="J106" s="3">
        <v>0</v>
      </c>
      <c r="K106" s="3">
        <v>0</v>
      </c>
      <c r="L106" s="3"/>
      <c r="M106" s="3"/>
      <c r="N106" s="3"/>
      <c r="O106" s="3"/>
      <c r="P106" s="3"/>
      <c r="Q106" s="3"/>
    </row>
    <row r="107" spans="2:17" x14ac:dyDescent="0.2">
      <c r="B107" t="s">
        <v>2177</v>
      </c>
      <c r="C107" s="3">
        <v>0</v>
      </c>
      <c r="E107" s="3">
        <v>0</v>
      </c>
      <c r="F107" s="3">
        <v>0</v>
      </c>
      <c r="H107" s="3">
        <v>0</v>
      </c>
      <c r="J107" s="3">
        <v>0</v>
      </c>
      <c r="K107" s="3">
        <v>0</v>
      </c>
      <c r="L107" s="3"/>
      <c r="M107" s="3"/>
      <c r="N107" s="3"/>
      <c r="O107" s="3"/>
      <c r="P107" s="3"/>
      <c r="Q107" s="3"/>
    </row>
    <row r="108" spans="2:17" x14ac:dyDescent="0.2">
      <c r="B108" t="s">
        <v>2230</v>
      </c>
      <c r="C108" s="3">
        <v>2</v>
      </c>
      <c r="D108" s="3">
        <v>5.1226046511627912</v>
      </c>
      <c r="E108" s="3">
        <v>3.8479999999999999</v>
      </c>
      <c r="F108" s="3">
        <v>6.3972093023255825</v>
      </c>
      <c r="G108" s="3">
        <v>1.8025631843382495</v>
      </c>
      <c r="H108" s="3">
        <v>0</v>
      </c>
      <c r="J108" s="3">
        <v>0</v>
      </c>
      <c r="K108" s="3">
        <v>0</v>
      </c>
      <c r="L108" s="3"/>
      <c r="M108" s="3">
        <v>2</v>
      </c>
      <c r="N108" s="3">
        <v>9.396930232558141</v>
      </c>
      <c r="O108" s="3">
        <v>8.952</v>
      </c>
      <c r="P108" s="3">
        <v>9.8418604651162802</v>
      </c>
      <c r="Q108" s="3">
        <v>0.62922636919351849</v>
      </c>
    </row>
    <row r="109" spans="2:17" x14ac:dyDescent="0.2">
      <c r="B109" t="s">
        <v>2282</v>
      </c>
      <c r="C109" s="3">
        <v>5</v>
      </c>
      <c r="D109" s="3">
        <v>7.82</v>
      </c>
      <c r="E109" s="3">
        <v>2.8</v>
      </c>
      <c r="F109" s="3">
        <v>12.9</v>
      </c>
      <c r="G109" s="3">
        <v>3.8931991986026073</v>
      </c>
      <c r="H109" s="3">
        <v>0</v>
      </c>
      <c r="J109" s="3">
        <v>0</v>
      </c>
      <c r="K109" s="3">
        <v>0</v>
      </c>
      <c r="L109" s="3"/>
      <c r="M109" s="3">
        <v>3</v>
      </c>
      <c r="N109" s="3">
        <v>14.233333333333334</v>
      </c>
      <c r="O109" s="3">
        <v>13.3</v>
      </c>
      <c r="P109" s="3">
        <v>14.8</v>
      </c>
      <c r="Q109" s="3">
        <v>0.81445278152468636</v>
      </c>
    </row>
    <row r="110" spans="2:17" x14ac:dyDescent="0.2">
      <c r="B110" t="s">
        <v>4060</v>
      </c>
      <c r="C110" s="3">
        <v>0</v>
      </c>
      <c r="E110" s="3">
        <v>0</v>
      </c>
      <c r="F110" s="3">
        <v>0</v>
      </c>
      <c r="H110" s="3">
        <v>0</v>
      </c>
      <c r="J110" s="3">
        <v>0</v>
      </c>
      <c r="K110" s="3">
        <v>0</v>
      </c>
      <c r="L110" s="3"/>
      <c r="M110" s="3"/>
      <c r="N110" s="3"/>
      <c r="O110" s="3"/>
      <c r="P110" s="3"/>
      <c r="Q110" s="3"/>
    </row>
    <row r="111" spans="2:17" x14ac:dyDescent="0.2">
      <c r="B111" t="s">
        <v>1548</v>
      </c>
      <c r="C111" s="3">
        <v>0</v>
      </c>
      <c r="E111" s="3">
        <v>0</v>
      </c>
      <c r="F111" s="3">
        <v>0</v>
      </c>
      <c r="H111" s="3">
        <v>0</v>
      </c>
      <c r="J111" s="3">
        <v>0</v>
      </c>
      <c r="K111" s="3">
        <v>0</v>
      </c>
      <c r="L111" s="3"/>
      <c r="M111" s="3"/>
      <c r="N111" s="3"/>
      <c r="O111" s="3"/>
      <c r="P111" s="3"/>
      <c r="Q111" s="3"/>
    </row>
    <row r="112" spans="2:17" x14ac:dyDescent="0.2">
      <c r="B112" t="s">
        <v>2452</v>
      </c>
      <c r="C112" s="3">
        <v>0</v>
      </c>
      <c r="E112" s="3">
        <v>0</v>
      </c>
      <c r="F112" s="3">
        <v>0</v>
      </c>
      <c r="H112" s="3">
        <v>0</v>
      </c>
      <c r="J112" s="3">
        <v>0</v>
      </c>
      <c r="K112" s="3">
        <v>0</v>
      </c>
      <c r="L112" s="3"/>
      <c r="M112" s="3"/>
      <c r="N112" s="3"/>
      <c r="O112" s="3"/>
      <c r="P112" s="3"/>
      <c r="Q112" s="3"/>
    </row>
    <row r="113" spans="1:17" x14ac:dyDescent="0.2">
      <c r="B113" t="s">
        <v>2343</v>
      </c>
      <c r="C113" s="3">
        <v>0</v>
      </c>
      <c r="E113" s="3">
        <v>0</v>
      </c>
      <c r="F113" s="3">
        <v>0</v>
      </c>
      <c r="H113" s="3">
        <v>0</v>
      </c>
      <c r="J113" s="3">
        <v>0</v>
      </c>
      <c r="K113" s="3">
        <v>0</v>
      </c>
      <c r="L113" s="3"/>
      <c r="M113" s="3"/>
      <c r="N113" s="3"/>
      <c r="O113" s="3"/>
      <c r="P113" s="3"/>
      <c r="Q113" s="3"/>
    </row>
    <row r="114" spans="1:17" x14ac:dyDescent="0.2">
      <c r="B114" t="s">
        <v>3295</v>
      </c>
      <c r="C114" s="3">
        <v>0</v>
      </c>
      <c r="E114" s="3">
        <v>0</v>
      </c>
      <c r="F114" s="3">
        <v>0</v>
      </c>
      <c r="H114" s="3">
        <v>0</v>
      </c>
      <c r="J114" s="3">
        <v>0</v>
      </c>
      <c r="K114" s="3">
        <v>0</v>
      </c>
      <c r="L114" s="3"/>
      <c r="M114" s="3"/>
      <c r="N114" s="3"/>
      <c r="O114" s="3"/>
      <c r="P114" s="3"/>
      <c r="Q114" s="3"/>
    </row>
    <row r="115" spans="1:17" x14ac:dyDescent="0.2">
      <c r="B115" t="s">
        <v>3294</v>
      </c>
      <c r="C115" s="3">
        <v>0</v>
      </c>
      <c r="E115" s="3">
        <v>0</v>
      </c>
      <c r="F115" s="3">
        <v>0</v>
      </c>
      <c r="H115" s="3">
        <v>0</v>
      </c>
      <c r="J115" s="3">
        <v>0</v>
      </c>
      <c r="K115" s="3">
        <v>0</v>
      </c>
      <c r="L115" s="3"/>
      <c r="M115" s="3"/>
      <c r="N115" s="3"/>
      <c r="O115" s="3"/>
      <c r="P115" s="3"/>
      <c r="Q115" s="3"/>
    </row>
    <row r="116" spans="1:17" x14ac:dyDescent="0.2">
      <c r="A116" t="s">
        <v>2835</v>
      </c>
      <c r="B116"/>
      <c r="C116" s="3">
        <v>64</v>
      </c>
      <c r="D116" s="3">
        <v>4.09441790864674</v>
      </c>
      <c r="E116" s="3">
        <v>0.41699999999999998</v>
      </c>
      <c r="F116" s="3">
        <v>28.264295951765718</v>
      </c>
      <c r="G116" s="3">
        <v>4.8496380673449</v>
      </c>
      <c r="H116" s="3">
        <v>10</v>
      </c>
      <c r="I116" s="3">
        <v>2.9770000000000003</v>
      </c>
      <c r="J116" s="3">
        <v>1.1576000000000002</v>
      </c>
      <c r="K116" s="3">
        <v>5.2657000000000007</v>
      </c>
      <c r="L116" s="3">
        <v>1.4839652788690469</v>
      </c>
      <c r="M116" s="3">
        <v>28</v>
      </c>
      <c r="N116" s="3">
        <v>8.2572035663948444</v>
      </c>
      <c r="O116" s="3">
        <v>1.54</v>
      </c>
      <c r="P116" s="3">
        <v>24</v>
      </c>
      <c r="Q116" s="3">
        <v>5.5950042294895148</v>
      </c>
    </row>
    <row r="117" spans="1:17" x14ac:dyDescent="0.2">
      <c r="A117" t="s">
        <v>760</v>
      </c>
      <c r="B117" t="s">
        <v>1728</v>
      </c>
      <c r="C117" s="3">
        <v>2</v>
      </c>
      <c r="D117" s="3">
        <v>23.2</v>
      </c>
      <c r="E117" s="3">
        <v>22.4</v>
      </c>
      <c r="F117" s="3">
        <v>24</v>
      </c>
      <c r="G117" s="3">
        <v>1.131370849898464</v>
      </c>
      <c r="H117" s="3">
        <v>1</v>
      </c>
      <c r="I117" s="3">
        <v>29</v>
      </c>
      <c r="J117" s="3">
        <v>29</v>
      </c>
      <c r="K117" s="3">
        <v>29</v>
      </c>
      <c r="L117" s="3"/>
      <c r="M117" s="3">
        <v>1</v>
      </c>
      <c r="N117" s="3">
        <v>29</v>
      </c>
      <c r="O117" s="3">
        <v>29</v>
      </c>
      <c r="P117" s="3">
        <v>29</v>
      </c>
      <c r="Q117" s="3"/>
    </row>
    <row r="118" spans="1:17" x14ac:dyDescent="0.2">
      <c r="B118" t="s">
        <v>1787</v>
      </c>
      <c r="C118" s="3">
        <v>0</v>
      </c>
      <c r="E118" s="3">
        <v>0</v>
      </c>
      <c r="F118" s="3">
        <v>0</v>
      </c>
      <c r="H118" s="3">
        <v>0</v>
      </c>
      <c r="J118" s="3">
        <v>0</v>
      </c>
      <c r="K118" s="3">
        <v>0</v>
      </c>
      <c r="L118" s="3"/>
      <c r="M118" s="3">
        <v>2</v>
      </c>
      <c r="N118" s="3">
        <v>1.1600699999999999</v>
      </c>
      <c r="O118" s="3">
        <v>0.83374000000000004</v>
      </c>
      <c r="P118" s="3">
        <v>1.4863999999999999</v>
      </c>
      <c r="Q118" s="3">
        <v>0.46150031180921247</v>
      </c>
    </row>
    <row r="119" spans="1:17" x14ac:dyDescent="0.2">
      <c r="B119" t="s">
        <v>1791</v>
      </c>
      <c r="C119" s="3">
        <v>0</v>
      </c>
      <c r="E119" s="3">
        <v>0</v>
      </c>
      <c r="F119" s="3">
        <v>0</v>
      </c>
      <c r="H119" s="3">
        <v>0</v>
      </c>
      <c r="J119" s="3">
        <v>0</v>
      </c>
      <c r="K119" s="3">
        <v>0</v>
      </c>
      <c r="L119" s="3"/>
      <c r="M119" s="3"/>
      <c r="N119" s="3"/>
      <c r="O119" s="3"/>
      <c r="P119" s="3"/>
      <c r="Q119" s="3"/>
    </row>
    <row r="120" spans="1:17" x14ac:dyDescent="0.2">
      <c r="B120" t="s">
        <v>3292</v>
      </c>
      <c r="C120" s="3">
        <v>2</v>
      </c>
      <c r="D120" s="3">
        <v>4.7558000000000007</v>
      </c>
      <c r="E120" s="3">
        <v>2.1116000000000001</v>
      </c>
      <c r="F120" s="3">
        <v>7.4</v>
      </c>
      <c r="G120" s="3">
        <v>3.7394635016269362</v>
      </c>
      <c r="H120" s="3">
        <v>0</v>
      </c>
      <c r="J120" s="3">
        <v>0</v>
      </c>
      <c r="K120" s="3">
        <v>0</v>
      </c>
      <c r="L120" s="3"/>
      <c r="M120" s="3"/>
      <c r="N120" s="3"/>
      <c r="O120" s="3"/>
      <c r="P120" s="3"/>
      <c r="Q120" s="3"/>
    </row>
    <row r="121" spans="1:17" x14ac:dyDescent="0.2">
      <c r="B121" t="s">
        <v>1867</v>
      </c>
      <c r="C121" s="3">
        <v>0</v>
      </c>
      <c r="E121" s="3">
        <v>0</v>
      </c>
      <c r="F121" s="3">
        <v>0</v>
      </c>
      <c r="H121" s="3">
        <v>0</v>
      </c>
      <c r="J121" s="3">
        <v>0</v>
      </c>
      <c r="K121" s="3">
        <v>0</v>
      </c>
      <c r="L121" s="3"/>
      <c r="M121" s="3"/>
      <c r="N121" s="3"/>
      <c r="O121" s="3"/>
      <c r="P121" s="3"/>
      <c r="Q121" s="3"/>
    </row>
    <row r="122" spans="1:17" x14ac:dyDescent="0.2">
      <c r="B122" t="s">
        <v>1883</v>
      </c>
      <c r="C122" s="3">
        <v>0</v>
      </c>
      <c r="E122" s="3">
        <v>0</v>
      </c>
      <c r="F122" s="3">
        <v>0</v>
      </c>
      <c r="H122" s="3">
        <v>0</v>
      </c>
      <c r="J122" s="3">
        <v>0</v>
      </c>
      <c r="K122" s="3">
        <v>0</v>
      </c>
      <c r="L122" s="3"/>
      <c r="M122" s="3"/>
      <c r="N122" s="3"/>
      <c r="O122" s="3"/>
      <c r="P122" s="3"/>
      <c r="Q122" s="3"/>
    </row>
    <row r="123" spans="1:17" x14ac:dyDescent="0.2">
      <c r="B123" t="s">
        <v>1896</v>
      </c>
      <c r="C123" s="3">
        <v>1</v>
      </c>
      <c r="D123" s="3">
        <v>1.5431999999999999</v>
      </c>
      <c r="E123" s="3">
        <v>1.5431999999999999</v>
      </c>
      <c r="F123" s="3">
        <v>1.5431999999999999</v>
      </c>
      <c r="H123" s="3">
        <v>0</v>
      </c>
      <c r="J123" s="3">
        <v>0</v>
      </c>
      <c r="K123" s="3">
        <v>0</v>
      </c>
      <c r="L123" s="3"/>
      <c r="M123" s="3"/>
      <c r="N123" s="3"/>
      <c r="O123" s="3"/>
      <c r="P123" s="3"/>
      <c r="Q123" s="3"/>
    </row>
    <row r="124" spans="1:17" x14ac:dyDescent="0.2">
      <c r="B124" t="s">
        <v>1920</v>
      </c>
      <c r="C124" s="3">
        <v>3</v>
      </c>
      <c r="D124" s="3">
        <v>3.0061111111111107</v>
      </c>
      <c r="E124" s="3">
        <v>2.5039583333333333</v>
      </c>
      <c r="F124" s="3">
        <v>3.5764583333333331</v>
      </c>
      <c r="G124" s="3">
        <v>0.53949228371666036</v>
      </c>
      <c r="H124" s="3">
        <v>0</v>
      </c>
      <c r="J124" s="3">
        <v>0</v>
      </c>
      <c r="K124" s="3">
        <v>0</v>
      </c>
      <c r="L124" s="3"/>
      <c r="M124" s="3"/>
      <c r="N124" s="3"/>
      <c r="O124" s="3"/>
      <c r="P124" s="3"/>
      <c r="Q124" s="3"/>
    </row>
    <row r="125" spans="1:17" x14ac:dyDescent="0.2">
      <c r="B125" t="s">
        <v>2029</v>
      </c>
      <c r="C125" s="3">
        <v>1</v>
      </c>
      <c r="D125" s="3">
        <v>28.4</v>
      </c>
      <c r="E125" s="3">
        <v>28.4</v>
      </c>
      <c r="F125" s="3">
        <v>28.4</v>
      </c>
      <c r="H125" s="3">
        <v>0</v>
      </c>
      <c r="J125" s="3">
        <v>0</v>
      </c>
      <c r="K125" s="3">
        <v>0</v>
      </c>
      <c r="L125" s="3"/>
      <c r="M125" s="3"/>
      <c r="N125" s="3"/>
      <c r="O125" s="3"/>
      <c r="P125" s="3"/>
      <c r="Q125" s="3"/>
    </row>
    <row r="126" spans="1:17" x14ac:dyDescent="0.2">
      <c r="B126" t="s">
        <v>1471</v>
      </c>
      <c r="C126" s="3">
        <v>0</v>
      </c>
      <c r="E126" s="3">
        <v>0</v>
      </c>
      <c r="F126" s="3">
        <v>0</v>
      </c>
      <c r="H126" s="3">
        <v>0</v>
      </c>
      <c r="J126" s="3">
        <v>0</v>
      </c>
      <c r="K126" s="3">
        <v>0</v>
      </c>
      <c r="L126" s="3"/>
      <c r="M126" s="3"/>
      <c r="N126" s="3"/>
      <c r="O126" s="3"/>
      <c r="P126" s="3"/>
      <c r="Q126" s="3"/>
    </row>
    <row r="127" spans="1:17" x14ac:dyDescent="0.2">
      <c r="B127" t="s">
        <v>1466</v>
      </c>
      <c r="C127" s="3">
        <v>0</v>
      </c>
      <c r="E127" s="3">
        <v>0</v>
      </c>
      <c r="F127" s="3">
        <v>0</v>
      </c>
      <c r="H127" s="3">
        <v>0</v>
      </c>
      <c r="J127" s="3">
        <v>0</v>
      </c>
      <c r="K127" s="3">
        <v>0</v>
      </c>
      <c r="L127" s="3"/>
      <c r="M127" s="3"/>
      <c r="N127" s="3"/>
      <c r="O127" s="3"/>
      <c r="P127" s="3"/>
      <c r="Q127" s="3"/>
    </row>
    <row r="128" spans="1:17" x14ac:dyDescent="0.2">
      <c r="B128" t="s">
        <v>2431</v>
      </c>
      <c r="C128" s="3">
        <v>0</v>
      </c>
      <c r="E128" s="3">
        <v>0</v>
      </c>
      <c r="F128" s="3">
        <v>0</v>
      </c>
      <c r="H128" s="3">
        <v>0</v>
      </c>
      <c r="J128" s="3">
        <v>0</v>
      </c>
      <c r="K128" s="3">
        <v>0</v>
      </c>
      <c r="L128" s="3"/>
      <c r="M128" s="3"/>
      <c r="N128" s="3"/>
      <c r="O128" s="3"/>
      <c r="P128" s="3"/>
      <c r="Q128" s="3"/>
    </row>
    <row r="129" spans="1:17" x14ac:dyDescent="0.2">
      <c r="B129" t="s">
        <v>2450</v>
      </c>
      <c r="C129" s="3">
        <v>2</v>
      </c>
      <c r="D129" s="3">
        <v>1.3204500000000001</v>
      </c>
      <c r="E129" s="3">
        <v>1.2381</v>
      </c>
      <c r="F129" s="3">
        <v>1.4028</v>
      </c>
      <c r="G129" s="3">
        <v>0.11646048686142317</v>
      </c>
      <c r="H129" s="3">
        <v>0</v>
      </c>
      <c r="J129" s="3">
        <v>0</v>
      </c>
      <c r="K129" s="3">
        <v>0</v>
      </c>
      <c r="L129" s="3"/>
      <c r="M129" s="3"/>
      <c r="N129" s="3"/>
      <c r="O129" s="3"/>
      <c r="P129" s="3"/>
      <c r="Q129" s="3"/>
    </row>
    <row r="130" spans="1:17" x14ac:dyDescent="0.2">
      <c r="B130" t="s">
        <v>2126</v>
      </c>
      <c r="C130" s="3">
        <v>9</v>
      </c>
      <c r="D130" s="3">
        <v>3.6471020222222226</v>
      </c>
      <c r="E130" s="3">
        <v>2.0325096999999999</v>
      </c>
      <c r="F130" s="3">
        <v>7.1159132999999999</v>
      </c>
      <c r="G130" s="3">
        <v>1.8053178483626884</v>
      </c>
      <c r="H130" s="3">
        <v>0</v>
      </c>
      <c r="J130" s="3">
        <v>0</v>
      </c>
      <c r="K130" s="3">
        <v>0</v>
      </c>
      <c r="L130" s="3"/>
      <c r="M130" s="3"/>
      <c r="N130" s="3"/>
      <c r="O130" s="3"/>
      <c r="P130" s="3"/>
      <c r="Q130" s="3"/>
    </row>
    <row r="131" spans="1:17" x14ac:dyDescent="0.2">
      <c r="B131" t="s">
        <v>2130</v>
      </c>
      <c r="C131" s="3">
        <v>1</v>
      </c>
      <c r="D131" s="3">
        <v>3.2267999999999999</v>
      </c>
      <c r="E131" s="3">
        <v>3.2267999999999999</v>
      </c>
      <c r="F131" s="3">
        <v>3.2267999999999999</v>
      </c>
      <c r="H131" s="3">
        <v>0</v>
      </c>
      <c r="J131" s="3">
        <v>0</v>
      </c>
      <c r="K131" s="3">
        <v>0</v>
      </c>
      <c r="L131" s="3"/>
      <c r="M131" s="3"/>
      <c r="N131" s="3"/>
      <c r="O131" s="3"/>
      <c r="P131" s="3"/>
      <c r="Q131" s="3"/>
    </row>
    <row r="132" spans="1:17" x14ac:dyDescent="0.2">
      <c r="B132" t="s">
        <v>2140</v>
      </c>
      <c r="C132" s="3">
        <v>1</v>
      </c>
      <c r="D132" s="3">
        <v>1.0900000000000001</v>
      </c>
      <c r="E132" s="3">
        <v>1.0900000000000001</v>
      </c>
      <c r="F132" s="3">
        <v>1.0900000000000001</v>
      </c>
      <c r="H132" s="3">
        <v>0</v>
      </c>
      <c r="J132" s="3">
        <v>0</v>
      </c>
      <c r="K132" s="3">
        <v>0</v>
      </c>
      <c r="L132" s="3"/>
      <c r="M132" s="3"/>
      <c r="N132" s="3"/>
      <c r="O132" s="3"/>
      <c r="P132" s="3"/>
      <c r="Q132" s="3"/>
    </row>
    <row r="133" spans="1:17" x14ac:dyDescent="0.2">
      <c r="B133" t="s">
        <v>2142</v>
      </c>
      <c r="C133" s="3">
        <v>0</v>
      </c>
      <c r="E133" s="3">
        <v>0</v>
      </c>
      <c r="F133" s="3">
        <v>0</v>
      </c>
      <c r="H133" s="3">
        <v>0</v>
      </c>
      <c r="J133" s="3">
        <v>0</v>
      </c>
      <c r="K133" s="3">
        <v>0</v>
      </c>
      <c r="L133" s="3"/>
      <c r="M133" s="3">
        <v>1</v>
      </c>
      <c r="N133" s="3">
        <v>26.107200000000002</v>
      </c>
      <c r="O133" s="3">
        <v>26.107200000000002</v>
      </c>
      <c r="P133" s="3">
        <v>26.107200000000002</v>
      </c>
      <c r="Q133" s="3"/>
    </row>
    <row r="134" spans="1:17" x14ac:dyDescent="0.2">
      <c r="B134" t="s">
        <v>1463</v>
      </c>
      <c r="C134" s="3">
        <v>0</v>
      </c>
      <c r="E134" s="3">
        <v>0</v>
      </c>
      <c r="F134" s="3">
        <v>0</v>
      </c>
      <c r="H134" s="3">
        <v>0</v>
      </c>
      <c r="J134" s="3">
        <v>0</v>
      </c>
      <c r="K134" s="3">
        <v>0</v>
      </c>
      <c r="L134" s="3"/>
      <c r="M134" s="3"/>
      <c r="N134" s="3"/>
      <c r="O134" s="3"/>
      <c r="P134" s="3"/>
      <c r="Q134" s="3"/>
    </row>
    <row r="135" spans="1:17" x14ac:dyDescent="0.2">
      <c r="B135" t="s">
        <v>2253</v>
      </c>
      <c r="C135" s="3">
        <v>0</v>
      </c>
      <c r="E135" s="3">
        <v>0</v>
      </c>
      <c r="F135" s="3">
        <v>0</v>
      </c>
      <c r="H135" s="3">
        <v>0</v>
      </c>
      <c r="J135" s="3">
        <v>0</v>
      </c>
      <c r="K135" s="3">
        <v>0</v>
      </c>
      <c r="L135" s="3"/>
      <c r="M135" s="3"/>
      <c r="N135" s="3"/>
      <c r="O135" s="3"/>
      <c r="P135" s="3"/>
      <c r="Q135" s="3"/>
    </row>
    <row r="136" spans="1:17" x14ac:dyDescent="0.2">
      <c r="B136" t="s">
        <v>2970</v>
      </c>
      <c r="C136" s="3">
        <v>0</v>
      </c>
      <c r="E136" s="3">
        <v>0</v>
      </c>
      <c r="F136" s="3">
        <v>0</v>
      </c>
      <c r="H136" s="3">
        <v>1</v>
      </c>
      <c r="I136" s="3">
        <v>2.9633449999999999</v>
      </c>
      <c r="J136" s="3">
        <v>2.9633449999999999</v>
      </c>
      <c r="K136" s="3">
        <v>2.9633449999999999</v>
      </c>
      <c r="L136" s="3"/>
      <c r="M136" s="3">
        <v>1</v>
      </c>
      <c r="N136" s="3">
        <v>2.9633449999999999</v>
      </c>
      <c r="O136" s="3">
        <v>2.9633449999999999</v>
      </c>
      <c r="P136" s="3">
        <v>2.9633449999999999</v>
      </c>
      <c r="Q136" s="3"/>
    </row>
    <row r="137" spans="1:17" x14ac:dyDescent="0.2">
      <c r="B137" t="s">
        <v>2270</v>
      </c>
      <c r="C137" s="3">
        <v>4</v>
      </c>
      <c r="D137" s="3">
        <v>2.7156750000000001</v>
      </c>
      <c r="E137" s="3">
        <v>1.5</v>
      </c>
      <c r="F137" s="3">
        <v>4</v>
      </c>
      <c r="G137" s="3">
        <v>1.0677965579485011</v>
      </c>
      <c r="H137" s="3">
        <v>0</v>
      </c>
      <c r="J137" s="3">
        <v>0</v>
      </c>
      <c r="K137" s="3">
        <v>0</v>
      </c>
      <c r="L137" s="3"/>
      <c r="M137" s="3"/>
      <c r="N137" s="3"/>
      <c r="O137" s="3"/>
      <c r="P137" s="3"/>
      <c r="Q137" s="3"/>
    </row>
    <row r="138" spans="1:17" x14ac:dyDescent="0.2">
      <c r="B138" t="s">
        <v>2290</v>
      </c>
      <c r="C138" s="3">
        <v>11</v>
      </c>
      <c r="D138" s="3">
        <v>6.3822858909090918</v>
      </c>
      <c r="E138" s="3">
        <v>4.1808379000000002</v>
      </c>
      <c r="F138" s="3">
        <v>9.4524524999999997</v>
      </c>
      <c r="G138" s="3">
        <v>1.3784473590983684</v>
      </c>
      <c r="H138" s="3">
        <v>0</v>
      </c>
      <c r="J138" s="3">
        <v>0</v>
      </c>
      <c r="K138" s="3">
        <v>0</v>
      </c>
      <c r="L138" s="3"/>
      <c r="M138" s="3"/>
      <c r="N138" s="3"/>
      <c r="O138" s="3"/>
      <c r="P138" s="3"/>
      <c r="Q138" s="3"/>
    </row>
    <row r="139" spans="1:17" x14ac:dyDescent="0.2">
      <c r="B139" t="s">
        <v>761</v>
      </c>
      <c r="C139" s="3">
        <v>0</v>
      </c>
      <c r="E139" s="3">
        <v>0</v>
      </c>
      <c r="F139" s="3">
        <v>0</v>
      </c>
      <c r="H139" s="3">
        <v>0</v>
      </c>
      <c r="J139" s="3">
        <v>0</v>
      </c>
      <c r="K139" s="3">
        <v>0</v>
      </c>
      <c r="L139" s="3"/>
      <c r="M139" s="3"/>
      <c r="N139" s="3"/>
      <c r="O139" s="3"/>
      <c r="P139" s="3"/>
      <c r="Q139" s="3"/>
    </row>
    <row r="140" spans="1:17" x14ac:dyDescent="0.2">
      <c r="B140" t="s">
        <v>2335</v>
      </c>
      <c r="C140" s="3">
        <v>0</v>
      </c>
      <c r="E140" s="3">
        <v>0</v>
      </c>
      <c r="F140" s="3">
        <v>0</v>
      </c>
      <c r="H140" s="3">
        <v>0</v>
      </c>
      <c r="J140" s="3">
        <v>0</v>
      </c>
      <c r="K140" s="3">
        <v>0</v>
      </c>
      <c r="L140" s="3"/>
      <c r="M140" s="3"/>
      <c r="N140" s="3"/>
      <c r="O140" s="3"/>
      <c r="P140" s="3"/>
      <c r="Q140" s="3"/>
    </row>
    <row r="141" spans="1:17" x14ac:dyDescent="0.2">
      <c r="A141" t="s">
        <v>2836</v>
      </c>
      <c r="B141"/>
      <c r="C141" s="3">
        <v>37</v>
      </c>
      <c r="D141" s="3">
        <v>5.8303404414414413</v>
      </c>
      <c r="E141" s="3">
        <v>1.0900000000000001</v>
      </c>
      <c r="F141" s="3">
        <v>28.4</v>
      </c>
      <c r="G141" s="3">
        <v>6.1841050802938193</v>
      </c>
      <c r="H141" s="3">
        <v>2</v>
      </c>
      <c r="I141" s="3">
        <v>15.9816725</v>
      </c>
      <c r="J141" s="3">
        <v>2.9633449999999999</v>
      </c>
      <c r="K141" s="3">
        <v>29</v>
      </c>
      <c r="L141" s="3">
        <v>18.410695309914626</v>
      </c>
      <c r="M141" s="3">
        <v>5</v>
      </c>
      <c r="N141" s="3">
        <v>12.078137</v>
      </c>
      <c r="O141" s="3">
        <v>0.83374000000000004</v>
      </c>
      <c r="P141" s="3">
        <v>29</v>
      </c>
      <c r="Q141" s="3">
        <v>14.185070019414605</v>
      </c>
    </row>
    <row r="142" spans="1:17" x14ac:dyDescent="0.2">
      <c r="A142" t="s">
        <v>24</v>
      </c>
      <c r="B142" t="s">
        <v>53</v>
      </c>
      <c r="C142" s="3">
        <v>19</v>
      </c>
      <c r="D142" s="3">
        <v>67.894632596446456</v>
      </c>
      <c r="E142" s="3">
        <v>7.8</v>
      </c>
      <c r="F142" s="3">
        <v>169</v>
      </c>
      <c r="G142" s="3">
        <v>39.183980232133344</v>
      </c>
      <c r="H142" s="3">
        <v>4</v>
      </c>
      <c r="I142" s="3">
        <v>38.147241151344765</v>
      </c>
      <c r="J142" s="3">
        <v>25.9</v>
      </c>
      <c r="K142" s="3">
        <v>54.828964605379056</v>
      </c>
      <c r="L142" s="3">
        <v>12.577399437913796</v>
      </c>
      <c r="M142" s="3">
        <v>9</v>
      </c>
      <c r="N142" s="3">
        <v>46.114156256363309</v>
      </c>
      <c r="O142" s="3">
        <v>13.193403298350825</v>
      </c>
      <c r="P142" s="3">
        <v>189.31094453815436</v>
      </c>
      <c r="Q142" s="3">
        <v>55.219807221270088</v>
      </c>
    </row>
    <row r="143" spans="1:17" x14ac:dyDescent="0.2">
      <c r="B143" t="s">
        <v>4056</v>
      </c>
      <c r="C143" s="3">
        <v>3</v>
      </c>
      <c r="D143" s="3">
        <v>75.352323838080963</v>
      </c>
      <c r="E143" s="3">
        <v>71.784107946026978</v>
      </c>
      <c r="F143" s="3">
        <v>80.599700149925027</v>
      </c>
      <c r="G143" s="3">
        <v>4.6414815805836156</v>
      </c>
      <c r="H143" s="3">
        <v>0</v>
      </c>
      <c r="J143" s="3">
        <v>0</v>
      </c>
      <c r="K143" s="3">
        <v>0</v>
      </c>
      <c r="L143" s="3"/>
      <c r="M143" s="3"/>
      <c r="N143" s="3"/>
      <c r="O143" s="3"/>
      <c r="P143" s="3"/>
      <c r="Q143" s="3"/>
    </row>
    <row r="144" spans="1:17" x14ac:dyDescent="0.2">
      <c r="B144" t="s">
        <v>283</v>
      </c>
      <c r="C144" s="3">
        <v>15</v>
      </c>
      <c r="D144" s="3">
        <v>27.337984848484844</v>
      </c>
      <c r="E144" s="3">
        <v>11.168831168831169</v>
      </c>
      <c r="F144" s="3">
        <v>56.041558441558436</v>
      </c>
      <c r="G144" s="3">
        <v>11.446373044126648</v>
      </c>
      <c r="H144" s="3">
        <v>10</v>
      </c>
      <c r="I144" s="3">
        <v>31.418659632034633</v>
      </c>
      <c r="J144" s="3">
        <v>16.623376623376622</v>
      </c>
      <c r="K144" s="3">
        <v>60.259740259740255</v>
      </c>
      <c r="L144" s="3">
        <v>13.918051459232759</v>
      </c>
      <c r="M144" s="3">
        <v>10</v>
      </c>
      <c r="N144" s="3">
        <v>31.647201298701294</v>
      </c>
      <c r="O144" s="3">
        <v>16.623376623376622</v>
      </c>
      <c r="P144" s="3">
        <v>60.259740259740255</v>
      </c>
      <c r="Q144" s="3">
        <v>13.816698953001817</v>
      </c>
    </row>
    <row r="145" spans="1:17" x14ac:dyDescent="0.2">
      <c r="B145" t="s">
        <v>348</v>
      </c>
      <c r="C145" s="3">
        <v>0</v>
      </c>
      <c r="E145" s="3">
        <v>0</v>
      </c>
      <c r="F145" s="3">
        <v>0</v>
      </c>
      <c r="H145" s="3">
        <v>0</v>
      </c>
      <c r="J145" s="3">
        <v>0</v>
      </c>
      <c r="K145" s="3">
        <v>0</v>
      </c>
      <c r="L145" s="3"/>
      <c r="M145" s="3"/>
      <c r="N145" s="3"/>
      <c r="O145" s="3"/>
      <c r="P145" s="3"/>
      <c r="Q145" s="3"/>
    </row>
    <row r="146" spans="1:17" x14ac:dyDescent="0.2">
      <c r="B146" t="s">
        <v>2073</v>
      </c>
      <c r="C146" s="3">
        <v>0</v>
      </c>
      <c r="E146" s="3">
        <v>0</v>
      </c>
      <c r="F146" s="3">
        <v>0</v>
      </c>
      <c r="H146" s="3">
        <v>1</v>
      </c>
      <c r="I146" s="3">
        <v>8.5</v>
      </c>
      <c r="J146" s="3">
        <v>8.5</v>
      </c>
      <c r="K146" s="3">
        <v>8.5</v>
      </c>
      <c r="L146" s="3"/>
      <c r="M146" s="3"/>
      <c r="N146" s="3"/>
      <c r="O146" s="3"/>
      <c r="P146" s="3"/>
      <c r="Q146" s="3"/>
    </row>
    <row r="147" spans="1:17" x14ac:dyDescent="0.2">
      <c r="B147" t="s">
        <v>269</v>
      </c>
      <c r="C147" s="3">
        <v>17</v>
      </c>
      <c r="D147" s="3">
        <v>28.619775438183076</v>
      </c>
      <c r="E147" s="3">
        <v>18.378312832988502</v>
      </c>
      <c r="F147" s="3">
        <v>46.002622225253702</v>
      </c>
      <c r="G147" s="3">
        <v>6.8913248294546285</v>
      </c>
      <c r="H147" s="3">
        <v>5</v>
      </c>
      <c r="I147" s="3">
        <v>32.809625430155947</v>
      </c>
      <c r="J147" s="3">
        <v>26.748970912208506</v>
      </c>
      <c r="K147" s="3">
        <v>39.165943827160497</v>
      </c>
      <c r="L147" s="3">
        <v>5.1091696332849548</v>
      </c>
      <c r="M147" s="3">
        <v>5</v>
      </c>
      <c r="N147" s="3">
        <v>29.276550575560616</v>
      </c>
      <c r="O147" s="3">
        <v>26.748971193415638</v>
      </c>
      <c r="P147" s="3">
        <v>33.607681755829908</v>
      </c>
      <c r="Q147" s="3">
        <v>2.628469132425248</v>
      </c>
    </row>
    <row r="148" spans="1:17" x14ac:dyDescent="0.2">
      <c r="B148" t="s">
        <v>4010</v>
      </c>
      <c r="C148" s="3">
        <v>4</v>
      </c>
      <c r="D148" s="3">
        <v>24.475427350427349</v>
      </c>
      <c r="E148" s="3">
        <v>12.2</v>
      </c>
      <c r="F148" s="3">
        <v>44.246153846153845</v>
      </c>
      <c r="G148" s="3">
        <v>14.332624486190154</v>
      </c>
      <c r="H148" s="3">
        <v>2</v>
      </c>
      <c r="I148" s="3">
        <v>40.815452991452993</v>
      </c>
      <c r="J148" s="3">
        <v>31.644444444444442</v>
      </c>
      <c r="K148" s="3">
        <v>49.98646153846154</v>
      </c>
      <c r="L148" s="3">
        <v>12.969764667819058</v>
      </c>
      <c r="M148" s="3">
        <v>4</v>
      </c>
      <c r="N148" s="3">
        <v>32.446615384615384</v>
      </c>
      <c r="O148" s="3">
        <v>21.1</v>
      </c>
      <c r="P148" s="3">
        <v>49.98646153846154</v>
      </c>
      <c r="Q148" s="3">
        <v>12.894636319900052</v>
      </c>
    </row>
    <row r="149" spans="1:17" x14ac:dyDescent="0.2">
      <c r="B149" t="s">
        <v>2224</v>
      </c>
      <c r="C149" s="3">
        <v>1</v>
      </c>
      <c r="D149" s="3">
        <v>55.220125786163514</v>
      </c>
      <c r="E149" s="3">
        <v>55.220125786163514</v>
      </c>
      <c r="F149" s="3">
        <v>55.220125786163514</v>
      </c>
      <c r="H149" s="3">
        <v>1</v>
      </c>
      <c r="I149" s="3">
        <v>65.132075471698101</v>
      </c>
      <c r="J149" s="3">
        <v>65.132075471698101</v>
      </c>
      <c r="K149" s="3">
        <v>65.132075471698101</v>
      </c>
      <c r="L149" s="3"/>
      <c r="M149" s="3">
        <v>1</v>
      </c>
      <c r="N149" s="3">
        <v>66.452830188679229</v>
      </c>
      <c r="O149" s="3">
        <v>66.452830188679229</v>
      </c>
      <c r="P149" s="3">
        <v>66.452830188679229</v>
      </c>
      <c r="Q149" s="3"/>
    </row>
    <row r="150" spans="1:17" x14ac:dyDescent="0.2">
      <c r="B150" t="s">
        <v>346</v>
      </c>
      <c r="C150" s="3">
        <v>6</v>
      </c>
      <c r="D150" s="3">
        <v>33.613424518743663</v>
      </c>
      <c r="E150" s="3">
        <v>12.2</v>
      </c>
      <c r="F150" s="3">
        <v>65</v>
      </c>
      <c r="G150" s="3">
        <v>20.560479404527239</v>
      </c>
      <c r="H150" s="3">
        <v>3</v>
      </c>
      <c r="I150" s="3">
        <v>31.489361670199997</v>
      </c>
      <c r="J150" s="3">
        <v>6.8389057750759878</v>
      </c>
      <c r="K150" s="3">
        <v>54.711246200607903</v>
      </c>
      <c r="L150" s="3">
        <v>23.968121673643296</v>
      </c>
      <c r="M150" s="3">
        <v>4</v>
      </c>
      <c r="N150" s="3">
        <v>41.286702127659574</v>
      </c>
      <c r="O150" s="3">
        <v>30.7</v>
      </c>
      <c r="P150" s="3">
        <v>54.711246200607903</v>
      </c>
      <c r="Q150" s="3">
        <v>10.210642429440385</v>
      </c>
    </row>
    <row r="151" spans="1:17" x14ac:dyDescent="0.2">
      <c r="B151" t="s">
        <v>2432</v>
      </c>
      <c r="C151" s="3">
        <v>0</v>
      </c>
      <c r="E151" s="3">
        <v>0</v>
      </c>
      <c r="F151" s="3">
        <v>0</v>
      </c>
      <c r="H151" s="3">
        <v>0</v>
      </c>
      <c r="J151" s="3">
        <v>0</v>
      </c>
      <c r="K151" s="3">
        <v>0</v>
      </c>
      <c r="L151" s="3"/>
      <c r="M151" s="3"/>
      <c r="N151" s="3"/>
      <c r="O151" s="3"/>
      <c r="P151" s="3"/>
      <c r="Q151" s="3"/>
    </row>
    <row r="152" spans="1:17" x14ac:dyDescent="0.2">
      <c r="B152" t="s">
        <v>173</v>
      </c>
      <c r="C152" s="3">
        <v>0</v>
      </c>
      <c r="E152" s="3">
        <v>0</v>
      </c>
      <c r="F152" s="3">
        <v>0</v>
      </c>
      <c r="H152" s="3">
        <v>0</v>
      </c>
      <c r="J152" s="3">
        <v>0</v>
      </c>
      <c r="K152" s="3">
        <v>0</v>
      </c>
      <c r="L152" s="3"/>
      <c r="M152" s="3"/>
      <c r="N152" s="3"/>
      <c r="O152" s="3"/>
      <c r="P152" s="3"/>
      <c r="Q152" s="3"/>
    </row>
    <row r="153" spans="1:17" x14ac:dyDescent="0.2">
      <c r="B153" t="s">
        <v>394</v>
      </c>
      <c r="C153" s="3">
        <v>0</v>
      </c>
      <c r="E153" s="3">
        <v>0</v>
      </c>
      <c r="F153" s="3">
        <v>0</v>
      </c>
      <c r="H153" s="3">
        <v>0</v>
      </c>
      <c r="J153" s="3">
        <v>0</v>
      </c>
      <c r="K153" s="3">
        <v>0</v>
      </c>
      <c r="L153" s="3"/>
      <c r="M153" s="3"/>
      <c r="N153" s="3"/>
      <c r="O153" s="3"/>
      <c r="P153" s="3"/>
      <c r="Q153" s="3"/>
    </row>
    <row r="154" spans="1:17" x14ac:dyDescent="0.2">
      <c r="A154" t="s">
        <v>2837</v>
      </c>
      <c r="B154"/>
      <c r="C154" s="3">
        <v>65</v>
      </c>
      <c r="D154" s="3">
        <v>42.576358897283782</v>
      </c>
      <c r="E154" s="3">
        <v>7.8</v>
      </c>
      <c r="F154" s="3">
        <v>169</v>
      </c>
      <c r="G154" s="3">
        <v>29.883385042446726</v>
      </c>
      <c r="H154" s="3">
        <v>26</v>
      </c>
      <c r="I154" s="3">
        <v>33.867490559296499</v>
      </c>
      <c r="J154" s="3">
        <v>6.8389057750759878</v>
      </c>
      <c r="K154" s="3">
        <v>65.132075471698101</v>
      </c>
      <c r="L154" s="3">
        <v>14.849754460526484</v>
      </c>
      <c r="M154" s="3">
        <v>33</v>
      </c>
      <c r="N154" s="3">
        <v>37.553584012420167</v>
      </c>
      <c r="O154" s="3">
        <v>13.193403298350825</v>
      </c>
      <c r="P154" s="3">
        <v>189.31094453815436</v>
      </c>
      <c r="Q154" s="3">
        <v>30.257920234653412</v>
      </c>
    </row>
    <row r="155" spans="1:17" x14ac:dyDescent="0.2">
      <c r="A155" t="s">
        <v>398</v>
      </c>
      <c r="B155" t="s">
        <v>399</v>
      </c>
      <c r="C155" s="3">
        <v>0</v>
      </c>
      <c r="E155" s="3">
        <v>0</v>
      </c>
      <c r="F155" s="3">
        <v>0</v>
      </c>
      <c r="H155" s="3">
        <v>0</v>
      </c>
      <c r="J155" s="3">
        <v>0</v>
      </c>
      <c r="K155" s="3">
        <v>0</v>
      </c>
      <c r="L155" s="3"/>
      <c r="M155" s="3"/>
      <c r="N155" s="3"/>
      <c r="O155" s="3"/>
      <c r="P155" s="3"/>
      <c r="Q155" s="3"/>
    </row>
    <row r="156" spans="1:17" x14ac:dyDescent="0.2">
      <c r="B156" t="s">
        <v>402</v>
      </c>
      <c r="C156" s="3">
        <v>0</v>
      </c>
      <c r="E156" s="3">
        <v>0</v>
      </c>
      <c r="F156" s="3">
        <v>0</v>
      </c>
      <c r="H156" s="3">
        <v>0</v>
      </c>
      <c r="J156" s="3">
        <v>0</v>
      </c>
      <c r="K156" s="3">
        <v>0</v>
      </c>
      <c r="L156" s="3"/>
      <c r="M156" s="3"/>
      <c r="N156" s="3"/>
      <c r="O156" s="3"/>
      <c r="P156" s="3"/>
      <c r="Q156" s="3"/>
    </row>
    <row r="157" spans="1:17" x14ac:dyDescent="0.2">
      <c r="B157" t="s">
        <v>404</v>
      </c>
      <c r="C157" s="3">
        <v>0</v>
      </c>
      <c r="E157" s="3">
        <v>0</v>
      </c>
      <c r="F157" s="3">
        <v>0</v>
      </c>
      <c r="H157" s="3">
        <v>0</v>
      </c>
      <c r="J157" s="3">
        <v>0</v>
      </c>
      <c r="K157" s="3">
        <v>0</v>
      </c>
      <c r="L157" s="3"/>
      <c r="M157" s="3"/>
      <c r="N157" s="3"/>
      <c r="O157" s="3"/>
      <c r="P157" s="3"/>
      <c r="Q157" s="3"/>
    </row>
    <row r="158" spans="1:17" x14ac:dyDescent="0.2">
      <c r="B158" t="s">
        <v>1211</v>
      </c>
      <c r="C158" s="3">
        <v>0</v>
      </c>
      <c r="E158" s="3">
        <v>0</v>
      </c>
      <c r="F158" s="3">
        <v>0</v>
      </c>
      <c r="H158" s="3">
        <v>0</v>
      </c>
      <c r="J158" s="3">
        <v>0</v>
      </c>
      <c r="K158" s="3">
        <v>0</v>
      </c>
      <c r="L158" s="3"/>
      <c r="M158" s="3"/>
      <c r="N158" s="3"/>
      <c r="O158" s="3"/>
      <c r="P158" s="3"/>
      <c r="Q158" s="3"/>
    </row>
    <row r="159" spans="1:17" x14ac:dyDescent="0.2">
      <c r="B159" t="s">
        <v>3382</v>
      </c>
      <c r="C159" s="3">
        <v>0</v>
      </c>
      <c r="E159" s="3">
        <v>0</v>
      </c>
      <c r="F159" s="3">
        <v>0</v>
      </c>
      <c r="H159" s="3">
        <v>0</v>
      </c>
      <c r="J159" s="3">
        <v>0</v>
      </c>
      <c r="K159" s="3">
        <v>0</v>
      </c>
      <c r="L159" s="3"/>
      <c r="M159" s="3"/>
      <c r="N159" s="3"/>
      <c r="O159" s="3"/>
      <c r="P159" s="3"/>
      <c r="Q159" s="3"/>
    </row>
    <row r="160" spans="1:17" x14ac:dyDescent="0.2">
      <c r="B160" t="s">
        <v>406</v>
      </c>
      <c r="C160" s="3">
        <v>0</v>
      </c>
      <c r="E160" s="3">
        <v>0</v>
      </c>
      <c r="F160" s="3">
        <v>0</v>
      </c>
      <c r="H160" s="3">
        <v>0</v>
      </c>
      <c r="J160" s="3">
        <v>0</v>
      </c>
      <c r="K160" s="3">
        <v>0</v>
      </c>
      <c r="L160" s="3"/>
      <c r="M160" s="3">
        <v>1</v>
      </c>
      <c r="N160" s="3">
        <v>11.44</v>
      </c>
      <c r="O160" s="3">
        <v>11.44</v>
      </c>
      <c r="P160" s="3">
        <v>11.44</v>
      </c>
      <c r="Q160" s="3"/>
    </row>
    <row r="161" spans="1:17" x14ac:dyDescent="0.2">
      <c r="B161" t="s">
        <v>411</v>
      </c>
      <c r="C161" s="3">
        <v>0</v>
      </c>
      <c r="E161" s="3">
        <v>0</v>
      </c>
      <c r="F161" s="3">
        <v>0</v>
      </c>
      <c r="H161" s="3">
        <v>0</v>
      </c>
      <c r="J161" s="3">
        <v>0</v>
      </c>
      <c r="K161" s="3">
        <v>0</v>
      </c>
      <c r="L161" s="3"/>
      <c r="M161" s="3"/>
      <c r="N161" s="3"/>
      <c r="O161" s="3"/>
      <c r="P161" s="3"/>
      <c r="Q161" s="3"/>
    </row>
    <row r="162" spans="1:17" x14ac:dyDescent="0.2">
      <c r="B162" t="s">
        <v>400</v>
      </c>
      <c r="C162" s="3">
        <v>0</v>
      </c>
      <c r="E162" s="3">
        <v>0</v>
      </c>
      <c r="F162" s="3">
        <v>0</v>
      </c>
      <c r="H162" s="3">
        <v>0</v>
      </c>
      <c r="J162" s="3">
        <v>0</v>
      </c>
      <c r="K162" s="3">
        <v>0</v>
      </c>
      <c r="L162" s="3"/>
      <c r="M162" s="3"/>
      <c r="N162" s="3"/>
      <c r="O162" s="3"/>
      <c r="P162" s="3"/>
      <c r="Q162" s="3"/>
    </row>
    <row r="163" spans="1:17" x14ac:dyDescent="0.2">
      <c r="A163" t="s">
        <v>2838</v>
      </c>
      <c r="B163"/>
      <c r="C163" s="3">
        <v>0</v>
      </c>
      <c r="E163" s="3">
        <v>0</v>
      </c>
      <c r="F163" s="3">
        <v>0</v>
      </c>
      <c r="H163" s="3">
        <v>0</v>
      </c>
      <c r="J163" s="3">
        <v>0</v>
      </c>
      <c r="K163" s="3">
        <v>0</v>
      </c>
      <c r="L163" s="3"/>
      <c r="M163" s="3">
        <v>1</v>
      </c>
      <c r="N163" s="3">
        <v>11.44</v>
      </c>
      <c r="O163" s="3">
        <v>11.44</v>
      </c>
      <c r="P163" s="3">
        <v>11.44</v>
      </c>
      <c r="Q163" s="3"/>
    </row>
    <row r="164" spans="1:17" x14ac:dyDescent="0.2">
      <c r="A164" t="s">
        <v>542</v>
      </c>
      <c r="B164" t="s">
        <v>1925</v>
      </c>
      <c r="C164" s="3">
        <v>0</v>
      </c>
      <c r="E164" s="3">
        <v>0</v>
      </c>
      <c r="F164" s="3">
        <v>0</v>
      </c>
      <c r="H164" s="3">
        <v>3</v>
      </c>
      <c r="I164" s="3">
        <v>11.899959666666668</v>
      </c>
      <c r="J164" s="3">
        <v>10.811221</v>
      </c>
      <c r="K164" s="3">
        <v>12.765396000000001</v>
      </c>
      <c r="L164" s="3">
        <v>0.99604112952744306</v>
      </c>
      <c r="M164" s="3">
        <v>3</v>
      </c>
      <c r="N164" s="3">
        <v>11.899959666666668</v>
      </c>
      <c r="O164" s="3">
        <v>10.811221</v>
      </c>
      <c r="P164" s="3">
        <v>12.765396000000001</v>
      </c>
      <c r="Q164" s="3">
        <v>0.99604112952744306</v>
      </c>
    </row>
    <row r="165" spans="1:17" x14ac:dyDescent="0.2">
      <c r="B165" t="s">
        <v>1939</v>
      </c>
      <c r="C165" s="3">
        <v>0</v>
      </c>
      <c r="E165" s="3">
        <v>0</v>
      </c>
      <c r="F165" s="3">
        <v>0</v>
      </c>
      <c r="H165" s="3">
        <v>2</v>
      </c>
      <c r="I165" s="3">
        <v>15.165668500000001</v>
      </c>
      <c r="J165" s="3">
        <v>14.681468000000001</v>
      </c>
      <c r="K165" s="3">
        <v>15.649869000000001</v>
      </c>
      <c r="L165" s="3">
        <v>0.68476291400781419</v>
      </c>
      <c r="M165" s="3">
        <v>3</v>
      </c>
      <c r="N165" s="3">
        <v>14.277112333333335</v>
      </c>
      <c r="O165" s="3">
        <v>12.5</v>
      </c>
      <c r="P165" s="3">
        <v>15.649869000000001</v>
      </c>
      <c r="Q165" s="3">
        <v>1.6133958931905914</v>
      </c>
    </row>
    <row r="166" spans="1:17" x14ac:dyDescent="0.2">
      <c r="B166" t="s">
        <v>1947</v>
      </c>
      <c r="C166" s="3">
        <v>0</v>
      </c>
      <c r="E166" s="3">
        <v>0</v>
      </c>
      <c r="F166" s="3">
        <v>0</v>
      </c>
      <c r="H166" s="3">
        <v>1</v>
      </c>
      <c r="I166" s="3">
        <v>24.8</v>
      </c>
      <c r="J166" s="3">
        <v>24.8</v>
      </c>
      <c r="K166" s="3">
        <v>24.8</v>
      </c>
      <c r="L166" s="3"/>
      <c r="M166" s="3">
        <v>1</v>
      </c>
      <c r="N166" s="3">
        <v>24.8</v>
      </c>
      <c r="O166" s="3">
        <v>24.8</v>
      </c>
      <c r="P166" s="3">
        <v>24.8</v>
      </c>
      <c r="Q166" s="3"/>
    </row>
    <row r="167" spans="1:17" x14ac:dyDescent="0.2">
      <c r="B167" t="s">
        <v>2100</v>
      </c>
      <c r="C167" s="3">
        <v>2</v>
      </c>
      <c r="D167" s="3">
        <v>14.173021739130434</v>
      </c>
      <c r="E167" s="3">
        <v>8.5329999999999995</v>
      </c>
      <c r="F167" s="3">
        <v>19.81304347826087</v>
      </c>
      <c r="G167" s="3">
        <v>7.9761952355573529</v>
      </c>
      <c r="H167" s="3">
        <v>2</v>
      </c>
      <c r="I167" s="3">
        <v>15.70807847826087</v>
      </c>
      <c r="J167" s="3">
        <v>8.8000699999999998</v>
      </c>
      <c r="K167" s="3">
        <v>22.616086956521741</v>
      </c>
      <c r="L167" s="3">
        <v>9.7693992789448529</v>
      </c>
      <c r="M167" s="3">
        <v>2</v>
      </c>
      <c r="N167" s="3">
        <v>16.322543478260869</v>
      </c>
      <c r="O167" s="3">
        <v>10.029</v>
      </c>
      <c r="P167" s="3">
        <v>22.616086956521741</v>
      </c>
      <c r="Q167" s="3">
        <v>8.9004145423412737</v>
      </c>
    </row>
    <row r="168" spans="1:17" x14ac:dyDescent="0.2">
      <c r="B168" t="s">
        <v>2114</v>
      </c>
      <c r="C168" s="3">
        <v>0</v>
      </c>
      <c r="E168" s="3">
        <v>0</v>
      </c>
      <c r="F168" s="3">
        <v>0</v>
      </c>
      <c r="H168" s="3">
        <v>3</v>
      </c>
      <c r="I168" s="3">
        <v>10.070841533333335</v>
      </c>
      <c r="J168" s="3">
        <v>9.5381681</v>
      </c>
      <c r="K168" s="3">
        <v>11.043447</v>
      </c>
      <c r="L168" s="3">
        <v>0.84357648566144217</v>
      </c>
      <c r="M168" s="3">
        <v>3</v>
      </c>
      <c r="N168" s="3">
        <v>10.070841533333335</v>
      </c>
      <c r="O168" s="3">
        <v>9.5381681</v>
      </c>
      <c r="P168" s="3">
        <v>11.043447</v>
      </c>
      <c r="Q168" s="3">
        <v>0.84357648566144217</v>
      </c>
    </row>
    <row r="169" spans="1:17" x14ac:dyDescent="0.2">
      <c r="B169" t="s">
        <v>3067</v>
      </c>
      <c r="C169" s="3">
        <v>0</v>
      </c>
      <c r="E169" s="3">
        <v>0</v>
      </c>
      <c r="F169" s="3">
        <v>0</v>
      </c>
      <c r="H169" s="3">
        <v>1</v>
      </c>
      <c r="I169" s="3">
        <v>3.1583665999999999</v>
      </c>
      <c r="J169" s="3">
        <v>3.1583665999999999</v>
      </c>
      <c r="K169" s="3">
        <v>3.1583665999999999</v>
      </c>
      <c r="L169" s="3"/>
      <c r="M169" s="3">
        <v>1</v>
      </c>
      <c r="N169" s="3">
        <v>3.1583665999999999</v>
      </c>
      <c r="O169" s="3">
        <v>3.1583665999999999</v>
      </c>
      <c r="P169" s="3">
        <v>3.1583665999999999</v>
      </c>
      <c r="Q169" s="3"/>
    </row>
    <row r="170" spans="1:17" x14ac:dyDescent="0.2">
      <c r="B170" t="s">
        <v>2228</v>
      </c>
      <c r="C170" s="3">
        <v>0</v>
      </c>
      <c r="E170" s="3">
        <v>0</v>
      </c>
      <c r="F170" s="3">
        <v>0</v>
      </c>
      <c r="H170" s="3">
        <v>1</v>
      </c>
      <c r="I170" s="3">
        <v>13.327939000000001</v>
      </c>
      <c r="J170" s="3">
        <v>13.327939000000001</v>
      </c>
      <c r="K170" s="3">
        <v>13.327939000000001</v>
      </c>
      <c r="L170" s="3"/>
      <c r="M170" s="3">
        <v>1</v>
      </c>
      <c r="N170" s="3">
        <v>13.327939000000001</v>
      </c>
      <c r="O170" s="3">
        <v>13.327939000000001</v>
      </c>
      <c r="P170" s="3">
        <v>13.327939000000001</v>
      </c>
      <c r="Q170" s="3"/>
    </row>
    <row r="171" spans="1:17" x14ac:dyDescent="0.2">
      <c r="B171" t="s">
        <v>2969</v>
      </c>
      <c r="C171" s="3">
        <v>1</v>
      </c>
      <c r="D171" s="3">
        <v>6.0730000000000004</v>
      </c>
      <c r="E171" s="3">
        <v>6.0730000000000004</v>
      </c>
      <c r="F171" s="3">
        <v>6.0730000000000004</v>
      </c>
      <c r="H171" s="3">
        <v>2</v>
      </c>
      <c r="I171" s="3">
        <v>7.6164500000000004</v>
      </c>
      <c r="J171" s="3">
        <v>6.4828999999999999</v>
      </c>
      <c r="K171" s="3">
        <v>8.75</v>
      </c>
      <c r="L171" s="3">
        <v>1.6030817836280169</v>
      </c>
      <c r="M171" s="3">
        <v>2</v>
      </c>
      <c r="N171" s="3">
        <v>8.1844999999999999</v>
      </c>
      <c r="O171" s="3">
        <v>7.6189999999999998</v>
      </c>
      <c r="P171" s="3">
        <v>8.75</v>
      </c>
      <c r="Q171" s="3">
        <v>0.79973776952198139</v>
      </c>
    </row>
    <row r="172" spans="1:17" x14ac:dyDescent="0.2">
      <c r="B172" t="s">
        <v>2289</v>
      </c>
      <c r="C172" s="3">
        <v>1</v>
      </c>
      <c r="D172" s="3">
        <v>5.1790000000000003</v>
      </c>
      <c r="E172" s="3">
        <v>5.1790000000000003</v>
      </c>
      <c r="F172" s="3">
        <v>5.1790000000000003</v>
      </c>
      <c r="H172" s="3">
        <v>1</v>
      </c>
      <c r="I172" s="3">
        <v>5.7941000000000003</v>
      </c>
      <c r="J172" s="3">
        <v>5.7941000000000003</v>
      </c>
      <c r="K172" s="3">
        <v>5.7941000000000003</v>
      </c>
      <c r="L172" s="3"/>
      <c r="M172" s="3">
        <v>2</v>
      </c>
      <c r="N172" s="3">
        <v>5.5279347826086953</v>
      </c>
      <c r="O172" s="3">
        <v>3.2608695652173911</v>
      </c>
      <c r="P172" s="3">
        <v>7.7949999999999999</v>
      </c>
      <c r="Q172" s="3">
        <v>3.2061143772190932</v>
      </c>
    </row>
    <row r="173" spans="1:17" x14ac:dyDescent="0.2">
      <c r="B173" t="s">
        <v>3296</v>
      </c>
      <c r="C173" s="3">
        <v>0</v>
      </c>
      <c r="E173" s="3">
        <v>0</v>
      </c>
      <c r="F173" s="3">
        <v>0</v>
      </c>
      <c r="H173" s="3">
        <v>0</v>
      </c>
      <c r="J173" s="3">
        <v>0</v>
      </c>
      <c r="K173" s="3">
        <v>0</v>
      </c>
      <c r="L173" s="3"/>
      <c r="M173" s="3"/>
      <c r="N173" s="3"/>
      <c r="O173" s="3"/>
      <c r="P173" s="3"/>
      <c r="Q173" s="3"/>
    </row>
    <row r="174" spans="1:17" x14ac:dyDescent="0.2">
      <c r="A174" t="s">
        <v>2839</v>
      </c>
      <c r="B174"/>
      <c r="C174" s="3">
        <v>4</v>
      </c>
      <c r="D174" s="3">
        <v>9.8995108695652174</v>
      </c>
      <c r="E174" s="3">
        <v>5.1790000000000003</v>
      </c>
      <c r="F174" s="3">
        <v>19.81304347826087</v>
      </c>
      <c r="G174" s="3">
        <v>6.7594597674887202</v>
      </c>
      <c r="H174" s="3">
        <v>16</v>
      </c>
      <c r="I174" s="3">
        <v>11.873325197282607</v>
      </c>
      <c r="J174" s="3">
        <v>3.1583665999999999</v>
      </c>
      <c r="K174" s="3">
        <v>24.8</v>
      </c>
      <c r="L174" s="3">
        <v>5.663275464099641</v>
      </c>
      <c r="M174" s="3">
        <v>18</v>
      </c>
      <c r="N174" s="3">
        <v>11.672222373429952</v>
      </c>
      <c r="O174" s="3">
        <v>3.1583665999999999</v>
      </c>
      <c r="P174" s="3">
        <v>24.8</v>
      </c>
      <c r="Q174" s="3">
        <v>5.5179092388064559</v>
      </c>
    </row>
    <row r="175" spans="1:17" x14ac:dyDescent="0.2">
      <c r="A175" t="s">
        <v>1110</v>
      </c>
      <c r="B175" t="s">
        <v>1194</v>
      </c>
      <c r="C175" s="3">
        <v>1</v>
      </c>
      <c r="D175" s="3">
        <v>22.9</v>
      </c>
      <c r="E175" s="3">
        <v>22.9</v>
      </c>
      <c r="F175" s="3">
        <v>22.9</v>
      </c>
      <c r="H175" s="3">
        <v>0</v>
      </c>
      <c r="J175" s="3">
        <v>0</v>
      </c>
      <c r="K175" s="3">
        <v>0</v>
      </c>
      <c r="L175" s="3"/>
      <c r="M175" s="3">
        <v>2</v>
      </c>
      <c r="N175" s="3">
        <v>38.700000000000003</v>
      </c>
      <c r="O175" s="3">
        <v>36.700000000000003</v>
      </c>
      <c r="P175" s="3">
        <v>40.700000000000003</v>
      </c>
      <c r="Q175" s="3">
        <v>2.8284271247461099</v>
      </c>
    </row>
    <row r="176" spans="1:17" x14ac:dyDescent="0.2">
      <c r="B176" t="s">
        <v>1117</v>
      </c>
      <c r="C176" s="3">
        <v>0</v>
      </c>
      <c r="E176" s="3">
        <v>0</v>
      </c>
      <c r="F176" s="3">
        <v>0</v>
      </c>
      <c r="H176" s="3">
        <v>0</v>
      </c>
      <c r="J176" s="3">
        <v>0</v>
      </c>
      <c r="K176" s="3">
        <v>0</v>
      </c>
      <c r="L176" s="3"/>
      <c r="M176" s="3">
        <v>2</v>
      </c>
      <c r="N176" s="3">
        <v>46.2</v>
      </c>
      <c r="O176" s="3">
        <v>34</v>
      </c>
      <c r="P176" s="3">
        <v>58.4</v>
      </c>
      <c r="Q176" s="3">
        <v>17.253405460951743</v>
      </c>
    </row>
    <row r="177" spans="2:17" x14ac:dyDescent="0.2">
      <c r="B177" t="s">
        <v>1434</v>
      </c>
      <c r="C177" s="3">
        <v>0</v>
      </c>
      <c r="E177" s="3">
        <v>0</v>
      </c>
      <c r="F177" s="3">
        <v>0</v>
      </c>
      <c r="H177" s="3">
        <v>0</v>
      </c>
      <c r="J177" s="3">
        <v>0</v>
      </c>
      <c r="K177" s="3">
        <v>0</v>
      </c>
      <c r="L177" s="3"/>
      <c r="M177" s="3"/>
      <c r="N177" s="3"/>
      <c r="O177" s="3"/>
      <c r="P177" s="3"/>
      <c r="Q177" s="3"/>
    </row>
    <row r="178" spans="2:17" x14ac:dyDescent="0.2">
      <c r="B178" t="s">
        <v>1908</v>
      </c>
      <c r="C178" s="3">
        <v>1</v>
      </c>
      <c r="D178" s="3">
        <v>0</v>
      </c>
      <c r="E178" s="3">
        <v>0</v>
      </c>
      <c r="F178" s="3">
        <v>0</v>
      </c>
      <c r="H178" s="3">
        <v>0</v>
      </c>
      <c r="J178" s="3">
        <v>0</v>
      </c>
      <c r="K178" s="3">
        <v>0</v>
      </c>
      <c r="L178" s="3"/>
      <c r="M178" s="3"/>
      <c r="N178" s="3"/>
      <c r="O178" s="3"/>
      <c r="P178" s="3"/>
      <c r="Q178" s="3"/>
    </row>
    <row r="179" spans="2:17" x14ac:dyDescent="0.2">
      <c r="B179" t="s">
        <v>3051</v>
      </c>
      <c r="C179" s="3">
        <v>4</v>
      </c>
      <c r="D179" s="3">
        <v>86.121886109000002</v>
      </c>
      <c r="E179" s="3">
        <v>23.449981136000002</v>
      </c>
      <c r="F179" s="3">
        <v>246.3932897</v>
      </c>
      <c r="G179" s="3">
        <v>107.36616934726111</v>
      </c>
      <c r="H179" s="3">
        <v>0</v>
      </c>
      <c r="J179" s="3">
        <v>0</v>
      </c>
      <c r="K179" s="3">
        <v>0</v>
      </c>
      <c r="L179" s="3"/>
      <c r="M179" s="3"/>
      <c r="N179" s="3"/>
      <c r="O179" s="3"/>
      <c r="P179" s="3"/>
      <c r="Q179" s="3"/>
    </row>
    <row r="180" spans="2:17" x14ac:dyDescent="0.2">
      <c r="B180" t="s">
        <v>3050</v>
      </c>
      <c r="C180" s="3">
        <v>0</v>
      </c>
      <c r="E180" s="3">
        <v>0</v>
      </c>
      <c r="F180" s="3">
        <v>0</v>
      </c>
      <c r="H180" s="3">
        <v>3</v>
      </c>
      <c r="I180" s="3">
        <v>3.7453566333333335</v>
      </c>
      <c r="J180" s="3">
        <v>3.6062574000000001</v>
      </c>
      <c r="K180" s="3">
        <v>3.9887606999999998</v>
      </c>
      <c r="L180" s="3">
        <v>0.21151079717178042</v>
      </c>
      <c r="M180" s="3">
        <v>3</v>
      </c>
      <c r="N180" s="3">
        <v>3.7453566333333335</v>
      </c>
      <c r="O180" s="3">
        <v>3.6062574000000001</v>
      </c>
      <c r="P180" s="3">
        <v>3.9887606999999998</v>
      </c>
      <c r="Q180" s="3">
        <v>0.21151079717178042</v>
      </c>
    </row>
    <row r="181" spans="2:17" x14ac:dyDescent="0.2">
      <c r="B181" t="s">
        <v>3293</v>
      </c>
      <c r="C181" s="3">
        <v>0</v>
      </c>
      <c r="E181" s="3">
        <v>0</v>
      </c>
      <c r="F181" s="3">
        <v>0</v>
      </c>
      <c r="H181" s="3">
        <v>0</v>
      </c>
      <c r="J181" s="3">
        <v>0</v>
      </c>
      <c r="K181" s="3">
        <v>0</v>
      </c>
      <c r="L181" s="3"/>
      <c r="M181" s="3"/>
      <c r="N181" s="3"/>
      <c r="O181" s="3"/>
      <c r="P181" s="3"/>
      <c r="Q181" s="3"/>
    </row>
    <row r="182" spans="2:17" x14ac:dyDescent="0.2">
      <c r="B182" t="s">
        <v>1356</v>
      </c>
      <c r="C182" s="3">
        <v>0</v>
      </c>
      <c r="E182" s="3">
        <v>0</v>
      </c>
      <c r="F182" s="3">
        <v>0</v>
      </c>
      <c r="H182" s="3">
        <v>0</v>
      </c>
      <c r="J182" s="3">
        <v>0</v>
      </c>
      <c r="K182" s="3">
        <v>0</v>
      </c>
      <c r="L182" s="3"/>
      <c r="M182" s="3"/>
      <c r="N182" s="3"/>
      <c r="O182" s="3"/>
      <c r="P182" s="3"/>
      <c r="Q182" s="3"/>
    </row>
    <row r="183" spans="2:17" x14ac:dyDescent="0.2">
      <c r="B183" t="s">
        <v>1347</v>
      </c>
      <c r="C183" s="3">
        <v>0</v>
      </c>
      <c r="E183" s="3">
        <v>0</v>
      </c>
      <c r="F183" s="3">
        <v>0</v>
      </c>
      <c r="H183" s="3">
        <v>0</v>
      </c>
      <c r="J183" s="3">
        <v>0</v>
      </c>
      <c r="K183" s="3">
        <v>0</v>
      </c>
      <c r="L183" s="3"/>
      <c r="M183" s="3"/>
      <c r="N183" s="3"/>
      <c r="O183" s="3"/>
      <c r="P183" s="3"/>
      <c r="Q183" s="3"/>
    </row>
    <row r="184" spans="2:17" x14ac:dyDescent="0.2">
      <c r="B184" t="s">
        <v>1188</v>
      </c>
      <c r="C184" s="3">
        <v>0</v>
      </c>
      <c r="E184" s="3">
        <v>0</v>
      </c>
      <c r="F184" s="3">
        <v>0</v>
      </c>
      <c r="H184" s="3">
        <v>0</v>
      </c>
      <c r="J184" s="3">
        <v>0</v>
      </c>
      <c r="K184" s="3">
        <v>0</v>
      </c>
      <c r="L184" s="3"/>
      <c r="M184" s="3"/>
      <c r="N184" s="3"/>
      <c r="O184" s="3"/>
      <c r="P184" s="3"/>
      <c r="Q184" s="3"/>
    </row>
    <row r="185" spans="2:17" x14ac:dyDescent="0.2">
      <c r="B185" t="s">
        <v>1491</v>
      </c>
      <c r="C185" s="3">
        <v>0</v>
      </c>
      <c r="E185" s="3">
        <v>0</v>
      </c>
      <c r="F185" s="3">
        <v>0</v>
      </c>
      <c r="H185" s="3">
        <v>0</v>
      </c>
      <c r="J185" s="3">
        <v>0</v>
      </c>
      <c r="K185" s="3">
        <v>0</v>
      </c>
      <c r="L185" s="3"/>
      <c r="M185" s="3">
        <v>1</v>
      </c>
      <c r="N185" s="3">
        <v>675</v>
      </c>
      <c r="O185" s="3">
        <v>675</v>
      </c>
      <c r="P185" s="3">
        <v>675</v>
      </c>
      <c r="Q185" s="3"/>
    </row>
    <row r="186" spans="2:17" x14ac:dyDescent="0.2">
      <c r="B186" t="s">
        <v>1487</v>
      </c>
      <c r="C186" s="3">
        <v>0</v>
      </c>
      <c r="E186" s="3">
        <v>0</v>
      </c>
      <c r="F186" s="3">
        <v>0</v>
      </c>
      <c r="H186" s="3">
        <v>0</v>
      </c>
      <c r="J186" s="3">
        <v>0</v>
      </c>
      <c r="K186" s="3">
        <v>0</v>
      </c>
      <c r="L186" s="3"/>
      <c r="M186" s="3">
        <v>1</v>
      </c>
      <c r="N186" s="3">
        <v>1086</v>
      </c>
      <c r="O186" s="3">
        <v>1086</v>
      </c>
      <c r="P186" s="3">
        <v>1086</v>
      </c>
      <c r="Q186" s="3"/>
    </row>
    <row r="187" spans="2:17" x14ac:dyDescent="0.2">
      <c r="B187" t="s">
        <v>1998</v>
      </c>
      <c r="C187" s="3">
        <v>0</v>
      </c>
      <c r="E187" s="3">
        <v>0</v>
      </c>
      <c r="F187" s="3">
        <v>0</v>
      </c>
      <c r="H187" s="3">
        <v>0</v>
      </c>
      <c r="J187" s="3">
        <v>0</v>
      </c>
      <c r="K187" s="3">
        <v>0</v>
      </c>
      <c r="L187" s="3"/>
      <c r="M187" s="3"/>
      <c r="N187" s="3"/>
      <c r="O187" s="3"/>
      <c r="P187" s="3"/>
      <c r="Q187" s="3"/>
    </row>
    <row r="188" spans="2:17" x14ac:dyDescent="0.2">
      <c r="B188" t="s">
        <v>3063</v>
      </c>
      <c r="C188" s="3">
        <v>0</v>
      </c>
      <c r="E188" s="3">
        <v>0</v>
      </c>
      <c r="F188" s="3">
        <v>0</v>
      </c>
      <c r="H188" s="3">
        <v>0</v>
      </c>
      <c r="J188" s="3">
        <v>0</v>
      </c>
      <c r="K188" s="3">
        <v>0</v>
      </c>
      <c r="L188" s="3"/>
      <c r="M188" s="3"/>
      <c r="N188" s="3"/>
      <c r="O188" s="3"/>
      <c r="P188" s="3"/>
      <c r="Q188" s="3"/>
    </row>
    <row r="189" spans="2:17" x14ac:dyDescent="0.2">
      <c r="B189" t="s">
        <v>3419</v>
      </c>
      <c r="C189" s="3">
        <v>0</v>
      </c>
      <c r="E189" s="3">
        <v>0</v>
      </c>
      <c r="F189" s="3">
        <v>0</v>
      </c>
      <c r="H189" s="3">
        <v>0</v>
      </c>
      <c r="J189" s="3">
        <v>0</v>
      </c>
      <c r="K189" s="3">
        <v>0</v>
      </c>
      <c r="L189" s="3"/>
      <c r="M189" s="3"/>
      <c r="N189" s="3"/>
      <c r="O189" s="3"/>
      <c r="P189" s="3"/>
      <c r="Q189" s="3"/>
    </row>
    <row r="190" spans="2:17" x14ac:dyDescent="0.2">
      <c r="B190" t="s">
        <v>2954</v>
      </c>
      <c r="C190" s="3">
        <v>0</v>
      </c>
      <c r="E190" s="3">
        <v>0</v>
      </c>
      <c r="F190" s="3">
        <v>0</v>
      </c>
      <c r="H190" s="3">
        <v>0</v>
      </c>
      <c r="J190" s="3">
        <v>0</v>
      </c>
      <c r="K190" s="3">
        <v>0</v>
      </c>
      <c r="L190" s="3"/>
      <c r="M190" s="3"/>
      <c r="N190" s="3"/>
      <c r="O190" s="3"/>
      <c r="P190" s="3"/>
      <c r="Q190" s="3"/>
    </row>
    <row r="191" spans="2:17" x14ac:dyDescent="0.2">
      <c r="B191" t="s">
        <v>2157</v>
      </c>
      <c r="C191" s="3">
        <v>0</v>
      </c>
      <c r="E191" s="3">
        <v>0</v>
      </c>
      <c r="F191" s="3">
        <v>0</v>
      </c>
      <c r="H191" s="3">
        <v>0</v>
      </c>
      <c r="J191" s="3">
        <v>0</v>
      </c>
      <c r="K191" s="3">
        <v>0</v>
      </c>
      <c r="L191" s="3"/>
      <c r="M191" s="3"/>
      <c r="N191" s="3"/>
      <c r="O191" s="3"/>
      <c r="P191" s="3"/>
      <c r="Q191" s="3"/>
    </row>
    <row r="192" spans="2:17" x14ac:dyDescent="0.2">
      <c r="B192" t="s">
        <v>2198</v>
      </c>
      <c r="C192" s="3">
        <v>1</v>
      </c>
      <c r="D192" s="3">
        <v>5.5</v>
      </c>
      <c r="E192" s="3">
        <v>5.5</v>
      </c>
      <c r="F192" s="3">
        <v>5.5</v>
      </c>
      <c r="H192" s="3">
        <v>1</v>
      </c>
      <c r="I192" s="3">
        <v>19.75</v>
      </c>
      <c r="J192" s="3">
        <v>19.75</v>
      </c>
      <c r="K192" s="3">
        <v>19.75</v>
      </c>
      <c r="L192" s="3"/>
      <c r="M192" s="3">
        <v>1</v>
      </c>
      <c r="N192" s="3">
        <v>22.75</v>
      </c>
      <c r="O192" s="3">
        <v>22.75</v>
      </c>
      <c r="P192" s="3">
        <v>22.75</v>
      </c>
      <c r="Q192" s="3"/>
    </row>
    <row r="193" spans="1:17" x14ac:dyDescent="0.2">
      <c r="A193" t="s">
        <v>2840</v>
      </c>
      <c r="B193"/>
      <c r="C193" s="3">
        <v>7</v>
      </c>
      <c r="D193" s="3">
        <v>53.269649205142855</v>
      </c>
      <c r="E193" s="3">
        <v>0</v>
      </c>
      <c r="F193" s="3">
        <v>246.3932897</v>
      </c>
      <c r="G193" s="3">
        <v>86.546202828053708</v>
      </c>
      <c r="H193" s="3">
        <v>4</v>
      </c>
      <c r="I193" s="3">
        <v>7.7465174750000001</v>
      </c>
      <c r="J193" s="3">
        <v>3.6062574000000001</v>
      </c>
      <c r="K193" s="3">
        <v>19.75</v>
      </c>
      <c r="L193" s="3">
        <v>8.004184959658728</v>
      </c>
      <c r="M193" s="3">
        <v>10</v>
      </c>
      <c r="N193" s="3">
        <v>196.47860699</v>
      </c>
      <c r="O193" s="3">
        <v>3.6062574000000001</v>
      </c>
      <c r="P193" s="3">
        <v>1086</v>
      </c>
      <c r="Q193" s="3">
        <v>373.73672328930792</v>
      </c>
    </row>
    <row r="194" spans="1:17" x14ac:dyDescent="0.2">
      <c r="A194" t="s">
        <v>587</v>
      </c>
      <c r="B194" t="s">
        <v>2955</v>
      </c>
      <c r="C194" s="3">
        <v>0</v>
      </c>
      <c r="E194" s="3">
        <v>0</v>
      </c>
      <c r="F194" s="3">
        <v>0</v>
      </c>
      <c r="H194" s="3">
        <v>4</v>
      </c>
      <c r="I194" s="3">
        <v>4.5742357</v>
      </c>
      <c r="J194" s="3">
        <v>3.7005972000000003</v>
      </c>
      <c r="K194" s="3">
        <v>5.132009</v>
      </c>
      <c r="L194" s="3">
        <v>0.6368808101531177</v>
      </c>
      <c r="M194" s="3">
        <v>4</v>
      </c>
      <c r="N194" s="3">
        <v>4.5742357</v>
      </c>
      <c r="O194" s="3">
        <v>3.7005972000000003</v>
      </c>
      <c r="P194" s="3">
        <v>5.132009</v>
      </c>
      <c r="Q194" s="3">
        <v>0.6368808101531177</v>
      </c>
    </row>
    <row r="195" spans="1:17" x14ac:dyDescent="0.2">
      <c r="B195" t="s">
        <v>2981</v>
      </c>
      <c r="C195" s="3">
        <v>0</v>
      </c>
      <c r="E195" s="3">
        <v>0</v>
      </c>
      <c r="F195" s="3">
        <v>0</v>
      </c>
      <c r="H195" s="3">
        <v>4</v>
      </c>
      <c r="I195" s="3">
        <v>3.4758499999999999</v>
      </c>
      <c r="J195" s="3">
        <v>2.9346000000000001</v>
      </c>
      <c r="K195" s="3">
        <v>3.7627999999999999</v>
      </c>
      <c r="L195" s="3">
        <v>0.37754739658308933</v>
      </c>
      <c r="M195" s="3">
        <v>4</v>
      </c>
      <c r="N195" s="3">
        <v>3.4758499999999999</v>
      </c>
      <c r="O195" s="3">
        <v>2.9346000000000001</v>
      </c>
      <c r="P195" s="3">
        <v>3.7627999999999999</v>
      </c>
      <c r="Q195" s="3">
        <v>0.37754739658308933</v>
      </c>
    </row>
    <row r="196" spans="1:17" x14ac:dyDescent="0.2">
      <c r="B196" t="s">
        <v>588</v>
      </c>
      <c r="C196" s="3">
        <v>0</v>
      </c>
      <c r="E196" s="3">
        <v>0</v>
      </c>
      <c r="F196" s="3">
        <v>0</v>
      </c>
      <c r="H196" s="3">
        <v>2</v>
      </c>
      <c r="I196" s="3">
        <v>3.4499999999999997</v>
      </c>
      <c r="J196" s="3">
        <v>1.3</v>
      </c>
      <c r="K196" s="3">
        <v>5.6</v>
      </c>
      <c r="L196" s="3">
        <v>3.0405591591021546</v>
      </c>
      <c r="M196" s="3">
        <v>2</v>
      </c>
      <c r="N196" s="3">
        <v>3.4499999999999997</v>
      </c>
      <c r="O196" s="3">
        <v>1.3</v>
      </c>
      <c r="P196" s="3">
        <v>5.6</v>
      </c>
      <c r="Q196" s="3">
        <v>3.0405591591021546</v>
      </c>
    </row>
    <row r="197" spans="1:17" x14ac:dyDescent="0.2">
      <c r="B197" t="s">
        <v>2068</v>
      </c>
      <c r="C197" s="3">
        <v>0</v>
      </c>
      <c r="E197" s="3">
        <v>0</v>
      </c>
      <c r="F197" s="3">
        <v>0</v>
      </c>
      <c r="H197" s="3">
        <v>1</v>
      </c>
      <c r="I197" s="3">
        <v>69.364547771906771</v>
      </c>
      <c r="J197" s="3">
        <v>69.364547771906771</v>
      </c>
      <c r="K197" s="3">
        <v>69.364547771906771</v>
      </c>
      <c r="L197" s="3"/>
      <c r="M197" s="3"/>
      <c r="N197" s="3"/>
      <c r="O197" s="3"/>
      <c r="P197" s="3"/>
      <c r="Q197" s="3"/>
    </row>
    <row r="198" spans="1:17" x14ac:dyDescent="0.2">
      <c r="B198" t="s">
        <v>2285</v>
      </c>
      <c r="C198" s="3">
        <v>0</v>
      </c>
      <c r="E198" s="3">
        <v>0</v>
      </c>
      <c r="F198" s="3">
        <v>0</v>
      </c>
      <c r="H198" s="3">
        <v>1</v>
      </c>
      <c r="I198" s="3">
        <v>5.0787000000000004</v>
      </c>
      <c r="J198" s="3">
        <v>5.0787000000000004</v>
      </c>
      <c r="K198" s="3">
        <v>5.0787000000000004</v>
      </c>
      <c r="L198" s="3"/>
      <c r="M198" s="3">
        <v>1</v>
      </c>
      <c r="N198" s="3">
        <v>5.0787000000000004</v>
      </c>
      <c r="O198" s="3">
        <v>5.0787000000000004</v>
      </c>
      <c r="P198" s="3">
        <v>5.0787000000000004</v>
      </c>
      <c r="Q198" s="3"/>
    </row>
    <row r="199" spans="1:17" x14ac:dyDescent="0.2">
      <c r="B199" t="s">
        <v>2287</v>
      </c>
      <c r="C199" s="3">
        <v>1</v>
      </c>
      <c r="D199" s="3">
        <v>3.5960999999999999</v>
      </c>
      <c r="E199" s="3">
        <v>3.5960999999999999</v>
      </c>
      <c r="F199" s="3">
        <v>3.5960999999999999</v>
      </c>
      <c r="H199" s="3">
        <v>2</v>
      </c>
      <c r="I199" s="3">
        <v>5.1456238000000001</v>
      </c>
      <c r="J199" s="3">
        <v>3.5160999999999998</v>
      </c>
      <c r="K199" s="3">
        <v>6.7751476000000004</v>
      </c>
      <c r="L199" s="3">
        <v>2.3044946581697427</v>
      </c>
      <c r="M199" s="3">
        <v>2</v>
      </c>
      <c r="N199" s="3">
        <v>5.1563238</v>
      </c>
      <c r="O199" s="3">
        <v>3.5375000000000001</v>
      </c>
      <c r="P199" s="3">
        <v>6.7751476000000004</v>
      </c>
      <c r="Q199" s="3">
        <v>2.2893625730523519</v>
      </c>
    </row>
    <row r="200" spans="1:17" x14ac:dyDescent="0.2">
      <c r="A200" t="s">
        <v>2841</v>
      </c>
      <c r="B200"/>
      <c r="C200" s="3">
        <v>1</v>
      </c>
      <c r="D200" s="3">
        <v>3.5960999999999999</v>
      </c>
      <c r="E200" s="3">
        <v>3.5960999999999999</v>
      </c>
      <c r="F200" s="3">
        <v>3.5960999999999999</v>
      </c>
      <c r="H200" s="3">
        <v>14</v>
      </c>
      <c r="I200" s="3">
        <v>8.8453455837076262</v>
      </c>
      <c r="J200" s="3">
        <v>1.3</v>
      </c>
      <c r="K200" s="3">
        <v>69.364547771906771</v>
      </c>
      <c r="L200" s="3">
        <v>17.468328408482023</v>
      </c>
      <c r="M200" s="3">
        <v>13</v>
      </c>
      <c r="N200" s="3">
        <v>4.1916684923076923</v>
      </c>
      <c r="O200" s="3">
        <v>1.3</v>
      </c>
      <c r="P200" s="3">
        <v>6.7751476000000004</v>
      </c>
      <c r="Q200" s="3">
        <v>1.3697251140028686</v>
      </c>
    </row>
    <row r="201" spans="1:17" x14ac:dyDescent="0.2">
      <c r="A201" t="s">
        <v>162</v>
      </c>
      <c r="B201" t="s">
        <v>1755</v>
      </c>
      <c r="C201" s="3">
        <v>1</v>
      </c>
      <c r="D201" s="3">
        <v>6.77</v>
      </c>
      <c r="E201" s="3">
        <v>6.77</v>
      </c>
      <c r="F201" s="3">
        <v>6.77</v>
      </c>
      <c r="H201" s="3">
        <v>0</v>
      </c>
      <c r="J201" s="3">
        <v>0</v>
      </c>
      <c r="K201" s="3">
        <v>0</v>
      </c>
      <c r="L201" s="3"/>
      <c r="M201" s="3"/>
      <c r="N201" s="3"/>
      <c r="O201" s="3"/>
      <c r="P201" s="3"/>
      <c r="Q201" s="3"/>
    </row>
    <row r="202" spans="1:17" x14ac:dyDescent="0.2">
      <c r="B202" t="s">
        <v>827</v>
      </c>
      <c r="C202" s="3">
        <v>4</v>
      </c>
      <c r="D202" s="3">
        <v>10.677703924999999</v>
      </c>
      <c r="E202" s="3">
        <v>7.9089621000000001</v>
      </c>
      <c r="F202" s="3">
        <v>17.929449999999999</v>
      </c>
      <c r="G202" s="3">
        <v>4.8554523094787436</v>
      </c>
      <c r="H202" s="3">
        <v>0</v>
      </c>
      <c r="J202" s="3">
        <v>0</v>
      </c>
      <c r="K202" s="3">
        <v>0</v>
      </c>
      <c r="L202" s="3"/>
      <c r="M202" s="3"/>
      <c r="N202" s="3"/>
      <c r="O202" s="3"/>
      <c r="P202" s="3"/>
      <c r="Q202" s="3"/>
    </row>
    <row r="203" spans="1:17" x14ac:dyDescent="0.2">
      <c r="B203" t="s">
        <v>4061</v>
      </c>
      <c r="C203" s="3">
        <v>0</v>
      </c>
      <c r="E203" s="3">
        <v>0</v>
      </c>
      <c r="F203" s="3">
        <v>0</v>
      </c>
      <c r="H203" s="3">
        <v>0</v>
      </c>
      <c r="J203" s="3">
        <v>0</v>
      </c>
      <c r="K203" s="3">
        <v>0</v>
      </c>
      <c r="L203" s="3"/>
      <c r="M203" s="3"/>
      <c r="N203" s="3"/>
      <c r="O203" s="3"/>
      <c r="P203" s="3"/>
      <c r="Q203" s="3"/>
    </row>
    <row r="204" spans="1:17" x14ac:dyDescent="0.2">
      <c r="B204" t="s">
        <v>1805</v>
      </c>
      <c r="C204" s="3">
        <v>2</v>
      </c>
      <c r="D204" s="3">
        <v>5.0749999999999993</v>
      </c>
      <c r="E204" s="3">
        <v>4.05</v>
      </c>
      <c r="F204" s="3">
        <v>6.1</v>
      </c>
      <c r="G204" s="3">
        <v>1.4495689014324273</v>
      </c>
      <c r="H204" s="3">
        <v>2</v>
      </c>
      <c r="I204" s="3">
        <v>6.9749999999999996</v>
      </c>
      <c r="J204" s="3">
        <v>6.85</v>
      </c>
      <c r="K204" s="3">
        <v>7.1</v>
      </c>
      <c r="L204" s="3">
        <v>0.17677669529659668</v>
      </c>
      <c r="M204" s="3">
        <v>2</v>
      </c>
      <c r="N204" s="3">
        <v>24.615385</v>
      </c>
      <c r="O204" s="3">
        <v>20.828399999999998</v>
      </c>
      <c r="P204" s="3">
        <v>28.402370000000001</v>
      </c>
      <c r="Q204" s="3">
        <v>5.3556055475034752</v>
      </c>
    </row>
    <row r="205" spans="1:17" x14ac:dyDescent="0.2">
      <c r="B205" t="s">
        <v>4058</v>
      </c>
      <c r="C205" s="3">
        <v>2</v>
      </c>
      <c r="D205" s="3">
        <v>0.8</v>
      </c>
      <c r="E205" s="3">
        <v>0.5</v>
      </c>
      <c r="F205" s="3">
        <v>1.1000000000000001</v>
      </c>
      <c r="G205" s="3">
        <v>0.42426406871192845</v>
      </c>
      <c r="H205" s="3">
        <v>0</v>
      </c>
      <c r="J205" s="3">
        <v>0</v>
      </c>
      <c r="K205" s="3">
        <v>0</v>
      </c>
      <c r="L205" s="3"/>
      <c r="M205" s="3">
        <v>2</v>
      </c>
      <c r="N205" s="3">
        <v>157.63315</v>
      </c>
      <c r="O205" s="3">
        <v>157.15979999999999</v>
      </c>
      <c r="P205" s="3">
        <v>158.10650000000001</v>
      </c>
      <c r="Q205" s="3">
        <v>0.6694179897481799</v>
      </c>
    </row>
    <row r="206" spans="1:17" x14ac:dyDescent="0.2">
      <c r="B206" t="s">
        <v>1822</v>
      </c>
      <c r="C206" s="3">
        <v>1</v>
      </c>
      <c r="D206" s="3">
        <v>1.1000000000000001</v>
      </c>
      <c r="E206" s="3">
        <v>1.1000000000000001</v>
      </c>
      <c r="F206" s="3">
        <v>1.1000000000000001</v>
      </c>
      <c r="H206" s="3">
        <v>0</v>
      </c>
      <c r="J206" s="3">
        <v>0</v>
      </c>
      <c r="K206" s="3">
        <v>0</v>
      </c>
      <c r="L206" s="3"/>
      <c r="M206" s="3"/>
      <c r="N206" s="3"/>
      <c r="O206" s="3"/>
      <c r="P206" s="3"/>
      <c r="Q206" s="3"/>
    </row>
    <row r="207" spans="1:17" x14ac:dyDescent="0.2">
      <c r="B207" t="s">
        <v>771</v>
      </c>
      <c r="C207" s="3">
        <v>13</v>
      </c>
      <c r="D207" s="3">
        <v>4.290666562237762</v>
      </c>
      <c r="E207" s="3">
        <v>1.6081475999999999</v>
      </c>
      <c r="F207" s="3">
        <v>7.5</v>
      </c>
      <c r="G207" s="3">
        <v>1.8641381933984171</v>
      </c>
      <c r="H207" s="3">
        <v>11</v>
      </c>
      <c r="I207" s="3">
        <v>7.3390330578512391</v>
      </c>
      <c r="J207" s="3">
        <v>4.452</v>
      </c>
      <c r="K207" s="3">
        <v>12.212727272727271</v>
      </c>
      <c r="L207" s="3">
        <v>2.6373986470746664</v>
      </c>
      <c r="M207" s="3">
        <v>11</v>
      </c>
      <c r="N207" s="3">
        <v>26.541194545454541</v>
      </c>
      <c r="O207" s="3">
        <v>16.866</v>
      </c>
      <c r="P207" s="3">
        <v>46.9</v>
      </c>
      <c r="Q207" s="3">
        <v>9.5043101836050496</v>
      </c>
    </row>
    <row r="208" spans="1:17" x14ac:dyDescent="0.2">
      <c r="B208" t="s">
        <v>1853</v>
      </c>
      <c r="C208" s="3">
        <v>1</v>
      </c>
      <c r="D208" s="3">
        <v>1.1000000000000001</v>
      </c>
      <c r="E208" s="3">
        <v>1.1000000000000001</v>
      </c>
      <c r="F208" s="3">
        <v>1.1000000000000001</v>
      </c>
      <c r="H208" s="3">
        <v>0</v>
      </c>
      <c r="J208" s="3">
        <v>0</v>
      </c>
      <c r="K208" s="3">
        <v>0</v>
      </c>
      <c r="L208" s="3"/>
      <c r="M208" s="3"/>
      <c r="N208" s="3"/>
      <c r="O208" s="3"/>
      <c r="P208" s="3"/>
      <c r="Q208" s="3"/>
    </row>
    <row r="209" spans="2:17" x14ac:dyDescent="0.2">
      <c r="B209" t="s">
        <v>3819</v>
      </c>
      <c r="C209" s="3">
        <v>0</v>
      </c>
      <c r="E209" s="3">
        <v>0</v>
      </c>
      <c r="F209" s="3">
        <v>0</v>
      </c>
      <c r="H209" s="3">
        <v>0</v>
      </c>
      <c r="J209" s="3">
        <v>0</v>
      </c>
      <c r="K209" s="3">
        <v>0</v>
      </c>
      <c r="L209" s="3"/>
      <c r="M209" s="3"/>
      <c r="N209" s="3"/>
      <c r="O209" s="3"/>
      <c r="P209" s="3"/>
      <c r="Q209" s="3"/>
    </row>
    <row r="210" spans="2:17" x14ac:dyDescent="0.2">
      <c r="B210" t="s">
        <v>1864</v>
      </c>
      <c r="C210" s="3">
        <v>5</v>
      </c>
      <c r="D210" s="3">
        <v>1.1838000000000002</v>
      </c>
      <c r="E210" s="3">
        <v>0.223</v>
      </c>
      <c r="F210" s="3">
        <v>1.81</v>
      </c>
      <c r="G210" s="3">
        <v>0.63805814782040027</v>
      </c>
      <c r="H210" s="3">
        <v>0</v>
      </c>
      <c r="J210" s="3">
        <v>0</v>
      </c>
      <c r="K210" s="3">
        <v>0</v>
      </c>
      <c r="L210" s="3"/>
      <c r="M210" s="3">
        <v>5</v>
      </c>
      <c r="N210" s="3">
        <v>2.7218</v>
      </c>
      <c r="O210" s="3">
        <v>1.33</v>
      </c>
      <c r="P210" s="3">
        <v>4.0760000000000005</v>
      </c>
      <c r="Q210" s="3">
        <v>1.1623197494665574</v>
      </c>
    </row>
    <row r="211" spans="2:17" x14ac:dyDescent="0.2">
      <c r="B211" t="s">
        <v>3511</v>
      </c>
      <c r="C211" s="3">
        <v>1</v>
      </c>
      <c r="D211" s="3">
        <v>0.59000000000000008</v>
      </c>
      <c r="E211" s="3">
        <v>0.59000000000000008</v>
      </c>
      <c r="F211" s="3">
        <v>0.59000000000000008</v>
      </c>
      <c r="H211" s="3">
        <v>1</v>
      </c>
      <c r="I211" s="3">
        <v>6.8900000000000006</v>
      </c>
      <c r="J211" s="3">
        <v>6.8900000000000006</v>
      </c>
      <c r="K211" s="3">
        <v>6.8900000000000006</v>
      </c>
      <c r="L211" s="3"/>
      <c r="M211" s="3">
        <v>1</v>
      </c>
      <c r="N211" s="3">
        <v>7.5600000000000005</v>
      </c>
      <c r="O211" s="3">
        <v>7.5600000000000005</v>
      </c>
      <c r="P211" s="3">
        <v>7.5600000000000005</v>
      </c>
      <c r="Q211" s="3"/>
    </row>
    <row r="212" spans="2:17" x14ac:dyDescent="0.2">
      <c r="B212" t="s">
        <v>1868</v>
      </c>
      <c r="C212" s="3">
        <v>1</v>
      </c>
      <c r="D212" s="3">
        <v>0.625</v>
      </c>
      <c r="E212" s="3">
        <v>0.625</v>
      </c>
      <c r="F212" s="3">
        <v>0.625</v>
      </c>
      <c r="H212" s="3">
        <v>0</v>
      </c>
      <c r="J212" s="3">
        <v>0</v>
      </c>
      <c r="K212" s="3">
        <v>0</v>
      </c>
      <c r="L212" s="3"/>
      <c r="M212" s="3"/>
      <c r="N212" s="3"/>
      <c r="O212" s="3"/>
      <c r="P212" s="3"/>
      <c r="Q212" s="3"/>
    </row>
    <row r="213" spans="2:17" x14ac:dyDescent="0.2">
      <c r="B213" t="s">
        <v>875</v>
      </c>
      <c r="C213" s="3">
        <v>2</v>
      </c>
      <c r="D213" s="3">
        <v>1.7202541499999999</v>
      </c>
      <c r="E213" s="3">
        <v>1.4390966999999999</v>
      </c>
      <c r="F213" s="3">
        <v>2.0014116</v>
      </c>
      <c r="G213" s="3">
        <v>0.39761667895223496</v>
      </c>
      <c r="H213" s="3">
        <v>0</v>
      </c>
      <c r="J213" s="3">
        <v>0</v>
      </c>
      <c r="K213" s="3">
        <v>0</v>
      </c>
      <c r="L213" s="3"/>
      <c r="M213" s="3"/>
      <c r="N213" s="3"/>
      <c r="O213" s="3"/>
      <c r="P213" s="3"/>
      <c r="Q213" s="3"/>
    </row>
    <row r="214" spans="2:17" x14ac:dyDescent="0.2">
      <c r="B214" t="s">
        <v>1872</v>
      </c>
      <c r="C214" s="3">
        <v>1</v>
      </c>
      <c r="D214" s="3">
        <v>5.2511022999999994</v>
      </c>
      <c r="E214" s="3">
        <v>5.2511022999999994</v>
      </c>
      <c r="F214" s="3">
        <v>5.2511022999999994</v>
      </c>
      <c r="H214" s="3">
        <v>0</v>
      </c>
      <c r="J214" s="3">
        <v>0</v>
      </c>
      <c r="K214" s="3">
        <v>0</v>
      </c>
      <c r="L214" s="3"/>
      <c r="M214" s="3"/>
      <c r="N214" s="3"/>
      <c r="O214" s="3"/>
      <c r="P214" s="3"/>
      <c r="Q214" s="3"/>
    </row>
    <row r="215" spans="2:17" x14ac:dyDescent="0.2">
      <c r="B215" t="s">
        <v>2991</v>
      </c>
      <c r="C215" s="3">
        <v>2</v>
      </c>
      <c r="D215" s="3">
        <v>0.15440000000000001</v>
      </c>
      <c r="E215" s="3">
        <v>0.14480000000000001</v>
      </c>
      <c r="F215" s="3">
        <v>0.16400000000000001</v>
      </c>
      <c r="G215" s="3">
        <v>1.3576450198781776E-2</v>
      </c>
      <c r="H215" s="3">
        <v>0</v>
      </c>
      <c r="J215" s="3">
        <v>0</v>
      </c>
      <c r="K215" s="3">
        <v>0</v>
      </c>
      <c r="L215" s="3"/>
      <c r="M215" s="3"/>
      <c r="N215" s="3"/>
      <c r="O215" s="3"/>
      <c r="P215" s="3"/>
      <c r="Q215" s="3"/>
    </row>
    <row r="216" spans="2:17" x14ac:dyDescent="0.2">
      <c r="B216" t="s">
        <v>2904</v>
      </c>
      <c r="C216" s="3">
        <v>1</v>
      </c>
      <c r="D216" s="3">
        <v>8.24</v>
      </c>
      <c r="E216" s="3">
        <v>8.24</v>
      </c>
      <c r="F216" s="3">
        <v>8.24</v>
      </c>
      <c r="H216" s="3">
        <v>0</v>
      </c>
      <c r="J216" s="3">
        <v>0</v>
      </c>
      <c r="K216" s="3">
        <v>0</v>
      </c>
      <c r="L216" s="3"/>
      <c r="M216" s="3"/>
      <c r="N216" s="3"/>
      <c r="O216" s="3"/>
      <c r="P216" s="3"/>
      <c r="Q216" s="3"/>
    </row>
    <row r="217" spans="2:17" x14ac:dyDescent="0.2">
      <c r="B217" t="s">
        <v>1946</v>
      </c>
      <c r="C217" s="3">
        <v>4</v>
      </c>
      <c r="D217" s="3">
        <v>2.3892946543425002</v>
      </c>
      <c r="E217" s="3">
        <v>1.8887313091</v>
      </c>
      <c r="F217" s="3">
        <v>2.6657383942699999</v>
      </c>
      <c r="G217" s="3">
        <v>0.34327258394537385</v>
      </c>
      <c r="H217" s="3">
        <v>0</v>
      </c>
      <c r="J217" s="3">
        <v>0</v>
      </c>
      <c r="K217" s="3">
        <v>0</v>
      </c>
      <c r="L217" s="3"/>
      <c r="M217" s="3"/>
      <c r="N217" s="3"/>
      <c r="O217" s="3"/>
      <c r="P217" s="3"/>
      <c r="Q217" s="3"/>
    </row>
    <row r="218" spans="2:17" x14ac:dyDescent="0.2">
      <c r="B218" t="s">
        <v>845</v>
      </c>
      <c r="C218" s="3">
        <v>1</v>
      </c>
      <c r="D218" s="3">
        <v>0.84</v>
      </c>
      <c r="E218" s="3">
        <v>0.84</v>
      </c>
      <c r="F218" s="3">
        <v>0.84</v>
      </c>
      <c r="H218" s="3">
        <v>0</v>
      </c>
      <c r="J218" s="3">
        <v>0</v>
      </c>
      <c r="K218" s="3">
        <v>0</v>
      </c>
      <c r="L218" s="3"/>
      <c r="M218" s="3"/>
      <c r="N218" s="3"/>
      <c r="O218" s="3"/>
      <c r="P218" s="3"/>
      <c r="Q218" s="3"/>
    </row>
    <row r="219" spans="2:17" x14ac:dyDescent="0.2">
      <c r="B219" t="s">
        <v>4059</v>
      </c>
      <c r="C219" s="3">
        <v>0</v>
      </c>
      <c r="E219" s="3">
        <v>0</v>
      </c>
      <c r="F219" s="3">
        <v>0</v>
      </c>
      <c r="H219" s="3">
        <v>0</v>
      </c>
      <c r="J219" s="3">
        <v>0</v>
      </c>
      <c r="K219" s="3">
        <v>0</v>
      </c>
      <c r="L219" s="3"/>
      <c r="M219" s="3"/>
      <c r="N219" s="3"/>
      <c r="O219" s="3"/>
      <c r="P219" s="3"/>
      <c r="Q219" s="3"/>
    </row>
    <row r="220" spans="2:17" x14ac:dyDescent="0.2">
      <c r="B220" t="s">
        <v>884</v>
      </c>
      <c r="C220" s="3">
        <v>0</v>
      </c>
      <c r="E220" s="3">
        <v>0</v>
      </c>
      <c r="F220" s="3">
        <v>0</v>
      </c>
      <c r="H220" s="3">
        <v>0</v>
      </c>
      <c r="J220" s="3">
        <v>0</v>
      </c>
      <c r="K220" s="3">
        <v>0</v>
      </c>
      <c r="L220" s="3"/>
      <c r="M220" s="3"/>
      <c r="N220" s="3"/>
      <c r="O220" s="3"/>
      <c r="P220" s="3"/>
      <c r="Q220" s="3"/>
    </row>
    <row r="221" spans="2:17" x14ac:dyDescent="0.2">
      <c r="B221" t="s">
        <v>659</v>
      </c>
      <c r="C221" s="3">
        <v>3</v>
      </c>
      <c r="D221" s="3">
        <v>1.06</v>
      </c>
      <c r="E221" s="3">
        <v>0.74</v>
      </c>
      <c r="F221" s="3">
        <v>1.29</v>
      </c>
      <c r="G221" s="3">
        <v>0.28583211855912843</v>
      </c>
      <c r="H221" s="3">
        <v>0</v>
      </c>
      <c r="J221" s="3">
        <v>0</v>
      </c>
      <c r="K221" s="3">
        <v>0</v>
      </c>
      <c r="L221" s="3"/>
      <c r="M221" s="3"/>
      <c r="N221" s="3"/>
      <c r="O221" s="3"/>
      <c r="P221" s="3"/>
      <c r="Q221" s="3"/>
    </row>
    <row r="222" spans="2:17" x14ac:dyDescent="0.2">
      <c r="B222" t="s">
        <v>4057</v>
      </c>
      <c r="C222" s="3">
        <v>1</v>
      </c>
      <c r="D222" s="3">
        <v>5.22</v>
      </c>
      <c r="E222" s="3">
        <v>5.22</v>
      </c>
      <c r="F222" s="3">
        <v>5.22</v>
      </c>
      <c r="H222" s="3">
        <v>0</v>
      </c>
      <c r="J222" s="3">
        <v>0</v>
      </c>
      <c r="K222" s="3">
        <v>0</v>
      </c>
      <c r="L222" s="3"/>
      <c r="M222" s="3"/>
      <c r="N222" s="3"/>
      <c r="O222" s="3"/>
      <c r="P222" s="3"/>
      <c r="Q222" s="3"/>
    </row>
    <row r="223" spans="2:17" x14ac:dyDescent="0.2">
      <c r="B223" t="s">
        <v>887</v>
      </c>
      <c r="C223" s="3">
        <v>0</v>
      </c>
      <c r="E223" s="3">
        <v>0</v>
      </c>
      <c r="F223" s="3">
        <v>0</v>
      </c>
      <c r="H223" s="3">
        <v>0</v>
      </c>
      <c r="J223" s="3">
        <v>0</v>
      </c>
      <c r="K223" s="3">
        <v>0</v>
      </c>
      <c r="L223" s="3"/>
      <c r="M223" s="3"/>
      <c r="N223" s="3"/>
      <c r="O223" s="3"/>
      <c r="P223" s="3"/>
      <c r="Q223" s="3"/>
    </row>
    <row r="224" spans="2:17" x14ac:dyDescent="0.2">
      <c r="B224" t="s">
        <v>1976</v>
      </c>
      <c r="C224" s="3">
        <v>0</v>
      </c>
      <c r="E224" s="3">
        <v>0</v>
      </c>
      <c r="F224" s="3">
        <v>0</v>
      </c>
      <c r="H224" s="3">
        <v>0</v>
      </c>
      <c r="J224" s="3">
        <v>0</v>
      </c>
      <c r="K224" s="3">
        <v>0</v>
      </c>
      <c r="L224" s="3"/>
      <c r="M224" s="3"/>
      <c r="N224" s="3"/>
      <c r="O224" s="3"/>
      <c r="P224" s="3"/>
      <c r="Q224" s="3"/>
    </row>
    <row r="225" spans="2:17" x14ac:dyDescent="0.2">
      <c r="B225" t="s">
        <v>1995</v>
      </c>
      <c r="C225" s="3">
        <v>0</v>
      </c>
      <c r="E225" s="3">
        <v>0</v>
      </c>
      <c r="F225" s="3">
        <v>0</v>
      </c>
      <c r="H225" s="3">
        <v>0</v>
      </c>
      <c r="J225" s="3">
        <v>0</v>
      </c>
      <c r="K225" s="3">
        <v>0</v>
      </c>
      <c r="L225" s="3"/>
      <c r="M225" s="3"/>
      <c r="N225" s="3"/>
      <c r="O225" s="3"/>
      <c r="P225" s="3"/>
      <c r="Q225" s="3"/>
    </row>
    <row r="226" spans="2:17" x14ac:dyDescent="0.2">
      <c r="B226" t="s">
        <v>2460</v>
      </c>
      <c r="C226" s="3">
        <v>2</v>
      </c>
      <c r="D226" s="3">
        <v>0.46234780499999995</v>
      </c>
      <c r="E226" s="3">
        <v>0.35823792999999998</v>
      </c>
      <c r="F226" s="3">
        <v>0.56645767999999996</v>
      </c>
      <c r="G226" s="3">
        <v>0.14723359720196788</v>
      </c>
      <c r="H226" s="3">
        <v>0</v>
      </c>
      <c r="J226" s="3">
        <v>0</v>
      </c>
      <c r="K226" s="3">
        <v>0</v>
      </c>
      <c r="L226" s="3"/>
      <c r="M226" s="3"/>
      <c r="N226" s="3"/>
      <c r="O226" s="3"/>
      <c r="P226" s="3"/>
      <c r="Q226" s="3"/>
    </row>
    <row r="227" spans="2:17" x14ac:dyDescent="0.2">
      <c r="B227" t="s">
        <v>868</v>
      </c>
      <c r="C227" s="3">
        <v>0</v>
      </c>
      <c r="E227" s="3">
        <v>0</v>
      </c>
      <c r="F227" s="3">
        <v>0</v>
      </c>
      <c r="H227" s="3">
        <v>0</v>
      </c>
      <c r="J227" s="3">
        <v>0</v>
      </c>
      <c r="K227" s="3">
        <v>0</v>
      </c>
      <c r="L227" s="3"/>
      <c r="M227" s="3"/>
      <c r="N227" s="3"/>
      <c r="O227" s="3"/>
      <c r="P227" s="3"/>
      <c r="Q227" s="3"/>
    </row>
    <row r="228" spans="2:17" x14ac:dyDescent="0.2">
      <c r="B228" t="s">
        <v>3754</v>
      </c>
      <c r="C228" s="3">
        <v>1</v>
      </c>
      <c r="D228" s="3">
        <v>64.099999999999994</v>
      </c>
      <c r="E228" s="3">
        <v>64.099999999999994</v>
      </c>
      <c r="F228" s="3">
        <v>64.099999999999994</v>
      </c>
      <c r="H228" s="3">
        <v>1</v>
      </c>
      <c r="I228" s="3">
        <v>65.75</v>
      </c>
      <c r="J228" s="3">
        <v>65.75</v>
      </c>
      <c r="K228" s="3">
        <v>65.75</v>
      </c>
      <c r="L228" s="3"/>
      <c r="M228" s="3">
        <v>1</v>
      </c>
      <c r="N228" s="3">
        <v>68</v>
      </c>
      <c r="O228" s="3">
        <v>68</v>
      </c>
      <c r="P228" s="3">
        <v>68</v>
      </c>
      <c r="Q228" s="3"/>
    </row>
    <row r="229" spans="2:17" x14ac:dyDescent="0.2">
      <c r="B229" t="s">
        <v>2949</v>
      </c>
      <c r="C229" s="3">
        <v>1</v>
      </c>
      <c r="D229" s="3">
        <v>1.9850391699999999</v>
      </c>
      <c r="E229" s="3">
        <v>1.9850391699999999</v>
      </c>
      <c r="F229" s="3">
        <v>1.9850391699999999</v>
      </c>
      <c r="H229" s="3">
        <v>0</v>
      </c>
      <c r="J229" s="3">
        <v>0</v>
      </c>
      <c r="K229" s="3">
        <v>0</v>
      </c>
      <c r="L229" s="3"/>
      <c r="M229" s="3"/>
      <c r="N229" s="3"/>
      <c r="O229" s="3"/>
      <c r="P229" s="3"/>
      <c r="Q229" s="3"/>
    </row>
    <row r="230" spans="2:17" x14ac:dyDescent="0.2">
      <c r="B230" t="s">
        <v>2057</v>
      </c>
      <c r="C230" s="3">
        <v>6</v>
      </c>
      <c r="D230" s="3">
        <v>3.1700000000000004</v>
      </c>
      <c r="E230" s="3">
        <v>1.3</v>
      </c>
      <c r="F230" s="3">
        <v>4.5999999999999996</v>
      </c>
      <c r="G230" s="3">
        <v>1.4415963373982315</v>
      </c>
      <c r="H230" s="3">
        <v>2</v>
      </c>
      <c r="I230" s="3">
        <v>4.6749999999999998</v>
      </c>
      <c r="J230" s="3">
        <v>4.45</v>
      </c>
      <c r="K230" s="3">
        <v>4.8999999999999995</v>
      </c>
      <c r="L230" s="3">
        <v>0.31819805153394681</v>
      </c>
      <c r="M230" s="3">
        <v>2</v>
      </c>
      <c r="N230" s="3">
        <v>8.4407250000000005</v>
      </c>
      <c r="O230" s="3">
        <v>6.52</v>
      </c>
      <c r="P230" s="3">
        <v>10.36145</v>
      </c>
      <c r="Q230" s="3">
        <v>2.7163153445890611</v>
      </c>
    </row>
    <row r="231" spans="2:17" x14ac:dyDescent="0.2">
      <c r="B231" t="s">
        <v>4062</v>
      </c>
      <c r="C231" s="3">
        <v>1</v>
      </c>
      <c r="D231" s="3">
        <v>0.5</v>
      </c>
      <c r="E231" s="3">
        <v>0.5</v>
      </c>
      <c r="F231" s="3">
        <v>0.5</v>
      </c>
      <c r="H231" s="3">
        <v>0</v>
      </c>
      <c r="J231" s="3">
        <v>0</v>
      </c>
      <c r="K231" s="3">
        <v>0</v>
      </c>
      <c r="L231" s="3"/>
      <c r="M231" s="3">
        <v>1</v>
      </c>
      <c r="N231" s="3">
        <v>148.01500000000001</v>
      </c>
      <c r="O231" s="3">
        <v>148.01500000000001</v>
      </c>
      <c r="P231" s="3">
        <v>148.01500000000001</v>
      </c>
      <c r="Q231" s="3"/>
    </row>
    <row r="232" spans="2:17" x14ac:dyDescent="0.2">
      <c r="B232" t="s">
        <v>736</v>
      </c>
      <c r="C232" s="3">
        <v>3</v>
      </c>
      <c r="D232" s="3">
        <v>4.8413399999999998</v>
      </c>
      <c r="E232" s="3">
        <v>4.3407419999999997</v>
      </c>
      <c r="F232" s="3">
        <v>5.2694879999999999</v>
      </c>
      <c r="G232" s="3">
        <v>0.46859261091484966</v>
      </c>
      <c r="H232" s="3">
        <v>0</v>
      </c>
      <c r="J232" s="3">
        <v>0</v>
      </c>
      <c r="K232" s="3">
        <v>0</v>
      </c>
      <c r="L232" s="3"/>
      <c r="M232" s="3"/>
      <c r="N232" s="3"/>
      <c r="O232" s="3"/>
      <c r="P232" s="3"/>
      <c r="Q232" s="3"/>
    </row>
    <row r="233" spans="2:17" x14ac:dyDescent="0.2">
      <c r="B233" t="s">
        <v>872</v>
      </c>
      <c r="C233" s="3">
        <v>2</v>
      </c>
      <c r="D233" s="3">
        <v>1.3105</v>
      </c>
      <c r="E233" s="3">
        <v>1.131</v>
      </c>
      <c r="F233" s="3">
        <v>1.49</v>
      </c>
      <c r="G233" s="3">
        <v>0.25385133444597036</v>
      </c>
      <c r="H233" s="3">
        <v>0</v>
      </c>
      <c r="J233" s="3">
        <v>0</v>
      </c>
      <c r="K233" s="3">
        <v>0</v>
      </c>
      <c r="L233" s="3"/>
      <c r="M233" s="3">
        <v>2</v>
      </c>
      <c r="N233" s="3">
        <v>2.4654999999999996</v>
      </c>
      <c r="O233" s="3">
        <v>1.911</v>
      </c>
      <c r="P233" s="3">
        <v>3.0199999999999996</v>
      </c>
      <c r="Q233" s="3">
        <v>0.78418142033588312</v>
      </c>
    </row>
    <row r="234" spans="2:17" x14ac:dyDescent="0.2">
      <c r="B234" t="s">
        <v>2447</v>
      </c>
      <c r="C234" s="3">
        <v>7</v>
      </c>
      <c r="D234" s="3">
        <v>2.5496782056285712</v>
      </c>
      <c r="E234" s="3">
        <v>0.96699999999999997</v>
      </c>
      <c r="F234" s="3">
        <v>5.6378573961000003</v>
      </c>
      <c r="G234" s="3">
        <v>1.6075250593394621</v>
      </c>
      <c r="H234" s="3">
        <v>0</v>
      </c>
      <c r="J234" s="3">
        <v>0</v>
      </c>
      <c r="K234" s="3">
        <v>0</v>
      </c>
      <c r="L234" s="3"/>
      <c r="M234" s="3"/>
      <c r="N234" s="3"/>
      <c r="O234" s="3"/>
      <c r="P234" s="3"/>
      <c r="Q234" s="3"/>
    </row>
    <row r="235" spans="2:17" x14ac:dyDescent="0.2">
      <c r="B235" t="s">
        <v>2134</v>
      </c>
      <c r="C235" s="3">
        <v>1</v>
      </c>
      <c r="D235" s="3">
        <v>3.5</v>
      </c>
      <c r="E235" s="3">
        <v>3.5</v>
      </c>
      <c r="F235" s="3">
        <v>3.5</v>
      </c>
      <c r="H235" s="3">
        <v>0</v>
      </c>
      <c r="J235" s="3">
        <v>0</v>
      </c>
      <c r="K235" s="3">
        <v>0</v>
      </c>
      <c r="L235" s="3"/>
      <c r="M235" s="3"/>
      <c r="N235" s="3"/>
      <c r="O235" s="3"/>
      <c r="P235" s="3"/>
      <c r="Q235" s="3"/>
    </row>
    <row r="236" spans="2:17" x14ac:dyDescent="0.2">
      <c r="B236" t="s">
        <v>2152</v>
      </c>
      <c r="C236" s="3">
        <v>1</v>
      </c>
      <c r="D236" s="3">
        <v>5.64</v>
      </c>
      <c r="E236" s="3">
        <v>5.64</v>
      </c>
      <c r="F236" s="3">
        <v>5.64</v>
      </c>
      <c r="H236" s="3">
        <v>0</v>
      </c>
      <c r="J236" s="3">
        <v>0</v>
      </c>
      <c r="K236" s="3">
        <v>0</v>
      </c>
      <c r="L236" s="3"/>
      <c r="M236" s="3"/>
      <c r="N236" s="3"/>
      <c r="O236" s="3"/>
      <c r="P236" s="3"/>
      <c r="Q236" s="3"/>
    </row>
    <row r="237" spans="2:17" x14ac:dyDescent="0.2">
      <c r="B237" t="s">
        <v>3963</v>
      </c>
      <c r="C237" s="3">
        <v>0</v>
      </c>
      <c r="E237" s="3">
        <v>0</v>
      </c>
      <c r="F237" s="3">
        <v>0</v>
      </c>
      <c r="H237" s="3">
        <v>0</v>
      </c>
      <c r="J237" s="3">
        <v>0</v>
      </c>
      <c r="K237" s="3">
        <v>0</v>
      </c>
      <c r="L237" s="3"/>
      <c r="M237" s="3">
        <v>1</v>
      </c>
      <c r="N237" s="3">
        <v>18</v>
      </c>
      <c r="O237" s="3">
        <v>18</v>
      </c>
      <c r="P237" s="3">
        <v>18</v>
      </c>
      <c r="Q237" s="3"/>
    </row>
    <row r="238" spans="2:17" x14ac:dyDescent="0.2">
      <c r="B238" t="s">
        <v>3815</v>
      </c>
      <c r="C238" s="3">
        <v>0</v>
      </c>
      <c r="E238" s="3">
        <v>0</v>
      </c>
      <c r="F238" s="3">
        <v>0</v>
      </c>
      <c r="H238" s="3">
        <v>0</v>
      </c>
      <c r="J238" s="3">
        <v>0</v>
      </c>
      <c r="K238" s="3">
        <v>0</v>
      </c>
      <c r="L238" s="3"/>
      <c r="M238" s="3"/>
      <c r="N238" s="3"/>
      <c r="O238" s="3"/>
      <c r="P238" s="3"/>
      <c r="Q238" s="3"/>
    </row>
    <row r="239" spans="2:17" x14ac:dyDescent="0.2">
      <c r="B239" t="s">
        <v>3061</v>
      </c>
      <c r="C239" s="3">
        <v>0</v>
      </c>
      <c r="E239" s="3">
        <v>0</v>
      </c>
      <c r="F239" s="3">
        <v>0</v>
      </c>
      <c r="H239" s="3">
        <v>2</v>
      </c>
      <c r="I239" s="3">
        <v>6.6309645499999998</v>
      </c>
      <c r="J239" s="3">
        <v>6.4781129000000002</v>
      </c>
      <c r="K239" s="3">
        <v>6.7838162000000004</v>
      </c>
      <c r="L239" s="3">
        <v>0.21616487646111129</v>
      </c>
      <c r="M239" s="3">
        <v>2</v>
      </c>
      <c r="N239" s="3">
        <v>6.6309645499999998</v>
      </c>
      <c r="O239" s="3">
        <v>6.4781129000000002</v>
      </c>
      <c r="P239" s="3">
        <v>6.7838162000000004</v>
      </c>
      <c r="Q239" s="3">
        <v>0.21616487646111129</v>
      </c>
    </row>
    <row r="240" spans="2:17" x14ac:dyDescent="0.2">
      <c r="B240" t="s">
        <v>2204</v>
      </c>
      <c r="C240" s="3">
        <v>0</v>
      </c>
      <c r="E240" s="3">
        <v>0</v>
      </c>
      <c r="F240" s="3">
        <v>0</v>
      </c>
      <c r="H240" s="3">
        <v>0</v>
      </c>
      <c r="J240" s="3">
        <v>0</v>
      </c>
      <c r="K240" s="3">
        <v>0</v>
      </c>
      <c r="L240" s="3"/>
      <c r="M240" s="3"/>
      <c r="N240" s="3"/>
      <c r="O240" s="3"/>
      <c r="P240" s="3"/>
      <c r="Q240" s="3"/>
    </row>
    <row r="241" spans="2:17" x14ac:dyDescent="0.2">
      <c r="B241" t="s">
        <v>2206</v>
      </c>
      <c r="C241" s="3">
        <v>8</v>
      </c>
      <c r="D241" s="3">
        <v>1.6112500000000001</v>
      </c>
      <c r="E241" s="3">
        <v>0.8</v>
      </c>
      <c r="F241" s="3">
        <v>2.69</v>
      </c>
      <c r="G241" s="3">
        <v>0.53279418433119463</v>
      </c>
      <c r="H241" s="3">
        <v>0</v>
      </c>
      <c r="J241" s="3">
        <v>0</v>
      </c>
      <c r="K241" s="3">
        <v>0</v>
      </c>
      <c r="L241" s="3"/>
      <c r="M241" s="3">
        <v>2</v>
      </c>
      <c r="N241" s="3">
        <v>6.65</v>
      </c>
      <c r="O241" s="3">
        <v>2.8</v>
      </c>
      <c r="P241" s="3">
        <v>10.5</v>
      </c>
      <c r="Q241" s="3">
        <v>5.4447222151364159</v>
      </c>
    </row>
    <row r="242" spans="2:17" x14ac:dyDescent="0.2">
      <c r="B242" t="s">
        <v>2845</v>
      </c>
      <c r="C242" s="3">
        <v>0</v>
      </c>
      <c r="E242" s="3">
        <v>0</v>
      </c>
      <c r="F242" s="3">
        <v>0</v>
      </c>
      <c r="H242" s="3">
        <v>0</v>
      </c>
      <c r="J242" s="3">
        <v>0</v>
      </c>
      <c r="K242" s="3">
        <v>0</v>
      </c>
      <c r="L242" s="3"/>
      <c r="M242" s="3"/>
      <c r="N242" s="3"/>
      <c r="O242" s="3"/>
      <c r="P242" s="3"/>
      <c r="Q242" s="3"/>
    </row>
    <row r="243" spans="2:17" x14ac:dyDescent="0.2">
      <c r="B243" t="s">
        <v>2746</v>
      </c>
      <c r="C243" s="3">
        <v>1</v>
      </c>
      <c r="D243" s="3">
        <v>1.92</v>
      </c>
      <c r="E243" s="3">
        <v>1.92</v>
      </c>
      <c r="F243" s="3">
        <v>1.92</v>
      </c>
      <c r="H243" s="3">
        <v>0</v>
      </c>
      <c r="J243" s="3">
        <v>0</v>
      </c>
      <c r="K243" s="3">
        <v>0</v>
      </c>
      <c r="L243" s="3"/>
      <c r="M243" s="3"/>
      <c r="N243" s="3"/>
      <c r="O243" s="3"/>
      <c r="P243" s="3"/>
      <c r="Q243" s="3"/>
    </row>
    <row r="244" spans="2:17" x14ac:dyDescent="0.2">
      <c r="B244" t="s">
        <v>892</v>
      </c>
      <c r="C244" s="3">
        <v>3</v>
      </c>
      <c r="D244" s="3">
        <v>1.5507451766666669</v>
      </c>
      <c r="E244" s="3">
        <v>0.54075452999999996</v>
      </c>
      <c r="F244" s="3">
        <v>3.33</v>
      </c>
      <c r="G244" s="3">
        <v>1.545573713255328</v>
      </c>
      <c r="H244" s="3">
        <v>0</v>
      </c>
      <c r="J244" s="3">
        <v>0</v>
      </c>
      <c r="K244" s="3">
        <v>0</v>
      </c>
      <c r="L244" s="3"/>
      <c r="M244" s="3"/>
      <c r="N244" s="3"/>
      <c r="O244" s="3"/>
      <c r="P244" s="3"/>
      <c r="Q244" s="3"/>
    </row>
    <row r="245" spans="2:17" x14ac:dyDescent="0.2">
      <c r="B245" t="s">
        <v>2359</v>
      </c>
      <c r="C245" s="3">
        <v>0</v>
      </c>
      <c r="E245" s="3">
        <v>0</v>
      </c>
      <c r="F245" s="3">
        <v>0</v>
      </c>
      <c r="H245" s="3">
        <v>0</v>
      </c>
      <c r="J245" s="3">
        <v>0</v>
      </c>
      <c r="K245" s="3">
        <v>0</v>
      </c>
      <c r="L245" s="3"/>
      <c r="M245" s="3"/>
      <c r="N245" s="3"/>
      <c r="O245" s="3"/>
      <c r="P245" s="3"/>
      <c r="Q245" s="3"/>
    </row>
    <row r="246" spans="2:17" x14ac:dyDescent="0.2">
      <c r="B246" t="s">
        <v>2935</v>
      </c>
      <c r="C246" s="3">
        <v>1</v>
      </c>
      <c r="D246" s="3">
        <v>0.96</v>
      </c>
      <c r="E246" s="3">
        <v>0.96</v>
      </c>
      <c r="F246" s="3">
        <v>0.96</v>
      </c>
      <c r="H246" s="3">
        <v>0</v>
      </c>
      <c r="J246" s="3">
        <v>0</v>
      </c>
      <c r="K246" s="3">
        <v>0</v>
      </c>
      <c r="L246" s="3"/>
      <c r="M246" s="3"/>
      <c r="N246" s="3"/>
      <c r="O246" s="3"/>
      <c r="P246" s="3"/>
      <c r="Q246" s="3"/>
    </row>
    <row r="247" spans="2:17" x14ac:dyDescent="0.2">
      <c r="B247" t="s">
        <v>3822</v>
      </c>
      <c r="C247" s="3">
        <v>0</v>
      </c>
      <c r="E247" s="3">
        <v>0</v>
      </c>
      <c r="F247" s="3">
        <v>0</v>
      </c>
      <c r="H247" s="3">
        <v>0</v>
      </c>
      <c r="J247" s="3">
        <v>0</v>
      </c>
      <c r="K247" s="3">
        <v>0</v>
      </c>
      <c r="L247" s="3"/>
      <c r="M247" s="3"/>
      <c r="N247" s="3"/>
      <c r="O247" s="3"/>
      <c r="P247" s="3"/>
      <c r="Q247" s="3"/>
    </row>
    <row r="248" spans="2:17" x14ac:dyDescent="0.2">
      <c r="B248" t="s">
        <v>2311</v>
      </c>
      <c r="C248" s="3">
        <v>7</v>
      </c>
      <c r="D248" s="3">
        <v>2.3902571428571426</v>
      </c>
      <c r="E248" s="3">
        <v>0.86899999999999999</v>
      </c>
      <c r="F248" s="3">
        <v>3.9775999999999998</v>
      </c>
      <c r="G248" s="3">
        <v>1.1507929655345519</v>
      </c>
      <c r="H248" s="3">
        <v>1</v>
      </c>
      <c r="I248" s="3">
        <v>1.0088000000000001</v>
      </c>
      <c r="J248" s="3">
        <v>1.0088000000000001</v>
      </c>
      <c r="K248" s="3">
        <v>1.0088000000000001</v>
      </c>
      <c r="L248" s="3"/>
      <c r="M248" s="3">
        <v>1</v>
      </c>
      <c r="N248" s="3">
        <v>2.4127999999999998</v>
      </c>
      <c r="O248" s="3">
        <v>2.4127999999999998</v>
      </c>
      <c r="P248" s="3">
        <v>2.4127999999999998</v>
      </c>
      <c r="Q248" s="3"/>
    </row>
    <row r="249" spans="2:17" x14ac:dyDescent="0.2">
      <c r="B249" t="s">
        <v>3073</v>
      </c>
      <c r="C249" s="3">
        <v>4</v>
      </c>
      <c r="D249" s="3">
        <v>4.62765</v>
      </c>
      <c r="E249" s="3">
        <v>0.93</v>
      </c>
      <c r="F249" s="3">
        <v>6.6340000000000003</v>
      </c>
      <c r="G249" s="3">
        <v>2.5250943012093634</v>
      </c>
      <c r="H249" s="3">
        <v>4</v>
      </c>
      <c r="I249" s="3">
        <v>7.8090999999999999</v>
      </c>
      <c r="J249" s="3">
        <v>1.1055999999999999</v>
      </c>
      <c r="K249" s="3">
        <v>11.824000000000002</v>
      </c>
      <c r="L249" s="3">
        <v>4.642937979340239</v>
      </c>
      <c r="M249" s="3">
        <v>6</v>
      </c>
      <c r="N249" s="3">
        <v>17.517483333333335</v>
      </c>
      <c r="O249" s="3">
        <v>9.36</v>
      </c>
      <c r="P249" s="3">
        <v>23.944400000000002</v>
      </c>
      <c r="Q249" s="3">
        <v>6.0093395488744576</v>
      </c>
    </row>
    <row r="250" spans="2:17" x14ac:dyDescent="0.2">
      <c r="B250" t="s">
        <v>4055</v>
      </c>
      <c r="C250" s="3">
        <v>6</v>
      </c>
      <c r="D250" s="3">
        <v>44.852046666666666</v>
      </c>
      <c r="E250" s="3">
        <v>22.352170000000001</v>
      </c>
      <c r="F250" s="3">
        <v>60.91</v>
      </c>
      <c r="G250" s="3">
        <v>14.662029064955053</v>
      </c>
      <c r="H250" s="3">
        <v>0</v>
      </c>
      <c r="J250" s="3">
        <v>0</v>
      </c>
      <c r="K250" s="3">
        <v>0</v>
      </c>
      <c r="L250" s="3"/>
      <c r="M250" s="3">
        <v>8</v>
      </c>
      <c r="N250" s="3">
        <v>43.521249999999995</v>
      </c>
      <c r="O250" s="3">
        <v>16.2</v>
      </c>
      <c r="P250" s="3">
        <v>63.6</v>
      </c>
      <c r="Q250" s="3">
        <v>17.432220117193506</v>
      </c>
    </row>
    <row r="251" spans="2:17" x14ac:dyDescent="0.2">
      <c r="B251" t="s">
        <v>2315</v>
      </c>
      <c r="C251" s="3">
        <v>1</v>
      </c>
      <c r="D251" s="3">
        <v>0.93</v>
      </c>
      <c r="E251" s="3">
        <v>0.93</v>
      </c>
      <c r="F251" s="3">
        <v>0.93</v>
      </c>
      <c r="H251" s="3">
        <v>1</v>
      </c>
      <c r="I251" s="3">
        <v>1.6705000000000001</v>
      </c>
      <c r="J251" s="3">
        <v>1.6705000000000001</v>
      </c>
      <c r="K251" s="3">
        <v>1.6705000000000001</v>
      </c>
      <c r="L251" s="3"/>
      <c r="M251" s="3">
        <v>1</v>
      </c>
      <c r="N251" s="3">
        <v>12.242599999999999</v>
      </c>
      <c r="O251" s="3">
        <v>12.242599999999999</v>
      </c>
      <c r="P251" s="3">
        <v>12.242599999999999</v>
      </c>
      <c r="Q251" s="3"/>
    </row>
    <row r="252" spans="2:17" x14ac:dyDescent="0.2">
      <c r="B252" t="s">
        <v>2316</v>
      </c>
      <c r="C252" s="3">
        <v>1</v>
      </c>
      <c r="D252" s="3">
        <v>0.93</v>
      </c>
      <c r="E252" s="3">
        <v>0.93</v>
      </c>
      <c r="F252" s="3">
        <v>0.93</v>
      </c>
      <c r="H252" s="3">
        <v>1</v>
      </c>
      <c r="I252" s="3">
        <v>1.4378</v>
      </c>
      <c r="J252" s="3">
        <v>1.4378</v>
      </c>
      <c r="K252" s="3">
        <v>1.4378</v>
      </c>
      <c r="L252" s="3"/>
      <c r="M252" s="3">
        <v>3</v>
      </c>
      <c r="N252" s="3">
        <v>14.916333333333334</v>
      </c>
      <c r="O252" s="3">
        <v>4.7489999999999997</v>
      </c>
      <c r="P252" s="3">
        <v>20.399999999999999</v>
      </c>
      <c r="Q252" s="3">
        <v>8.8142498451844045</v>
      </c>
    </row>
    <row r="253" spans="2:17" x14ac:dyDescent="0.2">
      <c r="B253" t="s">
        <v>3074</v>
      </c>
      <c r="C253" s="3">
        <v>4</v>
      </c>
      <c r="D253" s="3">
        <v>3.9947999999999997</v>
      </c>
      <c r="E253" s="3">
        <v>0.93</v>
      </c>
      <c r="F253" s="3">
        <v>5.2831999999999999</v>
      </c>
      <c r="G253" s="3">
        <v>2.0518911667045119</v>
      </c>
      <c r="H253" s="3">
        <v>4</v>
      </c>
      <c r="I253" s="3">
        <v>6.5811999999999999</v>
      </c>
      <c r="J253" s="3">
        <v>1.1055999999999999</v>
      </c>
      <c r="K253" s="3">
        <v>8.5332000000000008</v>
      </c>
      <c r="L253" s="3">
        <v>3.6515009626179751</v>
      </c>
      <c r="M253" s="3">
        <v>4</v>
      </c>
      <c r="N253" s="3">
        <v>18.015300000000003</v>
      </c>
      <c r="O253" s="3">
        <v>17.153600000000001</v>
      </c>
      <c r="P253" s="3">
        <v>18.5334</v>
      </c>
      <c r="Q253" s="3">
        <v>0.61245308935992215</v>
      </c>
    </row>
    <row r="254" spans="2:17" x14ac:dyDescent="0.2">
      <c r="B254" t="s">
        <v>2318</v>
      </c>
      <c r="C254" s="3">
        <v>8</v>
      </c>
      <c r="D254" s="3">
        <v>5.8059250000000002</v>
      </c>
      <c r="E254" s="3">
        <v>1.34</v>
      </c>
      <c r="F254" s="3">
        <v>7.1342999999999996</v>
      </c>
      <c r="G254" s="3">
        <v>1.9699316128448998</v>
      </c>
      <c r="H254" s="3">
        <v>8</v>
      </c>
      <c r="I254" s="3">
        <v>10.581235249999999</v>
      </c>
      <c r="J254" s="3">
        <v>3.9000000000000004</v>
      </c>
      <c r="K254" s="3">
        <v>12.8842</v>
      </c>
      <c r="L254" s="3">
        <v>3.1630868434178518</v>
      </c>
      <c r="M254" s="3">
        <v>8</v>
      </c>
      <c r="N254" s="3">
        <v>16.920601785714283</v>
      </c>
      <c r="O254" s="3">
        <v>13.785714285714286</v>
      </c>
      <c r="P254" s="3">
        <v>23.3247</v>
      </c>
      <c r="Q254" s="3">
        <v>3.5872977643666255</v>
      </c>
    </row>
    <row r="255" spans="2:17" x14ac:dyDescent="0.2">
      <c r="B255" t="s">
        <v>2332</v>
      </c>
      <c r="C255" s="3">
        <v>0</v>
      </c>
      <c r="E255" s="3">
        <v>0</v>
      </c>
      <c r="F255" s="3">
        <v>0</v>
      </c>
      <c r="H255" s="3">
        <v>0</v>
      </c>
      <c r="J255" s="3">
        <v>0</v>
      </c>
      <c r="K255" s="3">
        <v>0</v>
      </c>
      <c r="L255" s="3"/>
      <c r="M255" s="3"/>
      <c r="N255" s="3"/>
      <c r="O255" s="3"/>
      <c r="P255" s="3"/>
      <c r="Q255" s="3"/>
    </row>
    <row r="256" spans="2:17" x14ac:dyDescent="0.2">
      <c r="B256" t="s">
        <v>3297</v>
      </c>
      <c r="C256" s="3">
        <v>0</v>
      </c>
      <c r="E256" s="3">
        <v>0</v>
      </c>
      <c r="F256" s="3">
        <v>0</v>
      </c>
      <c r="H256" s="3">
        <v>0</v>
      </c>
      <c r="J256" s="3">
        <v>0</v>
      </c>
      <c r="K256" s="3">
        <v>0</v>
      </c>
      <c r="L256" s="3"/>
      <c r="M256" s="3"/>
      <c r="N256" s="3"/>
      <c r="O256" s="3"/>
      <c r="P256" s="3"/>
      <c r="Q256" s="3"/>
    </row>
    <row r="257" spans="1:17" x14ac:dyDescent="0.2">
      <c r="B257" t="s">
        <v>2356</v>
      </c>
      <c r="C257" s="3">
        <v>0</v>
      </c>
      <c r="E257" s="3">
        <v>0</v>
      </c>
      <c r="F257" s="3">
        <v>0</v>
      </c>
      <c r="H257" s="3">
        <v>0</v>
      </c>
      <c r="J257" s="3">
        <v>0</v>
      </c>
      <c r="K257" s="3">
        <v>0</v>
      </c>
      <c r="L257" s="3"/>
      <c r="M257" s="3"/>
      <c r="N257" s="3"/>
      <c r="O257" s="3"/>
      <c r="P257" s="3"/>
      <c r="Q257" s="3"/>
    </row>
    <row r="258" spans="1:17" x14ac:dyDescent="0.2">
      <c r="B258" t="s">
        <v>890</v>
      </c>
      <c r="C258" s="3">
        <v>1</v>
      </c>
      <c r="D258" s="3">
        <v>0.18415999999999999</v>
      </c>
      <c r="E258" s="3">
        <v>0.18415999999999999</v>
      </c>
      <c r="F258" s="3">
        <v>0.18415999999999999</v>
      </c>
      <c r="H258" s="3">
        <v>0</v>
      </c>
      <c r="J258" s="3">
        <v>0</v>
      </c>
      <c r="K258" s="3">
        <v>0</v>
      </c>
      <c r="L258" s="3"/>
      <c r="M258" s="3"/>
      <c r="N258" s="3"/>
      <c r="O258" s="3"/>
      <c r="P258" s="3"/>
      <c r="Q258" s="3"/>
    </row>
    <row r="259" spans="1:17" x14ac:dyDescent="0.2">
      <c r="B259" t="s">
        <v>3964</v>
      </c>
      <c r="C259" s="3">
        <v>0</v>
      </c>
      <c r="E259" s="3">
        <v>0</v>
      </c>
      <c r="F259" s="3">
        <v>0</v>
      </c>
      <c r="H259" s="3">
        <v>0</v>
      </c>
      <c r="J259" s="3">
        <v>0</v>
      </c>
      <c r="K259" s="3">
        <v>0</v>
      </c>
      <c r="L259" s="3"/>
      <c r="M259" s="3">
        <v>1</v>
      </c>
      <c r="N259" s="3">
        <v>29</v>
      </c>
      <c r="O259" s="3">
        <v>29</v>
      </c>
      <c r="P259" s="3">
        <v>29</v>
      </c>
      <c r="Q259" s="3"/>
    </row>
    <row r="260" spans="1:17" x14ac:dyDescent="0.2">
      <c r="A260" t="s">
        <v>2842</v>
      </c>
      <c r="B260"/>
      <c r="C260" s="3">
        <v>116</v>
      </c>
      <c r="D260" s="3">
        <v>5.8818211032401777</v>
      </c>
      <c r="E260" s="3">
        <v>0.14480000000000001</v>
      </c>
      <c r="F260" s="3">
        <v>64.099999999999994</v>
      </c>
      <c r="G260" s="3">
        <v>11.473744060450619</v>
      </c>
      <c r="H260" s="3">
        <v>38</v>
      </c>
      <c r="I260" s="3">
        <v>8.8489335456937805</v>
      </c>
      <c r="J260" s="3">
        <v>1.0088000000000001</v>
      </c>
      <c r="K260" s="3">
        <v>65.75</v>
      </c>
      <c r="L260" s="3">
        <v>10.10702425025074</v>
      </c>
      <c r="M260" s="3">
        <v>64</v>
      </c>
      <c r="N260" s="3">
        <v>26.704904740401783</v>
      </c>
      <c r="O260" s="3">
        <v>1.33</v>
      </c>
      <c r="P260" s="3">
        <v>158.10650000000001</v>
      </c>
      <c r="Q260" s="3">
        <v>32.385002062282254</v>
      </c>
    </row>
    <row r="261" spans="1:17" x14ac:dyDescent="0.2">
      <c r="A261" t="s">
        <v>2863</v>
      </c>
      <c r="B261" t="s">
        <v>2863</v>
      </c>
      <c r="J261" s="3"/>
      <c r="K261" s="3"/>
      <c r="L261" s="3"/>
      <c r="M261" s="3"/>
      <c r="N261" s="3"/>
      <c r="O261" s="3"/>
      <c r="P261" s="3"/>
      <c r="Q261" s="3"/>
    </row>
    <row r="262" spans="1:17" x14ac:dyDescent="0.2">
      <c r="A262" t="s">
        <v>2864</v>
      </c>
      <c r="B262"/>
      <c r="J262" s="3"/>
      <c r="K262" s="3"/>
      <c r="L262" s="3"/>
      <c r="M262" s="3"/>
      <c r="N262" s="3"/>
      <c r="O262" s="3"/>
      <c r="P262" s="3"/>
      <c r="Q262" s="3"/>
    </row>
    <row r="263" spans="1:17" x14ac:dyDescent="0.2">
      <c r="B263"/>
      <c r="C263"/>
      <c r="D263"/>
      <c r="E263"/>
      <c r="F263"/>
      <c r="G263"/>
      <c r="H263"/>
      <c r="I263"/>
    </row>
    <row r="264" spans="1:17" x14ac:dyDescent="0.2">
      <c r="B264"/>
      <c r="C264"/>
      <c r="D264"/>
      <c r="E264"/>
      <c r="F264"/>
      <c r="G264"/>
      <c r="H264"/>
      <c r="I264"/>
    </row>
    <row r="265" spans="1:17" x14ac:dyDescent="0.2">
      <c r="B265"/>
      <c r="C265"/>
      <c r="D265"/>
      <c r="E265"/>
      <c r="F265"/>
      <c r="G265"/>
      <c r="H265"/>
      <c r="I265"/>
    </row>
    <row r="266" spans="1:17" x14ac:dyDescent="0.2">
      <c r="B266"/>
      <c r="C266"/>
      <c r="D266"/>
      <c r="E266"/>
      <c r="F266"/>
      <c r="G266"/>
      <c r="H266"/>
      <c r="I266"/>
    </row>
    <row r="267" spans="1:17" x14ac:dyDescent="0.2">
      <c r="B267"/>
      <c r="C267"/>
      <c r="D267"/>
      <c r="E267"/>
      <c r="F267"/>
      <c r="G267"/>
      <c r="H267"/>
      <c r="I267"/>
    </row>
    <row r="268" spans="1:17" x14ac:dyDescent="0.2">
      <c r="B268"/>
      <c r="C268"/>
      <c r="D268"/>
      <c r="E268"/>
      <c r="F268"/>
      <c r="G268"/>
      <c r="H268"/>
      <c r="I268"/>
    </row>
    <row r="269" spans="1:17" x14ac:dyDescent="0.2">
      <c r="B269"/>
      <c r="C269"/>
      <c r="D269"/>
      <c r="E269"/>
      <c r="F269"/>
      <c r="G269"/>
      <c r="H269"/>
      <c r="I269"/>
    </row>
    <row r="270" spans="1:17" x14ac:dyDescent="0.2">
      <c r="B270"/>
      <c r="C270"/>
      <c r="D270"/>
      <c r="E270"/>
      <c r="F270"/>
      <c r="G270"/>
      <c r="H270"/>
      <c r="I270"/>
    </row>
    <row r="271" spans="1:17" x14ac:dyDescent="0.2">
      <c r="B271"/>
      <c r="C271"/>
      <c r="D271"/>
      <c r="E271"/>
      <c r="F271"/>
      <c r="G271"/>
      <c r="H271"/>
      <c r="I271"/>
    </row>
    <row r="272" spans="1:17" x14ac:dyDescent="0.2">
      <c r="B272"/>
      <c r="C272"/>
      <c r="D272"/>
      <c r="E272"/>
      <c r="F272"/>
      <c r="G272"/>
      <c r="H272"/>
      <c r="I272"/>
    </row>
    <row r="273" customFormat="1" x14ac:dyDescent="0.2"/>
    <row r="274" customFormat="1" x14ac:dyDescent="0.2"/>
  </sheetData>
  <mergeCells count="3">
    <mergeCell ref="C2:G2"/>
    <mergeCell ref="H2:L2"/>
    <mergeCell ref="M2:Q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I161"/>
  <sheetViews>
    <sheetView workbookViewId="0">
      <selection activeCell="O13" sqref="O13"/>
    </sheetView>
  </sheetViews>
  <sheetFormatPr baseColWidth="10" defaultColWidth="11" defaultRowHeight="16" x14ac:dyDescent="0.2"/>
  <cols>
    <col min="2" max="2" width="15.5" bestFit="1" customWidth="1"/>
  </cols>
  <sheetData>
    <row r="1" spans="1:9" ht="19" x14ac:dyDescent="0.25">
      <c r="A1" s="187" t="s">
        <v>4075</v>
      </c>
    </row>
    <row r="2" spans="1:9" ht="19" x14ac:dyDescent="0.25">
      <c r="A2" s="300" t="s">
        <v>4426</v>
      </c>
    </row>
    <row r="4" spans="1:9" ht="20" x14ac:dyDescent="0.2">
      <c r="A4" t="s">
        <v>2453</v>
      </c>
      <c r="B4" s="1" t="s">
        <v>1</v>
      </c>
      <c r="E4" t="s">
        <v>874</v>
      </c>
      <c r="F4" s="1" t="s">
        <v>1</v>
      </c>
      <c r="H4" s="78" t="s">
        <v>3353</v>
      </c>
      <c r="I4" s="1" t="s">
        <v>1</v>
      </c>
    </row>
    <row r="5" spans="1:9" x14ac:dyDescent="0.2">
      <c r="B5" t="str">
        <f>"=Blueberry"</f>
        <v>=Blueberry</v>
      </c>
      <c r="F5" s="78" t="str">
        <f>"=carrot"</f>
        <v>=carrot</v>
      </c>
      <c r="I5" s="115" t="str">
        <f>"=Broccoli"</f>
        <v>=Broccoli</v>
      </c>
    </row>
    <row r="6" spans="1:9" ht="20" x14ac:dyDescent="0.2">
      <c r="B6" t="str">
        <f>"=Raspberry"</f>
        <v>=Raspberry</v>
      </c>
      <c r="E6" t="s">
        <v>2744</v>
      </c>
      <c r="F6" s="1" t="s">
        <v>1</v>
      </c>
      <c r="I6" s="115" t="str">
        <f>"=Brussels sprouts"</f>
        <v>=Brussels sprouts</v>
      </c>
    </row>
    <row r="7" spans="1:9" x14ac:dyDescent="0.2">
      <c r="A7" s="115"/>
      <c r="B7" s="115" t="str">
        <f>"=Gooseberry"</f>
        <v>=Gooseberry</v>
      </c>
      <c r="F7" s="78" t="str">
        <f>"=cassava"</f>
        <v>=cassava</v>
      </c>
      <c r="I7" s="115" t="str">
        <f>"=Cabbage"</f>
        <v>=Cabbage</v>
      </c>
    </row>
    <row r="8" spans="1:9" ht="20" x14ac:dyDescent="0.2">
      <c r="A8" s="115"/>
      <c r="B8" s="115" t="str">
        <f>"=Huckleberry"</f>
        <v>=Huckleberry</v>
      </c>
      <c r="E8" t="s">
        <v>857</v>
      </c>
      <c r="F8" s="1" t="s">
        <v>1</v>
      </c>
      <c r="I8" s="115" t="str">
        <f>"=Cauliflower"</f>
        <v>=Cauliflower</v>
      </c>
    </row>
    <row r="9" spans="1:9" x14ac:dyDescent="0.2">
      <c r="A9" s="115"/>
      <c r="B9" s="115" t="str">
        <f>"=strawberry"</f>
        <v>=strawberry</v>
      </c>
      <c r="F9" s="78" t="str">
        <f>"=Potato, tuber, w/peel"</f>
        <v>=Potato, tuber, w/peel</v>
      </c>
      <c r="I9" s="115" t="str">
        <f>"=Kohlrabi"</f>
        <v>=Kohlrabi</v>
      </c>
    </row>
    <row r="10" spans="1:9" x14ac:dyDescent="0.2">
      <c r="A10" s="115"/>
      <c r="B10" s="115" t="str">
        <f>"=Mulberry"</f>
        <v>=Mulberry</v>
      </c>
      <c r="F10" s="78"/>
      <c r="I10" s="115" t="str">
        <f>"=Cabbage, Chinese, bok choy"</f>
        <v>=Cabbage, Chinese, bok choy</v>
      </c>
    </row>
    <row r="11" spans="1:9" ht="20" x14ac:dyDescent="0.2">
      <c r="B11" t="str">
        <f>"=blackberry"</f>
        <v>=blackberry</v>
      </c>
      <c r="E11" t="s">
        <v>4068</v>
      </c>
      <c r="F11" s="1" t="s">
        <v>1</v>
      </c>
      <c r="I11" s="115" t="str">
        <f>"=Collards"</f>
        <v>=Collards</v>
      </c>
    </row>
    <row r="12" spans="1:9" x14ac:dyDescent="0.2">
      <c r="A12" s="139"/>
      <c r="B12" s="139" t="str">
        <f>"=boysenberry"</f>
        <v>=boysenberry</v>
      </c>
      <c r="F12" s="78" t="str">
        <f>"=ginger"</f>
        <v>=ginger</v>
      </c>
      <c r="I12" s="115" t="str">
        <f>"=Kale"</f>
        <v>=Kale</v>
      </c>
    </row>
    <row r="13" spans="1:9" ht="20" x14ac:dyDescent="0.2">
      <c r="A13" s="115"/>
      <c r="B13" s="115" t="str">
        <f>"=Cranberry"</f>
        <v>=Cranberry</v>
      </c>
      <c r="E13" t="s">
        <v>4069</v>
      </c>
      <c r="F13" s="1" t="s">
        <v>1</v>
      </c>
      <c r="I13" s="115" t="str">
        <f>"=Mustard greens"</f>
        <v>=Mustard greens</v>
      </c>
    </row>
    <row r="14" spans="1:9" x14ac:dyDescent="0.2">
      <c r="F14" s="78" t="str">
        <f>"=endive"</f>
        <v>=endive</v>
      </c>
      <c r="I14" s="115" t="str">
        <f>"=Turnip, greens"</f>
        <v>=Turnip, greens</v>
      </c>
    </row>
    <row r="15" spans="1:9" ht="20" x14ac:dyDescent="0.2">
      <c r="A15" s="139" t="s">
        <v>1725</v>
      </c>
      <c r="B15" s="1" t="s">
        <v>1</v>
      </c>
      <c r="C15" s="78" t="s">
        <v>3280</v>
      </c>
      <c r="E15" t="s">
        <v>3271</v>
      </c>
      <c r="F15" s="1" t="s">
        <v>1</v>
      </c>
      <c r="I15" s="115" t="str">
        <f>"=Cabbage, Chinese, napa"</f>
        <v>=Cabbage, Chinese, napa</v>
      </c>
    </row>
    <row r="16" spans="1:9" x14ac:dyDescent="0.2">
      <c r="B16" s="139" t="str">
        <f>"=Clover, seed"</f>
        <v>=Clover, seed</v>
      </c>
      <c r="F16" s="78" t="str">
        <f>"=onion, bulb"</f>
        <v>=onion, bulb</v>
      </c>
      <c r="I16" s="115" t="str">
        <f>"=Cabbage, Chinese, mustard"</f>
        <v>=Cabbage, Chinese, mustard</v>
      </c>
    </row>
    <row r="17" spans="1:9" ht="20" x14ac:dyDescent="0.2">
      <c r="A17" s="62"/>
      <c r="B17" s="298"/>
      <c r="E17" t="s">
        <v>882</v>
      </c>
      <c r="F17" s="1" t="s">
        <v>1</v>
      </c>
      <c r="I17" s="115" t="str">
        <f>"=Radish, roots"</f>
        <v>=Radish, roots</v>
      </c>
    </row>
    <row r="18" spans="1:9" x14ac:dyDescent="0.2">
      <c r="F18" s="78" t="str">
        <f>"=broccoli"</f>
        <v>=broccoli</v>
      </c>
      <c r="I18" s="115" t="str">
        <f>"=Radish, Oriental, roots"</f>
        <v>=Radish, Oriental, roots</v>
      </c>
    </row>
    <row r="19" spans="1:9" ht="20" x14ac:dyDescent="0.2">
      <c r="A19" s="115" t="s">
        <v>2266</v>
      </c>
      <c r="B19" s="1" t="s">
        <v>1</v>
      </c>
      <c r="E19" t="s">
        <v>893</v>
      </c>
      <c r="F19" s="1" t="s">
        <v>1</v>
      </c>
      <c r="I19" s="115" t="str">
        <f>"=Rutabaga"</f>
        <v>=Rutabaga</v>
      </c>
    </row>
    <row r="20" spans="1:9" x14ac:dyDescent="0.2">
      <c r="B20" s="140" t="str">
        <f>"=soybean, meal"</f>
        <v>=soybean, meal</v>
      </c>
      <c r="F20" s="139" t="str">
        <f>"=spinach"</f>
        <v>=spinach</v>
      </c>
      <c r="I20" s="115" t="str">
        <f>"=Turnip, roots"</f>
        <v>=Turnip, roots</v>
      </c>
    </row>
    <row r="22" spans="1:9" ht="20" x14ac:dyDescent="0.2">
      <c r="A22" s="78" t="s">
        <v>2464</v>
      </c>
      <c r="B22" s="1" t="s">
        <v>1</v>
      </c>
      <c r="E22" s="115" t="s">
        <v>3272</v>
      </c>
      <c r="F22" s="1" t="s">
        <v>1</v>
      </c>
    </row>
    <row r="23" spans="1:9" ht="20" x14ac:dyDescent="0.2">
      <c r="B23" s="115" t="str">
        <f>"=Broccoli"</f>
        <v>=Broccoli</v>
      </c>
      <c r="C23" s="78"/>
      <c r="F23" t="str">
        <f>"=Bean, snap, succulent"</f>
        <v>=Bean, snap, succulent</v>
      </c>
      <c r="H23" t="s">
        <v>3355</v>
      </c>
      <c r="I23" s="1" t="s">
        <v>1</v>
      </c>
    </row>
    <row r="24" spans="1:9" ht="20" x14ac:dyDescent="0.2">
      <c r="B24" s="115" t="str">
        <f>"=Brussels sprouts"</f>
        <v>=Brussels sprouts</v>
      </c>
      <c r="C24" s="78"/>
      <c r="E24" t="s">
        <v>3273</v>
      </c>
      <c r="F24" s="1" t="s">
        <v>1</v>
      </c>
      <c r="I24" t="str">
        <f>"=Bean, broad, seed"</f>
        <v>=Bean, broad, seed</v>
      </c>
    </row>
    <row r="25" spans="1:9" x14ac:dyDescent="0.2">
      <c r="B25" s="115" t="str">
        <f>"=Cabbage"</f>
        <v>=Cabbage</v>
      </c>
      <c r="C25" s="78"/>
      <c r="F25" s="115" t="str">
        <f>"=Pea, pigeon, seed"</f>
        <v>=Pea, pigeon, seed</v>
      </c>
      <c r="I25" t="str">
        <f>"=Bean, brown"</f>
        <v>=Bean, brown</v>
      </c>
    </row>
    <row r="26" spans="1:9" ht="20" x14ac:dyDescent="0.2">
      <c r="B26" s="115" t="str">
        <f>"=Cauliflower"</f>
        <v>=Cauliflower</v>
      </c>
      <c r="C26" s="78"/>
      <c r="E26" s="78" t="s">
        <v>3270</v>
      </c>
      <c r="F26" s="1" t="s">
        <v>1</v>
      </c>
      <c r="I26" t="str">
        <f>"=Bean, cowpea, seed"</f>
        <v>=Bean, cowpea, seed</v>
      </c>
    </row>
    <row r="27" spans="1:9" x14ac:dyDescent="0.2">
      <c r="B27" s="115" t="str">
        <f>"=Kohlrabi"</f>
        <v>=Kohlrabi</v>
      </c>
      <c r="C27" s="78"/>
      <c r="F27" s="78" t="str">
        <f>"=Bean, dry"</f>
        <v>=Bean, dry</v>
      </c>
      <c r="I27" t="str">
        <f>"=Bean, dry"</f>
        <v>=Bean, dry</v>
      </c>
    </row>
    <row r="28" spans="1:9" ht="20" x14ac:dyDescent="0.2">
      <c r="A28" s="78" t="s">
        <v>2454</v>
      </c>
      <c r="B28" s="1" t="s">
        <v>1</v>
      </c>
      <c r="E28" s="78" t="s">
        <v>3274</v>
      </c>
      <c r="F28" s="1" t="s">
        <v>1</v>
      </c>
      <c r="I28" t="str">
        <f>"=Chickpea, seed"</f>
        <v>=Chickpea, seed</v>
      </c>
    </row>
    <row r="29" spans="1:9" x14ac:dyDescent="0.2">
      <c r="B29" s="115" t="str">
        <f>"=Cabbage, Chinese, bok choy"</f>
        <v>=Cabbage, Chinese, bok choy</v>
      </c>
      <c r="C29" s="78"/>
      <c r="F29" s="139" t="str">
        <f>"=lentil, seed"</f>
        <v>=lentil, seed</v>
      </c>
      <c r="I29" t="str">
        <f>"=lentil, seed"</f>
        <v>=lentil, seed</v>
      </c>
    </row>
    <row r="30" spans="1:9" ht="20" x14ac:dyDescent="0.2">
      <c r="B30" s="115" t="str">
        <f>"=Collards"</f>
        <v>=Collards</v>
      </c>
      <c r="C30" s="78"/>
      <c r="F30" s="1" t="s">
        <v>1</v>
      </c>
      <c r="I30" t="str">
        <f>"=Pea, dry"</f>
        <v>=Pea, dry</v>
      </c>
    </row>
    <row r="31" spans="1:9" x14ac:dyDescent="0.2">
      <c r="B31" s="115" t="str">
        <f>"=Kale"</f>
        <v>=Kale</v>
      </c>
      <c r="C31" s="78"/>
      <c r="F31" s="78" t="str">
        <f>"=tomato"</f>
        <v>=tomato</v>
      </c>
      <c r="I31" t="str">
        <f>"=Pea, pigeon, seed"</f>
        <v>=Pea, pigeon, seed</v>
      </c>
    </row>
    <row r="32" spans="1:9" x14ac:dyDescent="0.2">
      <c r="B32" s="115" t="str">
        <f>"=Mustard greens"</f>
        <v>=Mustard greens</v>
      </c>
      <c r="C32" s="78"/>
      <c r="F32" s="78"/>
      <c r="I32" t="str">
        <f>"=Soybean, seed"</f>
        <v>=Soybean, seed</v>
      </c>
    </row>
    <row r="33" spans="1:9" x14ac:dyDescent="0.2">
      <c r="B33" s="115" t="str">
        <f>"=Turnip, greens"</f>
        <v>=Turnip, greens</v>
      </c>
      <c r="C33" s="78"/>
    </row>
    <row r="34" spans="1:9" ht="20" x14ac:dyDescent="0.2">
      <c r="B34" s="115" t="str">
        <f>"=Cabbage, Chinese, napa"</f>
        <v>=Cabbage, Chinese, napa</v>
      </c>
      <c r="C34" s="78"/>
      <c r="E34" s="78" t="s">
        <v>3275</v>
      </c>
      <c r="F34" s="1" t="s">
        <v>1</v>
      </c>
      <c r="H34" t="s">
        <v>3356</v>
      </c>
      <c r="I34" s="1" t="s">
        <v>1</v>
      </c>
    </row>
    <row r="35" spans="1:9" x14ac:dyDescent="0.2">
      <c r="B35" s="115" t="str">
        <f>"=Cabbage, Chinese, mustard"</f>
        <v>=Cabbage, Chinese, mustard</v>
      </c>
      <c r="C35" s="78"/>
      <c r="F35" s="78" t="str">
        <f>"=tomato"</f>
        <v>=tomato</v>
      </c>
      <c r="I35" s="115" t="str">
        <f>"=Tomato, paste"</f>
        <v>=Tomato, paste</v>
      </c>
    </row>
    <row r="36" spans="1:9" ht="20" x14ac:dyDescent="0.2">
      <c r="A36" s="78" t="s">
        <v>2459</v>
      </c>
      <c r="B36" s="1" t="s">
        <v>1</v>
      </c>
      <c r="F36" s="78" t="str">
        <f>"=pepper_bell"</f>
        <v>=pepper_bell</v>
      </c>
      <c r="I36" s="115" t="str">
        <f>"=Tomato, puree"</f>
        <v>=Tomato, puree</v>
      </c>
    </row>
    <row r="37" spans="1:9" x14ac:dyDescent="0.2">
      <c r="B37" s="115" t="str">
        <f>"=Radish, roots"</f>
        <v>=Radish, roots</v>
      </c>
      <c r="C37" s="78"/>
      <c r="F37" s="139" t="str">
        <f>"=eggplant"</f>
        <v>=eggplant</v>
      </c>
      <c r="I37" s="115" t="str">
        <f>"=Tomato, dried"</f>
        <v>=Tomato, dried</v>
      </c>
    </row>
    <row r="38" spans="1:9" ht="20" x14ac:dyDescent="0.2">
      <c r="B38" s="115" t="str">
        <f>"=Radish, Oriental, roots"</f>
        <v>=Radish, Oriental, roots</v>
      </c>
      <c r="C38" s="78"/>
      <c r="E38" s="78" t="s">
        <v>3276</v>
      </c>
      <c r="F38" s="1" t="s">
        <v>1</v>
      </c>
      <c r="I38" s="115" t="str">
        <f>"=Tomato, juice"</f>
        <v>=Tomato, juice</v>
      </c>
    </row>
    <row r="39" spans="1:9" x14ac:dyDescent="0.2">
      <c r="B39" s="115" t="str">
        <f>"=Rutabaga"</f>
        <v>=Rutabaga</v>
      </c>
      <c r="C39" s="78"/>
      <c r="F39" s="139" t="str">
        <f>"=Pepper, bell"</f>
        <v>=Pepper, bell</v>
      </c>
    </row>
    <row r="40" spans="1:9" ht="20" x14ac:dyDescent="0.2">
      <c r="B40" s="115" t="str">
        <f>"=Turnip, roots"</f>
        <v>=Turnip, roots</v>
      </c>
      <c r="C40" s="78"/>
      <c r="E40" s="78" t="s">
        <v>862</v>
      </c>
      <c r="F40" s="1" t="s">
        <v>1</v>
      </c>
      <c r="H40" t="s">
        <v>3357</v>
      </c>
      <c r="I40" s="1" t="s">
        <v>1</v>
      </c>
    </row>
    <row r="41" spans="1:9" ht="20" x14ac:dyDescent="0.2">
      <c r="A41" s="78" t="s">
        <v>2458</v>
      </c>
      <c r="B41" s="1" t="s">
        <v>1</v>
      </c>
      <c r="F41" s="78" t="str">
        <f>"=cantaloupe"</f>
        <v>=cantaloupe</v>
      </c>
      <c r="I41" s="115" t="str">
        <f>"=Citron"</f>
        <v>=Citron</v>
      </c>
    </row>
    <row r="42" spans="1:9" x14ac:dyDescent="0.2">
      <c r="B42" s="115" t="str">
        <f>"=Citron"</f>
        <v>=Citron</v>
      </c>
      <c r="C42" s="78"/>
      <c r="F42" s="27" t="str">
        <f>"=Honeydew melon"</f>
        <v>=Honeydew melon</v>
      </c>
      <c r="I42" s="115" t="str">
        <f>"=Citrus hybrids"</f>
        <v>=Citrus hybrids</v>
      </c>
    </row>
    <row r="43" spans="1:9" x14ac:dyDescent="0.2">
      <c r="B43" s="115" t="str">
        <f>"=Citrus hybrids"</f>
        <v>=Citrus hybrids</v>
      </c>
      <c r="C43" s="78"/>
      <c r="F43" s="78" t="str">
        <f>"=Watermelon"</f>
        <v>=Watermelon</v>
      </c>
      <c r="I43" s="115" t="str">
        <f>"=Orange"</f>
        <v>=Orange</v>
      </c>
    </row>
    <row r="44" spans="1:9" x14ac:dyDescent="0.2">
      <c r="B44" s="115" t="str">
        <f>"=Orange"</f>
        <v>=Orange</v>
      </c>
      <c r="C44" s="78"/>
      <c r="F44" s="78"/>
      <c r="I44" s="115" t="str">
        <f>"=Tangerine"</f>
        <v>=Tangerine</v>
      </c>
    </row>
    <row r="45" spans="1:9" ht="20" x14ac:dyDescent="0.2">
      <c r="B45" s="115" t="str">
        <f>"=Tangerine"</f>
        <v>=Tangerine</v>
      </c>
      <c r="C45" s="78"/>
      <c r="E45" t="s">
        <v>846</v>
      </c>
      <c r="F45" s="1" t="s">
        <v>1</v>
      </c>
      <c r="I45" s="115" t="str">
        <f>"=Kumquat"</f>
        <v>=Kumquat</v>
      </c>
    </row>
    <row r="46" spans="1:9" x14ac:dyDescent="0.2">
      <c r="B46" s="115" t="str">
        <f>"=Kumquat"</f>
        <v>=Kumquat</v>
      </c>
      <c r="C46" s="78"/>
      <c r="F46" s="78" t="str">
        <f>"=cucumber"</f>
        <v>=cucumber</v>
      </c>
      <c r="I46" t="str">
        <f>"=Mandarins"</f>
        <v>=Mandarins</v>
      </c>
    </row>
    <row r="47" spans="1:9" ht="20" x14ac:dyDescent="0.2">
      <c r="B47" t="str">
        <f>"=Mandarins"</f>
        <v>=Mandarins</v>
      </c>
      <c r="C47" s="78"/>
      <c r="E47" s="78" t="s">
        <v>3277</v>
      </c>
      <c r="F47" s="1" t="s">
        <v>1</v>
      </c>
      <c r="I47" t="str">
        <f>"=Fruits, Citrus"</f>
        <v>=Fruits, Citrus</v>
      </c>
    </row>
    <row r="48" spans="1:9" x14ac:dyDescent="0.2">
      <c r="B48" t="str">
        <f>"=Fruits, Citrus"</f>
        <v>=Fruits, Citrus</v>
      </c>
      <c r="C48" s="78"/>
      <c r="E48" s="139"/>
      <c r="F48" s="115" t="str">
        <f>"=Squash, winter"</f>
        <v>=Squash, winter</v>
      </c>
      <c r="I48" s="115" t="str">
        <f>"=Lemon"</f>
        <v>=Lemon</v>
      </c>
    </row>
    <row r="49" spans="1:9" x14ac:dyDescent="0.2">
      <c r="B49" s="115" t="str">
        <f>"=Lemon"</f>
        <v>=Lemon</v>
      </c>
      <c r="C49" s="78"/>
      <c r="E49" s="139"/>
      <c r="F49" s="115" t="str">
        <f>"=Pumpkin"</f>
        <v>=Pumpkin</v>
      </c>
      <c r="I49" s="115" t="str">
        <f>"=Lime"</f>
        <v>=Lime</v>
      </c>
    </row>
    <row r="50" spans="1:9" x14ac:dyDescent="0.2">
      <c r="B50" s="115" t="str">
        <f>"=Lime"</f>
        <v>=Lime</v>
      </c>
      <c r="C50" s="78"/>
      <c r="I50" s="115" t="str">
        <f>"=Grapefruit"</f>
        <v>=Grapefruit</v>
      </c>
    </row>
    <row r="51" spans="1:9" ht="20" x14ac:dyDescent="0.2">
      <c r="B51" s="115" t="str">
        <f>"=Grapefruit"</f>
        <v>=Grapefruit</v>
      </c>
      <c r="C51" s="78"/>
      <c r="E51" t="s">
        <v>890</v>
      </c>
      <c r="F51" s="1" t="s">
        <v>1</v>
      </c>
      <c r="I51" s="115" t="str">
        <f>"=Nectarine"</f>
        <v>=Nectarine</v>
      </c>
    </row>
    <row r="52" spans="1:9" x14ac:dyDescent="0.2">
      <c r="B52" s="115" t="str">
        <f>"=Nectarine"</f>
        <v>=Nectarine</v>
      </c>
      <c r="C52" s="78"/>
      <c r="F52" s="78" t="str">
        <f>"=zucchini"</f>
        <v>=zucchini</v>
      </c>
      <c r="I52" s="115" t="str">
        <f>"=Fig"</f>
        <v>=Fig</v>
      </c>
    </row>
    <row r="53" spans="1:9" ht="20" x14ac:dyDescent="0.2">
      <c r="A53" s="78" t="s">
        <v>2461</v>
      </c>
      <c r="B53" s="1" t="s">
        <v>1</v>
      </c>
      <c r="E53" t="s">
        <v>2769</v>
      </c>
      <c r="F53" s="1" t="s">
        <v>1</v>
      </c>
      <c r="I53" s="115" t="str">
        <f>"=Guava"</f>
        <v>=Guava</v>
      </c>
    </row>
    <row r="54" spans="1:9" x14ac:dyDescent="0.2">
      <c r="B54" s="115" t="str">
        <f>"=Basil, dried leaves"</f>
        <v>=Basil, dried leaves</v>
      </c>
      <c r="C54" s="78"/>
      <c r="F54" s="78" t="str">
        <f>"=orange"</f>
        <v>=orange</v>
      </c>
      <c r="I54" s="115" t="str">
        <f>"=Lychee"</f>
        <v>=Lychee</v>
      </c>
    </row>
    <row r="55" spans="1:9" ht="20" x14ac:dyDescent="0.2">
      <c r="B55" s="115" t="str">
        <f>"=Parsley, dried leaves"</f>
        <v>=Parsley, dried leaves</v>
      </c>
      <c r="C55" s="78"/>
      <c r="E55" s="78" t="s">
        <v>848</v>
      </c>
      <c r="F55" s="1" t="s">
        <v>1</v>
      </c>
      <c r="I55" s="115" t="str">
        <f>"=Avocado"</f>
        <v>=Avocado</v>
      </c>
    </row>
    <row r="56" spans="1:9" ht="20" x14ac:dyDescent="0.2">
      <c r="A56" s="78" t="s">
        <v>2462</v>
      </c>
      <c r="B56" s="1" t="s">
        <v>1</v>
      </c>
      <c r="F56" s="78" t="str">
        <f>"=Apple, fruit with peel"</f>
        <v>=Apple, fruit with peel</v>
      </c>
      <c r="I56" s="115" t="str">
        <f>"=Banana"</f>
        <v>=Banana</v>
      </c>
    </row>
    <row r="57" spans="1:9" ht="20" x14ac:dyDescent="0.2">
      <c r="B57" s="115" t="str">
        <f>"=Chive, fresh leaves"</f>
        <v>=Chive, fresh leaves</v>
      </c>
      <c r="C57" s="78"/>
      <c r="E57" t="s">
        <v>841</v>
      </c>
      <c r="F57" s="1" t="s">
        <v>1</v>
      </c>
      <c r="I57" t="str">
        <f>"=tropical fruit"</f>
        <v>=tropical fruit</v>
      </c>
    </row>
    <row r="58" spans="1:9" x14ac:dyDescent="0.2">
      <c r="B58" s="115" t="str">
        <f>"=Cilantro, leaves"</f>
        <v>=Cilantro, leaves</v>
      </c>
      <c r="C58" s="78"/>
      <c r="F58" s="78" t="str">
        <f>"=pear"</f>
        <v>=pear</v>
      </c>
      <c r="I58" s="115" t="str">
        <f>"=Mango"</f>
        <v>=Mango</v>
      </c>
    </row>
    <row r="59" spans="1:9" ht="20" x14ac:dyDescent="0.2">
      <c r="B59" s="115" t="str">
        <f>"=Dillweed"</f>
        <v>=Dillweed</v>
      </c>
      <c r="C59" s="78"/>
      <c r="E59" t="s">
        <v>2749</v>
      </c>
      <c r="F59" s="1" t="s">
        <v>1</v>
      </c>
      <c r="I59" s="115" t="str">
        <f>"=Papaya"</f>
        <v>=Papaya</v>
      </c>
    </row>
    <row r="60" spans="1:9" x14ac:dyDescent="0.2">
      <c r="B60" s="115" t="str">
        <f>"=Parsley, leaves"</f>
        <v>=Parsley, leaves</v>
      </c>
      <c r="C60" s="78"/>
      <c r="F60" s="78" t="str">
        <f>"=cherry"</f>
        <v>=cherry</v>
      </c>
      <c r="I60" s="115" t="str">
        <f>"=Breadfruit"</f>
        <v>=Breadfruit</v>
      </c>
    </row>
    <row r="61" spans="1:9" ht="20" x14ac:dyDescent="0.2">
      <c r="B61" s="115" t="str">
        <f>"=Basil, fresh leaves"</f>
        <v>=Basil, fresh leaves</v>
      </c>
      <c r="C61" s="78"/>
      <c r="E61" t="s">
        <v>4070</v>
      </c>
      <c r="F61" s="1" t="s">
        <v>1</v>
      </c>
      <c r="I61" s="115" t="str">
        <f>"=Pineapple"</f>
        <v>=Pineapple</v>
      </c>
    </row>
    <row r="62" spans="1:9" x14ac:dyDescent="0.2">
      <c r="B62" s="115" t="str">
        <f>"=Herbs, other"</f>
        <v>=Herbs, other</v>
      </c>
      <c r="C62" s="78"/>
      <c r="F62" s="78" t="str">
        <f>"=apricot"</f>
        <v>=apricot</v>
      </c>
      <c r="I62" s="115" t="str">
        <f>"=Soursop"</f>
        <v>=Soursop</v>
      </c>
    </row>
    <row r="63" spans="1:9" ht="20" x14ac:dyDescent="0.2">
      <c r="B63" s="115" t="str">
        <f>"=Marjoram"</f>
        <v>=Marjoram</v>
      </c>
      <c r="C63" s="78"/>
      <c r="E63" t="s">
        <v>2771</v>
      </c>
      <c r="F63" s="1" t="s">
        <v>1</v>
      </c>
      <c r="I63" s="115" t="str">
        <f>"=Passionfruit"</f>
        <v>=Passionfruit</v>
      </c>
    </row>
    <row r="64" spans="1:9" x14ac:dyDescent="0.2">
      <c r="B64" s="115" t="str">
        <f>"=Savory"</f>
        <v>=Savory</v>
      </c>
      <c r="C64" s="78"/>
      <c r="F64" s="78" t="str">
        <f>"=peach"</f>
        <v>=peach</v>
      </c>
    </row>
    <row r="65" spans="1:9" ht="20" x14ac:dyDescent="0.2">
      <c r="B65" s="115" t="str">
        <f>"=Peppermint"</f>
        <v>=Peppermint</v>
      </c>
      <c r="C65" s="78"/>
      <c r="E65" t="s">
        <v>4071</v>
      </c>
      <c r="F65" s="1" t="s">
        <v>1</v>
      </c>
      <c r="H65" t="s">
        <v>3303</v>
      </c>
      <c r="I65" s="1" t="s">
        <v>1</v>
      </c>
    </row>
    <row r="66" spans="1:9" ht="20" x14ac:dyDescent="0.2">
      <c r="A66" s="78" t="s">
        <v>2702</v>
      </c>
      <c r="B66" s="1" t="s">
        <v>1</v>
      </c>
      <c r="F66" s="78" t="str">
        <f>"=plum"</f>
        <v>=plum</v>
      </c>
      <c r="I66" t="str">
        <f>"=Coconut, oil"</f>
        <v>=Coconut, oil</v>
      </c>
    </row>
    <row r="67" spans="1:9" ht="20" x14ac:dyDescent="0.2">
      <c r="B67" s="115" t="str">
        <f>"=Barley, pearled barley"</f>
        <v>=Barley, pearled barley</v>
      </c>
      <c r="C67" s="78"/>
      <c r="E67" s="78" t="s">
        <v>3278</v>
      </c>
      <c r="F67" s="1" t="s">
        <v>1</v>
      </c>
    </row>
    <row r="68" spans="1:9" ht="20" x14ac:dyDescent="0.2">
      <c r="B68" s="115" t="str">
        <f>"=Buckwheat"</f>
        <v>=Buckwheat</v>
      </c>
      <c r="C68" s="78"/>
      <c r="F68" s="139" t="str">
        <f>"=grape, raisin"</f>
        <v>=grape, raisin</v>
      </c>
      <c r="H68" t="s">
        <v>3358</v>
      </c>
      <c r="I68" s="1" t="s">
        <v>1</v>
      </c>
    </row>
    <row r="69" spans="1:9" ht="20" x14ac:dyDescent="0.2">
      <c r="B69" s="115" t="str">
        <f>"=Corn, pop"</f>
        <v>=Corn, pop</v>
      </c>
      <c r="C69" s="78"/>
      <c r="E69" t="s">
        <v>2011</v>
      </c>
      <c r="F69" s="1" t="s">
        <v>1</v>
      </c>
      <c r="I69" t="str">
        <f>"=Corn, field, flour"</f>
        <v>=Corn, field, flour</v>
      </c>
    </row>
    <row r="70" spans="1:9" x14ac:dyDescent="0.2">
      <c r="B70" s="115" t="str">
        <f>"=Millet, grain"</f>
        <v>=Millet, grain</v>
      </c>
      <c r="C70" s="78"/>
      <c r="F70" s="78" t="str">
        <f>"=Grape"</f>
        <v>=Grape</v>
      </c>
      <c r="I70" t="str">
        <f>"=Oat, flour"</f>
        <v>=Oat, flour</v>
      </c>
    </row>
    <row r="71" spans="1:9" ht="20" x14ac:dyDescent="0.2">
      <c r="B71" s="115" t="str">
        <f>"=Rye, grain"</f>
        <v>=Rye, grain</v>
      </c>
      <c r="C71" s="78"/>
      <c r="E71" t="s">
        <v>866</v>
      </c>
      <c r="F71" s="1" t="s">
        <v>1</v>
      </c>
      <c r="I71" s="115" t="str">
        <f>"=Rice, flour"</f>
        <v>=Rice, flour</v>
      </c>
    </row>
    <row r="72" spans="1:9" x14ac:dyDescent="0.2">
      <c r="B72" s="115" t="str">
        <f>"=Wheat, grain"</f>
        <v>=Wheat, grain</v>
      </c>
      <c r="C72" s="78"/>
      <c r="F72" s="78" t="str">
        <f>"=strawberry"</f>
        <v>=strawberry</v>
      </c>
      <c r="I72" t="str">
        <f>"=Rye, flour"</f>
        <v>=Rye, flour</v>
      </c>
    </row>
    <row r="73" spans="1:9" ht="20" x14ac:dyDescent="0.2">
      <c r="B73" s="115" t="str">
        <f>"=Flax, seed"</f>
        <v>=Flax, seed</v>
      </c>
      <c r="C73" s="78"/>
      <c r="E73" t="s">
        <v>2449</v>
      </c>
      <c r="F73" s="1" t="s">
        <v>1</v>
      </c>
      <c r="I73" t="str">
        <f>"=Wheat, flour"</f>
        <v>=Wheat, flour</v>
      </c>
    </row>
    <row r="74" spans="1:9" x14ac:dyDescent="0.2">
      <c r="B74" s="115" t="str">
        <f>"=Sesame, seed"</f>
        <v>=Sesame, seed</v>
      </c>
      <c r="C74" s="78"/>
      <c r="F74" s="78" t="str">
        <f>"=almond"</f>
        <v>=almond</v>
      </c>
    </row>
    <row r="75" spans="1:9" ht="20" x14ac:dyDescent="0.2">
      <c r="B75" s="115" t="str">
        <f>"=Amaranth, grain"</f>
        <v>=Amaranth, grain</v>
      </c>
      <c r="C75" s="78"/>
      <c r="E75" s="78" t="s">
        <v>3279</v>
      </c>
      <c r="F75" s="1" t="s">
        <v>1</v>
      </c>
      <c r="H75" t="s">
        <v>3361</v>
      </c>
      <c r="I75" s="1" t="s">
        <v>1</v>
      </c>
    </row>
    <row r="76" spans="1:9" x14ac:dyDescent="0.2">
      <c r="B76" s="115" t="str">
        <f>"=Psyllium, seed"</f>
        <v>=Psyllium, seed</v>
      </c>
      <c r="C76" s="78"/>
      <c r="F76" s="139" t="str">
        <f>"=coconut, meat"</f>
        <v>=coconut, meat</v>
      </c>
      <c r="H76" t="s">
        <v>3362</v>
      </c>
      <c r="I76" t="str">
        <f>"=Artichoke, globe"</f>
        <v>=Artichoke, globe</v>
      </c>
    </row>
    <row r="77" spans="1:9" ht="20" x14ac:dyDescent="0.2">
      <c r="B77" s="115" t="str">
        <f>"=Oat, groats/rolled oats"</f>
        <v>=Oat, groats/rolled oats</v>
      </c>
      <c r="E77" t="s">
        <v>3282</v>
      </c>
      <c r="F77" s="1" t="s">
        <v>1</v>
      </c>
      <c r="H77" t="s">
        <v>3363</v>
      </c>
      <c r="I77" t="str">
        <f>"=Asparagus"</f>
        <v>=Asparagus</v>
      </c>
    </row>
    <row r="78" spans="1:9" ht="20" x14ac:dyDescent="0.2">
      <c r="A78" s="78" t="s">
        <v>2457</v>
      </c>
      <c r="B78" s="1" t="s">
        <v>1</v>
      </c>
      <c r="C78" s="78"/>
      <c r="F78" s="78" t="str">
        <f>"=rice, bran"</f>
        <v>=rice, bran</v>
      </c>
      <c r="I78" t="str">
        <f>"=Bean, snap, succulent"</f>
        <v>=Bean, snap, succulent</v>
      </c>
    </row>
    <row r="79" spans="1:9" ht="20" x14ac:dyDescent="0.2">
      <c r="B79" s="115" t="str">
        <f>"=Beet, garden, tops"</f>
        <v>=Beet, garden, tops</v>
      </c>
      <c r="C79" s="78"/>
      <c r="E79" s="78" t="s">
        <v>3283</v>
      </c>
      <c r="F79" s="1" t="s">
        <v>1</v>
      </c>
      <c r="I79" t="str">
        <f>"=Broccoli"</f>
        <v>=Broccoli</v>
      </c>
    </row>
    <row r="80" spans="1:9" x14ac:dyDescent="0.2">
      <c r="B80" s="115" t="str">
        <f>"=Amaranth, leafy"</f>
        <v>=Amaranth, leafy</v>
      </c>
      <c r="C80" s="78"/>
      <c r="F80" s="139" t="str">
        <f>"=wheat, flour"</f>
        <v>=wheat, flour</v>
      </c>
      <c r="I80" t="str">
        <f>"=Cabbage"</f>
        <v>=Cabbage</v>
      </c>
    </row>
    <row r="81" spans="1:9" ht="20" x14ac:dyDescent="0.2">
      <c r="B81" s="115" t="str">
        <f>"=Endive"</f>
        <v>=Endive</v>
      </c>
      <c r="C81" s="78"/>
      <c r="E81" s="78" t="s">
        <v>3281</v>
      </c>
      <c r="F81" s="1" t="s">
        <v>1</v>
      </c>
      <c r="I81" t="str">
        <f>"=Cassava"</f>
        <v>=Cassava</v>
      </c>
    </row>
    <row r="82" spans="1:9" x14ac:dyDescent="0.2">
      <c r="B82" s="115" t="str">
        <f>"=Lettuce, head"</f>
        <v>=Lettuce, head</v>
      </c>
      <c r="C82" s="78"/>
      <c r="F82" s="115" t="str">
        <f>"=Rice, brown"</f>
        <v>=Rice, brown</v>
      </c>
      <c r="I82" t="str">
        <f>"=Cauliflower"</f>
        <v>=Cauliflower</v>
      </c>
    </row>
    <row r="83" spans="1:9" x14ac:dyDescent="0.2">
      <c r="B83" s="115" t="str">
        <f>"=Lettuce, leaf"</f>
        <v>=Lettuce, leaf</v>
      </c>
      <c r="C83" s="78"/>
      <c r="F83" s="115" t="str">
        <f>"=Rice, white"</f>
        <v>=Rice, white</v>
      </c>
      <c r="I83" t="str">
        <f>"=Celery"</f>
        <v>=Celery</v>
      </c>
    </row>
    <row r="84" spans="1:9" x14ac:dyDescent="0.2">
      <c r="B84" s="115" t="str">
        <f>"=Swiss chard"</f>
        <v>=Swiss chard</v>
      </c>
      <c r="C84" s="78"/>
      <c r="F84" s="78"/>
      <c r="I84" t="str">
        <f>"=Corn, sweet"</f>
        <v>=Corn, sweet</v>
      </c>
    </row>
    <row r="85" spans="1:9" x14ac:dyDescent="0.2">
      <c r="B85" s="115" t="str">
        <f>"=spinach"</f>
        <v>=spinach</v>
      </c>
      <c r="C85" s="78"/>
      <c r="F85" s="78"/>
      <c r="I85" t="str">
        <f>"=Cucumber"</f>
        <v>=Cucumber</v>
      </c>
    </row>
    <row r="86" spans="1:9" ht="20" x14ac:dyDescent="0.2">
      <c r="B86" s="115" t="str">
        <f>"=Arugula"</f>
        <v>=Arugula</v>
      </c>
      <c r="C86" s="78"/>
      <c r="E86" t="s">
        <v>828</v>
      </c>
      <c r="F86" s="1" t="s">
        <v>1</v>
      </c>
      <c r="I86" t="str">
        <f>"=Eggplant"</f>
        <v>=Eggplant</v>
      </c>
    </row>
    <row r="87" spans="1:9" x14ac:dyDescent="0.2">
      <c r="B87" s="115" t="str">
        <f>"=Cress, garden"</f>
        <v>=Cress, garden</v>
      </c>
      <c r="F87" s="78" t="str">
        <f>"=asparagus"</f>
        <v>=asparagus</v>
      </c>
      <c r="I87" t="str">
        <f>"=Escarole"</f>
        <v>=Escarole</v>
      </c>
    </row>
    <row r="88" spans="1:9" ht="20" x14ac:dyDescent="0.2">
      <c r="B88" s="115" t="str">
        <f>"=Watercress"</f>
        <v>=Watercress</v>
      </c>
      <c r="C88" s="78"/>
      <c r="E88" t="s">
        <v>2748</v>
      </c>
      <c r="F88" s="1" t="s">
        <v>1</v>
      </c>
      <c r="I88" t="str">
        <f>"=Fennel, Florence"</f>
        <v>=Fennel, Florence</v>
      </c>
    </row>
    <row r="89" spans="1:9" ht="20" x14ac:dyDescent="0.2">
      <c r="A89" s="78" t="s">
        <v>2463</v>
      </c>
      <c r="B89" s="1" t="s">
        <v>1</v>
      </c>
      <c r="C89" s="78"/>
      <c r="F89" s="78" t="str">
        <f>"=celery"</f>
        <v>=celery</v>
      </c>
      <c r="I89" t="str">
        <f>"=kale"</f>
        <v>=kale</v>
      </c>
    </row>
    <row r="90" spans="1:9" ht="20" x14ac:dyDescent="0.2">
      <c r="B90" s="115" t="str">
        <f>"=Almond"</f>
        <v>=Almond</v>
      </c>
      <c r="C90" s="78"/>
      <c r="E90" t="s">
        <v>4072</v>
      </c>
      <c r="F90" s="1" t="s">
        <v>1</v>
      </c>
      <c r="I90" t="str">
        <f>"=lettuce, head"</f>
        <v>=lettuce, head</v>
      </c>
    </row>
    <row r="91" spans="1:9" x14ac:dyDescent="0.2">
      <c r="B91" s="115" t="str">
        <f>"=Brazil nut"</f>
        <v>=Brazil nut</v>
      </c>
      <c r="C91" s="78"/>
      <c r="F91" s="78" t="str">
        <f>"=artichoke, globe"</f>
        <v>=artichoke, globe</v>
      </c>
      <c r="I91" t="str">
        <f>"=Lettuce, leaf"</f>
        <v>=Lettuce, leaf</v>
      </c>
    </row>
    <row r="92" spans="1:9" ht="20" x14ac:dyDescent="0.2">
      <c r="B92" s="115" t="str">
        <f>"=Butternut"</f>
        <v>=Butternut</v>
      </c>
      <c r="C92" s="78"/>
      <c r="E92" t="s">
        <v>836</v>
      </c>
      <c r="F92" s="1" t="s">
        <v>1</v>
      </c>
      <c r="I92" t="str">
        <f>"=Mushroom"</f>
        <v>=Mushroom</v>
      </c>
    </row>
    <row r="93" spans="1:9" x14ac:dyDescent="0.2">
      <c r="B93" s="115" t="str">
        <f>"=Cashew"</f>
        <v>=Cashew</v>
      </c>
      <c r="C93" s="78"/>
      <c r="F93" s="78" t="str">
        <f>"=banana"</f>
        <v>=banana</v>
      </c>
      <c r="I93" t="str">
        <f>"=Pea, succulent"</f>
        <v>=Pea, succulent</v>
      </c>
    </row>
    <row r="94" spans="1:9" ht="20" x14ac:dyDescent="0.2">
      <c r="B94" s="115" t="str">
        <f>"=Chestnut"</f>
        <v>=Chestnut</v>
      </c>
      <c r="C94" s="78"/>
      <c r="E94" t="s">
        <v>2770</v>
      </c>
      <c r="F94" s="1" t="s">
        <v>1</v>
      </c>
      <c r="I94" t="str">
        <f>"=Pepper, bell"</f>
        <v>=Pepper, bell</v>
      </c>
    </row>
    <row r="95" spans="1:9" x14ac:dyDescent="0.2">
      <c r="B95" t="str">
        <f>"=Coconut, meat"</f>
        <v>=Coconut, meat</v>
      </c>
      <c r="C95" s="78"/>
      <c r="F95" s="78" t="str">
        <f>"=papaya"</f>
        <v>=papaya</v>
      </c>
      <c r="I95" t="str">
        <f>"=pumpkin"</f>
        <v>=pumpkin</v>
      </c>
    </row>
    <row r="96" spans="1:9" ht="20" x14ac:dyDescent="0.2">
      <c r="B96" s="115" t="str">
        <f>"=Hazelnut"</f>
        <v>=Hazelnut</v>
      </c>
      <c r="C96" s="78"/>
      <c r="E96" t="s">
        <v>878</v>
      </c>
      <c r="F96" s="1" t="s">
        <v>1</v>
      </c>
      <c r="I96" t="str">
        <f>"=Spinach"</f>
        <v>=Spinach</v>
      </c>
    </row>
    <row r="97" spans="1:9" x14ac:dyDescent="0.2">
      <c r="B97" s="115" t="str">
        <f>"=Macadamia nut"</f>
        <v>=Macadamia nut</v>
      </c>
      <c r="C97" s="78"/>
      <c r="F97" s="78" t="str">
        <f>"=pineapple"</f>
        <v>=pineapple</v>
      </c>
      <c r="I97" t="str">
        <f>"=Squash, Summer"</f>
        <v>=Squash, Summer</v>
      </c>
    </row>
    <row r="98" spans="1:9" ht="21" thickBot="1" x14ac:dyDescent="0.25">
      <c r="B98" s="115" t="str">
        <f>"=Pecan"</f>
        <v>=Pecan</v>
      </c>
      <c r="C98" s="78"/>
      <c r="E98" t="s">
        <v>3285</v>
      </c>
      <c r="F98" s="1" t="s">
        <v>1</v>
      </c>
      <c r="I98" t="str">
        <f>"=squash, winter"</f>
        <v>=squash, winter</v>
      </c>
    </row>
    <row r="99" spans="1:9" x14ac:dyDescent="0.2">
      <c r="B99" s="115" t="str">
        <f>"=Pine nut"</f>
        <v>=Pine nut</v>
      </c>
      <c r="F99" s="110" t="str">
        <f>"=Fish-shellfish, mollusc"</f>
        <v>=Fish-shellfish, mollusc</v>
      </c>
      <c r="I99" t="str">
        <f>"=Tomato"</f>
        <v>=Tomato</v>
      </c>
    </row>
    <row r="100" spans="1:9" x14ac:dyDescent="0.2">
      <c r="B100" s="115" t="str">
        <f>"=Pistachio"</f>
        <v>=Pistachio</v>
      </c>
      <c r="C100" s="78"/>
      <c r="F100" s="115" t="str">
        <f>"=Fish-saltwater finfish"</f>
        <v>=Fish-saltwater finfish</v>
      </c>
      <c r="I100" t="str">
        <f>"=zucchini"</f>
        <v>=zucchini</v>
      </c>
    </row>
    <row r="101" spans="1:9" x14ac:dyDescent="0.2">
      <c r="B101" s="115" t="str">
        <f>"=Walnut"</f>
        <v>=Walnut</v>
      </c>
      <c r="C101" s="78"/>
      <c r="F101" s="115" t="str">
        <f>"=Fish-freshwater finfish"</f>
        <v>=Fish-freshwater finfish</v>
      </c>
    </row>
    <row r="102" spans="1:9" ht="20" x14ac:dyDescent="0.2">
      <c r="A102" s="78" t="s">
        <v>2455</v>
      </c>
      <c r="B102" s="1" t="s">
        <v>1</v>
      </c>
      <c r="C102" s="78"/>
      <c r="F102" s="115" t="str">
        <f>"=Fish-freshwater finfish, farm raised"</f>
        <v>=Fish-freshwater finfish, farm raised</v>
      </c>
      <c r="H102" t="s">
        <v>3364</v>
      </c>
      <c r="I102" s="1" t="s">
        <v>1</v>
      </c>
    </row>
    <row r="103" spans="1:9" x14ac:dyDescent="0.2">
      <c r="B103" s="115" t="str">
        <f>"=Beet, garden, roots"</f>
        <v>=Beet, garden, roots</v>
      </c>
      <c r="C103" s="78"/>
      <c r="F103" s="115" t="str">
        <f>"=Fish-saltwater finfish, other"</f>
        <v>=Fish-saltwater finfish, other</v>
      </c>
      <c r="I103" t="str">
        <f>"=beet, sugar"</f>
        <v>=beet, sugar</v>
      </c>
    </row>
    <row r="104" spans="1:9" x14ac:dyDescent="0.2">
      <c r="B104" s="115" t="str">
        <f>"=Burdock"</f>
        <v>=Burdock</v>
      </c>
      <c r="C104" s="78"/>
      <c r="F104" s="115" t="str">
        <f>"=Fish-shellfish, crustacean"</f>
        <v>=Fish-shellfish, crustacean</v>
      </c>
      <c r="I104" t="str">
        <f>"=beet, sugar, molasses"</f>
        <v>=beet, sugar, molasses</v>
      </c>
    </row>
    <row r="105" spans="1:9" x14ac:dyDescent="0.2">
      <c r="B105" s="115" t="str">
        <f>"=Carrot"</f>
        <v>=Carrot</v>
      </c>
      <c r="C105" s="78"/>
      <c r="I105" t="str">
        <f>"=Honey"</f>
        <v>=Honey</v>
      </c>
    </row>
    <row r="106" spans="1:9" ht="20" x14ac:dyDescent="0.2">
      <c r="B106" s="115" t="str">
        <f>"=Horseradish"</f>
        <v>=Horseradish</v>
      </c>
      <c r="C106" s="78"/>
      <c r="E106" t="s">
        <v>3284</v>
      </c>
      <c r="F106" s="1" t="s">
        <v>1</v>
      </c>
      <c r="I106" t="str">
        <f>"=Maple syrup"</f>
        <v>=Maple syrup</v>
      </c>
    </row>
    <row r="107" spans="1:9" x14ac:dyDescent="0.2">
      <c r="B107" s="115" t="str">
        <f>"=Parsnip"</f>
        <v>=Parsnip</v>
      </c>
      <c r="F107" s="115" t="str">
        <f>"=Fish-saltwater finfish, other"</f>
        <v>=Fish-saltwater finfish, other</v>
      </c>
      <c r="I107" t="str">
        <f>"=Sugarcane, molasses"</f>
        <v>=Sugarcane, molasses</v>
      </c>
    </row>
    <row r="108" spans="1:9" x14ac:dyDescent="0.2">
      <c r="B108" s="115" t="str">
        <f>"=Ginger"</f>
        <v>=Ginger</v>
      </c>
      <c r="C108" s="78"/>
      <c r="I108" t="str">
        <f>"=Sugarcane, sugar"</f>
        <v>=Sugarcane, sugar</v>
      </c>
    </row>
    <row r="109" spans="1:9" ht="20" x14ac:dyDescent="0.2">
      <c r="B109" s="115" t="str">
        <f>"=Potato, tuber, w/peel"</f>
        <v>=Potato, tuber, w/peel</v>
      </c>
      <c r="C109" s="78"/>
      <c r="E109" t="s">
        <v>1339</v>
      </c>
      <c r="F109" s="1" t="s">
        <v>1</v>
      </c>
    </row>
    <row r="110" spans="1:9" ht="20" x14ac:dyDescent="0.2">
      <c r="A110" s="78" t="s">
        <v>2465</v>
      </c>
      <c r="B110" s="1" t="s">
        <v>1</v>
      </c>
      <c r="C110" s="78"/>
      <c r="F110" t="str">
        <f>"=honey"</f>
        <v>=honey</v>
      </c>
      <c r="H110" t="s">
        <v>3365</v>
      </c>
      <c r="I110" s="1" t="s">
        <v>1</v>
      </c>
    </row>
    <row r="111" spans="1:9" ht="20" x14ac:dyDescent="0.2">
      <c r="B111" s="115" t="str">
        <f>"=Ginseng, dried"</f>
        <v>=Ginseng, dried</v>
      </c>
      <c r="C111" s="78"/>
      <c r="E111" t="s">
        <v>4073</v>
      </c>
      <c r="F111" s="1" t="s">
        <v>1</v>
      </c>
      <c r="I111" t="str">
        <f>"=Cocoa Bean, Chocolate"</f>
        <v>=Cocoa Bean, Chocolate</v>
      </c>
    </row>
    <row r="112" spans="1:9" x14ac:dyDescent="0.2">
      <c r="B112" s="115" t="str">
        <f>"=Cinnamon"</f>
        <v>=Cinnamon</v>
      </c>
      <c r="C112" s="78"/>
      <c r="F112" t="str">
        <f>"=Escarole"</f>
        <v>=Escarole</v>
      </c>
      <c r="I112" t="str">
        <f>"=Cocoa bean, Powder"</f>
        <v>=Cocoa bean, Powder</v>
      </c>
    </row>
    <row r="113" spans="1:9" ht="20" x14ac:dyDescent="0.2">
      <c r="B113" s="115" t="str">
        <f>"=Coriander, seed"</f>
        <v>=Coriander, seed</v>
      </c>
      <c r="C113" s="78"/>
      <c r="E113" t="s">
        <v>3451</v>
      </c>
      <c r="F113" s="1" t="s">
        <v>1</v>
      </c>
      <c r="I113" t="str">
        <f>"=Cocoa Butter"</f>
        <v>=Cocoa Butter</v>
      </c>
    </row>
    <row r="114" spans="1:9" x14ac:dyDescent="0.2">
      <c r="B114" s="115" t="str">
        <f>"=Dill, seed"</f>
        <v>=Dill, seed</v>
      </c>
      <c r="F114" t="str">
        <f>"=Sheep"</f>
        <v>=Sheep</v>
      </c>
      <c r="I114" t="str">
        <f>"=Cocoa Cake"</f>
        <v>=Cocoa Cake</v>
      </c>
    </row>
    <row r="115" spans="1:9" ht="20" x14ac:dyDescent="0.2">
      <c r="B115" s="115" t="str">
        <f>"=Pepper, black and white"</f>
        <v>=Pepper, black and white</v>
      </c>
      <c r="C115" s="78"/>
      <c r="E115" t="s">
        <v>4074</v>
      </c>
      <c r="F115" s="1" t="s">
        <v>1</v>
      </c>
      <c r="I115" t="str">
        <f>"=Cocoa Liquor"</f>
        <v>=Cocoa Liquor</v>
      </c>
    </row>
    <row r="116" spans="1:9" x14ac:dyDescent="0.2">
      <c r="B116" s="115" t="str">
        <f>"=Spices, other"</f>
        <v>=Spices, other</v>
      </c>
      <c r="C116" s="78"/>
      <c r="F116" t="str">
        <f>"=Maple syrup"</f>
        <v>=Maple syrup</v>
      </c>
      <c r="I116" t="str">
        <f>"=Coffee, roasted bean"</f>
        <v>=Coffee, roasted bean</v>
      </c>
    </row>
    <row r="117" spans="1:9" ht="20" x14ac:dyDescent="0.2">
      <c r="A117" s="78" t="s">
        <v>2456</v>
      </c>
      <c r="B117" s="1" t="s">
        <v>1</v>
      </c>
      <c r="C117" s="78"/>
      <c r="I117" t="str">
        <f>"=Tea, dried"</f>
        <v>=Tea, dried</v>
      </c>
    </row>
    <row r="118" spans="1:9" ht="20" x14ac:dyDescent="0.2">
      <c r="B118" s="115" t="str">
        <f>"=Apple, fruit with peel"</f>
        <v>=Apple, fruit with peel</v>
      </c>
      <c r="C118" s="78"/>
      <c r="E118" t="s">
        <v>2448</v>
      </c>
      <c r="F118" s="1" t="s">
        <v>1</v>
      </c>
    </row>
    <row r="119" spans="1:9" ht="20" x14ac:dyDescent="0.2">
      <c r="B119" s="115" t="str">
        <f>"=Pear"</f>
        <v>=Pear</v>
      </c>
      <c r="C119" s="78"/>
      <c r="F119" t="str">
        <f>"=Chicken"</f>
        <v>=Chicken</v>
      </c>
      <c r="H119" s="213" t="s">
        <v>3368</v>
      </c>
      <c r="I119" s="1" t="s">
        <v>1</v>
      </c>
    </row>
    <row r="120" spans="1:9" x14ac:dyDescent="0.2">
      <c r="B120" s="115" t="str">
        <f>"=Cherry"</f>
        <v>=Cherry</v>
      </c>
      <c r="C120" s="78"/>
      <c r="I120" t="str">
        <f>"=Fluid Milk, cow"</f>
        <v>=Fluid Milk, cow</v>
      </c>
    </row>
    <row r="121" spans="1:9" ht="20" x14ac:dyDescent="0.2">
      <c r="B121" s="115" t="str">
        <f>"=Apricot"</f>
        <v>=Apricot</v>
      </c>
      <c r="C121" s="78"/>
      <c r="E121" t="s">
        <v>3289</v>
      </c>
      <c r="F121" s="1" t="s">
        <v>1</v>
      </c>
    </row>
    <row r="122" spans="1:9" ht="20" x14ac:dyDescent="0.2">
      <c r="B122" s="115" t="str">
        <f>"=Peach"</f>
        <v>=Peach</v>
      </c>
      <c r="C122" s="78"/>
      <c r="F122" t="str">
        <f>"=Corn, field, flour"</f>
        <v>=Corn, field, flour</v>
      </c>
      <c r="H122" t="s">
        <v>3370</v>
      </c>
      <c r="I122" s="1" t="s">
        <v>1</v>
      </c>
    </row>
    <row r="123" spans="1:9" ht="20" x14ac:dyDescent="0.2">
      <c r="B123" s="115" t="str">
        <f>"=Plum"</f>
        <v>=Plum</v>
      </c>
      <c r="C123" s="78"/>
      <c r="E123" t="s">
        <v>3287</v>
      </c>
      <c r="F123" s="1" t="s">
        <v>1</v>
      </c>
      <c r="I123" t="str">
        <f>"=Cucumber"</f>
        <v>=Cucumber</v>
      </c>
    </row>
    <row r="124" spans="1:9" x14ac:dyDescent="0.2">
      <c r="B124" s="115" t="str">
        <f>"=Plum, prune, fresh"</f>
        <v>=Plum, prune, fresh</v>
      </c>
      <c r="F124" t="str">
        <f>"=Corn, field, starch"</f>
        <v>=Corn, field, starch</v>
      </c>
      <c r="I124" t="str">
        <f>"=pumpkin"</f>
        <v>=pumpkin</v>
      </c>
    </row>
    <row r="125" spans="1:9" ht="20" x14ac:dyDescent="0.2">
      <c r="B125" s="115" t="str">
        <f>"=Persimmon"</f>
        <v>=Persimmon</v>
      </c>
      <c r="C125" s="78"/>
      <c r="E125" t="s">
        <v>2785</v>
      </c>
      <c r="F125" s="1" t="s">
        <v>1</v>
      </c>
      <c r="I125" t="str">
        <f>"=Squash, Summer"</f>
        <v>=Squash, Summer</v>
      </c>
    </row>
    <row r="126" spans="1:9" x14ac:dyDescent="0.2">
      <c r="B126" s="115" t="str">
        <f>"=Pomegranate"</f>
        <v>=Pomegranate</v>
      </c>
      <c r="C126" s="78"/>
      <c r="F126" t="str">
        <f>"=Beer"</f>
        <v>=Beer</v>
      </c>
      <c r="I126" t="str">
        <f>"=squash, winter"</f>
        <v>=squash, winter</v>
      </c>
    </row>
    <row r="127" spans="1:9" ht="20" x14ac:dyDescent="0.2">
      <c r="A127" s="78" t="s">
        <v>2452</v>
      </c>
      <c r="B127" s="1" t="s">
        <v>1</v>
      </c>
      <c r="C127" s="78"/>
      <c r="E127" t="s">
        <v>3288</v>
      </c>
      <c r="F127" s="1" t="s">
        <v>1</v>
      </c>
      <c r="I127" s="115" t="str">
        <f>"=Cantaloupe"</f>
        <v>=Cantaloupe</v>
      </c>
    </row>
    <row r="128" spans="1:9" x14ac:dyDescent="0.2">
      <c r="B128" s="115" t="str">
        <f>"=Fig"</f>
        <v>=Fig</v>
      </c>
      <c r="C128" s="78"/>
      <c r="F128" t="str">
        <f>"=Oat, flour"</f>
        <v>=Oat, flour</v>
      </c>
      <c r="I128" s="115" t="str">
        <f>"=Honeydew melon"</f>
        <v>=Honeydew melon</v>
      </c>
    </row>
    <row r="129" spans="1:9" ht="20" x14ac:dyDescent="0.2">
      <c r="B129" s="115" t="str">
        <f>"=Guava"</f>
        <v>=Guava</v>
      </c>
      <c r="C129" s="78"/>
      <c r="E129" t="s">
        <v>3290</v>
      </c>
      <c r="F129" s="1" t="s">
        <v>1</v>
      </c>
      <c r="I129" s="115" t="str">
        <f>"=Watermelon"</f>
        <v>=Watermelon</v>
      </c>
    </row>
    <row r="130" spans="1:9" x14ac:dyDescent="0.2">
      <c r="B130" s="115" t="str">
        <f>"=Lychee"</f>
        <v>=Lychee</v>
      </c>
      <c r="C130" s="78"/>
      <c r="F130" t="str">
        <f>"=Sugarcane, molasses"</f>
        <v>=Sugarcane, molasses</v>
      </c>
      <c r="I130" s="115" t="str">
        <f>"=Balsam pear"</f>
        <v>=Balsam pear</v>
      </c>
    </row>
    <row r="131" spans="1:9" ht="20" x14ac:dyDescent="0.2">
      <c r="B131" s="115" t="str">
        <f>"=Avocado"</f>
        <v>=Avocado</v>
      </c>
      <c r="C131" s="78"/>
      <c r="E131" t="s">
        <v>3309</v>
      </c>
      <c r="F131" s="1" t="s">
        <v>1</v>
      </c>
      <c r="I131" s="115" t="str">
        <f>"=Chayote, fruit"</f>
        <v>=Chayote, fruit</v>
      </c>
    </row>
    <row r="132" spans="1:9" x14ac:dyDescent="0.2">
      <c r="B132" s="115" t="str">
        <f>"=Banana"</f>
        <v>=Banana</v>
      </c>
      <c r="C132" s="78"/>
      <c r="F132" t="str">
        <f>"=Tea, dried"</f>
        <v>=Tea, dried</v>
      </c>
      <c r="I132" s="115" t="str">
        <f>"=Chinese waxgourd"</f>
        <v>=Chinese waxgourd</v>
      </c>
    </row>
    <row r="133" spans="1:9" x14ac:dyDescent="0.2">
      <c r="B133" t="str">
        <f>"=tropical fruit"</f>
        <v>=tropical fruit</v>
      </c>
      <c r="C133" s="78"/>
    </row>
    <row r="134" spans="1:9" ht="20" x14ac:dyDescent="0.2">
      <c r="B134" s="115" t="str">
        <f>"=Mango"</f>
        <v>=Mango</v>
      </c>
      <c r="C134" s="78"/>
      <c r="E134" t="s">
        <v>3359</v>
      </c>
      <c r="F134" s="1" t="s">
        <v>1</v>
      </c>
    </row>
    <row r="135" spans="1:9" x14ac:dyDescent="0.2">
      <c r="B135" s="115" t="str">
        <f>"=Papaya"</f>
        <v>=Papaya</v>
      </c>
      <c r="F135" t="str">
        <f>"=Beef"</f>
        <v>=Beef</v>
      </c>
    </row>
    <row r="136" spans="1:9" x14ac:dyDescent="0.2">
      <c r="B136" s="115" t="str">
        <f>"=Breadfruit"</f>
        <v>=Breadfruit</v>
      </c>
      <c r="F136" t="str">
        <f>"=Goat"</f>
        <v>=Goat</v>
      </c>
    </row>
    <row r="137" spans="1:9" x14ac:dyDescent="0.2">
      <c r="B137" s="115" t="str">
        <f>"=Pineapple"</f>
        <v>=Pineapple</v>
      </c>
      <c r="F137" t="str">
        <f>"=Sheep"</f>
        <v>=Sheep</v>
      </c>
    </row>
    <row r="138" spans="1:9" x14ac:dyDescent="0.2">
      <c r="B138" s="115" t="str">
        <f>"=Soursop"</f>
        <v>=Soursop</v>
      </c>
    </row>
    <row r="139" spans="1:9" ht="20" x14ac:dyDescent="0.2">
      <c r="B139" s="115" t="str">
        <f>"=Passionfruit"</f>
        <v>=Passionfruit</v>
      </c>
      <c r="E139" t="s">
        <v>3360</v>
      </c>
      <c r="F139" s="1" t="s">
        <v>1</v>
      </c>
    </row>
    <row r="140" spans="1:9" ht="20" x14ac:dyDescent="0.2">
      <c r="A140" t="s">
        <v>3291</v>
      </c>
      <c r="B140" s="1" t="s">
        <v>1</v>
      </c>
      <c r="F140" t="str">
        <f>"=Chicken"</f>
        <v>=Chicken</v>
      </c>
    </row>
    <row r="141" spans="1:9" x14ac:dyDescent="0.2">
      <c r="B141" s="115" t="str">
        <f>"=Flax seed, oil"</f>
        <v>=Flax seed, oil</v>
      </c>
      <c r="F141" t="str">
        <f>"=Poultry"</f>
        <v>=Poultry</v>
      </c>
    </row>
    <row r="142" spans="1:9" x14ac:dyDescent="0.2">
      <c r="B142" s="115" t="str">
        <f>"=Rapeseed, oil"</f>
        <v>=Rapeseed, oil</v>
      </c>
      <c r="F142" t="str">
        <f>"=Turkey"</f>
        <v>=Turkey</v>
      </c>
    </row>
    <row r="143" spans="1:9" x14ac:dyDescent="0.2">
      <c r="B143" s="115" t="str">
        <f>"=Sesame, oil"</f>
        <v>=Sesame, oil</v>
      </c>
      <c r="F143" t="str">
        <f>"=Pork"</f>
        <v>=Pork</v>
      </c>
    </row>
    <row r="144" spans="1:9" x14ac:dyDescent="0.2">
      <c r="B144" s="115" t="str">
        <f>"=Safflower, oil"</f>
        <v>=Safflower, oil</v>
      </c>
      <c r="F144" t="str">
        <f>"=Rabbit, meat"</f>
        <v>=Rabbit, meat</v>
      </c>
    </row>
    <row r="145" spans="1:2" x14ac:dyDescent="0.2">
      <c r="B145" s="115" t="str">
        <f>"=Sunflower, oil"</f>
        <v>=Sunflower, oil</v>
      </c>
    </row>
    <row r="146" spans="1:2" x14ac:dyDescent="0.2">
      <c r="B146" s="115" t="str">
        <f>"=Cottonseed, oil"</f>
        <v>=Cottonseed, oil</v>
      </c>
    </row>
    <row r="148" spans="1:2" ht="20" x14ac:dyDescent="0.2">
      <c r="A148" t="s">
        <v>3354</v>
      </c>
      <c r="B148" s="1" t="s">
        <v>1</v>
      </c>
    </row>
    <row r="149" spans="1:2" x14ac:dyDescent="0.2">
      <c r="B149" s="115" t="str">
        <f>"=Soybean, oil"</f>
        <v>=Soybean, oil</v>
      </c>
    </row>
    <row r="150" spans="1:2" x14ac:dyDescent="0.2">
      <c r="B150" s="115" t="str">
        <f>"=Almond, oil"</f>
        <v>=Almond, oil</v>
      </c>
    </row>
    <row r="151" spans="1:2" x14ac:dyDescent="0.2">
      <c r="B151" s="115" t="str">
        <f>"=Coconut, oil"</f>
        <v>=Coconut, oil</v>
      </c>
    </row>
    <row r="152" spans="1:2" x14ac:dyDescent="0.2">
      <c r="B152" s="115" t="str">
        <f>"=Corn, field, oil"</f>
        <v>=Corn, field, oil</v>
      </c>
    </row>
    <row r="153" spans="1:2" x14ac:dyDescent="0.2">
      <c r="B153" s="115" t="str">
        <f>"=Flax seed, oil"</f>
        <v>=Flax seed, oil</v>
      </c>
    </row>
    <row r="154" spans="1:2" x14ac:dyDescent="0.2">
      <c r="B154" s="115" t="str">
        <f>"=Rapeseed, oil"</f>
        <v>=Rapeseed, oil</v>
      </c>
    </row>
    <row r="155" spans="1:2" x14ac:dyDescent="0.2">
      <c r="B155" s="115" t="str">
        <f>"=Sesame, oil"</f>
        <v>=Sesame, oil</v>
      </c>
    </row>
    <row r="156" spans="1:2" x14ac:dyDescent="0.2">
      <c r="B156" s="115" t="str">
        <f>"=Safflower, oil"</f>
        <v>=Safflower, oil</v>
      </c>
    </row>
    <row r="157" spans="1:2" x14ac:dyDescent="0.2">
      <c r="B157" s="115" t="str">
        <f>"=Sunflower, oil"</f>
        <v>=Sunflower, oil</v>
      </c>
    </row>
    <row r="158" spans="1:2" x14ac:dyDescent="0.2">
      <c r="B158" s="115" t="str">
        <f>"=Cottonseed, oil"</f>
        <v>=Cottonseed, oil</v>
      </c>
    </row>
    <row r="159" spans="1:2" x14ac:dyDescent="0.2">
      <c r="B159" s="115" t="str">
        <f>"=Olive, oil"</f>
        <v>=Olive, oil</v>
      </c>
    </row>
    <row r="160" spans="1:2" x14ac:dyDescent="0.2">
      <c r="B160" s="115" t="str">
        <f>"=Palm, oil"</f>
        <v>=Palm, oil</v>
      </c>
    </row>
    <row r="161" spans="2:2" x14ac:dyDescent="0.2">
      <c r="B161" s="115" t="str">
        <f>"=Peanut, oil"</f>
        <v>=Peanut, oil</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O999"/>
  <sheetViews>
    <sheetView topLeftCell="C1" zoomScale="150" zoomScaleNormal="150" zoomScalePageLayoutView="150" workbookViewId="0">
      <pane ySplit="1" topLeftCell="A2" activePane="bottomLeft" state="frozen"/>
      <selection pane="bottomLeft" activeCell="Q1" sqref="Q1"/>
    </sheetView>
  </sheetViews>
  <sheetFormatPr baseColWidth="10" defaultColWidth="8.83203125" defaultRowHeight="21" customHeight="1" x14ac:dyDescent="0.2"/>
  <cols>
    <col min="1" max="1" width="9.6640625" style="5" bestFit="1" customWidth="1"/>
    <col min="2" max="2" width="28.6640625" style="5" customWidth="1"/>
    <col min="3" max="3" width="17.5" style="54" customWidth="1"/>
    <col min="4" max="4" width="10.6640625" style="54" customWidth="1"/>
    <col min="5" max="5" width="6.83203125" style="54" bestFit="1" customWidth="1"/>
    <col min="6" max="6" width="10.1640625" style="54" bestFit="1" customWidth="1"/>
    <col min="7" max="7" width="6.83203125" bestFit="1" customWidth="1"/>
    <col min="8" max="8" width="7.5" customWidth="1"/>
    <col min="9" max="9" width="10.5" style="5" bestFit="1" customWidth="1"/>
    <col min="10" max="10" width="6" style="5" customWidth="1"/>
    <col min="11" max="11" width="10.5" style="5" bestFit="1" customWidth="1"/>
    <col min="12" max="12" width="7.1640625" customWidth="1"/>
    <col min="13" max="13" width="10.6640625" customWidth="1"/>
    <col min="14" max="14" width="8.83203125" customWidth="1"/>
    <col min="15" max="15" width="14.5" style="5" customWidth="1"/>
  </cols>
  <sheetData>
    <row r="1" spans="1:15" s="55" customFormat="1" ht="30.75" customHeight="1" x14ac:dyDescent="0.2">
      <c r="A1" s="55" t="s">
        <v>1719</v>
      </c>
      <c r="B1" s="55" t="s">
        <v>1720</v>
      </c>
      <c r="C1" s="55" t="s">
        <v>2691</v>
      </c>
      <c r="D1" s="55" t="s">
        <v>1721</v>
      </c>
      <c r="E1" s="55" t="s">
        <v>2733</v>
      </c>
      <c r="F1" s="55" t="s">
        <v>2732</v>
      </c>
      <c r="G1" s="55" t="s">
        <v>2724</v>
      </c>
      <c r="H1" s="55" t="s">
        <v>2734</v>
      </c>
      <c r="I1" s="55" t="s">
        <v>2736</v>
      </c>
      <c r="J1" s="55" t="s">
        <v>2735</v>
      </c>
      <c r="K1" s="55" t="s">
        <v>2737</v>
      </c>
      <c r="L1" s="55" t="s">
        <v>2692</v>
      </c>
      <c r="M1" s="55" t="s">
        <v>2693</v>
      </c>
      <c r="N1" s="55" t="s">
        <v>2467</v>
      </c>
      <c r="O1" s="55" t="s">
        <v>2690</v>
      </c>
    </row>
    <row r="2" spans="1:15" ht="21" customHeight="1" x14ac:dyDescent="0.2">
      <c r="A2" s="17">
        <v>1800002000</v>
      </c>
      <c r="B2" s="18" t="s">
        <v>1725</v>
      </c>
      <c r="C2" s="46" t="s">
        <v>1726</v>
      </c>
      <c r="D2" s="46" t="s">
        <v>1727</v>
      </c>
      <c r="E2" s="61" t="s">
        <v>594</v>
      </c>
      <c r="F2" s="61">
        <v>1</v>
      </c>
      <c r="H2">
        <v>1</v>
      </c>
      <c r="I2" s="34"/>
      <c r="J2" s="34"/>
      <c r="K2" s="34"/>
      <c r="O2" s="34"/>
    </row>
    <row r="3" spans="1:15" ht="21" customHeight="1" x14ac:dyDescent="0.2">
      <c r="A3" s="20">
        <v>1400003000</v>
      </c>
      <c r="B3" s="8" t="s">
        <v>1728</v>
      </c>
      <c r="C3" s="47" t="s">
        <v>1729</v>
      </c>
      <c r="D3" s="47"/>
      <c r="E3" s="65" t="s">
        <v>2724</v>
      </c>
      <c r="F3" s="61">
        <v>1</v>
      </c>
      <c r="G3">
        <v>1</v>
      </c>
      <c r="H3">
        <v>1</v>
      </c>
      <c r="I3" s="34"/>
      <c r="J3" s="34"/>
      <c r="K3" s="34"/>
      <c r="L3" s="30">
        <v>42101000</v>
      </c>
      <c r="M3" s="31" t="s">
        <v>2472</v>
      </c>
      <c r="N3" s="32" t="s">
        <v>2473</v>
      </c>
      <c r="O3" s="34"/>
    </row>
    <row r="4" spans="1:15" ht="21" customHeight="1" x14ac:dyDescent="0.2">
      <c r="A4" s="20">
        <v>1400004000</v>
      </c>
      <c r="B4" s="8" t="s">
        <v>1730</v>
      </c>
      <c r="C4" s="47" t="s">
        <v>1731</v>
      </c>
      <c r="D4" s="47"/>
      <c r="E4" s="65" t="s">
        <v>2724</v>
      </c>
      <c r="F4" s="62">
        <v>1</v>
      </c>
      <c r="G4">
        <v>1</v>
      </c>
      <c r="H4">
        <v>1</v>
      </c>
      <c r="I4" s="34"/>
      <c r="J4" s="34"/>
      <c r="K4" s="34"/>
      <c r="L4" s="30">
        <v>82101300</v>
      </c>
      <c r="M4" s="31" t="s">
        <v>2474</v>
      </c>
      <c r="N4" s="32" t="s">
        <v>2475</v>
      </c>
      <c r="O4" s="34" t="s">
        <v>2689</v>
      </c>
    </row>
    <row r="5" spans="1:15" ht="21" customHeight="1" x14ac:dyDescent="0.2">
      <c r="A5" s="20">
        <v>9500006000</v>
      </c>
      <c r="B5" s="8" t="s">
        <v>1732</v>
      </c>
      <c r="C5" s="47" t="s">
        <v>1733</v>
      </c>
      <c r="D5" s="47"/>
      <c r="E5" s="61" t="s">
        <v>594</v>
      </c>
      <c r="F5" s="61">
        <v>1</v>
      </c>
      <c r="H5">
        <v>1</v>
      </c>
      <c r="I5" s="34"/>
      <c r="J5" s="34"/>
      <c r="K5" s="34"/>
      <c r="O5" s="34"/>
    </row>
    <row r="6" spans="1:15" ht="21" customHeight="1" x14ac:dyDescent="0.2">
      <c r="A6" s="20">
        <v>401005000</v>
      </c>
      <c r="B6" s="8" t="s">
        <v>1734</v>
      </c>
      <c r="C6" s="47" t="s">
        <v>1735</v>
      </c>
      <c r="D6" s="47" t="s">
        <v>1736</v>
      </c>
      <c r="E6" s="61" t="s">
        <v>594</v>
      </c>
      <c r="F6" s="61">
        <v>1</v>
      </c>
      <c r="H6">
        <v>1</v>
      </c>
      <c r="I6" s="34"/>
      <c r="J6" s="34"/>
      <c r="K6" s="34"/>
      <c r="O6" s="34"/>
    </row>
    <row r="7" spans="1:15" ht="21" customHeight="1" x14ac:dyDescent="0.2">
      <c r="A7" s="20">
        <v>1100009000</v>
      </c>
      <c r="B7" s="8" t="s">
        <v>1737</v>
      </c>
      <c r="C7" s="47" t="s">
        <v>1738</v>
      </c>
      <c r="D7" s="47"/>
      <c r="E7" s="65" t="s">
        <v>2724</v>
      </c>
      <c r="F7" s="62">
        <v>6.15</v>
      </c>
      <c r="G7">
        <v>6.15</v>
      </c>
      <c r="H7">
        <v>1</v>
      </c>
      <c r="I7" s="34"/>
      <c r="J7" s="34">
        <v>8</v>
      </c>
      <c r="K7" s="34"/>
      <c r="L7" s="30">
        <v>62101100</v>
      </c>
      <c r="M7" s="31" t="s">
        <v>2476</v>
      </c>
      <c r="N7" s="32" t="s">
        <v>688</v>
      </c>
      <c r="O7" s="34">
        <v>1100007000</v>
      </c>
    </row>
    <row r="8" spans="1:15" ht="21" customHeight="1" x14ac:dyDescent="0.2">
      <c r="A8" s="20">
        <v>1100007000</v>
      </c>
      <c r="B8" s="8" t="s">
        <v>1739</v>
      </c>
      <c r="C8" s="47" t="s">
        <v>1740</v>
      </c>
      <c r="D8" s="47"/>
      <c r="E8" s="63" t="s">
        <v>2735</v>
      </c>
      <c r="F8" s="62">
        <v>1.1100000000000001</v>
      </c>
      <c r="G8">
        <v>1.3</v>
      </c>
      <c r="H8">
        <v>1.1111111111111112</v>
      </c>
      <c r="I8" s="34"/>
      <c r="J8" s="34"/>
      <c r="K8" s="34"/>
      <c r="L8" s="30">
        <v>63101000</v>
      </c>
      <c r="M8" s="31" t="s">
        <v>2477</v>
      </c>
      <c r="N8" s="32" t="s">
        <v>688</v>
      </c>
      <c r="O8" s="34"/>
    </row>
    <row r="9" spans="1:15" ht="21" customHeight="1" x14ac:dyDescent="0.2">
      <c r="A9" s="20">
        <v>1100010000</v>
      </c>
      <c r="B9" s="8" t="s">
        <v>1741</v>
      </c>
      <c r="C9" s="47" t="s">
        <v>1742</v>
      </c>
      <c r="D9" s="47"/>
      <c r="E9" s="65" t="s">
        <v>2724</v>
      </c>
      <c r="F9" s="62">
        <v>1.5</v>
      </c>
      <c r="G9">
        <v>1.5</v>
      </c>
      <c r="H9">
        <v>1</v>
      </c>
      <c r="I9" s="34"/>
      <c r="J9" s="34">
        <v>1.3636363636363644</v>
      </c>
      <c r="K9" s="34"/>
      <c r="L9" s="30">
        <v>64104010</v>
      </c>
      <c r="M9" s="31" t="s">
        <v>2422</v>
      </c>
      <c r="N9" s="32" t="s">
        <v>2478</v>
      </c>
      <c r="O9" s="34">
        <v>1100007000</v>
      </c>
    </row>
    <row r="10" spans="1:15" ht="21" customHeight="1" x14ac:dyDescent="0.2">
      <c r="A10" s="20">
        <v>1100008000</v>
      </c>
      <c r="B10" s="8" t="s">
        <v>1743</v>
      </c>
      <c r="C10" s="47" t="s">
        <v>1744</v>
      </c>
      <c r="D10" s="47"/>
      <c r="E10" s="63" t="s">
        <v>2737</v>
      </c>
      <c r="F10" s="64">
        <v>1.3</v>
      </c>
      <c r="H10">
        <v>1</v>
      </c>
      <c r="I10" s="34"/>
      <c r="J10" s="34"/>
      <c r="K10" s="34">
        <v>1.3</v>
      </c>
      <c r="O10" s="34">
        <v>1100007000</v>
      </c>
    </row>
    <row r="11" spans="1:15" ht="21" customHeight="1" x14ac:dyDescent="0.2">
      <c r="A11" s="20">
        <v>1100011000</v>
      </c>
      <c r="B11" s="8" t="s">
        <v>1745</v>
      </c>
      <c r="C11" s="47" t="s">
        <v>1746</v>
      </c>
      <c r="D11" s="47"/>
      <c r="E11" s="65" t="s">
        <v>2724</v>
      </c>
      <c r="F11" s="62">
        <v>1.4</v>
      </c>
      <c r="G11">
        <v>1.4</v>
      </c>
      <c r="H11">
        <v>1</v>
      </c>
      <c r="I11" s="34"/>
      <c r="J11" s="34">
        <v>1.2658227848101264</v>
      </c>
      <c r="K11" s="34"/>
      <c r="L11" s="30">
        <v>63101120</v>
      </c>
      <c r="M11" t="s">
        <v>2479</v>
      </c>
      <c r="N11" s="32" t="s">
        <v>688</v>
      </c>
      <c r="O11" s="34">
        <v>1100007000</v>
      </c>
    </row>
    <row r="12" spans="1:15" ht="21" customHeight="1" x14ac:dyDescent="0.2">
      <c r="A12" s="20">
        <v>1202012000</v>
      </c>
      <c r="B12" s="8" t="s">
        <v>1747</v>
      </c>
      <c r="C12" s="47" t="s">
        <v>1748</v>
      </c>
      <c r="D12" s="47" t="s">
        <v>1749</v>
      </c>
      <c r="E12" s="65" t="s">
        <v>2724</v>
      </c>
      <c r="F12" s="62">
        <v>1.08</v>
      </c>
      <c r="G12">
        <v>1.08</v>
      </c>
      <c r="H12">
        <v>1.0752688172043012</v>
      </c>
      <c r="I12" s="34"/>
      <c r="J12" s="34"/>
      <c r="K12" s="34"/>
      <c r="L12" s="30">
        <v>63103010</v>
      </c>
      <c r="M12" s="31" t="s">
        <v>2469</v>
      </c>
      <c r="N12" s="32" t="s">
        <v>2468</v>
      </c>
      <c r="O12" s="34"/>
    </row>
    <row r="13" spans="1:15" ht="21" customHeight="1" x14ac:dyDescent="0.2">
      <c r="A13" s="20">
        <v>1202013000</v>
      </c>
      <c r="B13" s="8" t="s">
        <v>1750</v>
      </c>
      <c r="C13" s="47" t="s">
        <v>1751</v>
      </c>
      <c r="D13" s="47" t="s">
        <v>1749</v>
      </c>
      <c r="E13" s="65" t="s">
        <v>2724</v>
      </c>
      <c r="F13" s="62">
        <v>5.46</v>
      </c>
      <c r="G13">
        <v>5.46</v>
      </c>
      <c r="H13">
        <v>1</v>
      </c>
      <c r="I13" s="34"/>
      <c r="J13" s="34"/>
      <c r="K13" s="34">
        <v>5.063003663003661</v>
      </c>
      <c r="L13" s="30">
        <v>62104100</v>
      </c>
      <c r="M13" s="31" t="s">
        <v>2466</v>
      </c>
      <c r="N13" s="32" t="s">
        <v>2468</v>
      </c>
      <c r="O13" s="34">
        <v>1202012000</v>
      </c>
    </row>
    <row r="14" spans="1:15" ht="21" customHeight="1" x14ac:dyDescent="0.2">
      <c r="A14" s="20">
        <v>1202014000</v>
      </c>
      <c r="B14" s="8" t="s">
        <v>1752</v>
      </c>
      <c r="C14" s="47" t="s">
        <v>1742</v>
      </c>
      <c r="D14" s="47" t="s">
        <v>1749</v>
      </c>
      <c r="E14" s="63" t="s">
        <v>2750</v>
      </c>
      <c r="F14" s="62">
        <v>1.63</v>
      </c>
      <c r="G14">
        <v>0.43200000000000005</v>
      </c>
      <c r="H14">
        <v>1</v>
      </c>
      <c r="I14" s="34"/>
      <c r="J14" s="34"/>
      <c r="K14" s="34"/>
      <c r="L14" s="30">
        <v>64201010</v>
      </c>
      <c r="M14" s="31" t="s">
        <v>2470</v>
      </c>
      <c r="N14" s="32" t="s">
        <v>2468</v>
      </c>
      <c r="O14" s="34" t="s">
        <v>2689</v>
      </c>
    </row>
    <row r="15" spans="1:15" ht="21" customHeight="1" x14ac:dyDescent="0.2">
      <c r="A15" s="20">
        <v>103015000</v>
      </c>
      <c r="B15" s="8" t="s">
        <v>1753</v>
      </c>
      <c r="C15" s="47" t="s">
        <v>1754</v>
      </c>
      <c r="D15" s="47"/>
      <c r="E15" s="61" t="s">
        <v>594</v>
      </c>
      <c r="F15" s="61">
        <v>1</v>
      </c>
      <c r="H15">
        <v>1</v>
      </c>
      <c r="I15" s="34"/>
      <c r="J15" s="34"/>
      <c r="K15" s="34"/>
      <c r="O15" s="34"/>
    </row>
    <row r="16" spans="1:15" ht="21" customHeight="1" x14ac:dyDescent="0.2">
      <c r="A16" s="20">
        <v>9500016000</v>
      </c>
      <c r="B16" s="8" t="s">
        <v>1755</v>
      </c>
      <c r="C16" s="47" t="s">
        <v>1756</v>
      </c>
      <c r="D16" s="47"/>
      <c r="E16" s="61" t="s">
        <v>2735</v>
      </c>
      <c r="F16" s="62">
        <v>2.5</v>
      </c>
      <c r="H16">
        <v>2.5</v>
      </c>
      <c r="I16" s="34"/>
      <c r="J16" s="34"/>
      <c r="K16" s="34"/>
      <c r="L16" s="30">
        <v>75201011</v>
      </c>
      <c r="M16" s="31" t="s">
        <v>2482</v>
      </c>
      <c r="N16" s="32" t="s">
        <v>2481</v>
      </c>
      <c r="O16" s="34"/>
    </row>
    <row r="17" spans="1:15" ht="21" customHeight="1" x14ac:dyDescent="0.2">
      <c r="A17" s="20">
        <v>103017000</v>
      </c>
      <c r="B17" s="8" t="s">
        <v>1757</v>
      </c>
      <c r="C17" s="47" t="s">
        <v>1758</v>
      </c>
      <c r="D17" s="47"/>
      <c r="E17" s="65" t="s">
        <v>2724</v>
      </c>
      <c r="F17" s="62">
        <v>2.5</v>
      </c>
      <c r="G17">
        <v>2.5</v>
      </c>
      <c r="H17">
        <v>1</v>
      </c>
      <c r="I17" s="34"/>
      <c r="J17" s="34"/>
      <c r="K17" s="34"/>
      <c r="L17" s="30">
        <v>75100750</v>
      </c>
      <c r="M17" s="31" t="s">
        <v>2480</v>
      </c>
      <c r="N17" s="32" t="s">
        <v>2481</v>
      </c>
      <c r="O17" s="34"/>
    </row>
    <row r="18" spans="1:15" ht="21" customHeight="1" x14ac:dyDescent="0.2">
      <c r="A18" s="20">
        <v>402018000</v>
      </c>
      <c r="B18" s="8" t="s">
        <v>1759</v>
      </c>
      <c r="C18" s="47" t="s">
        <v>1760</v>
      </c>
      <c r="D18" s="47"/>
      <c r="E18" s="65" t="s">
        <v>2724</v>
      </c>
      <c r="F18" s="62">
        <v>1.67</v>
      </c>
      <c r="G18">
        <v>1.67</v>
      </c>
      <c r="H18">
        <v>1</v>
      </c>
      <c r="I18" s="34"/>
      <c r="J18" s="34"/>
      <c r="K18" s="34"/>
      <c r="L18" s="30">
        <v>75113080</v>
      </c>
      <c r="M18" s="31" t="s">
        <v>2483</v>
      </c>
      <c r="N18" s="32" t="s">
        <v>631</v>
      </c>
      <c r="O18" s="34"/>
    </row>
    <row r="19" spans="1:15" ht="21" customHeight="1" x14ac:dyDescent="0.2">
      <c r="A19" s="20">
        <v>2201019000</v>
      </c>
      <c r="B19" s="8" t="s">
        <v>827</v>
      </c>
      <c r="C19" s="47" t="s">
        <v>1761</v>
      </c>
      <c r="D19" s="47"/>
      <c r="E19" s="65" t="s">
        <v>2724</v>
      </c>
      <c r="F19" s="62">
        <v>1.89</v>
      </c>
      <c r="G19">
        <v>1.89</v>
      </c>
      <c r="H19">
        <v>1.8867924528301885</v>
      </c>
      <c r="I19" s="34"/>
      <c r="J19" s="34"/>
      <c r="K19" s="34"/>
      <c r="L19" s="30">
        <v>75100800</v>
      </c>
      <c r="M19" s="31" t="s">
        <v>2484</v>
      </c>
      <c r="N19" s="32" t="s">
        <v>2481</v>
      </c>
      <c r="O19" s="34"/>
    </row>
    <row r="20" spans="1:15" ht="21" customHeight="1" x14ac:dyDescent="0.2">
      <c r="A20" s="20">
        <v>2402020000</v>
      </c>
      <c r="B20" s="8" t="s">
        <v>859</v>
      </c>
      <c r="C20" s="47" t="s">
        <v>1762</v>
      </c>
      <c r="D20" s="47"/>
      <c r="E20" s="65" t="s">
        <v>2724</v>
      </c>
      <c r="F20" s="62">
        <v>1.35</v>
      </c>
      <c r="G20">
        <v>1.35</v>
      </c>
      <c r="H20">
        <v>1.3513513513513513</v>
      </c>
      <c r="I20" s="34"/>
      <c r="J20" s="34"/>
      <c r="K20" s="34"/>
      <c r="L20" s="30">
        <v>63105010</v>
      </c>
      <c r="M20" s="31" t="s">
        <v>2485</v>
      </c>
      <c r="N20" s="32" t="s">
        <v>2481</v>
      </c>
      <c r="O20" s="34"/>
    </row>
    <row r="21" spans="1:15" ht="21" customHeight="1" x14ac:dyDescent="0.2">
      <c r="A21" s="20">
        <v>902021000</v>
      </c>
      <c r="B21" s="8" t="s">
        <v>1763</v>
      </c>
      <c r="C21" s="47" t="s">
        <v>1764</v>
      </c>
      <c r="D21" s="47" t="s">
        <v>1765</v>
      </c>
      <c r="E21" s="61" t="s">
        <v>594</v>
      </c>
      <c r="F21" s="61">
        <v>1</v>
      </c>
      <c r="G21">
        <v>1.06</v>
      </c>
      <c r="H21">
        <v>1</v>
      </c>
      <c r="I21" s="34"/>
      <c r="J21" s="34"/>
      <c r="K21" s="34"/>
      <c r="L21" s="38" t="s">
        <v>2706</v>
      </c>
      <c r="M21" s="37" t="s">
        <v>2707</v>
      </c>
      <c r="N21" s="39" t="s">
        <v>162</v>
      </c>
      <c r="O21" s="34"/>
    </row>
    <row r="22" spans="1:15" ht="21" customHeight="1" x14ac:dyDescent="0.2">
      <c r="A22" s="20">
        <v>2201022000</v>
      </c>
      <c r="B22" s="8" t="s">
        <v>1766</v>
      </c>
      <c r="C22" s="47" t="s">
        <v>1767</v>
      </c>
      <c r="D22" s="47" t="s">
        <v>1768</v>
      </c>
      <c r="E22" s="61" t="s">
        <v>594</v>
      </c>
      <c r="F22" s="61">
        <v>1</v>
      </c>
      <c r="G22">
        <v>3.45</v>
      </c>
      <c r="H22">
        <v>1</v>
      </c>
      <c r="I22" s="34"/>
      <c r="J22" s="34"/>
      <c r="K22" s="34"/>
      <c r="L22" s="38" t="s">
        <v>2706</v>
      </c>
      <c r="M22" s="37" t="s">
        <v>2708</v>
      </c>
      <c r="N22" s="39" t="s">
        <v>162</v>
      </c>
      <c r="O22" s="34"/>
    </row>
    <row r="23" spans="1:15" ht="21" customHeight="1" x14ac:dyDescent="0.2">
      <c r="A23" s="20">
        <v>2402023000</v>
      </c>
      <c r="B23" s="8" t="s">
        <v>1769</v>
      </c>
      <c r="C23" s="47" t="s">
        <v>1770</v>
      </c>
      <c r="D23" s="47"/>
      <c r="E23" s="65" t="s">
        <v>2724</v>
      </c>
      <c r="F23" s="62">
        <v>1.56</v>
      </c>
      <c r="G23">
        <v>1.56</v>
      </c>
      <c r="H23">
        <v>1.5625</v>
      </c>
      <c r="I23" s="34"/>
      <c r="J23" s="34"/>
      <c r="K23" s="34"/>
      <c r="L23" s="30">
        <v>63107010</v>
      </c>
      <c r="M23" s="31" t="s">
        <v>2490</v>
      </c>
      <c r="N23" s="32" t="s">
        <v>237</v>
      </c>
      <c r="O23" s="34"/>
    </row>
    <row r="24" spans="1:15" ht="21" customHeight="1" x14ac:dyDescent="0.2">
      <c r="A24" s="20">
        <v>2402024000</v>
      </c>
      <c r="B24" s="8" t="s">
        <v>1771</v>
      </c>
      <c r="C24" s="47" t="s">
        <v>1772</v>
      </c>
      <c r="D24" s="47"/>
      <c r="E24" s="61" t="s">
        <v>2724</v>
      </c>
      <c r="F24" s="62">
        <v>6.04</v>
      </c>
      <c r="G24">
        <v>6.04</v>
      </c>
      <c r="H24">
        <v>1</v>
      </c>
      <c r="I24" s="34"/>
      <c r="J24" s="34"/>
      <c r="K24" s="34">
        <v>3.8142686329214825</v>
      </c>
      <c r="L24" s="38" t="s">
        <v>2695</v>
      </c>
      <c r="M24" s="37" t="s">
        <v>2694</v>
      </c>
      <c r="N24" s="32" t="s">
        <v>237</v>
      </c>
      <c r="O24" s="34">
        <v>2402023000</v>
      </c>
    </row>
    <row r="25" spans="1:15" ht="21" customHeight="1" x14ac:dyDescent="0.2">
      <c r="A25" s="20">
        <v>1500027000</v>
      </c>
      <c r="B25" s="8" t="s">
        <v>1773</v>
      </c>
      <c r="C25" s="47" t="s">
        <v>1774</v>
      </c>
      <c r="D25" s="47"/>
      <c r="E25" s="61" t="s">
        <v>594</v>
      </c>
      <c r="F25" s="61">
        <v>1</v>
      </c>
      <c r="H25">
        <v>1</v>
      </c>
      <c r="I25" s="34"/>
      <c r="J25" s="34"/>
      <c r="K25" s="34"/>
      <c r="O25" s="34"/>
    </row>
    <row r="26" spans="1:15" ht="21" customHeight="1" x14ac:dyDescent="0.2">
      <c r="A26" s="20">
        <v>1500026000</v>
      </c>
      <c r="B26" s="8" t="s">
        <v>1775</v>
      </c>
      <c r="C26" s="47" t="s">
        <v>1754</v>
      </c>
      <c r="D26" s="47" t="s">
        <v>1776</v>
      </c>
      <c r="E26" s="63" t="s">
        <v>628</v>
      </c>
      <c r="F26" s="64">
        <v>1</v>
      </c>
      <c r="H26">
        <v>1</v>
      </c>
      <c r="I26" s="34">
        <v>1.845</v>
      </c>
      <c r="J26" s="34"/>
      <c r="K26" s="34"/>
      <c r="O26" s="34"/>
    </row>
    <row r="27" spans="1:15" ht="21" customHeight="1" x14ac:dyDescent="0.2">
      <c r="A27" s="20">
        <v>1500025000</v>
      </c>
      <c r="B27" s="8" t="s">
        <v>1777</v>
      </c>
      <c r="C27" s="47" t="s">
        <v>1778</v>
      </c>
      <c r="D27" s="47"/>
      <c r="E27" s="63" t="s">
        <v>628</v>
      </c>
      <c r="F27" s="64">
        <v>1</v>
      </c>
      <c r="G27">
        <v>0.35</v>
      </c>
      <c r="H27">
        <v>1</v>
      </c>
      <c r="I27" s="34">
        <v>1.6</v>
      </c>
      <c r="J27" s="34"/>
      <c r="K27" s="34"/>
      <c r="L27" s="26" t="s">
        <v>2699</v>
      </c>
      <c r="M27" s="40" t="s">
        <v>2700</v>
      </c>
      <c r="N27" s="41" t="s">
        <v>2701</v>
      </c>
      <c r="O27" s="34"/>
    </row>
    <row r="28" spans="1:15" ht="21" customHeight="1" x14ac:dyDescent="0.2">
      <c r="A28" s="20">
        <v>1901029000</v>
      </c>
      <c r="B28" s="8" t="s">
        <v>1779</v>
      </c>
      <c r="C28" s="47" t="s">
        <v>1780</v>
      </c>
      <c r="D28" s="47"/>
      <c r="E28" s="61" t="s">
        <v>2737</v>
      </c>
      <c r="F28" s="64">
        <v>11.290931989924436</v>
      </c>
      <c r="H28">
        <v>1</v>
      </c>
      <c r="I28" s="34"/>
      <c r="J28" s="34"/>
      <c r="K28" s="34">
        <v>11.290931989924436</v>
      </c>
      <c r="O28" s="34">
        <v>1901028000</v>
      </c>
    </row>
    <row r="29" spans="1:15" ht="21" customHeight="1" x14ac:dyDescent="0.2">
      <c r="A29" s="20">
        <v>1901028000</v>
      </c>
      <c r="B29" s="8" t="s">
        <v>1781</v>
      </c>
      <c r="C29" s="47" t="s">
        <v>1782</v>
      </c>
      <c r="D29" s="47"/>
      <c r="E29" s="61" t="s">
        <v>594</v>
      </c>
      <c r="F29" s="61">
        <v>1</v>
      </c>
      <c r="H29">
        <v>1</v>
      </c>
      <c r="I29" s="34"/>
      <c r="J29" s="34"/>
      <c r="K29" s="34"/>
      <c r="O29" s="34"/>
    </row>
    <row r="30" spans="1:15" ht="21" customHeight="1" x14ac:dyDescent="0.2">
      <c r="A30" s="20">
        <v>603035000</v>
      </c>
      <c r="B30" s="8" t="s">
        <v>1783</v>
      </c>
      <c r="C30" s="47" t="s">
        <v>1784</v>
      </c>
      <c r="D30" s="47"/>
      <c r="E30" s="61" t="s">
        <v>594</v>
      </c>
      <c r="F30" s="62">
        <v>1</v>
      </c>
      <c r="H30">
        <v>1</v>
      </c>
      <c r="I30" s="34"/>
      <c r="J30" s="34"/>
      <c r="K30" s="34"/>
      <c r="O30" s="34"/>
    </row>
    <row r="31" spans="1:15" ht="21" customHeight="1" x14ac:dyDescent="0.2">
      <c r="A31" s="20">
        <v>603030000</v>
      </c>
      <c r="B31" s="8" t="s">
        <v>1785</v>
      </c>
      <c r="C31" s="47" t="s">
        <v>1784</v>
      </c>
      <c r="D31" s="47" t="s">
        <v>1786</v>
      </c>
      <c r="E31" s="61" t="s">
        <v>594</v>
      </c>
      <c r="F31" s="62">
        <v>1</v>
      </c>
      <c r="G31">
        <v>0.38</v>
      </c>
      <c r="H31">
        <v>1</v>
      </c>
      <c r="I31" s="34"/>
      <c r="J31" s="34"/>
      <c r="K31" s="34"/>
      <c r="L31" s="38" t="s">
        <v>2706</v>
      </c>
      <c r="M31" s="37" t="s">
        <v>2710</v>
      </c>
      <c r="N31" s="39" t="s">
        <v>162</v>
      </c>
      <c r="O31" s="34"/>
    </row>
    <row r="32" spans="1:15" ht="21" customHeight="1" x14ac:dyDescent="0.2">
      <c r="A32" s="20">
        <v>603032000</v>
      </c>
      <c r="B32" s="8" t="s">
        <v>1787</v>
      </c>
      <c r="C32" s="47" t="s">
        <v>1784</v>
      </c>
      <c r="D32" s="47" t="s">
        <v>1788</v>
      </c>
      <c r="E32" s="61" t="s">
        <v>594</v>
      </c>
      <c r="F32" s="62">
        <v>1</v>
      </c>
      <c r="G32">
        <v>0.32</v>
      </c>
      <c r="H32">
        <v>1</v>
      </c>
      <c r="I32" s="34"/>
      <c r="J32" s="34"/>
      <c r="K32" s="34"/>
      <c r="L32" s="44" t="s">
        <v>2706</v>
      </c>
      <c r="M32" s="44" t="s">
        <v>2712</v>
      </c>
      <c r="N32" s="44" t="s">
        <v>162</v>
      </c>
      <c r="O32" s="34"/>
    </row>
    <row r="33" spans="1:15" ht="21" customHeight="1" x14ac:dyDescent="0.2">
      <c r="A33" s="20">
        <v>602031000</v>
      </c>
      <c r="B33" s="8" t="s">
        <v>1789</v>
      </c>
      <c r="C33" s="47" t="s">
        <v>1790</v>
      </c>
      <c r="D33" s="47" t="s">
        <v>1788</v>
      </c>
      <c r="E33" s="61" t="s">
        <v>594</v>
      </c>
      <c r="F33" s="62">
        <v>1</v>
      </c>
      <c r="H33">
        <v>1</v>
      </c>
      <c r="I33" s="34"/>
      <c r="J33" s="34"/>
      <c r="K33" s="34"/>
      <c r="O33" s="34"/>
    </row>
    <row r="34" spans="1:15" ht="21" customHeight="1" x14ac:dyDescent="0.2">
      <c r="A34" s="20">
        <v>603034000</v>
      </c>
      <c r="B34" s="8" t="s">
        <v>1791</v>
      </c>
      <c r="C34" s="47" t="s">
        <v>1784</v>
      </c>
      <c r="D34" s="47" t="s">
        <v>1792</v>
      </c>
      <c r="E34" s="61" t="s">
        <v>594</v>
      </c>
      <c r="F34" s="62">
        <v>1</v>
      </c>
      <c r="G34">
        <v>0.33799999999999997</v>
      </c>
      <c r="H34">
        <v>1</v>
      </c>
      <c r="I34" s="34"/>
      <c r="J34" s="34"/>
      <c r="K34" s="34"/>
      <c r="L34" s="30">
        <v>41301020</v>
      </c>
      <c r="M34" s="31" t="s">
        <v>2493</v>
      </c>
      <c r="N34" s="32" t="s">
        <v>2491</v>
      </c>
      <c r="O34" s="34"/>
    </row>
    <row r="35" spans="1:15" ht="21" customHeight="1" x14ac:dyDescent="0.2">
      <c r="A35" s="20">
        <v>602033000</v>
      </c>
      <c r="B35" s="8" t="s">
        <v>1793</v>
      </c>
      <c r="C35" s="47" t="s">
        <v>1794</v>
      </c>
      <c r="D35" s="47" t="s">
        <v>1792</v>
      </c>
      <c r="E35" s="61" t="s">
        <v>594</v>
      </c>
      <c r="F35" s="62">
        <v>1</v>
      </c>
      <c r="G35">
        <v>0.27800000000000002</v>
      </c>
      <c r="H35">
        <v>1</v>
      </c>
      <c r="I35" s="34"/>
      <c r="J35" s="34"/>
      <c r="K35" s="34"/>
      <c r="L35" s="30">
        <v>75223011</v>
      </c>
      <c r="M35" s="31" t="s">
        <v>2492</v>
      </c>
      <c r="N35" s="32" t="s">
        <v>2491</v>
      </c>
      <c r="O35" s="34"/>
    </row>
    <row r="36" spans="1:15" ht="21" customHeight="1" x14ac:dyDescent="0.2">
      <c r="A36" s="20">
        <v>603036000</v>
      </c>
      <c r="B36" s="8" t="s">
        <v>1795</v>
      </c>
      <c r="C36" s="47" t="s">
        <v>1784</v>
      </c>
      <c r="D36" s="47"/>
      <c r="E36" s="61" t="s">
        <v>594</v>
      </c>
      <c r="F36" s="62">
        <v>1</v>
      </c>
      <c r="G36">
        <v>0.36799999999999999</v>
      </c>
      <c r="H36">
        <v>1</v>
      </c>
      <c r="I36" s="34"/>
      <c r="J36" s="34"/>
      <c r="K36" s="34"/>
      <c r="L36" s="30">
        <v>41106020</v>
      </c>
      <c r="M36" s="31" t="s">
        <v>2494</v>
      </c>
      <c r="N36" s="32" t="s">
        <v>2491</v>
      </c>
      <c r="O36" s="34"/>
    </row>
    <row r="37" spans="1:15" ht="21" customHeight="1" x14ac:dyDescent="0.2">
      <c r="A37" s="20">
        <v>603038000</v>
      </c>
      <c r="B37" s="8" t="s">
        <v>1796</v>
      </c>
      <c r="C37" s="47" t="s">
        <v>1784</v>
      </c>
      <c r="D37" s="47"/>
      <c r="E37" s="61" t="s">
        <v>594</v>
      </c>
      <c r="F37" s="62">
        <v>1</v>
      </c>
      <c r="G37">
        <v>0.36799999999999999</v>
      </c>
      <c r="H37">
        <v>1</v>
      </c>
      <c r="I37" s="34"/>
      <c r="J37" s="34"/>
      <c r="K37" s="34"/>
      <c r="L37" s="30">
        <v>75204011</v>
      </c>
      <c r="M37" s="31" t="s">
        <v>2496</v>
      </c>
      <c r="N37" s="32" t="s">
        <v>2491</v>
      </c>
      <c r="O37" s="34"/>
    </row>
    <row r="38" spans="1:15" ht="21" customHeight="1" x14ac:dyDescent="0.2">
      <c r="A38" s="20">
        <v>602037000</v>
      </c>
      <c r="B38" s="8" t="s">
        <v>1797</v>
      </c>
      <c r="C38" s="47" t="s">
        <v>1794</v>
      </c>
      <c r="D38" s="47"/>
      <c r="E38" s="61" t="s">
        <v>594</v>
      </c>
      <c r="F38" s="62">
        <v>1</v>
      </c>
      <c r="G38">
        <v>0.33</v>
      </c>
      <c r="H38">
        <v>1</v>
      </c>
      <c r="I38" s="34"/>
      <c r="J38" s="34"/>
      <c r="K38" s="34"/>
      <c r="L38" s="30">
        <v>75102000</v>
      </c>
      <c r="M38" s="31" t="s">
        <v>2495</v>
      </c>
      <c r="N38" s="32" t="s">
        <v>2491</v>
      </c>
      <c r="O38" s="34"/>
    </row>
    <row r="39" spans="1:15" ht="21" customHeight="1" x14ac:dyDescent="0.2">
      <c r="A39" s="20">
        <v>603039000</v>
      </c>
      <c r="B39" s="8" t="s">
        <v>1798</v>
      </c>
      <c r="C39" s="47" t="s">
        <v>1784</v>
      </c>
      <c r="D39" s="47" t="s">
        <v>1799</v>
      </c>
      <c r="E39" s="61" t="s">
        <v>594</v>
      </c>
      <c r="F39" s="62">
        <v>1</v>
      </c>
      <c r="G39">
        <v>0.32299999999999995</v>
      </c>
      <c r="H39">
        <v>1</v>
      </c>
      <c r="I39" s="34"/>
      <c r="J39" s="34"/>
      <c r="K39" s="34"/>
      <c r="L39" s="30">
        <v>41108000</v>
      </c>
      <c r="M39" s="31" t="s">
        <v>2497</v>
      </c>
      <c r="N39" s="32" t="s">
        <v>2491</v>
      </c>
      <c r="O39" s="34"/>
    </row>
    <row r="40" spans="1:15" ht="21" customHeight="1" x14ac:dyDescent="0.2">
      <c r="A40" s="20">
        <v>603040000</v>
      </c>
      <c r="B40" s="8" t="s">
        <v>1800</v>
      </c>
      <c r="C40" s="47" t="s">
        <v>1784</v>
      </c>
      <c r="D40" s="47" t="s">
        <v>1801</v>
      </c>
      <c r="E40" s="61" t="s">
        <v>594</v>
      </c>
      <c r="F40" s="62">
        <v>1</v>
      </c>
      <c r="H40">
        <v>1</v>
      </c>
      <c r="I40" s="34"/>
      <c r="J40" s="34"/>
      <c r="K40" s="34"/>
      <c r="N40" s="32" t="s">
        <v>2491</v>
      </c>
      <c r="O40" s="34"/>
    </row>
    <row r="41" spans="1:15" ht="21" customHeight="1" x14ac:dyDescent="0.2">
      <c r="A41" s="20">
        <v>603041000</v>
      </c>
      <c r="B41" s="8" t="s">
        <v>1802</v>
      </c>
      <c r="C41" s="47" t="s">
        <v>1784</v>
      </c>
      <c r="D41" s="47"/>
      <c r="E41" s="61" t="s">
        <v>594</v>
      </c>
      <c r="F41" s="62">
        <v>1</v>
      </c>
      <c r="G41">
        <v>0.43</v>
      </c>
      <c r="H41">
        <v>1</v>
      </c>
      <c r="I41" s="34"/>
      <c r="J41" s="34"/>
      <c r="K41" s="34"/>
      <c r="L41" s="30">
        <v>41103060</v>
      </c>
      <c r="M41" s="31" t="s">
        <v>2498</v>
      </c>
      <c r="N41" s="32" t="s">
        <v>2491</v>
      </c>
      <c r="O41" s="34"/>
    </row>
    <row r="42" spans="1:15" ht="21" customHeight="1" x14ac:dyDescent="0.2">
      <c r="A42" s="20">
        <v>603042000</v>
      </c>
      <c r="B42" s="8" t="s">
        <v>1803</v>
      </c>
      <c r="C42" s="47" t="s">
        <v>1784</v>
      </c>
      <c r="D42" s="47" t="s">
        <v>1804</v>
      </c>
      <c r="E42" s="61" t="s">
        <v>594</v>
      </c>
      <c r="F42" s="62">
        <v>1</v>
      </c>
      <c r="G42">
        <v>0.42</v>
      </c>
      <c r="H42">
        <v>1</v>
      </c>
      <c r="I42" s="34"/>
      <c r="J42" s="34"/>
      <c r="K42" s="34"/>
      <c r="L42" s="38" t="s">
        <v>2718</v>
      </c>
      <c r="M42" s="37" t="s">
        <v>2721</v>
      </c>
      <c r="N42" s="39" t="s">
        <v>162</v>
      </c>
      <c r="O42" s="34"/>
    </row>
    <row r="43" spans="1:15" ht="21" customHeight="1" x14ac:dyDescent="0.2">
      <c r="A43" s="20">
        <v>601043000</v>
      </c>
      <c r="B43" s="8" t="s">
        <v>1805</v>
      </c>
      <c r="C43" s="47" t="s">
        <v>1790</v>
      </c>
      <c r="D43" s="47" t="s">
        <v>1806</v>
      </c>
      <c r="E43" s="65" t="s">
        <v>2724</v>
      </c>
      <c r="F43" s="62">
        <v>1.1399999999999999</v>
      </c>
      <c r="G43">
        <v>1.1399999999999999</v>
      </c>
      <c r="H43">
        <v>1</v>
      </c>
      <c r="I43" s="34"/>
      <c r="J43" s="34"/>
      <c r="K43" s="34"/>
      <c r="L43" s="44" t="s">
        <v>2706</v>
      </c>
      <c r="M43" s="45" t="s">
        <v>2709</v>
      </c>
      <c r="N43" s="39" t="s">
        <v>162</v>
      </c>
      <c r="O43" s="34"/>
    </row>
    <row r="44" spans="1:15" ht="21" customHeight="1" x14ac:dyDescent="0.2">
      <c r="A44" s="20">
        <v>9500186100</v>
      </c>
      <c r="B44" s="8" t="s">
        <v>1807</v>
      </c>
      <c r="C44" s="47" t="s">
        <v>1808</v>
      </c>
      <c r="D44" s="47" t="s">
        <v>1809</v>
      </c>
      <c r="E44" s="61" t="s">
        <v>594</v>
      </c>
      <c r="F44" s="62">
        <v>1</v>
      </c>
      <c r="H44">
        <v>1</v>
      </c>
      <c r="I44" s="34"/>
      <c r="J44" s="34"/>
      <c r="K44" s="34"/>
      <c r="L44" s="30">
        <v>28410000</v>
      </c>
      <c r="M44" s="31" t="s">
        <v>1807</v>
      </c>
      <c r="O44" s="34"/>
    </row>
    <row r="45" spans="1:15" ht="21" customHeight="1" x14ac:dyDescent="0.2">
      <c r="A45" s="20">
        <v>3100047000</v>
      </c>
      <c r="B45" s="8" t="s">
        <v>1810</v>
      </c>
      <c r="C45" s="47" t="s">
        <v>1811</v>
      </c>
      <c r="D45" s="47"/>
      <c r="E45" s="61" t="s">
        <v>594</v>
      </c>
      <c r="F45" s="62">
        <v>1</v>
      </c>
      <c r="H45">
        <v>1</v>
      </c>
      <c r="I45" s="34"/>
      <c r="J45" s="34"/>
      <c r="K45" s="34"/>
      <c r="O45" s="34"/>
    </row>
    <row r="46" spans="1:15" ht="21" customHeight="1" x14ac:dyDescent="0.2">
      <c r="A46" s="20">
        <v>3100049000</v>
      </c>
      <c r="B46" s="8" t="s">
        <v>1812</v>
      </c>
      <c r="C46" s="47" t="s">
        <v>1813</v>
      </c>
      <c r="D46" s="47"/>
      <c r="E46" s="61" t="s">
        <v>594</v>
      </c>
      <c r="F46" s="62">
        <v>1</v>
      </c>
      <c r="H46">
        <v>1</v>
      </c>
      <c r="I46" s="34"/>
      <c r="J46" s="34"/>
      <c r="K46" s="34"/>
      <c r="O46" s="34"/>
    </row>
    <row r="47" spans="1:15" ht="21" customHeight="1" x14ac:dyDescent="0.2">
      <c r="A47" s="20">
        <v>3100044000</v>
      </c>
      <c r="B47" s="8" t="s">
        <v>1814</v>
      </c>
      <c r="C47" s="47" t="s">
        <v>1815</v>
      </c>
      <c r="D47" s="47" t="s">
        <v>1816</v>
      </c>
      <c r="E47" s="61" t="s">
        <v>594</v>
      </c>
      <c r="F47" s="62">
        <v>1</v>
      </c>
      <c r="H47">
        <v>1</v>
      </c>
      <c r="I47" s="34"/>
      <c r="J47" s="34"/>
      <c r="K47" s="34"/>
      <c r="O47" s="34"/>
    </row>
    <row r="48" spans="1:15" ht="21" customHeight="1" x14ac:dyDescent="0.2">
      <c r="A48" s="20">
        <v>3100046000</v>
      </c>
      <c r="B48" s="8" t="s">
        <v>1817</v>
      </c>
      <c r="C48" s="47" t="s">
        <v>1818</v>
      </c>
      <c r="D48" s="47" t="s">
        <v>1819</v>
      </c>
      <c r="E48" s="61" t="s">
        <v>594</v>
      </c>
      <c r="F48" s="62">
        <v>1</v>
      </c>
      <c r="H48">
        <v>1</v>
      </c>
      <c r="I48" s="34"/>
      <c r="J48" s="34"/>
      <c r="K48" s="34"/>
      <c r="O48" s="34"/>
    </row>
    <row r="49" spans="1:15" ht="21" customHeight="1" x14ac:dyDescent="0.2">
      <c r="A49" s="20">
        <v>3100045000</v>
      </c>
      <c r="B49" s="8" t="s">
        <v>1820</v>
      </c>
      <c r="C49" s="47" t="s">
        <v>1821</v>
      </c>
      <c r="D49" s="47"/>
      <c r="E49" s="61" t="s">
        <v>2724</v>
      </c>
      <c r="F49" s="62">
        <v>1.38</v>
      </c>
      <c r="G49">
        <v>1.38</v>
      </c>
      <c r="H49">
        <v>1</v>
      </c>
      <c r="I49" s="34"/>
      <c r="J49" s="34"/>
      <c r="K49" s="34"/>
      <c r="L49" s="56">
        <v>21602000</v>
      </c>
      <c r="M49" s="57" t="s">
        <v>2738</v>
      </c>
      <c r="N49" s="58" t="s">
        <v>53</v>
      </c>
      <c r="O49" s="34" t="s">
        <v>2689</v>
      </c>
    </row>
    <row r="50" spans="1:15" ht="21" customHeight="1" x14ac:dyDescent="0.2">
      <c r="A50" s="20">
        <v>101050000</v>
      </c>
      <c r="B50" s="8" t="s">
        <v>1822</v>
      </c>
      <c r="C50" s="47" t="s">
        <v>1823</v>
      </c>
      <c r="D50" s="47"/>
      <c r="E50" s="63" t="s">
        <v>2736</v>
      </c>
      <c r="F50" s="62">
        <v>1.1100000000000001</v>
      </c>
      <c r="G50">
        <v>1.49</v>
      </c>
      <c r="H50">
        <v>1</v>
      </c>
      <c r="I50" s="34">
        <v>1.111</v>
      </c>
      <c r="J50" s="34"/>
      <c r="K50" s="34"/>
      <c r="L50" s="30">
        <v>75102500</v>
      </c>
      <c r="M50" s="31" t="s">
        <v>2501</v>
      </c>
      <c r="N50" s="32" t="s">
        <v>2502</v>
      </c>
      <c r="O50" s="34"/>
    </row>
    <row r="51" spans="1:15" ht="21" customHeight="1" x14ac:dyDescent="0.2">
      <c r="A51" s="20">
        <v>200051000</v>
      </c>
      <c r="B51" s="8" t="s">
        <v>1824</v>
      </c>
      <c r="C51" s="47" t="s">
        <v>1760</v>
      </c>
      <c r="D51" s="47" t="s">
        <v>1825</v>
      </c>
      <c r="E51" s="61" t="s">
        <v>2724</v>
      </c>
      <c r="F51" s="62">
        <v>1.79</v>
      </c>
      <c r="G51">
        <v>1.79</v>
      </c>
      <c r="H51">
        <v>1</v>
      </c>
      <c r="I51" s="34"/>
      <c r="J51" s="34"/>
      <c r="K51" s="34"/>
      <c r="L51" s="30">
        <v>72101100</v>
      </c>
      <c r="M51" s="31" t="s">
        <v>2499</v>
      </c>
      <c r="N51" s="32" t="s">
        <v>2500</v>
      </c>
      <c r="O51" s="34"/>
    </row>
    <row r="52" spans="1:15" ht="21" customHeight="1" x14ac:dyDescent="0.2">
      <c r="A52" s="20">
        <v>101052000</v>
      </c>
      <c r="B52" s="8" t="s">
        <v>1826</v>
      </c>
      <c r="C52" s="47" t="s">
        <v>1827</v>
      </c>
      <c r="D52" s="47" t="s">
        <v>1828</v>
      </c>
      <c r="E52" s="61" t="s">
        <v>2724</v>
      </c>
      <c r="F52" s="62">
        <v>1</v>
      </c>
      <c r="G52">
        <v>1</v>
      </c>
      <c r="H52">
        <v>1</v>
      </c>
      <c r="I52" s="34"/>
      <c r="J52" s="34"/>
      <c r="K52" s="34"/>
      <c r="L52" s="30">
        <v>91104200</v>
      </c>
      <c r="M52" s="31" t="s">
        <v>2503</v>
      </c>
      <c r="N52" s="32" t="s">
        <v>2471</v>
      </c>
      <c r="O52" s="34"/>
    </row>
    <row r="53" spans="1:15" ht="21" customHeight="1" x14ac:dyDescent="0.2">
      <c r="A53" s="20">
        <v>101053000</v>
      </c>
      <c r="B53" s="8" t="s">
        <v>1829</v>
      </c>
      <c r="C53" s="47" t="s">
        <v>1830</v>
      </c>
      <c r="D53" s="47"/>
      <c r="E53" s="61" t="s">
        <v>2724</v>
      </c>
      <c r="F53" s="62">
        <v>1</v>
      </c>
      <c r="G53">
        <v>1</v>
      </c>
      <c r="H53">
        <v>1</v>
      </c>
      <c r="I53" s="34"/>
      <c r="J53" s="34"/>
      <c r="K53" s="34"/>
      <c r="L53" s="30">
        <v>91303000</v>
      </c>
      <c r="M53" s="31" t="s">
        <v>2504</v>
      </c>
      <c r="N53" s="32" t="s">
        <v>2471</v>
      </c>
      <c r="O53" s="34"/>
    </row>
    <row r="54" spans="1:15" ht="21" customHeight="1" x14ac:dyDescent="0.2">
      <c r="A54" s="20">
        <v>9500054000</v>
      </c>
      <c r="B54" s="8" t="s">
        <v>1831</v>
      </c>
      <c r="C54" s="47" t="s">
        <v>1760</v>
      </c>
      <c r="D54" s="47" t="s">
        <v>1832</v>
      </c>
      <c r="E54" s="61" t="s">
        <v>2724</v>
      </c>
      <c r="F54" s="62">
        <v>1.1459999999999999</v>
      </c>
      <c r="G54">
        <v>1.1459999999999999</v>
      </c>
      <c r="H54">
        <v>1</v>
      </c>
      <c r="I54" s="34"/>
      <c r="J54" s="34"/>
      <c r="K54" s="34"/>
      <c r="L54" s="30">
        <v>72116000</v>
      </c>
      <c r="M54" s="31" t="s">
        <v>2505</v>
      </c>
      <c r="N54" s="32" t="s">
        <v>2500</v>
      </c>
      <c r="O54" s="34"/>
    </row>
    <row r="55" spans="1:15" ht="21" customHeight="1" x14ac:dyDescent="0.2">
      <c r="A55" s="20">
        <v>1301055000</v>
      </c>
      <c r="B55" s="8" t="s">
        <v>1833</v>
      </c>
      <c r="C55" s="47" t="s">
        <v>1834</v>
      </c>
      <c r="D55" s="47" t="s">
        <v>1835</v>
      </c>
      <c r="E55" s="65" t="s">
        <v>2724</v>
      </c>
      <c r="F55" s="62">
        <v>1.04</v>
      </c>
      <c r="G55">
        <v>1.04</v>
      </c>
      <c r="H55">
        <v>1</v>
      </c>
      <c r="I55" s="34"/>
      <c r="J55" s="34"/>
      <c r="K55" s="34"/>
      <c r="L55" s="30">
        <v>63201010</v>
      </c>
      <c r="M55" s="31" t="s">
        <v>2506</v>
      </c>
      <c r="N55" s="32" t="s">
        <v>2507</v>
      </c>
      <c r="O55" s="34"/>
    </row>
    <row r="56" spans="1:15" ht="21" customHeight="1" x14ac:dyDescent="0.2">
      <c r="A56" s="20">
        <v>1301056000</v>
      </c>
      <c r="B56" s="8" t="s">
        <v>1836</v>
      </c>
      <c r="C56" s="47" t="s">
        <v>1742</v>
      </c>
      <c r="D56" s="47" t="s">
        <v>1835</v>
      </c>
      <c r="E56" s="65" t="s">
        <v>2724</v>
      </c>
      <c r="F56" s="62">
        <v>1.3</v>
      </c>
      <c r="G56">
        <v>1.3</v>
      </c>
      <c r="H56">
        <v>1</v>
      </c>
      <c r="I56" s="34"/>
      <c r="J56" s="34"/>
      <c r="K56" s="34"/>
      <c r="L56" s="30">
        <v>64104600</v>
      </c>
      <c r="M56" s="31" t="s">
        <v>2508</v>
      </c>
      <c r="N56" s="32" t="s">
        <v>2507</v>
      </c>
      <c r="O56" s="34" t="s">
        <v>2689</v>
      </c>
    </row>
    <row r="57" spans="1:15" ht="21" customHeight="1" x14ac:dyDescent="0.2">
      <c r="A57" s="20">
        <v>1302057000</v>
      </c>
      <c r="B57" s="8" t="s">
        <v>1837</v>
      </c>
      <c r="C57" s="47" t="s">
        <v>1834</v>
      </c>
      <c r="D57" s="47" t="s">
        <v>1838</v>
      </c>
      <c r="E57" s="65" t="s">
        <v>2724</v>
      </c>
      <c r="F57" s="62">
        <v>1.05</v>
      </c>
      <c r="G57">
        <v>1.05</v>
      </c>
      <c r="H57">
        <v>1.0526315789473684</v>
      </c>
      <c r="I57" s="34"/>
      <c r="J57" s="34"/>
      <c r="K57" s="34"/>
      <c r="L57" s="30">
        <v>63203010</v>
      </c>
      <c r="M57" s="31" t="s">
        <v>2509</v>
      </c>
      <c r="N57" s="32" t="s">
        <v>2507</v>
      </c>
      <c r="O57" s="34"/>
    </row>
    <row r="58" spans="1:15" ht="21" customHeight="1" x14ac:dyDescent="0.2">
      <c r="A58" s="20">
        <v>1301058000</v>
      </c>
      <c r="B58" s="8" t="s">
        <v>1839</v>
      </c>
      <c r="C58" s="47" t="s">
        <v>1834</v>
      </c>
      <c r="D58" s="47"/>
      <c r="E58" s="65" t="s">
        <v>2724</v>
      </c>
      <c r="F58" s="62">
        <v>1.04</v>
      </c>
      <c r="G58">
        <v>1.04</v>
      </c>
      <c r="H58">
        <v>1</v>
      </c>
      <c r="I58" s="34"/>
      <c r="J58" s="34"/>
      <c r="K58" s="34"/>
      <c r="L58" s="30">
        <v>63205010</v>
      </c>
      <c r="M58" s="31" t="s">
        <v>2510</v>
      </c>
      <c r="N58" s="32" t="s">
        <v>2507</v>
      </c>
      <c r="O58" s="34"/>
    </row>
    <row r="59" spans="1:15" ht="21" customHeight="1" x14ac:dyDescent="0.2">
      <c r="A59" s="20">
        <v>1400059000</v>
      </c>
      <c r="B59" s="8" t="s">
        <v>1840</v>
      </c>
      <c r="C59" s="47" t="s">
        <v>1729</v>
      </c>
      <c r="D59" s="47"/>
      <c r="E59" s="61" t="s">
        <v>2724</v>
      </c>
      <c r="F59" s="62">
        <v>1</v>
      </c>
      <c r="G59">
        <v>1</v>
      </c>
      <c r="H59">
        <v>1</v>
      </c>
      <c r="I59" s="34"/>
      <c r="J59" s="34"/>
      <c r="K59" s="34"/>
      <c r="L59" s="30">
        <v>42102000</v>
      </c>
      <c r="M59" s="31" t="s">
        <v>2511</v>
      </c>
      <c r="N59" s="32" t="s">
        <v>2473</v>
      </c>
      <c r="O59" s="34"/>
    </row>
    <row r="60" spans="1:15" ht="21" customHeight="1" x14ac:dyDescent="0.2">
      <c r="A60" s="20">
        <v>2403060000</v>
      </c>
      <c r="B60" s="8" t="s">
        <v>1841</v>
      </c>
      <c r="C60" s="47" t="s">
        <v>1842</v>
      </c>
      <c r="D60" s="47"/>
      <c r="E60" s="65" t="s">
        <v>2724</v>
      </c>
      <c r="F60" s="62">
        <v>1.28</v>
      </c>
      <c r="G60">
        <v>1.28</v>
      </c>
      <c r="H60">
        <v>1</v>
      </c>
      <c r="I60" s="34"/>
      <c r="J60" s="34"/>
      <c r="K60" s="34"/>
      <c r="L60" s="38" t="s">
        <v>2706</v>
      </c>
      <c r="M60" s="37" t="s">
        <v>2711</v>
      </c>
      <c r="N60" s="39" t="s">
        <v>162</v>
      </c>
      <c r="O60" s="34"/>
    </row>
    <row r="61" spans="1:15" ht="21" customHeight="1" x14ac:dyDescent="0.2">
      <c r="A61" s="20">
        <v>500061000</v>
      </c>
      <c r="B61" s="8" t="s">
        <v>771</v>
      </c>
      <c r="C61" s="47" t="s">
        <v>1843</v>
      </c>
      <c r="D61" s="47"/>
      <c r="E61" s="65" t="s">
        <v>2724</v>
      </c>
      <c r="F61" s="62">
        <v>1.64</v>
      </c>
      <c r="G61">
        <v>1.64</v>
      </c>
      <c r="H61">
        <v>1.639344262295082</v>
      </c>
      <c r="I61" s="34"/>
      <c r="J61" s="34"/>
      <c r="K61" s="34"/>
      <c r="L61" s="30">
        <v>72201100</v>
      </c>
      <c r="M61" s="31" t="s">
        <v>2512</v>
      </c>
      <c r="N61" s="32" t="s">
        <v>2513</v>
      </c>
      <c r="O61" s="34"/>
    </row>
    <row r="62" spans="1:15" ht="21" customHeight="1" x14ac:dyDescent="0.2">
      <c r="A62" s="20">
        <v>402062000</v>
      </c>
      <c r="B62" s="8" t="s">
        <v>1844</v>
      </c>
      <c r="C62" s="47" t="s">
        <v>1845</v>
      </c>
      <c r="D62" s="47"/>
      <c r="E62" s="61" t="s">
        <v>594</v>
      </c>
      <c r="F62" s="62">
        <v>1</v>
      </c>
      <c r="G62">
        <v>0.87</v>
      </c>
      <c r="H62">
        <v>1</v>
      </c>
      <c r="I62" s="34"/>
      <c r="J62" s="34"/>
      <c r="K62" s="34"/>
      <c r="L62" s="26" t="s">
        <v>2706</v>
      </c>
      <c r="M62" s="42" t="s">
        <v>2713</v>
      </c>
      <c r="N62" s="43" t="s">
        <v>162</v>
      </c>
      <c r="O62" s="34"/>
    </row>
    <row r="63" spans="1:15" ht="21" customHeight="1" x14ac:dyDescent="0.2">
      <c r="A63" s="20">
        <v>500064000</v>
      </c>
      <c r="B63" s="8" t="s">
        <v>1846</v>
      </c>
      <c r="C63" s="47" t="s">
        <v>1847</v>
      </c>
      <c r="D63" s="47"/>
      <c r="E63" s="65" t="s">
        <v>2724</v>
      </c>
      <c r="F63" s="62">
        <v>1.1100000000000001</v>
      </c>
      <c r="G63">
        <v>1.1100000000000001</v>
      </c>
      <c r="H63">
        <v>1.1111111111111112</v>
      </c>
      <c r="I63" s="34"/>
      <c r="J63" s="34"/>
      <c r="K63" s="34"/>
      <c r="L63" s="30">
        <v>75102750</v>
      </c>
      <c r="M63" s="31" t="s">
        <v>2514</v>
      </c>
      <c r="N63" s="32" t="s">
        <v>2515</v>
      </c>
      <c r="O63" s="34"/>
    </row>
    <row r="64" spans="1:15" ht="21" customHeight="1" x14ac:dyDescent="0.2">
      <c r="A64" s="20">
        <v>1500065000</v>
      </c>
      <c r="B64" s="8" t="s">
        <v>1848</v>
      </c>
      <c r="C64" s="47" t="s">
        <v>1849</v>
      </c>
      <c r="D64" s="47"/>
      <c r="E64" s="61" t="s">
        <v>594</v>
      </c>
      <c r="F64" s="62">
        <v>1</v>
      </c>
      <c r="G64">
        <v>0.26899999999999996</v>
      </c>
      <c r="H64">
        <v>1</v>
      </c>
      <c r="I64" s="34"/>
      <c r="J64" s="34"/>
      <c r="K64" s="34"/>
      <c r="L64" s="30">
        <v>56200500</v>
      </c>
      <c r="M64" s="31" t="s">
        <v>2516</v>
      </c>
      <c r="N64" s="32" t="s">
        <v>2517</v>
      </c>
      <c r="O64" s="34"/>
    </row>
    <row r="65" spans="1:15" ht="21" customHeight="1" x14ac:dyDescent="0.2">
      <c r="A65" s="20">
        <v>101067000</v>
      </c>
      <c r="B65" s="8" t="s">
        <v>1850</v>
      </c>
      <c r="C65" s="47" t="s">
        <v>1851</v>
      </c>
      <c r="D65" s="47"/>
      <c r="E65" s="63" t="s">
        <v>2737</v>
      </c>
      <c r="F65" s="62">
        <v>1.33</v>
      </c>
      <c r="G65">
        <v>1.61</v>
      </c>
      <c r="H65">
        <v>1</v>
      </c>
      <c r="I65" s="34"/>
      <c r="J65" s="34"/>
      <c r="K65" s="34">
        <v>1.33</v>
      </c>
      <c r="L65" s="30">
        <v>75209500</v>
      </c>
      <c r="M65" s="31" t="s">
        <v>2518</v>
      </c>
      <c r="N65" s="32" t="s">
        <v>2502</v>
      </c>
      <c r="O65" s="34"/>
    </row>
    <row r="66" spans="1:15" ht="21" customHeight="1" x14ac:dyDescent="0.2">
      <c r="A66" s="20">
        <v>1400068000</v>
      </c>
      <c r="B66" s="8" t="s">
        <v>1852</v>
      </c>
      <c r="C66" s="47" t="s">
        <v>1729</v>
      </c>
      <c r="D66" s="47"/>
      <c r="E66" s="61" t="s">
        <v>594</v>
      </c>
      <c r="F66" s="62">
        <v>1</v>
      </c>
      <c r="H66">
        <v>1</v>
      </c>
      <c r="I66" s="34"/>
      <c r="J66" s="34"/>
      <c r="K66" s="34"/>
      <c r="O66" s="34"/>
    </row>
    <row r="67" spans="1:15" ht="21" customHeight="1" x14ac:dyDescent="0.2">
      <c r="A67" s="20">
        <v>500069000</v>
      </c>
      <c r="B67" s="8" t="s">
        <v>1853</v>
      </c>
      <c r="C67" s="47" t="s">
        <v>1760</v>
      </c>
      <c r="D67" s="47"/>
      <c r="E67" s="65" t="s">
        <v>2724</v>
      </c>
      <c r="F67" s="62">
        <v>1.25</v>
      </c>
      <c r="G67">
        <v>1.25</v>
      </c>
      <c r="H67">
        <v>1.25</v>
      </c>
      <c r="I67" s="34"/>
      <c r="J67" s="34"/>
      <c r="K67" s="34"/>
      <c r="L67" s="30">
        <v>75103000</v>
      </c>
      <c r="M67" s="31" t="s">
        <v>2519</v>
      </c>
      <c r="N67" s="32" t="s">
        <v>2515</v>
      </c>
      <c r="O67" s="34"/>
    </row>
    <row r="68" spans="1:15" ht="21" customHeight="1" x14ac:dyDescent="0.2">
      <c r="A68" s="20">
        <v>402070000</v>
      </c>
      <c r="B68" s="8" t="s">
        <v>1854</v>
      </c>
      <c r="C68" s="47" t="s">
        <v>1782</v>
      </c>
      <c r="D68" s="47"/>
      <c r="E68" s="61" t="s">
        <v>2724</v>
      </c>
      <c r="F68" s="62">
        <v>1.1399999999999999</v>
      </c>
      <c r="G68">
        <v>1.1399999999999999</v>
      </c>
      <c r="H68">
        <v>1</v>
      </c>
      <c r="I68" s="34"/>
      <c r="J68" s="34"/>
      <c r="K68" s="34"/>
      <c r="L68" s="30">
        <v>75104000</v>
      </c>
      <c r="M68" s="31" t="s">
        <v>2520</v>
      </c>
      <c r="N68" s="32" t="s">
        <v>2515</v>
      </c>
      <c r="O68" s="34"/>
    </row>
    <row r="69" spans="1:15" ht="21" customHeight="1" x14ac:dyDescent="0.2">
      <c r="A69" s="20">
        <v>500072000</v>
      </c>
      <c r="B69" s="8" t="s">
        <v>1855</v>
      </c>
      <c r="C69" s="47" t="s">
        <v>1760</v>
      </c>
      <c r="D69" s="47"/>
      <c r="E69" s="61" t="s">
        <v>2724</v>
      </c>
      <c r="F69" s="62">
        <v>1.08</v>
      </c>
      <c r="G69">
        <v>1.08</v>
      </c>
      <c r="H69">
        <v>1</v>
      </c>
      <c r="I69" s="34"/>
      <c r="J69" s="34"/>
      <c r="K69" s="34"/>
      <c r="L69" s="30">
        <v>72122100</v>
      </c>
      <c r="M69" s="31" t="s">
        <v>2521</v>
      </c>
      <c r="N69" s="32" t="s">
        <v>2515</v>
      </c>
      <c r="O69" s="34"/>
    </row>
    <row r="70" spans="1:15" ht="21" customHeight="1" x14ac:dyDescent="0.2">
      <c r="A70" s="20">
        <v>500071000</v>
      </c>
      <c r="B70" s="8" t="s">
        <v>1856</v>
      </c>
      <c r="C70" s="47" t="s">
        <v>1760</v>
      </c>
      <c r="D70" s="47"/>
      <c r="E70" s="61" t="s">
        <v>2724</v>
      </c>
      <c r="F70" s="62">
        <v>1.1399999999999999</v>
      </c>
      <c r="G70">
        <v>1.1399999999999999</v>
      </c>
      <c r="H70">
        <v>1</v>
      </c>
      <c r="I70" s="34"/>
      <c r="J70" s="34"/>
      <c r="K70" s="34"/>
      <c r="L70" s="30">
        <v>75104000</v>
      </c>
      <c r="M70" s="31" t="s">
        <v>2520</v>
      </c>
      <c r="N70" s="32" t="s">
        <v>2515</v>
      </c>
      <c r="O70" s="34"/>
    </row>
    <row r="71" spans="1:15" ht="21" customHeight="1" x14ac:dyDescent="0.2">
      <c r="A71" s="20">
        <v>2201073000</v>
      </c>
      <c r="B71" s="8" t="s">
        <v>1857</v>
      </c>
      <c r="C71" s="47" t="s">
        <v>1770</v>
      </c>
      <c r="D71" s="47" t="s">
        <v>1858</v>
      </c>
      <c r="E71" s="65" t="s">
        <v>2724</v>
      </c>
      <c r="F71" s="62">
        <v>1.04</v>
      </c>
      <c r="G71">
        <v>1.04</v>
      </c>
      <c r="H71">
        <v>1</v>
      </c>
      <c r="I71" s="34"/>
      <c r="J71" s="34"/>
      <c r="K71" s="34"/>
      <c r="L71" s="30">
        <v>75105500</v>
      </c>
      <c r="M71" s="31" t="s">
        <v>2522</v>
      </c>
      <c r="N71" s="32" t="s">
        <v>2481</v>
      </c>
      <c r="O71" s="34"/>
    </row>
    <row r="72" spans="1:15" ht="21" customHeight="1" x14ac:dyDescent="0.2">
      <c r="A72" s="20">
        <v>901075000</v>
      </c>
      <c r="B72" s="8" t="s">
        <v>1859</v>
      </c>
      <c r="C72" s="47" t="s">
        <v>1860</v>
      </c>
      <c r="D72" s="47" t="s">
        <v>1861</v>
      </c>
      <c r="E72" s="65" t="s">
        <v>2724</v>
      </c>
      <c r="F72" s="62">
        <v>1.96</v>
      </c>
      <c r="G72">
        <v>1.96</v>
      </c>
      <c r="H72">
        <v>1.9607843137254901</v>
      </c>
      <c r="I72" s="34"/>
      <c r="J72" s="34"/>
      <c r="K72" s="34"/>
      <c r="L72" s="30">
        <v>63109010</v>
      </c>
      <c r="M72" s="31" t="s">
        <v>2523</v>
      </c>
      <c r="N72" s="32" t="s">
        <v>2524</v>
      </c>
      <c r="O72" s="34"/>
    </row>
    <row r="73" spans="1:15" ht="21" customHeight="1" x14ac:dyDescent="0.2">
      <c r="A73" s="20">
        <v>2302077000</v>
      </c>
      <c r="B73" s="8" t="s">
        <v>1862</v>
      </c>
      <c r="C73" s="47" t="s">
        <v>1863</v>
      </c>
      <c r="D73" s="47"/>
      <c r="E73" s="61" t="s">
        <v>2724</v>
      </c>
      <c r="F73" s="62">
        <v>1</v>
      </c>
      <c r="G73">
        <v>1</v>
      </c>
      <c r="H73">
        <v>1</v>
      </c>
      <c r="I73" s="34"/>
      <c r="J73" s="34"/>
      <c r="K73" s="34"/>
      <c r="L73" s="30">
        <v>44101000</v>
      </c>
      <c r="M73" s="31" t="s">
        <v>2525</v>
      </c>
      <c r="N73" s="32" t="s">
        <v>2481</v>
      </c>
      <c r="O73" s="34"/>
    </row>
    <row r="74" spans="1:15" ht="21" customHeight="1" x14ac:dyDescent="0.2">
      <c r="A74" s="20">
        <v>101078000</v>
      </c>
      <c r="B74" s="8" t="s">
        <v>1864</v>
      </c>
      <c r="C74" s="48" t="s">
        <v>1865</v>
      </c>
      <c r="D74" s="47"/>
      <c r="E74" s="65" t="s">
        <v>2724</v>
      </c>
      <c r="F74" s="62">
        <v>1.1200000000000001</v>
      </c>
      <c r="G74">
        <v>1.1200000000000001</v>
      </c>
      <c r="H74">
        <v>1.1235955056179776</v>
      </c>
      <c r="I74" s="34"/>
      <c r="J74" s="34"/>
      <c r="K74" s="34"/>
      <c r="L74" s="30">
        <v>73101010</v>
      </c>
      <c r="M74" s="31" t="s">
        <v>2527</v>
      </c>
      <c r="N74" s="32" t="s">
        <v>873</v>
      </c>
      <c r="O74" s="34"/>
    </row>
    <row r="75" spans="1:15" ht="21" customHeight="1" x14ac:dyDescent="0.2">
      <c r="A75" s="20">
        <v>101079000</v>
      </c>
      <c r="B75" s="8" t="s">
        <v>1866</v>
      </c>
      <c r="C75" s="47" t="s">
        <v>1742</v>
      </c>
      <c r="D75" s="47"/>
      <c r="E75" s="61" t="s">
        <v>2724</v>
      </c>
      <c r="F75" s="62">
        <v>1.1200000000000001</v>
      </c>
      <c r="G75">
        <v>1.1200000000000001</v>
      </c>
      <c r="H75">
        <v>1</v>
      </c>
      <c r="I75" s="34"/>
      <c r="J75" s="34"/>
      <c r="K75" s="34"/>
      <c r="L75" s="30">
        <v>73105010</v>
      </c>
      <c r="M75" s="31" t="s">
        <v>2526</v>
      </c>
      <c r="N75" s="32" t="s">
        <v>873</v>
      </c>
      <c r="O75" s="34" t="s">
        <v>2689</v>
      </c>
    </row>
    <row r="76" spans="1:15" ht="21" customHeight="1" x14ac:dyDescent="0.2">
      <c r="A76" s="20">
        <v>1400081000</v>
      </c>
      <c r="B76" s="8" t="s">
        <v>1867</v>
      </c>
      <c r="C76" s="47" t="s">
        <v>1729</v>
      </c>
      <c r="D76" s="47"/>
      <c r="E76" s="63" t="s">
        <v>628</v>
      </c>
      <c r="F76" s="62">
        <v>1</v>
      </c>
      <c r="G76">
        <v>1.03</v>
      </c>
      <c r="H76">
        <v>1</v>
      </c>
      <c r="I76" s="34"/>
      <c r="J76" s="34"/>
      <c r="K76" s="34"/>
      <c r="L76" s="30">
        <v>42104200</v>
      </c>
      <c r="M76" s="31" t="s">
        <v>2528</v>
      </c>
      <c r="N76" s="32" t="s">
        <v>2473</v>
      </c>
      <c r="O76" s="34"/>
    </row>
    <row r="77" spans="1:15" ht="21" customHeight="1" x14ac:dyDescent="0.2">
      <c r="A77" s="22">
        <v>103082000</v>
      </c>
      <c r="B77" s="23" t="s">
        <v>1868</v>
      </c>
      <c r="C77" s="49" t="s">
        <v>1869</v>
      </c>
      <c r="D77" s="47" t="s">
        <v>1870</v>
      </c>
      <c r="E77" s="61" t="s">
        <v>594</v>
      </c>
      <c r="F77" s="62">
        <v>1</v>
      </c>
      <c r="G77">
        <v>1.0049999999999999</v>
      </c>
      <c r="H77">
        <v>1</v>
      </c>
      <c r="I77" s="35"/>
      <c r="J77" s="35"/>
      <c r="K77" s="35"/>
      <c r="L77" s="30">
        <v>71930100</v>
      </c>
      <c r="M77" s="31" t="s">
        <v>2529</v>
      </c>
      <c r="N77" s="32" t="s">
        <v>2502</v>
      </c>
      <c r="O77" s="35"/>
    </row>
    <row r="78" spans="1:15" ht="21" customHeight="1" x14ac:dyDescent="0.2">
      <c r="A78" s="20">
        <v>500083000</v>
      </c>
      <c r="B78" s="8" t="s">
        <v>875</v>
      </c>
      <c r="C78" s="47" t="s">
        <v>1843</v>
      </c>
      <c r="D78" s="47" t="s">
        <v>1871</v>
      </c>
      <c r="E78" s="65" t="s">
        <v>2724</v>
      </c>
      <c r="F78" s="62">
        <v>2.56</v>
      </c>
      <c r="G78">
        <v>2.56</v>
      </c>
      <c r="H78">
        <v>2.5641025641025639</v>
      </c>
      <c r="I78" s="34"/>
      <c r="J78" s="34"/>
      <c r="K78" s="34"/>
      <c r="L78" s="30">
        <v>75107000</v>
      </c>
      <c r="M78" s="31" t="s">
        <v>2530</v>
      </c>
      <c r="N78" s="32" t="s">
        <v>2513</v>
      </c>
      <c r="O78" s="34"/>
    </row>
    <row r="79" spans="1:15" ht="21" customHeight="1" x14ac:dyDescent="0.2">
      <c r="A79" s="20">
        <v>2202085000</v>
      </c>
      <c r="B79" s="8" t="s">
        <v>1872</v>
      </c>
      <c r="C79" s="47" t="s">
        <v>1873</v>
      </c>
      <c r="D79" s="47"/>
      <c r="E79" s="65" t="s">
        <v>2724</v>
      </c>
      <c r="F79" s="62">
        <v>1.1200000000000001</v>
      </c>
      <c r="G79">
        <v>1.1200000000000001</v>
      </c>
      <c r="H79">
        <v>1.1235955056179776</v>
      </c>
      <c r="I79" s="34"/>
      <c r="J79" s="34"/>
      <c r="K79" s="34"/>
      <c r="L79" s="30">
        <v>75109000</v>
      </c>
      <c r="M79" s="31" t="s">
        <v>2531</v>
      </c>
      <c r="N79" s="32" t="s">
        <v>1872</v>
      </c>
      <c r="O79" s="34"/>
    </row>
    <row r="80" spans="1:15" ht="21" customHeight="1" x14ac:dyDescent="0.2">
      <c r="A80" s="20">
        <v>2202086000</v>
      </c>
      <c r="B80" s="8" t="s">
        <v>1874</v>
      </c>
      <c r="C80" s="47" t="s">
        <v>1875</v>
      </c>
      <c r="D80" s="47"/>
      <c r="E80" s="61" t="s">
        <v>2724</v>
      </c>
      <c r="F80" s="62">
        <v>5</v>
      </c>
      <c r="G80">
        <v>5</v>
      </c>
      <c r="H80">
        <v>1</v>
      </c>
      <c r="I80" s="34"/>
      <c r="J80" s="34"/>
      <c r="K80" s="34"/>
      <c r="L80" s="30">
        <v>75132100</v>
      </c>
      <c r="M80" s="31" t="s">
        <v>2532</v>
      </c>
      <c r="N80" s="32" t="s">
        <v>1872</v>
      </c>
      <c r="O80" s="34"/>
    </row>
    <row r="81" spans="1:15" ht="21" customHeight="1" x14ac:dyDescent="0.2">
      <c r="A81" s="20">
        <v>902088000</v>
      </c>
      <c r="B81" s="8" t="s">
        <v>1876</v>
      </c>
      <c r="C81" s="47" t="s">
        <v>1877</v>
      </c>
      <c r="D81" s="47" t="s">
        <v>1878</v>
      </c>
      <c r="E81" s="61" t="s">
        <v>594</v>
      </c>
      <c r="F81" s="62">
        <v>1</v>
      </c>
      <c r="H81">
        <v>1</v>
      </c>
      <c r="I81" s="34"/>
      <c r="J81" s="34"/>
      <c r="K81" s="34"/>
      <c r="O81" s="34"/>
    </row>
    <row r="82" spans="1:15" ht="21" customHeight="1" x14ac:dyDescent="0.2">
      <c r="A82" s="20">
        <v>1201090000</v>
      </c>
      <c r="B82" s="8" t="s">
        <v>1879</v>
      </c>
      <c r="C82" s="47" t="s">
        <v>1880</v>
      </c>
      <c r="D82" s="47" t="s">
        <v>1881</v>
      </c>
      <c r="E82" s="65" t="s">
        <v>2724</v>
      </c>
      <c r="F82" s="62">
        <v>1.0900000000000001</v>
      </c>
      <c r="G82">
        <v>1.0900000000000001</v>
      </c>
      <c r="H82">
        <v>1.0989010989010988</v>
      </c>
      <c r="I82" s="34"/>
      <c r="J82" s="34"/>
      <c r="K82" s="34"/>
      <c r="L82" s="30">
        <v>63115010</v>
      </c>
      <c r="M82" s="31" t="s">
        <v>2533</v>
      </c>
      <c r="N82" s="32" t="s">
        <v>2468</v>
      </c>
      <c r="O82" s="34"/>
    </row>
    <row r="83" spans="1:15" ht="21" customHeight="1" x14ac:dyDescent="0.2">
      <c r="A83" s="20">
        <v>1201091000</v>
      </c>
      <c r="B83" s="8" t="s">
        <v>1882</v>
      </c>
      <c r="C83" s="47" t="s">
        <v>1742</v>
      </c>
      <c r="D83" s="47" t="s">
        <v>1881</v>
      </c>
      <c r="E83" s="61" t="s">
        <v>594</v>
      </c>
      <c r="F83" s="62">
        <v>1</v>
      </c>
      <c r="H83">
        <v>1</v>
      </c>
      <c r="I83" s="34"/>
      <c r="J83" s="34"/>
      <c r="K83" s="34"/>
      <c r="O83" s="34" t="s">
        <v>2689</v>
      </c>
    </row>
    <row r="84" spans="1:15" ht="21" customHeight="1" x14ac:dyDescent="0.2">
      <c r="A84" s="20">
        <v>1400092000</v>
      </c>
      <c r="B84" s="8" t="s">
        <v>1883</v>
      </c>
      <c r="C84" s="47" t="s">
        <v>1884</v>
      </c>
      <c r="D84" s="47"/>
      <c r="E84" s="61" t="s">
        <v>2724</v>
      </c>
      <c r="F84" s="62">
        <v>1.24</v>
      </c>
      <c r="G84">
        <v>1.24</v>
      </c>
      <c r="H84">
        <v>1</v>
      </c>
      <c r="I84" s="34"/>
      <c r="J84" s="34"/>
      <c r="K84" s="34"/>
      <c r="L84" s="30">
        <v>42105000</v>
      </c>
      <c r="M84" s="31" t="s">
        <v>2534</v>
      </c>
      <c r="N84" s="32" t="s">
        <v>2473</v>
      </c>
      <c r="O84" s="34"/>
    </row>
    <row r="85" spans="1:15" ht="21" customHeight="1" x14ac:dyDescent="0.2">
      <c r="A85" s="20">
        <v>4000096000</v>
      </c>
      <c r="B85" s="8" t="s">
        <v>1885</v>
      </c>
      <c r="C85" s="47" t="s">
        <v>1886</v>
      </c>
      <c r="D85" s="47"/>
      <c r="E85" s="61" t="s">
        <v>594</v>
      </c>
      <c r="F85" s="62">
        <v>1</v>
      </c>
      <c r="H85">
        <v>1</v>
      </c>
      <c r="I85" s="34"/>
      <c r="J85" s="34"/>
      <c r="K85" s="34"/>
      <c r="O85" s="34"/>
    </row>
    <row r="86" spans="1:15" ht="21" customHeight="1" x14ac:dyDescent="0.2">
      <c r="A86" s="20">
        <v>4000094000</v>
      </c>
      <c r="B86" s="8" t="s">
        <v>1887</v>
      </c>
      <c r="C86" s="47" t="s">
        <v>1888</v>
      </c>
      <c r="D86" s="47"/>
      <c r="E86" s="61" t="s">
        <v>594</v>
      </c>
      <c r="F86" s="62">
        <v>1</v>
      </c>
      <c r="H86">
        <v>1</v>
      </c>
      <c r="I86" s="34"/>
      <c r="J86" s="34"/>
      <c r="K86" s="34"/>
      <c r="O86" s="34"/>
    </row>
    <row r="87" spans="1:15" ht="21" customHeight="1" x14ac:dyDescent="0.2">
      <c r="A87" s="20">
        <v>4000093000</v>
      </c>
      <c r="B87" s="8" t="s">
        <v>1889</v>
      </c>
      <c r="C87" s="47" t="s">
        <v>1890</v>
      </c>
      <c r="D87" s="47"/>
      <c r="E87" s="61" t="s">
        <v>594</v>
      </c>
      <c r="F87" s="62">
        <v>1</v>
      </c>
      <c r="H87">
        <v>1</v>
      </c>
      <c r="I87" s="34"/>
      <c r="J87" s="34"/>
      <c r="K87" s="34"/>
      <c r="O87" s="34"/>
    </row>
    <row r="88" spans="1:15" ht="21" customHeight="1" x14ac:dyDescent="0.2">
      <c r="A88" s="20">
        <v>4000095000</v>
      </c>
      <c r="B88" s="8" t="s">
        <v>1891</v>
      </c>
      <c r="C88" s="47" t="s">
        <v>1892</v>
      </c>
      <c r="D88" s="47" t="s">
        <v>1893</v>
      </c>
      <c r="E88" s="61" t="s">
        <v>594</v>
      </c>
      <c r="F88" s="62">
        <v>1</v>
      </c>
      <c r="H88">
        <v>1</v>
      </c>
      <c r="I88" s="34"/>
      <c r="J88" s="34"/>
      <c r="K88" s="34"/>
      <c r="O88" s="34"/>
    </row>
    <row r="89" spans="1:15" ht="21" customHeight="1" x14ac:dyDescent="0.2">
      <c r="A89" s="20">
        <v>4000097000</v>
      </c>
      <c r="B89" s="8" t="s">
        <v>1894</v>
      </c>
      <c r="C89" s="47" t="s">
        <v>1895</v>
      </c>
      <c r="D89" s="47"/>
      <c r="E89" s="61" t="s">
        <v>594</v>
      </c>
      <c r="F89" s="62">
        <v>1</v>
      </c>
      <c r="G89">
        <v>1.3</v>
      </c>
      <c r="H89">
        <v>1</v>
      </c>
      <c r="I89" s="34"/>
      <c r="J89" s="34"/>
      <c r="K89" s="34"/>
      <c r="L89" s="30">
        <v>24198440</v>
      </c>
      <c r="M89" s="31" t="s">
        <v>2535</v>
      </c>
      <c r="N89" s="32" t="s">
        <v>283</v>
      </c>
      <c r="O89" s="34"/>
    </row>
    <row r="90" spans="1:15" ht="21" customHeight="1" x14ac:dyDescent="0.2">
      <c r="A90" s="20">
        <v>603098000</v>
      </c>
      <c r="B90" s="8" t="s">
        <v>1896</v>
      </c>
      <c r="C90" s="47" t="s">
        <v>1784</v>
      </c>
      <c r="D90" s="47" t="s">
        <v>1897</v>
      </c>
      <c r="E90" s="61" t="s">
        <v>594</v>
      </c>
      <c r="F90" s="62">
        <v>1</v>
      </c>
      <c r="G90">
        <v>0.45</v>
      </c>
      <c r="H90">
        <v>1</v>
      </c>
      <c r="I90" s="34"/>
      <c r="J90" s="34"/>
      <c r="K90" s="34"/>
      <c r="L90" s="38" t="s">
        <v>2714</v>
      </c>
      <c r="M90" s="37" t="s">
        <v>2715</v>
      </c>
      <c r="N90" s="39" t="s">
        <v>162</v>
      </c>
      <c r="O90" s="34"/>
    </row>
    <row r="91" spans="1:15" ht="21" customHeight="1" x14ac:dyDescent="0.2">
      <c r="A91" s="20">
        <v>101100000</v>
      </c>
      <c r="B91" s="8" t="s">
        <v>1898</v>
      </c>
      <c r="C91" s="47" t="s">
        <v>1851</v>
      </c>
      <c r="D91" s="47"/>
      <c r="E91" s="61" t="s">
        <v>594</v>
      </c>
      <c r="F91" s="61">
        <v>1</v>
      </c>
      <c r="H91">
        <v>1</v>
      </c>
      <c r="I91" s="34"/>
      <c r="J91" s="34"/>
      <c r="K91" s="34"/>
      <c r="L91" s="30">
        <v>92202010</v>
      </c>
      <c r="M91" s="31" t="s">
        <v>2536</v>
      </c>
      <c r="O91" s="34"/>
    </row>
    <row r="92" spans="1:15" ht="21" customHeight="1" x14ac:dyDescent="0.2">
      <c r="A92" s="20">
        <v>200101000</v>
      </c>
      <c r="B92" s="8" t="s">
        <v>1899</v>
      </c>
      <c r="C92" s="47" t="s">
        <v>1760</v>
      </c>
      <c r="D92" s="47"/>
      <c r="E92" s="61" t="s">
        <v>2724</v>
      </c>
      <c r="F92" s="62">
        <v>1.1459999999999999</v>
      </c>
      <c r="G92">
        <v>1.1459999999999999</v>
      </c>
      <c r="H92">
        <v>1</v>
      </c>
      <c r="I92" s="34"/>
      <c r="J92" s="34"/>
      <c r="K92" s="34"/>
      <c r="L92" s="30">
        <v>72116000</v>
      </c>
      <c r="M92" s="31" t="s">
        <v>2505</v>
      </c>
      <c r="N92" s="32" t="s">
        <v>2500</v>
      </c>
      <c r="O92" s="34"/>
    </row>
    <row r="93" spans="1:15" ht="21" customHeight="1" x14ac:dyDescent="0.2">
      <c r="A93" s="20">
        <v>902102000</v>
      </c>
      <c r="B93" s="8" t="s">
        <v>1900</v>
      </c>
      <c r="C93" s="47" t="s">
        <v>1901</v>
      </c>
      <c r="D93" s="47" t="s">
        <v>1902</v>
      </c>
      <c r="E93" s="65" t="s">
        <v>2724</v>
      </c>
      <c r="F93" s="62">
        <v>1.42</v>
      </c>
      <c r="G93">
        <v>1.42</v>
      </c>
      <c r="H93">
        <v>1</v>
      </c>
      <c r="I93" s="34"/>
      <c r="J93" s="34"/>
      <c r="K93" s="34"/>
      <c r="L93" s="44" t="s">
        <v>2729</v>
      </c>
      <c r="M93" s="40" t="s">
        <v>2731</v>
      </c>
      <c r="N93" s="41" t="s">
        <v>162</v>
      </c>
      <c r="O93" s="34"/>
    </row>
    <row r="94" spans="1:15" ht="21" customHeight="1" x14ac:dyDescent="0.2">
      <c r="A94" s="20">
        <v>302103000</v>
      </c>
      <c r="B94" s="8" t="s">
        <v>1903</v>
      </c>
      <c r="C94" s="47" t="s">
        <v>1904</v>
      </c>
      <c r="D94" s="47" t="s">
        <v>1905</v>
      </c>
      <c r="E94" s="65" t="s">
        <v>2724</v>
      </c>
      <c r="F94" s="62">
        <v>1</v>
      </c>
      <c r="G94">
        <v>1</v>
      </c>
      <c r="H94">
        <v>1</v>
      </c>
      <c r="I94" s="34"/>
      <c r="J94" s="34"/>
      <c r="K94" s="34"/>
      <c r="L94" s="30">
        <v>75109500</v>
      </c>
      <c r="M94" s="31" t="s">
        <v>2537</v>
      </c>
      <c r="N94" s="32" t="s">
        <v>2481</v>
      </c>
      <c r="O94" s="34"/>
    </row>
    <row r="95" spans="1:15" ht="21" customHeight="1" x14ac:dyDescent="0.2">
      <c r="A95" s="20">
        <v>401118000</v>
      </c>
      <c r="B95" s="8" t="s">
        <v>1906</v>
      </c>
      <c r="C95" s="47" t="s">
        <v>1760</v>
      </c>
      <c r="D95" s="47" t="s">
        <v>1907</v>
      </c>
      <c r="E95" s="65" t="s">
        <v>2724</v>
      </c>
      <c r="F95" s="62">
        <v>1.18</v>
      </c>
      <c r="G95">
        <v>1.18</v>
      </c>
      <c r="H95">
        <v>1</v>
      </c>
      <c r="I95" s="34"/>
      <c r="J95" s="34"/>
      <c r="K95" s="34"/>
      <c r="L95" s="30">
        <v>75109550</v>
      </c>
      <c r="M95" s="31" t="s">
        <v>2538</v>
      </c>
      <c r="N95" s="32" t="s">
        <v>2500</v>
      </c>
      <c r="O95" s="34"/>
    </row>
    <row r="96" spans="1:15" ht="21" customHeight="1" x14ac:dyDescent="0.2">
      <c r="A96" s="20">
        <v>1902105000</v>
      </c>
      <c r="B96" s="8" t="s">
        <v>1908</v>
      </c>
      <c r="C96" s="47" t="s">
        <v>1909</v>
      </c>
      <c r="D96" s="47"/>
      <c r="E96" s="61" t="s">
        <v>594</v>
      </c>
      <c r="F96" s="62">
        <v>1</v>
      </c>
      <c r="H96">
        <v>1</v>
      </c>
      <c r="I96" s="34"/>
      <c r="J96" s="34"/>
      <c r="K96" s="34"/>
      <c r="O96" s="34"/>
    </row>
    <row r="97" spans="1:15" ht="21" customHeight="1" x14ac:dyDescent="0.2">
      <c r="A97" s="20">
        <v>1001106000</v>
      </c>
      <c r="B97" s="8" t="s">
        <v>1910</v>
      </c>
      <c r="C97" s="47" t="s">
        <v>1842</v>
      </c>
      <c r="D97" s="47"/>
      <c r="E97" s="63" t="s">
        <v>2751</v>
      </c>
      <c r="F97" s="62">
        <v>2</v>
      </c>
      <c r="H97">
        <v>1</v>
      </c>
      <c r="I97" s="34"/>
      <c r="J97" s="34"/>
      <c r="K97" s="34"/>
      <c r="O97" s="34"/>
    </row>
    <row r="98" spans="1:15" ht="21" customHeight="1" x14ac:dyDescent="0.2">
      <c r="A98" s="20">
        <v>1001107000</v>
      </c>
      <c r="B98" s="8" t="s">
        <v>1911</v>
      </c>
      <c r="C98" s="47" t="s">
        <v>1912</v>
      </c>
      <c r="D98" s="47" t="s">
        <v>1913</v>
      </c>
      <c r="E98" s="63" t="s">
        <v>2752</v>
      </c>
      <c r="F98" s="62">
        <v>1.35</v>
      </c>
      <c r="H98">
        <v>1</v>
      </c>
      <c r="I98" s="34"/>
      <c r="J98" s="34"/>
      <c r="K98" s="34"/>
      <c r="O98" s="34"/>
    </row>
    <row r="99" spans="1:15" ht="21" customHeight="1" x14ac:dyDescent="0.2">
      <c r="A99" s="20">
        <v>9500109000</v>
      </c>
      <c r="B99" s="8" t="s">
        <v>1914</v>
      </c>
      <c r="C99" s="47" t="s">
        <v>1915</v>
      </c>
      <c r="D99" s="47"/>
      <c r="E99" s="61" t="s">
        <v>594</v>
      </c>
      <c r="F99" s="62">
        <v>1</v>
      </c>
      <c r="H99">
        <v>1</v>
      </c>
      <c r="I99" s="34"/>
      <c r="J99" s="34"/>
      <c r="K99" s="34"/>
      <c r="O99" s="34"/>
    </row>
    <row r="100" spans="1:15" ht="21" customHeight="1" x14ac:dyDescent="0.2">
      <c r="A100" s="20">
        <v>9500110000</v>
      </c>
      <c r="B100" s="8" t="s">
        <v>1916</v>
      </c>
      <c r="C100" s="47" t="s">
        <v>1917</v>
      </c>
      <c r="D100" s="47"/>
      <c r="E100" s="61" t="s">
        <v>594</v>
      </c>
      <c r="F100" s="62">
        <v>1</v>
      </c>
      <c r="H100">
        <v>1</v>
      </c>
      <c r="I100" s="34"/>
      <c r="J100" s="34"/>
      <c r="K100" s="34"/>
      <c r="L100" s="30">
        <v>11830150</v>
      </c>
      <c r="M100" s="31" t="s">
        <v>2539</v>
      </c>
      <c r="O100" s="34"/>
    </row>
    <row r="101" spans="1:15" ht="21" customHeight="1" x14ac:dyDescent="0.2">
      <c r="A101" s="20">
        <v>1400112000</v>
      </c>
      <c r="B101" s="8" t="s">
        <v>1918</v>
      </c>
      <c r="C101" s="47" t="s">
        <v>1919</v>
      </c>
      <c r="D101" s="47"/>
      <c r="E101" s="61" t="s">
        <v>2737</v>
      </c>
      <c r="F101" s="64">
        <v>1.8298434257687231</v>
      </c>
      <c r="G101">
        <v>0.501</v>
      </c>
      <c r="H101">
        <v>1</v>
      </c>
      <c r="I101" s="34"/>
      <c r="J101" s="34"/>
      <c r="K101" s="34">
        <v>1.8298434257687231</v>
      </c>
      <c r="L101" s="30">
        <v>42106020</v>
      </c>
      <c r="M101" s="31" t="s">
        <v>2543</v>
      </c>
      <c r="N101" s="32" t="s">
        <v>2471</v>
      </c>
      <c r="O101" s="34">
        <v>1400111000</v>
      </c>
    </row>
    <row r="102" spans="1:15" ht="21" customHeight="1" x14ac:dyDescent="0.2">
      <c r="A102" s="20">
        <v>1400111000</v>
      </c>
      <c r="B102" s="8" t="s">
        <v>1920</v>
      </c>
      <c r="C102" s="47" t="s">
        <v>1921</v>
      </c>
      <c r="D102" s="47" t="s">
        <v>1922</v>
      </c>
      <c r="E102" s="61" t="s">
        <v>2737</v>
      </c>
      <c r="F102" s="62">
        <v>1.92</v>
      </c>
      <c r="H102">
        <v>1</v>
      </c>
      <c r="I102" s="34"/>
      <c r="J102" s="34"/>
      <c r="K102" s="34">
        <v>1.92</v>
      </c>
      <c r="L102" s="30">
        <v>42106000</v>
      </c>
      <c r="M102" s="31" t="s">
        <v>2541</v>
      </c>
      <c r="O102" s="34"/>
    </row>
    <row r="103" spans="1:15" ht="21" customHeight="1" x14ac:dyDescent="0.2">
      <c r="A103" s="20">
        <v>1400113000</v>
      </c>
      <c r="B103" s="8" t="s">
        <v>1923</v>
      </c>
      <c r="C103" s="47" t="s">
        <v>1924</v>
      </c>
      <c r="D103" s="47"/>
      <c r="E103" s="61" t="s">
        <v>594</v>
      </c>
      <c r="F103" s="62">
        <v>1</v>
      </c>
      <c r="H103">
        <v>1</v>
      </c>
      <c r="I103" s="34"/>
      <c r="J103" s="34"/>
      <c r="K103" s="34"/>
      <c r="L103" s="30">
        <v>42401010</v>
      </c>
      <c r="M103" s="31" t="s">
        <v>2542</v>
      </c>
      <c r="O103" s="34"/>
    </row>
    <row r="104" spans="1:15" ht="21" customHeight="1" x14ac:dyDescent="0.2">
      <c r="A104" s="20">
        <v>1400114000</v>
      </c>
      <c r="B104" s="8" t="s">
        <v>1925</v>
      </c>
      <c r="C104" s="47" t="s">
        <v>1731</v>
      </c>
      <c r="D104" s="47"/>
      <c r="E104" s="61" t="s">
        <v>2724</v>
      </c>
      <c r="F104" s="62">
        <v>1</v>
      </c>
      <c r="G104">
        <v>1</v>
      </c>
      <c r="H104">
        <v>1</v>
      </c>
      <c r="I104" s="34"/>
      <c r="J104" s="34"/>
      <c r="K104" s="34"/>
      <c r="L104" s="30">
        <v>82101500</v>
      </c>
      <c r="M104" s="31" t="s">
        <v>2540</v>
      </c>
      <c r="N104" s="32" t="s">
        <v>2475</v>
      </c>
      <c r="O104" s="34"/>
    </row>
    <row r="105" spans="1:15" ht="21" customHeight="1" x14ac:dyDescent="0.2">
      <c r="A105" s="20">
        <v>9500116000</v>
      </c>
      <c r="B105" s="8" t="s">
        <v>1926</v>
      </c>
      <c r="C105" s="47" t="s">
        <v>1927</v>
      </c>
      <c r="D105" s="47"/>
      <c r="E105" s="63" t="s">
        <v>628</v>
      </c>
      <c r="F105" s="64">
        <v>1</v>
      </c>
      <c r="H105">
        <v>1</v>
      </c>
      <c r="I105" s="34">
        <v>2.5</v>
      </c>
      <c r="J105" s="34"/>
      <c r="K105" s="34"/>
      <c r="L105" s="30">
        <v>92103000</v>
      </c>
      <c r="M105" s="31" t="s">
        <v>2544</v>
      </c>
      <c r="O105" s="34"/>
    </row>
    <row r="106" spans="1:15" ht="21" customHeight="1" x14ac:dyDescent="0.2">
      <c r="A106" s="20">
        <v>9500115000</v>
      </c>
      <c r="B106" s="8" t="s">
        <v>1928</v>
      </c>
      <c r="C106" s="47" t="s">
        <v>1784</v>
      </c>
      <c r="D106" s="47"/>
      <c r="E106" s="63" t="s">
        <v>628</v>
      </c>
      <c r="F106" s="64">
        <v>1</v>
      </c>
      <c r="H106">
        <v>1</v>
      </c>
      <c r="I106" s="34">
        <v>1.1904761904761905</v>
      </c>
      <c r="J106" s="34"/>
      <c r="K106" s="34"/>
      <c r="L106" s="30">
        <v>92101000</v>
      </c>
      <c r="M106" s="31" t="s">
        <v>2545</v>
      </c>
      <c r="O106" s="34"/>
    </row>
    <row r="107" spans="1:15" ht="21" customHeight="1" x14ac:dyDescent="0.2">
      <c r="A107" s="20">
        <v>402117000</v>
      </c>
      <c r="B107" s="8" t="s">
        <v>1929</v>
      </c>
      <c r="C107" s="47" t="s">
        <v>1760</v>
      </c>
      <c r="D107" s="47"/>
      <c r="E107" s="65" t="s">
        <v>2724</v>
      </c>
      <c r="F107" s="62">
        <v>1.75</v>
      </c>
      <c r="G107">
        <v>1.75</v>
      </c>
      <c r="H107">
        <v>1.7543859649122806</v>
      </c>
      <c r="I107" s="34"/>
      <c r="J107" s="34"/>
      <c r="K107" s="34"/>
      <c r="L107" s="30">
        <v>72107100</v>
      </c>
      <c r="M107" s="31" t="s">
        <v>2546</v>
      </c>
      <c r="N107" s="32" t="s">
        <v>2515</v>
      </c>
      <c r="O107" s="34"/>
    </row>
    <row r="108" spans="1:15" ht="21" customHeight="1" x14ac:dyDescent="0.2">
      <c r="A108" s="20">
        <v>1902119000</v>
      </c>
      <c r="B108" s="8" t="s">
        <v>1930</v>
      </c>
      <c r="C108" s="47" t="s">
        <v>1931</v>
      </c>
      <c r="D108" s="47" t="s">
        <v>1932</v>
      </c>
      <c r="E108" s="61" t="s">
        <v>594</v>
      </c>
      <c r="F108" s="62">
        <v>1</v>
      </c>
      <c r="H108">
        <v>1</v>
      </c>
      <c r="I108" s="34"/>
      <c r="J108" s="34"/>
      <c r="K108" s="34"/>
      <c r="O108" s="34"/>
    </row>
    <row r="109" spans="1:15" ht="21" customHeight="1" x14ac:dyDescent="0.2">
      <c r="A109" s="20">
        <v>1500122000</v>
      </c>
      <c r="B109" s="8" t="s">
        <v>1933</v>
      </c>
      <c r="C109" s="47" t="s">
        <v>1774</v>
      </c>
      <c r="D109" s="47"/>
      <c r="E109" s="61" t="s">
        <v>594</v>
      </c>
      <c r="F109" s="62">
        <v>1</v>
      </c>
      <c r="H109">
        <v>1</v>
      </c>
      <c r="I109" s="34"/>
      <c r="J109" s="34"/>
      <c r="K109" s="34"/>
      <c r="O109" s="34" t="s">
        <v>2689</v>
      </c>
    </row>
    <row r="110" spans="1:15" ht="21" customHeight="1" x14ac:dyDescent="0.2">
      <c r="A110" s="20">
        <v>1500120000</v>
      </c>
      <c r="B110" s="8" t="s">
        <v>1934</v>
      </c>
      <c r="C110" s="47" t="s">
        <v>1935</v>
      </c>
      <c r="D110" s="47"/>
      <c r="E110" s="63" t="s">
        <v>628</v>
      </c>
      <c r="F110" s="64">
        <v>1</v>
      </c>
      <c r="H110">
        <v>1</v>
      </c>
      <c r="I110" s="34">
        <v>1.7</v>
      </c>
      <c r="J110" s="34"/>
      <c r="K110" s="34"/>
      <c r="O110" s="34"/>
    </row>
    <row r="111" spans="1:15" ht="21" customHeight="1" x14ac:dyDescent="0.2">
      <c r="A111" s="20">
        <v>1500121000</v>
      </c>
      <c r="B111" s="8" t="s">
        <v>1936</v>
      </c>
      <c r="C111" s="47" t="s">
        <v>1937</v>
      </c>
      <c r="D111" s="47" t="s">
        <v>1938</v>
      </c>
      <c r="E111" s="63" t="s">
        <v>628</v>
      </c>
      <c r="F111" s="64">
        <v>1</v>
      </c>
      <c r="H111">
        <v>1</v>
      </c>
      <c r="I111" s="34">
        <v>1.1200000000000001</v>
      </c>
      <c r="J111" s="34"/>
      <c r="K111" s="34"/>
      <c r="O111" s="34"/>
    </row>
    <row r="112" spans="1:15" ht="21" customHeight="1" x14ac:dyDescent="0.2">
      <c r="A112" s="20">
        <v>1500125000</v>
      </c>
      <c r="B112" s="8" t="s">
        <v>1939</v>
      </c>
      <c r="C112" s="47" t="s">
        <v>1731</v>
      </c>
      <c r="D112" s="47"/>
      <c r="E112" s="63" t="s">
        <v>628</v>
      </c>
      <c r="F112" s="64">
        <v>1</v>
      </c>
      <c r="G112">
        <v>1</v>
      </c>
      <c r="H112">
        <v>1</v>
      </c>
      <c r="I112" s="34">
        <v>35</v>
      </c>
      <c r="J112" s="34"/>
      <c r="K112" s="34"/>
      <c r="L112" s="30">
        <v>82102000</v>
      </c>
      <c r="M112" s="31" t="s">
        <v>2547</v>
      </c>
      <c r="N112" s="32" t="s">
        <v>2548</v>
      </c>
      <c r="O112" s="34"/>
    </row>
    <row r="113" spans="1:15" ht="21" customHeight="1" x14ac:dyDescent="0.2">
      <c r="A113" s="20">
        <v>1500123000</v>
      </c>
      <c r="B113" s="8" t="s">
        <v>1940</v>
      </c>
      <c r="C113" s="47" t="s">
        <v>1941</v>
      </c>
      <c r="D113" s="47"/>
      <c r="E113" s="63" t="s">
        <v>628</v>
      </c>
      <c r="F113" s="64">
        <v>1</v>
      </c>
      <c r="H113">
        <v>1</v>
      </c>
      <c r="I113" s="34">
        <v>1.63</v>
      </c>
      <c r="J113" s="34"/>
      <c r="K113" s="34"/>
      <c r="O113" s="34"/>
    </row>
    <row r="114" spans="1:15" ht="21" customHeight="1" x14ac:dyDescent="0.2">
      <c r="A114" s="20">
        <v>1500124000</v>
      </c>
      <c r="B114" s="8" t="s">
        <v>1942</v>
      </c>
      <c r="C114" s="47" t="s">
        <v>1943</v>
      </c>
      <c r="D114" s="47"/>
      <c r="E114" s="63" t="s">
        <v>628</v>
      </c>
      <c r="F114" s="64">
        <v>1</v>
      </c>
      <c r="G114">
        <v>1</v>
      </c>
      <c r="H114">
        <v>1</v>
      </c>
      <c r="I114" s="34">
        <v>1.43</v>
      </c>
      <c r="J114" s="34"/>
      <c r="K114" s="34"/>
      <c r="L114" s="30">
        <v>91301030</v>
      </c>
      <c r="M114" s="31" t="s">
        <v>2549</v>
      </c>
      <c r="N114" s="32" t="s">
        <v>2471</v>
      </c>
      <c r="O114" s="34"/>
    </row>
    <row r="115" spans="1:15" ht="21" customHeight="1" x14ac:dyDescent="0.2">
      <c r="A115" s="20">
        <v>1500126000</v>
      </c>
      <c r="B115" s="8" t="s">
        <v>1944</v>
      </c>
      <c r="C115" s="47" t="s">
        <v>1945</v>
      </c>
      <c r="D115" s="47"/>
      <c r="E115" s="61" t="s">
        <v>2724</v>
      </c>
      <c r="F115" s="61">
        <v>1</v>
      </c>
      <c r="G115">
        <v>1</v>
      </c>
      <c r="H115">
        <v>1</v>
      </c>
      <c r="I115" s="34"/>
      <c r="J115" s="34"/>
      <c r="K115" s="34"/>
      <c r="L115" s="30">
        <v>54403010</v>
      </c>
      <c r="M115" s="31" t="s">
        <v>2552</v>
      </c>
      <c r="N115" s="32" t="s">
        <v>2517</v>
      </c>
      <c r="O115" s="34" t="s">
        <v>2689</v>
      </c>
    </row>
    <row r="116" spans="1:15" ht="21" customHeight="1" x14ac:dyDescent="0.2">
      <c r="A116" s="20">
        <v>1500127000</v>
      </c>
      <c r="B116" s="8" t="s">
        <v>1946</v>
      </c>
      <c r="C116" s="47" t="s">
        <v>1945</v>
      </c>
      <c r="D116" s="47"/>
      <c r="E116" s="65" t="s">
        <v>2724</v>
      </c>
      <c r="F116" s="62">
        <v>2.78</v>
      </c>
      <c r="G116">
        <v>2.78</v>
      </c>
      <c r="H116">
        <v>2.7777777777777777</v>
      </c>
      <c r="I116" s="34"/>
      <c r="J116" s="34"/>
      <c r="K116" s="34"/>
      <c r="L116" s="30">
        <v>75109600</v>
      </c>
      <c r="M116" s="31" t="s">
        <v>2550</v>
      </c>
      <c r="N116" s="32" t="s">
        <v>2551</v>
      </c>
      <c r="O116" s="34" t="s">
        <v>2689</v>
      </c>
    </row>
    <row r="117" spans="1:15" ht="21" customHeight="1" x14ac:dyDescent="0.2">
      <c r="A117" s="20">
        <v>2003128000</v>
      </c>
      <c r="B117" s="8" t="s">
        <v>1947</v>
      </c>
      <c r="C117" s="47" t="s">
        <v>1731</v>
      </c>
      <c r="D117" s="47"/>
      <c r="E117" s="61" t="s">
        <v>2724</v>
      </c>
      <c r="F117" s="62">
        <v>1</v>
      </c>
      <c r="G117">
        <v>1</v>
      </c>
      <c r="H117">
        <v>1</v>
      </c>
      <c r="I117" s="34"/>
      <c r="J117" s="34"/>
      <c r="K117" s="34"/>
      <c r="L117" s="30">
        <v>82103000</v>
      </c>
      <c r="M117" s="31" t="s">
        <v>2553</v>
      </c>
      <c r="N117" s="32" t="s">
        <v>2548</v>
      </c>
      <c r="O117" s="34"/>
    </row>
    <row r="118" spans="1:15" ht="21" customHeight="1" x14ac:dyDescent="0.2">
      <c r="A118" s="20">
        <v>1307130000</v>
      </c>
      <c r="B118" s="8" t="s">
        <v>1948</v>
      </c>
      <c r="C118" s="47" t="s">
        <v>1834</v>
      </c>
      <c r="D118" s="47"/>
      <c r="E118" s="65" t="s">
        <v>2724</v>
      </c>
      <c r="F118" s="62">
        <v>1.02</v>
      </c>
      <c r="G118">
        <v>1.02</v>
      </c>
      <c r="H118">
        <v>1.0204081632653061</v>
      </c>
      <c r="I118" s="34"/>
      <c r="J118" s="34"/>
      <c r="K118" s="34"/>
      <c r="L118" s="30">
        <v>63207010</v>
      </c>
      <c r="M118" s="31" t="s">
        <v>2554</v>
      </c>
      <c r="N118" s="32" t="s">
        <v>2507</v>
      </c>
      <c r="O118" s="34"/>
    </row>
    <row r="119" spans="1:15" ht="21" customHeight="1" x14ac:dyDescent="0.2">
      <c r="A119" s="20">
        <v>1307131000</v>
      </c>
      <c r="B119" s="8" t="s">
        <v>1949</v>
      </c>
      <c r="C119" s="47" t="s">
        <v>1950</v>
      </c>
      <c r="D119" s="47"/>
      <c r="E119" s="61" t="s">
        <v>2737</v>
      </c>
      <c r="F119" s="64">
        <v>6.6411671924290197</v>
      </c>
      <c r="G119">
        <v>0.35299999999999998</v>
      </c>
      <c r="H119">
        <v>1</v>
      </c>
      <c r="I119" s="34"/>
      <c r="J119" s="34"/>
      <c r="K119" s="34">
        <v>6.6411671924290197</v>
      </c>
      <c r="L119" s="30">
        <v>62109100</v>
      </c>
      <c r="M119" s="31" t="s">
        <v>2555</v>
      </c>
      <c r="N119" s="32" t="s">
        <v>2507</v>
      </c>
      <c r="O119" s="34">
        <v>1307130000</v>
      </c>
    </row>
    <row r="120" spans="1:15" ht="21" customHeight="1" x14ac:dyDescent="0.2">
      <c r="A120" s="20">
        <v>1307132000</v>
      </c>
      <c r="B120" s="8" t="s">
        <v>1951</v>
      </c>
      <c r="C120" s="47" t="s">
        <v>1742</v>
      </c>
      <c r="D120" s="47"/>
      <c r="E120" s="65" t="s">
        <v>2724</v>
      </c>
      <c r="F120" s="62">
        <v>1.3</v>
      </c>
      <c r="G120">
        <v>1.3</v>
      </c>
      <c r="H120">
        <v>1</v>
      </c>
      <c r="I120" s="34"/>
      <c r="J120" s="34"/>
      <c r="K120" s="34"/>
      <c r="L120" s="30">
        <v>64105400</v>
      </c>
      <c r="M120" s="31" t="s">
        <v>2556</v>
      </c>
      <c r="N120" s="32" t="s">
        <v>2507</v>
      </c>
      <c r="O120" s="34"/>
    </row>
    <row r="121" spans="1:15" ht="21" customHeight="1" x14ac:dyDescent="0.2">
      <c r="A121" s="20">
        <v>402133000</v>
      </c>
      <c r="B121" s="8" t="s">
        <v>1952</v>
      </c>
      <c r="C121" s="47" t="s">
        <v>1760</v>
      </c>
      <c r="D121" s="47"/>
      <c r="E121" s="65" t="s">
        <v>2724</v>
      </c>
      <c r="F121" s="62">
        <v>1.41</v>
      </c>
      <c r="G121">
        <v>1.41</v>
      </c>
      <c r="H121">
        <v>1</v>
      </c>
      <c r="I121" s="34"/>
      <c r="J121" s="34"/>
      <c r="K121" s="34"/>
      <c r="L121" s="30">
        <v>72110100</v>
      </c>
      <c r="M121" s="31" t="s">
        <v>2557</v>
      </c>
      <c r="N121" s="32" t="s">
        <v>2515</v>
      </c>
      <c r="O121" s="34"/>
    </row>
    <row r="122" spans="1:15" ht="21" customHeight="1" x14ac:dyDescent="0.2">
      <c r="A122" s="20">
        <v>902135000</v>
      </c>
      <c r="B122" s="8" t="s">
        <v>845</v>
      </c>
      <c r="C122" s="47" t="s">
        <v>1953</v>
      </c>
      <c r="D122" s="47"/>
      <c r="E122" s="65" t="s">
        <v>2724</v>
      </c>
      <c r="F122" s="62">
        <v>1.03</v>
      </c>
      <c r="G122">
        <v>1.03</v>
      </c>
      <c r="H122">
        <v>1.3698630136986301</v>
      </c>
      <c r="I122" s="34"/>
      <c r="J122" s="34"/>
      <c r="K122" s="34"/>
      <c r="L122" s="30">
        <v>75111000</v>
      </c>
      <c r="M122" s="31" t="s">
        <v>2558</v>
      </c>
      <c r="N122" s="32" t="s">
        <v>2559</v>
      </c>
      <c r="O122" s="34"/>
    </row>
    <row r="123" spans="1:15" ht="21" customHeight="1" x14ac:dyDescent="0.2">
      <c r="A123" s="20">
        <v>1302137000</v>
      </c>
      <c r="B123" s="8" t="s">
        <v>1954</v>
      </c>
      <c r="C123" s="47" t="s">
        <v>1950</v>
      </c>
      <c r="D123" s="47" t="s">
        <v>1955</v>
      </c>
      <c r="E123" s="65" t="s">
        <v>2724</v>
      </c>
      <c r="F123" s="62">
        <v>5.13</v>
      </c>
      <c r="G123">
        <v>5.13</v>
      </c>
      <c r="H123">
        <v>1</v>
      </c>
      <c r="I123" s="34"/>
      <c r="J123" s="34"/>
      <c r="K123" s="34"/>
      <c r="L123" s="30">
        <v>62108100</v>
      </c>
      <c r="M123" s="31" t="s">
        <v>2560</v>
      </c>
      <c r="N123" s="32" t="s">
        <v>2507</v>
      </c>
      <c r="O123" s="34" t="s">
        <v>2689</v>
      </c>
    </row>
    <row r="124" spans="1:15" ht="21" customHeight="1" x14ac:dyDescent="0.2">
      <c r="A124" s="20">
        <v>401138000</v>
      </c>
      <c r="B124" s="8" t="s">
        <v>1956</v>
      </c>
      <c r="C124" s="47" t="s">
        <v>1760</v>
      </c>
      <c r="D124" s="47"/>
      <c r="E124" s="61" t="s">
        <v>594</v>
      </c>
      <c r="F124" s="61">
        <v>1</v>
      </c>
      <c r="G124">
        <v>0.71</v>
      </c>
      <c r="H124">
        <v>1</v>
      </c>
      <c r="I124" s="34"/>
      <c r="J124" s="34"/>
      <c r="K124" s="34"/>
      <c r="L124" s="38" t="s">
        <v>2714</v>
      </c>
      <c r="M124" s="37" t="s">
        <v>2716</v>
      </c>
      <c r="N124" s="39" t="s">
        <v>162</v>
      </c>
      <c r="O124" s="34"/>
    </row>
    <row r="125" spans="1:15" ht="21" customHeight="1" x14ac:dyDescent="0.2">
      <c r="A125" s="20">
        <v>103139000</v>
      </c>
      <c r="B125" s="8" t="s">
        <v>1957</v>
      </c>
      <c r="C125" s="47" t="s">
        <v>1958</v>
      </c>
      <c r="D125" s="47" t="s">
        <v>1959</v>
      </c>
      <c r="E125" s="61" t="s">
        <v>594</v>
      </c>
      <c r="F125" s="62">
        <v>1</v>
      </c>
      <c r="G125">
        <v>1.5409999999999999</v>
      </c>
      <c r="H125">
        <v>1</v>
      </c>
      <c r="I125" s="34"/>
      <c r="J125" s="34"/>
      <c r="K125" s="34"/>
      <c r="L125" s="30">
        <v>71962010</v>
      </c>
      <c r="M125" s="31" t="s">
        <v>2561</v>
      </c>
      <c r="N125" s="32" t="s">
        <v>2502</v>
      </c>
      <c r="O125" s="34"/>
    </row>
    <row r="126" spans="1:15" ht="21" customHeight="1" x14ac:dyDescent="0.2">
      <c r="A126" s="20">
        <v>200140000</v>
      </c>
      <c r="B126" s="8" t="s">
        <v>1960</v>
      </c>
      <c r="C126" s="47" t="s">
        <v>1961</v>
      </c>
      <c r="D126" s="47" t="s">
        <v>1959</v>
      </c>
      <c r="E126" s="61" t="s">
        <v>594</v>
      </c>
      <c r="F126" s="62">
        <v>1</v>
      </c>
      <c r="H126">
        <v>1</v>
      </c>
      <c r="I126" s="34"/>
      <c r="J126" s="34"/>
      <c r="K126" s="34"/>
      <c r="O126" s="34"/>
    </row>
    <row r="127" spans="1:15" ht="21" customHeight="1" x14ac:dyDescent="0.2">
      <c r="A127" s="20">
        <v>2303141000</v>
      </c>
      <c r="B127" s="8" t="s">
        <v>1962</v>
      </c>
      <c r="C127" s="47" t="s">
        <v>1963</v>
      </c>
      <c r="D127" s="47"/>
      <c r="E127" s="65" t="s">
        <v>2724</v>
      </c>
      <c r="F127" s="62">
        <v>1.1100000000000001</v>
      </c>
      <c r="G127">
        <v>1.1100000000000001</v>
      </c>
      <c r="H127">
        <v>1</v>
      </c>
      <c r="I127" s="34"/>
      <c r="J127" s="34"/>
      <c r="K127" s="34"/>
      <c r="L127" s="30">
        <v>62110100</v>
      </c>
      <c r="M127" s="31" t="s">
        <v>1962</v>
      </c>
      <c r="N127" s="32" t="s">
        <v>2487</v>
      </c>
      <c r="O127" s="34"/>
    </row>
    <row r="128" spans="1:15" ht="21" customHeight="1" x14ac:dyDescent="0.2">
      <c r="A128" s="20">
        <v>1902143000</v>
      </c>
      <c r="B128" s="8" t="s">
        <v>1964</v>
      </c>
      <c r="C128" s="47" t="s">
        <v>1965</v>
      </c>
      <c r="D128" s="47"/>
      <c r="E128" s="61" t="s">
        <v>594</v>
      </c>
      <c r="F128" s="62">
        <v>1</v>
      </c>
      <c r="H128">
        <v>1</v>
      </c>
      <c r="I128" s="34"/>
      <c r="J128" s="34"/>
      <c r="K128" s="34"/>
      <c r="O128" s="34"/>
    </row>
    <row r="129" spans="1:15" ht="21" customHeight="1" x14ac:dyDescent="0.2">
      <c r="A129" s="20">
        <v>401144000</v>
      </c>
      <c r="B129" s="8" t="s">
        <v>1966</v>
      </c>
      <c r="C129" s="47" t="s">
        <v>1760</v>
      </c>
      <c r="D129" s="47"/>
      <c r="E129" s="61" t="s">
        <v>594</v>
      </c>
      <c r="F129" s="62">
        <v>1</v>
      </c>
      <c r="H129">
        <v>1</v>
      </c>
      <c r="I129" s="34"/>
      <c r="J129" s="34"/>
      <c r="K129" s="34"/>
      <c r="O129" s="34"/>
    </row>
    <row r="130" spans="1:15" ht="21" customHeight="1" x14ac:dyDescent="0.2">
      <c r="A130" s="20">
        <v>7000146000</v>
      </c>
      <c r="B130" s="8" t="s">
        <v>1967</v>
      </c>
      <c r="C130" s="47" t="s">
        <v>1968</v>
      </c>
      <c r="D130" s="47"/>
      <c r="E130" s="61" t="s">
        <v>2724</v>
      </c>
      <c r="F130" s="62">
        <v>1.1399999999999999</v>
      </c>
      <c r="G130">
        <v>1.1399999999999999</v>
      </c>
      <c r="H130">
        <v>1.1363636363636365</v>
      </c>
      <c r="I130" s="34">
        <v>7.7639751552795024</v>
      </c>
      <c r="J130" s="34"/>
      <c r="K130" s="34"/>
      <c r="L130" s="30">
        <v>31108010</v>
      </c>
      <c r="M130" s="31" t="s">
        <v>2562</v>
      </c>
      <c r="N130" s="32" t="s">
        <v>2565</v>
      </c>
      <c r="O130" s="34"/>
    </row>
    <row r="131" spans="1:15" ht="21" customHeight="1" x14ac:dyDescent="0.2">
      <c r="A131" s="20">
        <v>7000145000</v>
      </c>
      <c r="B131" s="8" t="s">
        <v>1969</v>
      </c>
      <c r="C131" s="47" t="s">
        <v>1970</v>
      </c>
      <c r="D131" s="47"/>
      <c r="E131" s="65" t="s">
        <v>2724</v>
      </c>
      <c r="F131" s="62">
        <v>1.1399999999999999</v>
      </c>
      <c r="G131">
        <v>1.1399999999999999</v>
      </c>
      <c r="H131">
        <v>1.1363636363636365</v>
      </c>
      <c r="I131" s="34"/>
      <c r="J131" s="34"/>
      <c r="K131" s="34"/>
      <c r="L131" s="30">
        <v>31101010</v>
      </c>
      <c r="M131" s="31" t="s">
        <v>2563</v>
      </c>
      <c r="N131" s="32" t="s">
        <v>2565</v>
      </c>
      <c r="O131" s="34"/>
    </row>
    <row r="132" spans="1:15" ht="21" customHeight="1" x14ac:dyDescent="0.2">
      <c r="A132" s="20">
        <v>7000147000</v>
      </c>
      <c r="B132" s="8" t="s">
        <v>1971</v>
      </c>
      <c r="C132" s="47" t="s">
        <v>1972</v>
      </c>
      <c r="D132" s="47"/>
      <c r="E132" s="61" t="s">
        <v>2724</v>
      </c>
      <c r="F132" s="62">
        <v>1.1399999999999999</v>
      </c>
      <c r="G132">
        <v>1.1399999999999999</v>
      </c>
      <c r="H132">
        <v>1.1363636363636365</v>
      </c>
      <c r="I132" s="34">
        <v>2.2466861379465288</v>
      </c>
      <c r="J132" s="34"/>
      <c r="K132" s="34"/>
      <c r="L132" s="30">
        <v>31110010</v>
      </c>
      <c r="M132" s="31" t="s">
        <v>2564</v>
      </c>
      <c r="N132" s="32" t="s">
        <v>2565</v>
      </c>
      <c r="O132" s="34"/>
    </row>
    <row r="133" spans="1:15" ht="21" customHeight="1" x14ac:dyDescent="0.2">
      <c r="A133" s="20">
        <v>802148000</v>
      </c>
      <c r="B133" s="8" t="s">
        <v>884</v>
      </c>
      <c r="C133" s="47" t="s">
        <v>1973</v>
      </c>
      <c r="D133" s="47"/>
      <c r="E133" s="65" t="s">
        <v>2724</v>
      </c>
      <c r="F133" s="62">
        <v>1.23</v>
      </c>
      <c r="G133">
        <v>1.23</v>
      </c>
      <c r="H133">
        <v>1.2345679012345678</v>
      </c>
      <c r="I133" s="34"/>
      <c r="J133" s="34"/>
      <c r="K133" s="34"/>
      <c r="L133" s="30">
        <v>75111200</v>
      </c>
      <c r="M133" s="31" t="s">
        <v>2566</v>
      </c>
      <c r="N133" s="32" t="s">
        <v>2481</v>
      </c>
      <c r="O133" s="34"/>
    </row>
    <row r="134" spans="1:15" ht="21" customHeight="1" x14ac:dyDescent="0.2">
      <c r="A134" s="20">
        <v>401150000</v>
      </c>
      <c r="B134" s="8" t="s">
        <v>1974</v>
      </c>
      <c r="C134" s="47" t="s">
        <v>1760</v>
      </c>
      <c r="D134" s="47" t="s">
        <v>1975</v>
      </c>
      <c r="E134" s="65" t="s">
        <v>2724</v>
      </c>
      <c r="F134" s="62">
        <v>1.1599999999999999</v>
      </c>
      <c r="G134">
        <v>1.1599999999999999</v>
      </c>
      <c r="H134">
        <v>1</v>
      </c>
      <c r="I134" s="34"/>
      <c r="J134" s="34"/>
      <c r="K134" s="34"/>
      <c r="L134" s="38" t="s">
        <v>2714</v>
      </c>
      <c r="M134" s="37" t="s">
        <v>2717</v>
      </c>
      <c r="N134" s="39" t="s">
        <v>162</v>
      </c>
      <c r="O134" s="34"/>
    </row>
    <row r="135" spans="1:15" ht="21" customHeight="1" x14ac:dyDescent="0.2">
      <c r="A135" s="20">
        <v>2201152000</v>
      </c>
      <c r="B135" s="8" t="s">
        <v>1976</v>
      </c>
      <c r="C135" s="47" t="s">
        <v>1760</v>
      </c>
      <c r="D135" s="47" t="s">
        <v>1977</v>
      </c>
      <c r="E135" s="65" t="s">
        <v>2724</v>
      </c>
      <c r="F135" s="62">
        <v>1.1200000000000001</v>
      </c>
      <c r="G135">
        <v>1.1200000000000001</v>
      </c>
      <c r="H135">
        <v>1</v>
      </c>
      <c r="I135" s="34"/>
      <c r="J135" s="34"/>
      <c r="K135" s="34"/>
      <c r="L135" s="30">
        <v>75109010</v>
      </c>
      <c r="M135" s="31" t="s">
        <v>2567</v>
      </c>
      <c r="N135" s="32" t="s">
        <v>2481</v>
      </c>
      <c r="O135" s="34"/>
    </row>
    <row r="136" spans="1:15" ht="21" customHeight="1" x14ac:dyDescent="0.2">
      <c r="A136" s="20">
        <v>2302153000</v>
      </c>
      <c r="B136" s="8" t="s">
        <v>1978</v>
      </c>
      <c r="C136" s="47" t="s">
        <v>1877</v>
      </c>
      <c r="D136" s="47"/>
      <c r="E136" s="65" t="s">
        <v>2724</v>
      </c>
      <c r="F136" s="62">
        <v>1.01</v>
      </c>
      <c r="G136">
        <v>1.01</v>
      </c>
      <c r="H136">
        <v>1</v>
      </c>
      <c r="I136" s="34"/>
      <c r="J136" s="34"/>
      <c r="K136" s="34"/>
      <c r="L136" s="30">
        <v>63119010</v>
      </c>
      <c r="M136" s="31" t="s">
        <v>2568</v>
      </c>
      <c r="N136" s="32" t="s">
        <v>2487</v>
      </c>
      <c r="O136" s="34"/>
    </row>
    <row r="137" spans="1:15" ht="21" customHeight="1" x14ac:dyDescent="0.2">
      <c r="A137" s="20">
        <v>2302154000</v>
      </c>
      <c r="B137" s="8" t="s">
        <v>1979</v>
      </c>
      <c r="C137" s="47" t="s">
        <v>1980</v>
      </c>
      <c r="D137" s="47"/>
      <c r="E137" s="65" t="s">
        <v>2724</v>
      </c>
      <c r="F137" s="62">
        <v>3.38</v>
      </c>
      <c r="G137">
        <v>3.38</v>
      </c>
      <c r="H137">
        <v>1</v>
      </c>
      <c r="I137" s="34"/>
      <c r="J137" s="34"/>
      <c r="K137" s="34">
        <v>3.3484921014839637</v>
      </c>
      <c r="L137" s="30">
        <v>62113100</v>
      </c>
      <c r="M137" s="31" t="s">
        <v>2569</v>
      </c>
      <c r="N137" s="32" t="s">
        <v>2487</v>
      </c>
      <c r="O137" s="34">
        <v>2302153000</v>
      </c>
    </row>
    <row r="138" spans="1:15" ht="21" customHeight="1" x14ac:dyDescent="0.2">
      <c r="A138" s="20">
        <v>8000157000</v>
      </c>
      <c r="B138" s="8" t="s">
        <v>1981</v>
      </c>
      <c r="C138" s="47" t="s">
        <v>1982</v>
      </c>
      <c r="D138" s="47" t="s">
        <v>1983</v>
      </c>
      <c r="E138" s="61" t="s">
        <v>594</v>
      </c>
      <c r="F138" s="62">
        <v>1</v>
      </c>
      <c r="H138">
        <v>1</v>
      </c>
      <c r="I138" s="34"/>
      <c r="J138" s="34"/>
      <c r="K138" s="34"/>
      <c r="O138" s="34"/>
    </row>
    <row r="139" spans="1:15" ht="21" customHeight="1" x14ac:dyDescent="0.2">
      <c r="A139" s="20">
        <v>8000158000</v>
      </c>
      <c r="B139" s="8" t="s">
        <v>1984</v>
      </c>
      <c r="C139" s="47" t="s">
        <v>1982</v>
      </c>
      <c r="D139" s="47" t="s">
        <v>1985</v>
      </c>
      <c r="E139" s="61" t="s">
        <v>594</v>
      </c>
      <c r="F139" s="62">
        <v>1</v>
      </c>
      <c r="H139">
        <v>1</v>
      </c>
      <c r="I139" s="34"/>
      <c r="J139" s="34"/>
      <c r="K139" s="34"/>
      <c r="O139" s="34"/>
    </row>
    <row r="140" spans="1:15" ht="21" customHeight="1" x14ac:dyDescent="0.2">
      <c r="A140" s="20">
        <v>8000159000</v>
      </c>
      <c r="B140" s="8" t="s">
        <v>2451</v>
      </c>
      <c r="C140" s="47" t="s">
        <v>1982</v>
      </c>
      <c r="D140" s="47" t="s">
        <v>1985</v>
      </c>
      <c r="E140" s="61" t="s">
        <v>594</v>
      </c>
      <c r="F140" s="62">
        <v>1</v>
      </c>
      <c r="H140">
        <v>1</v>
      </c>
      <c r="I140" s="34"/>
      <c r="J140" s="34"/>
      <c r="K140" s="34"/>
      <c r="O140" s="34"/>
    </row>
    <row r="141" spans="1:15" ht="21" customHeight="1" x14ac:dyDescent="0.2">
      <c r="A141" s="20">
        <v>8000160000</v>
      </c>
      <c r="B141" s="8" t="s">
        <v>1986</v>
      </c>
      <c r="C141" s="47" t="s">
        <v>1982</v>
      </c>
      <c r="D141" s="47" t="s">
        <v>1985</v>
      </c>
      <c r="E141" s="61" t="s">
        <v>594</v>
      </c>
      <c r="F141" s="62">
        <v>1</v>
      </c>
      <c r="H141">
        <v>1</v>
      </c>
      <c r="I141" s="34"/>
      <c r="J141" s="34"/>
      <c r="K141" s="34"/>
      <c r="O141" s="34"/>
    </row>
    <row r="142" spans="1:15" ht="21" customHeight="1" x14ac:dyDescent="0.2">
      <c r="A142" s="20">
        <v>8000161000</v>
      </c>
      <c r="B142" s="8" t="s">
        <v>1987</v>
      </c>
      <c r="C142" s="47" t="s">
        <v>1988</v>
      </c>
      <c r="D142" s="47" t="s">
        <v>1985</v>
      </c>
      <c r="E142" s="61" t="s">
        <v>594</v>
      </c>
      <c r="F142" s="62">
        <v>1</v>
      </c>
      <c r="H142">
        <v>1</v>
      </c>
      <c r="I142" s="34"/>
      <c r="J142" s="34"/>
      <c r="K142" s="34"/>
      <c r="O142" s="34"/>
    </row>
    <row r="143" spans="1:15" ht="21" customHeight="1" x14ac:dyDescent="0.2">
      <c r="A143" s="20">
        <v>8000162000</v>
      </c>
      <c r="B143" s="8" t="s">
        <v>1989</v>
      </c>
      <c r="C143" s="47" t="s">
        <v>1990</v>
      </c>
      <c r="D143" s="47" t="s">
        <v>1985</v>
      </c>
      <c r="E143" s="61" t="s">
        <v>594</v>
      </c>
      <c r="F143" s="62">
        <v>1</v>
      </c>
      <c r="H143">
        <v>1</v>
      </c>
      <c r="I143" s="34"/>
      <c r="J143" s="34"/>
      <c r="K143" s="34"/>
      <c r="O143" s="34"/>
    </row>
    <row r="144" spans="1:15" ht="21" customHeight="1" x14ac:dyDescent="0.2">
      <c r="A144" s="20">
        <v>2001163000</v>
      </c>
      <c r="B144" s="8" t="s">
        <v>1991</v>
      </c>
      <c r="C144" s="47" t="s">
        <v>1992</v>
      </c>
      <c r="D144" s="47" t="s">
        <v>1993</v>
      </c>
      <c r="E144" s="63" t="s">
        <v>628</v>
      </c>
      <c r="F144" s="64">
        <v>1</v>
      </c>
      <c r="G144">
        <v>1</v>
      </c>
      <c r="H144">
        <v>1</v>
      </c>
      <c r="I144" s="34">
        <v>2.8554216867469879</v>
      </c>
      <c r="J144" s="34"/>
      <c r="K144" s="34"/>
      <c r="L144" s="30">
        <v>82103500</v>
      </c>
      <c r="M144" s="31" t="s">
        <v>2570</v>
      </c>
      <c r="N144" s="32" t="s">
        <v>2475</v>
      </c>
      <c r="O144" s="34"/>
    </row>
    <row r="145" spans="1:15" ht="21" customHeight="1" x14ac:dyDescent="0.2">
      <c r="A145" s="20">
        <v>2001162900</v>
      </c>
      <c r="B145" s="8" t="s">
        <v>1994</v>
      </c>
      <c r="C145" s="47" t="s">
        <v>1808</v>
      </c>
      <c r="D145" s="47" t="s">
        <v>1809</v>
      </c>
      <c r="E145" s="61" t="s">
        <v>594</v>
      </c>
      <c r="F145" s="62">
        <v>1</v>
      </c>
      <c r="H145">
        <v>1</v>
      </c>
      <c r="I145" s="34"/>
      <c r="J145" s="34"/>
      <c r="K145" s="34"/>
      <c r="L145" s="30">
        <v>43104000</v>
      </c>
      <c r="M145" s="31" t="s">
        <v>2571</v>
      </c>
      <c r="O145" s="34"/>
    </row>
    <row r="146" spans="1:15" ht="21" customHeight="1" x14ac:dyDescent="0.2">
      <c r="A146" s="20">
        <v>301165000</v>
      </c>
      <c r="B146" s="8" t="s">
        <v>1995</v>
      </c>
      <c r="C146" s="47" t="s">
        <v>1996</v>
      </c>
      <c r="D146" s="47" t="s">
        <v>1997</v>
      </c>
      <c r="E146" s="65" t="s">
        <v>2724</v>
      </c>
      <c r="F146" s="62">
        <v>1.1499999999999999</v>
      </c>
      <c r="G146">
        <v>1.1499999999999999</v>
      </c>
      <c r="H146">
        <v>1.1494252873563218</v>
      </c>
      <c r="I146" s="34"/>
      <c r="J146" s="34"/>
      <c r="K146" s="34"/>
      <c r="L146" s="30">
        <v>75111500</v>
      </c>
      <c r="M146" s="31" t="s">
        <v>2572</v>
      </c>
      <c r="N146" s="32" t="s">
        <v>2481</v>
      </c>
      <c r="O146" s="34"/>
    </row>
    <row r="147" spans="1:15" ht="21" customHeight="1" x14ac:dyDescent="0.2">
      <c r="A147" s="20">
        <v>103166000</v>
      </c>
      <c r="B147" s="8" t="s">
        <v>1998</v>
      </c>
      <c r="C147" s="47" t="s">
        <v>1999</v>
      </c>
      <c r="D147" s="47"/>
      <c r="E147" s="63" t="s">
        <v>2737</v>
      </c>
      <c r="F147" s="62">
        <v>1.08</v>
      </c>
      <c r="H147">
        <v>1</v>
      </c>
      <c r="I147" s="34"/>
      <c r="J147" s="34"/>
      <c r="K147" s="34">
        <v>1.08</v>
      </c>
      <c r="O147" s="34"/>
    </row>
    <row r="148" spans="1:15" ht="21" customHeight="1" x14ac:dyDescent="0.2">
      <c r="A148" s="20">
        <v>103167000</v>
      </c>
      <c r="B148" s="8" t="s">
        <v>2000</v>
      </c>
      <c r="C148" s="47" t="s">
        <v>2001</v>
      </c>
      <c r="D148" s="47"/>
      <c r="E148" s="63" t="s">
        <v>2737</v>
      </c>
      <c r="F148" s="62">
        <v>4.58</v>
      </c>
      <c r="H148">
        <v>1</v>
      </c>
      <c r="I148" s="34"/>
      <c r="J148" s="34"/>
      <c r="K148" s="34">
        <v>4.58</v>
      </c>
      <c r="O148" s="34">
        <v>103166000</v>
      </c>
    </row>
    <row r="149" spans="1:15" ht="21" customHeight="1" x14ac:dyDescent="0.2">
      <c r="A149" s="20">
        <v>101168000</v>
      </c>
      <c r="B149" s="8" t="s">
        <v>2002</v>
      </c>
      <c r="C149" s="47" t="s">
        <v>2003</v>
      </c>
      <c r="D149" s="47"/>
      <c r="E149" s="61" t="s">
        <v>594</v>
      </c>
      <c r="F149" s="62">
        <v>1</v>
      </c>
      <c r="H149">
        <v>1</v>
      </c>
      <c r="I149" s="34"/>
      <c r="J149" s="34"/>
      <c r="K149" s="34"/>
      <c r="O149" s="34"/>
    </row>
    <row r="150" spans="1:15" ht="21" customHeight="1" x14ac:dyDescent="0.2">
      <c r="A150" s="20">
        <v>3200171000</v>
      </c>
      <c r="B150" s="8" t="s">
        <v>2004</v>
      </c>
      <c r="C150" s="47" t="s">
        <v>2005</v>
      </c>
      <c r="D150" s="47"/>
      <c r="E150" s="61" t="s">
        <v>594</v>
      </c>
      <c r="F150" s="62">
        <v>1</v>
      </c>
      <c r="H150">
        <v>1</v>
      </c>
      <c r="I150" s="34"/>
      <c r="J150" s="34"/>
      <c r="K150" s="34"/>
      <c r="O150" s="34"/>
    </row>
    <row r="151" spans="1:15" ht="21" customHeight="1" x14ac:dyDescent="0.2">
      <c r="A151" s="20">
        <v>3200169000</v>
      </c>
      <c r="B151" s="8" t="s">
        <v>2006</v>
      </c>
      <c r="C151" s="47" t="s">
        <v>2007</v>
      </c>
      <c r="D151" s="47"/>
      <c r="E151" s="61" t="s">
        <v>594</v>
      </c>
      <c r="F151" s="62">
        <v>1</v>
      </c>
      <c r="H151">
        <v>1</v>
      </c>
      <c r="I151" s="34"/>
      <c r="J151" s="34"/>
      <c r="K151" s="34"/>
      <c r="O151" s="34"/>
    </row>
    <row r="152" spans="1:15" ht="21" customHeight="1" x14ac:dyDescent="0.2">
      <c r="A152" s="20">
        <v>3200170000</v>
      </c>
      <c r="B152" s="8" t="s">
        <v>2008</v>
      </c>
      <c r="C152" s="47" t="s">
        <v>1892</v>
      </c>
      <c r="D152" s="47" t="s">
        <v>2009</v>
      </c>
      <c r="E152" s="61" t="s">
        <v>594</v>
      </c>
      <c r="F152" s="62">
        <v>1</v>
      </c>
      <c r="H152">
        <v>1</v>
      </c>
      <c r="I152" s="34"/>
      <c r="J152" s="34"/>
      <c r="K152" s="34"/>
      <c r="O152" s="34"/>
    </row>
    <row r="153" spans="1:15" ht="21" customHeight="1" x14ac:dyDescent="0.2">
      <c r="A153" s="20">
        <v>1302174000</v>
      </c>
      <c r="B153" s="8" t="s">
        <v>2010</v>
      </c>
      <c r="C153" s="47" t="s">
        <v>1834</v>
      </c>
      <c r="D153" s="47"/>
      <c r="E153" s="61" t="s">
        <v>594</v>
      </c>
      <c r="F153" s="62">
        <v>1</v>
      </c>
      <c r="H153">
        <v>1</v>
      </c>
      <c r="I153" s="34"/>
      <c r="J153" s="34"/>
      <c r="K153" s="34"/>
      <c r="O153" s="34"/>
    </row>
    <row r="154" spans="1:15" ht="21" customHeight="1" x14ac:dyDescent="0.2">
      <c r="A154" s="20">
        <v>1304175000</v>
      </c>
      <c r="B154" s="8" t="s">
        <v>2011</v>
      </c>
      <c r="C154" s="47" t="s">
        <v>2012</v>
      </c>
      <c r="D154" s="47" t="s">
        <v>2013</v>
      </c>
      <c r="E154" s="65" t="s">
        <v>2724</v>
      </c>
      <c r="F154" s="62">
        <v>1.04</v>
      </c>
      <c r="G154">
        <v>1.04</v>
      </c>
      <c r="H154">
        <v>1.0416666666666667</v>
      </c>
      <c r="I154" s="34"/>
      <c r="J154" s="34"/>
      <c r="K154" s="34"/>
      <c r="L154" s="30">
        <v>63123000</v>
      </c>
      <c r="M154" s="31" t="s">
        <v>2573</v>
      </c>
      <c r="N154" s="32" t="s">
        <v>852</v>
      </c>
      <c r="O154" s="34"/>
    </row>
    <row r="155" spans="1:15" ht="21" customHeight="1" x14ac:dyDescent="0.2">
      <c r="A155" s="20">
        <v>1304176000</v>
      </c>
      <c r="B155" s="8" t="s">
        <v>2014</v>
      </c>
      <c r="C155" s="47" t="s">
        <v>1742</v>
      </c>
      <c r="D155" s="47" t="s">
        <v>2015</v>
      </c>
      <c r="E155" s="65" t="s">
        <v>2724</v>
      </c>
      <c r="F155" s="62">
        <v>1.3</v>
      </c>
      <c r="G155">
        <v>1.3</v>
      </c>
      <c r="H155">
        <v>1</v>
      </c>
      <c r="I155" s="34"/>
      <c r="J155" s="34">
        <v>1.2359550561797754</v>
      </c>
      <c r="K155" s="34"/>
      <c r="L155" s="30">
        <v>64116020</v>
      </c>
      <c r="M155" s="31" t="s">
        <v>2423</v>
      </c>
      <c r="N155" s="32" t="s">
        <v>852</v>
      </c>
      <c r="O155" s="34">
        <v>1304175000</v>
      </c>
    </row>
    <row r="156" spans="1:15" ht="21" customHeight="1" x14ac:dyDescent="0.2">
      <c r="A156" s="20">
        <v>9500177000</v>
      </c>
      <c r="B156" s="8" t="s">
        <v>2016</v>
      </c>
      <c r="C156" s="47" t="s">
        <v>1760</v>
      </c>
      <c r="D156" s="47"/>
      <c r="E156" s="61" t="s">
        <v>594</v>
      </c>
      <c r="F156" s="62">
        <v>1</v>
      </c>
      <c r="H156">
        <v>1</v>
      </c>
      <c r="I156" s="34"/>
      <c r="J156" s="34"/>
      <c r="K156" s="34"/>
      <c r="O156" s="34" t="s">
        <v>2689</v>
      </c>
    </row>
    <row r="157" spans="1:15" ht="21" customHeight="1" x14ac:dyDescent="0.2">
      <c r="A157" s="20">
        <v>1304178000</v>
      </c>
      <c r="B157" s="8" t="s">
        <v>2017</v>
      </c>
      <c r="C157" s="47" t="s">
        <v>2018</v>
      </c>
      <c r="D157" s="47" t="s">
        <v>2019</v>
      </c>
      <c r="E157" s="63" t="s">
        <v>628</v>
      </c>
      <c r="F157" s="62">
        <v>1</v>
      </c>
      <c r="G157">
        <v>4.54</v>
      </c>
      <c r="H157">
        <v>1</v>
      </c>
      <c r="I157" s="34"/>
      <c r="J157" s="34"/>
      <c r="K157" s="34"/>
      <c r="L157" s="26" t="s">
        <v>2696</v>
      </c>
      <c r="M157" s="34" t="s">
        <v>2739</v>
      </c>
      <c r="N157" s="58" t="s">
        <v>852</v>
      </c>
      <c r="O157" s="34"/>
    </row>
    <row r="158" spans="1:15" ht="21" customHeight="1" x14ac:dyDescent="0.2">
      <c r="A158" s="20">
        <v>1304179000</v>
      </c>
      <c r="B158" s="8" t="s">
        <v>2020</v>
      </c>
      <c r="C158" s="47" t="s">
        <v>2021</v>
      </c>
      <c r="D158" s="47"/>
      <c r="E158" s="61" t="s">
        <v>594</v>
      </c>
      <c r="F158" s="62">
        <v>1</v>
      </c>
      <c r="H158">
        <v>1</v>
      </c>
      <c r="I158" s="34"/>
      <c r="J158" s="34"/>
      <c r="K158" s="34"/>
      <c r="O158" s="34"/>
    </row>
    <row r="159" spans="1:15" ht="21" customHeight="1" x14ac:dyDescent="0.2">
      <c r="A159" s="20">
        <v>1003180000</v>
      </c>
      <c r="B159" s="8" t="s">
        <v>2022</v>
      </c>
      <c r="C159" s="47" t="s">
        <v>2023</v>
      </c>
      <c r="D159" s="47" t="s">
        <v>2024</v>
      </c>
      <c r="E159" s="65" t="s">
        <v>2724</v>
      </c>
      <c r="F159" s="62">
        <v>2</v>
      </c>
      <c r="G159">
        <v>2</v>
      </c>
      <c r="H159">
        <v>2</v>
      </c>
      <c r="I159" s="34"/>
      <c r="J159" s="34"/>
      <c r="K159" s="34"/>
      <c r="L159" s="30">
        <v>61101010</v>
      </c>
      <c r="M159" s="31" t="s">
        <v>2574</v>
      </c>
      <c r="N159" s="32" t="s">
        <v>2576</v>
      </c>
      <c r="O159" s="34"/>
    </row>
    <row r="160" spans="1:15" ht="21" customHeight="1" x14ac:dyDescent="0.2">
      <c r="A160" s="20">
        <v>1003181000</v>
      </c>
      <c r="B160" s="8" t="s">
        <v>2025</v>
      </c>
      <c r="C160" s="47" t="s">
        <v>1742</v>
      </c>
      <c r="D160" s="47"/>
      <c r="E160" s="61" t="s">
        <v>2724</v>
      </c>
      <c r="F160" s="62">
        <v>2.25</v>
      </c>
      <c r="G160">
        <v>2.25</v>
      </c>
      <c r="H160">
        <v>1</v>
      </c>
      <c r="I160" s="34">
        <v>1.845</v>
      </c>
      <c r="J160" s="34"/>
      <c r="K160" s="34"/>
      <c r="L160" s="30">
        <v>61201010</v>
      </c>
      <c r="M160" s="31" t="s">
        <v>2575</v>
      </c>
      <c r="N160" s="32" t="s">
        <v>2576</v>
      </c>
      <c r="O160" s="34">
        <v>1003180000</v>
      </c>
    </row>
    <row r="161" spans="1:15" ht="21" customHeight="1" x14ac:dyDescent="0.2">
      <c r="A161" s="20">
        <v>603182000</v>
      </c>
      <c r="B161" s="8" t="s">
        <v>2026</v>
      </c>
      <c r="C161" s="47" t="s">
        <v>2027</v>
      </c>
      <c r="D161" s="47"/>
      <c r="E161" s="61" t="s">
        <v>594</v>
      </c>
      <c r="F161" s="62">
        <v>1</v>
      </c>
      <c r="H161">
        <v>1</v>
      </c>
      <c r="I161" s="34"/>
      <c r="J161" s="34"/>
      <c r="K161" s="34"/>
      <c r="L161" s="30"/>
      <c r="O161" s="34"/>
    </row>
    <row r="162" spans="1:15" ht="21" customHeight="1" x14ac:dyDescent="0.2">
      <c r="A162" s="20">
        <v>2302183000</v>
      </c>
      <c r="B162" s="8" t="s">
        <v>2028</v>
      </c>
      <c r="C162" s="47" t="s">
        <v>1770</v>
      </c>
      <c r="D162" s="47"/>
      <c r="E162" s="65" t="s">
        <v>2724</v>
      </c>
      <c r="F162" s="62">
        <v>1.28</v>
      </c>
      <c r="G162">
        <v>1.28</v>
      </c>
      <c r="H162">
        <v>1</v>
      </c>
      <c r="I162" s="34"/>
      <c r="J162" s="34"/>
      <c r="K162" s="34"/>
      <c r="L162" s="30">
        <v>63125010</v>
      </c>
      <c r="M162" s="31" t="s">
        <v>2577</v>
      </c>
      <c r="N162" s="32" t="s">
        <v>2578</v>
      </c>
      <c r="O162" s="34"/>
    </row>
    <row r="163" spans="1:15" ht="21" customHeight="1" x14ac:dyDescent="0.2">
      <c r="A163" s="20">
        <v>1400155000</v>
      </c>
      <c r="B163" s="8" t="s">
        <v>2029</v>
      </c>
      <c r="C163" s="47" t="s">
        <v>1729</v>
      </c>
      <c r="D163" s="47" t="s">
        <v>2030</v>
      </c>
      <c r="E163" s="63" t="s">
        <v>628</v>
      </c>
      <c r="F163" s="62">
        <v>1</v>
      </c>
      <c r="G163">
        <v>1</v>
      </c>
      <c r="H163">
        <v>1</v>
      </c>
      <c r="I163" s="34"/>
      <c r="J163" s="34"/>
      <c r="K163" s="34"/>
      <c r="L163" s="30">
        <v>42107000</v>
      </c>
      <c r="M163" s="31" t="s">
        <v>2579</v>
      </c>
      <c r="N163" s="32" t="s">
        <v>2473</v>
      </c>
      <c r="O163" s="4" t="s">
        <v>2758</v>
      </c>
    </row>
    <row r="164" spans="1:15" ht="21" customHeight="1" x14ac:dyDescent="0.2">
      <c r="A164" s="20">
        <v>1901184000</v>
      </c>
      <c r="B164" s="8" t="s">
        <v>2031</v>
      </c>
      <c r="C164" s="47" t="s">
        <v>1782</v>
      </c>
      <c r="D164" s="47" t="s">
        <v>2032</v>
      </c>
      <c r="E164" s="61" t="s">
        <v>594</v>
      </c>
      <c r="F164" s="62">
        <v>1</v>
      </c>
      <c r="H164">
        <v>1</v>
      </c>
      <c r="I164" s="34"/>
      <c r="J164" s="34"/>
      <c r="K164" s="34"/>
      <c r="O164" s="34"/>
    </row>
    <row r="165" spans="1:15" ht="21" customHeight="1" x14ac:dyDescent="0.2">
      <c r="A165" s="20">
        <v>9500186000</v>
      </c>
      <c r="B165" s="8" t="s">
        <v>588</v>
      </c>
      <c r="C165" s="47" t="s">
        <v>2033</v>
      </c>
      <c r="D165" s="47"/>
      <c r="E165" s="61" t="s">
        <v>2724</v>
      </c>
      <c r="F165" s="62">
        <v>1</v>
      </c>
      <c r="G165">
        <v>1</v>
      </c>
      <c r="H165">
        <v>1</v>
      </c>
      <c r="I165" s="34"/>
      <c r="J165" s="34"/>
      <c r="K165" s="34"/>
      <c r="L165" s="30">
        <v>91302010</v>
      </c>
      <c r="M165" s="31" t="s">
        <v>588</v>
      </c>
      <c r="N165" s="32" t="s">
        <v>2471</v>
      </c>
      <c r="O165" s="34"/>
    </row>
    <row r="166" spans="1:15" ht="21" customHeight="1" x14ac:dyDescent="0.2">
      <c r="A166" s="20">
        <v>901187000</v>
      </c>
      <c r="B166" s="8" t="s">
        <v>2034</v>
      </c>
      <c r="C166" s="47" t="s">
        <v>2023</v>
      </c>
      <c r="D166" s="47"/>
      <c r="E166" s="65" t="s">
        <v>2724</v>
      </c>
      <c r="F166" s="62">
        <v>2.17</v>
      </c>
      <c r="G166">
        <v>2.17</v>
      </c>
      <c r="H166">
        <v>2.1739130434782612</v>
      </c>
      <c r="I166" s="34"/>
      <c r="J166" s="34"/>
      <c r="K166" s="34"/>
      <c r="L166" s="30">
        <v>63127010</v>
      </c>
      <c r="M166" s="31" t="s">
        <v>2580</v>
      </c>
      <c r="N166" s="32" t="s">
        <v>2524</v>
      </c>
      <c r="O166" s="34"/>
    </row>
    <row r="167" spans="1:15" ht="21" customHeight="1" x14ac:dyDescent="0.2">
      <c r="A167" s="20">
        <v>9500188000</v>
      </c>
      <c r="B167" s="8" t="s">
        <v>2035</v>
      </c>
      <c r="C167" s="47" t="s">
        <v>2036</v>
      </c>
      <c r="D167" s="47"/>
      <c r="E167" s="61" t="s">
        <v>594</v>
      </c>
      <c r="F167" s="62">
        <v>1</v>
      </c>
      <c r="H167">
        <v>1</v>
      </c>
      <c r="I167" s="34"/>
      <c r="J167" s="34"/>
      <c r="K167" s="34"/>
      <c r="O167" s="34"/>
    </row>
    <row r="168" spans="1:15" ht="21" customHeight="1" x14ac:dyDescent="0.2">
      <c r="A168" s="20">
        <v>101190000</v>
      </c>
      <c r="B168" s="8" t="s">
        <v>2037</v>
      </c>
      <c r="C168" s="47" t="s">
        <v>2038</v>
      </c>
      <c r="D168" s="47"/>
      <c r="E168" s="61" t="s">
        <v>594</v>
      </c>
      <c r="F168" s="62">
        <v>1</v>
      </c>
      <c r="G168">
        <v>0.76800000000000002</v>
      </c>
      <c r="H168">
        <v>1</v>
      </c>
      <c r="I168" s="34"/>
      <c r="J168" s="34"/>
      <c r="K168" s="34"/>
      <c r="L168" s="30">
        <v>75503090</v>
      </c>
      <c r="M168" s="31" t="s">
        <v>2037</v>
      </c>
      <c r="N168" s="32" t="s">
        <v>2515</v>
      </c>
      <c r="O168" s="34"/>
    </row>
    <row r="169" spans="1:15" ht="21" customHeight="1" x14ac:dyDescent="0.2">
      <c r="A169" s="20">
        <v>1302191000</v>
      </c>
      <c r="B169" s="8" t="s">
        <v>2039</v>
      </c>
      <c r="C169" s="47" t="s">
        <v>1834</v>
      </c>
      <c r="D169" s="47"/>
      <c r="E169" s="65" t="s">
        <v>2724</v>
      </c>
      <c r="F169" s="62">
        <v>1.05</v>
      </c>
      <c r="G169">
        <v>1.05</v>
      </c>
      <c r="H169">
        <v>1</v>
      </c>
      <c r="I169" s="34"/>
      <c r="J169" s="34"/>
      <c r="K169" s="34"/>
      <c r="L169" s="30">
        <v>63214000</v>
      </c>
      <c r="M169" s="31" t="s">
        <v>2581</v>
      </c>
      <c r="N169" s="32" t="s">
        <v>2507</v>
      </c>
      <c r="O169" s="34"/>
    </row>
    <row r="170" spans="1:15" ht="21" customHeight="1" x14ac:dyDescent="0.2">
      <c r="A170" s="20">
        <v>402194000</v>
      </c>
      <c r="B170" s="8" t="s">
        <v>2040</v>
      </c>
      <c r="C170" s="47" t="s">
        <v>1760</v>
      </c>
      <c r="D170" s="47" t="s">
        <v>2041</v>
      </c>
      <c r="E170" s="61" t="s">
        <v>2735</v>
      </c>
      <c r="F170" s="62">
        <v>1.639344262295082</v>
      </c>
      <c r="G170">
        <v>0.92299999999999993</v>
      </c>
      <c r="H170">
        <v>1.639344262295082</v>
      </c>
      <c r="I170" s="34"/>
      <c r="J170" s="34"/>
      <c r="K170" s="34"/>
      <c r="L170" s="30">
        <v>72119211</v>
      </c>
      <c r="M170" s="31" t="s">
        <v>2582</v>
      </c>
      <c r="N170" s="32" t="s">
        <v>2515</v>
      </c>
      <c r="O170" s="34"/>
    </row>
    <row r="171" spans="1:15" ht="21" customHeight="1" x14ac:dyDescent="0.2">
      <c r="A171" s="20">
        <v>1304195000</v>
      </c>
      <c r="B171" s="8" t="s">
        <v>2042</v>
      </c>
      <c r="C171" s="47" t="s">
        <v>2043</v>
      </c>
      <c r="D171" s="47"/>
      <c r="E171" s="65" t="s">
        <v>2724</v>
      </c>
      <c r="F171" s="62">
        <v>1.1599999999999999</v>
      </c>
      <c r="G171">
        <v>1.1599999999999999</v>
      </c>
      <c r="H171">
        <v>1.1627906976744187</v>
      </c>
      <c r="I171" s="34"/>
      <c r="J171" s="34"/>
      <c r="K171" s="34"/>
      <c r="L171" s="30">
        <v>63126500</v>
      </c>
      <c r="M171" s="31" t="s">
        <v>2583</v>
      </c>
      <c r="N171" s="32" t="s">
        <v>2487</v>
      </c>
      <c r="O171" s="34"/>
    </row>
    <row r="172" spans="1:15" ht="21" customHeight="1" x14ac:dyDescent="0.2">
      <c r="A172" s="20">
        <v>2201196000</v>
      </c>
      <c r="B172" s="8" t="s">
        <v>2044</v>
      </c>
      <c r="C172" s="47" t="s">
        <v>1782</v>
      </c>
      <c r="D172" s="47"/>
      <c r="E172" s="65" t="s">
        <v>2724</v>
      </c>
      <c r="F172" s="62">
        <v>2.17</v>
      </c>
      <c r="G172">
        <v>2.17</v>
      </c>
      <c r="H172">
        <v>1</v>
      </c>
      <c r="I172" s="34"/>
      <c r="J172" s="34"/>
      <c r="K172" s="34"/>
      <c r="L172" s="30">
        <v>75112000</v>
      </c>
      <c r="M172" s="31" t="s">
        <v>2584</v>
      </c>
      <c r="N172" s="32" t="s">
        <v>2515</v>
      </c>
      <c r="O172" s="34"/>
    </row>
    <row r="173" spans="1:15" ht="21" customHeight="1" x14ac:dyDescent="0.2">
      <c r="A173" s="20">
        <v>1002197000</v>
      </c>
      <c r="B173" s="8" t="s">
        <v>2045</v>
      </c>
      <c r="C173" s="47" t="s">
        <v>2046</v>
      </c>
      <c r="D173" s="47"/>
      <c r="E173" s="65" t="s">
        <v>2724</v>
      </c>
      <c r="F173" s="62">
        <v>1.08</v>
      </c>
      <c r="G173">
        <v>1.08</v>
      </c>
      <c r="H173">
        <v>1</v>
      </c>
      <c r="I173" s="34"/>
      <c r="J173" s="34"/>
      <c r="K173" s="34"/>
      <c r="L173" s="30">
        <v>61110010</v>
      </c>
      <c r="M173" s="31" t="s">
        <v>2585</v>
      </c>
      <c r="N173" s="32" t="s">
        <v>2576</v>
      </c>
      <c r="O173" s="34"/>
    </row>
    <row r="174" spans="1:15" ht="21" customHeight="1" x14ac:dyDescent="0.2">
      <c r="A174" s="20">
        <v>302198000</v>
      </c>
      <c r="B174" s="8" t="s">
        <v>868</v>
      </c>
      <c r="C174" s="47" t="s">
        <v>2047</v>
      </c>
      <c r="D174" s="47" t="s">
        <v>2048</v>
      </c>
      <c r="E174" s="62" t="s">
        <v>628</v>
      </c>
      <c r="F174" s="62">
        <v>1</v>
      </c>
      <c r="G174">
        <v>2.27</v>
      </c>
      <c r="H174">
        <v>1</v>
      </c>
      <c r="I174" s="34"/>
      <c r="J174" s="34"/>
      <c r="K174" s="34"/>
      <c r="L174" s="30">
        <v>75112500</v>
      </c>
      <c r="M174" s="31" t="s">
        <v>2586</v>
      </c>
      <c r="N174" s="32" t="s">
        <v>2481</v>
      </c>
      <c r="O174" s="34"/>
    </row>
    <row r="175" spans="1:15" ht="21" customHeight="1" x14ac:dyDescent="0.2">
      <c r="A175" s="20">
        <v>1002199000</v>
      </c>
      <c r="B175" s="8" t="s">
        <v>2049</v>
      </c>
      <c r="C175" s="47" t="s">
        <v>1912</v>
      </c>
      <c r="D175" s="47"/>
      <c r="E175" s="65" t="s">
        <v>2724</v>
      </c>
      <c r="F175" s="62">
        <v>1.89</v>
      </c>
      <c r="G175">
        <v>1.89</v>
      </c>
      <c r="H175">
        <v>1.8867924528301885</v>
      </c>
      <c r="I175" s="34"/>
      <c r="J175" s="34"/>
      <c r="K175" s="34"/>
      <c r="L175" s="30">
        <v>61113010</v>
      </c>
      <c r="M175" s="31" t="s">
        <v>2587</v>
      </c>
      <c r="N175" s="32" t="s">
        <v>2576</v>
      </c>
      <c r="O175" s="34" t="s">
        <v>2689</v>
      </c>
    </row>
    <row r="176" spans="1:15" ht="21" customHeight="1" x14ac:dyDescent="0.2">
      <c r="A176" s="20">
        <v>1002200000</v>
      </c>
      <c r="B176" s="8" t="s">
        <v>2050</v>
      </c>
      <c r="C176" s="48" t="s">
        <v>1742</v>
      </c>
      <c r="D176" s="47"/>
      <c r="E176" s="61" t="s">
        <v>2724</v>
      </c>
      <c r="F176" s="62">
        <v>3.25</v>
      </c>
      <c r="G176">
        <v>3.25</v>
      </c>
      <c r="H176">
        <v>1</v>
      </c>
      <c r="I176" s="34">
        <v>1.6</v>
      </c>
      <c r="J176" s="34"/>
      <c r="K176" s="34"/>
      <c r="L176" s="30">
        <v>61204010</v>
      </c>
      <c r="M176" s="31" t="s">
        <v>2588</v>
      </c>
      <c r="N176" s="32" t="s">
        <v>2576</v>
      </c>
      <c r="O176" s="34">
        <v>1002199000</v>
      </c>
    </row>
    <row r="177" spans="1:15" ht="21" customHeight="1" x14ac:dyDescent="0.2">
      <c r="A177" s="20">
        <v>1002201000</v>
      </c>
      <c r="B177" s="8" t="s">
        <v>2051</v>
      </c>
      <c r="C177" s="47" t="s">
        <v>2052</v>
      </c>
      <c r="D177" s="47"/>
      <c r="E177" s="61" t="s">
        <v>594</v>
      </c>
      <c r="F177" s="62">
        <v>1</v>
      </c>
      <c r="H177">
        <v>1</v>
      </c>
      <c r="I177" s="34"/>
      <c r="J177" s="34"/>
      <c r="K177" s="34"/>
      <c r="O177" s="34" t="s">
        <v>2689</v>
      </c>
    </row>
    <row r="178" spans="1:15" ht="21" customHeight="1" x14ac:dyDescent="0.2">
      <c r="A178" s="20">
        <v>603203000</v>
      </c>
      <c r="B178" s="8" t="s">
        <v>2053</v>
      </c>
      <c r="C178" s="47" t="s">
        <v>2054</v>
      </c>
      <c r="D178" s="47"/>
      <c r="E178" s="61" t="s">
        <v>594</v>
      </c>
      <c r="F178" s="62">
        <v>1</v>
      </c>
      <c r="G178">
        <v>0.33799999999999997</v>
      </c>
      <c r="H178">
        <v>1</v>
      </c>
      <c r="I178" s="34"/>
      <c r="J178" s="34"/>
      <c r="K178" s="34"/>
      <c r="L178" s="30">
        <v>41305000</v>
      </c>
      <c r="M178" s="31" t="s">
        <v>2589</v>
      </c>
      <c r="N178" s="32" t="s">
        <v>2481</v>
      </c>
      <c r="O178" s="34"/>
    </row>
    <row r="179" spans="1:15" ht="21" customHeight="1" x14ac:dyDescent="0.2">
      <c r="A179" s="20">
        <v>401204000</v>
      </c>
      <c r="B179" s="8" t="s">
        <v>2055</v>
      </c>
      <c r="C179" s="47" t="s">
        <v>2056</v>
      </c>
      <c r="D179" s="47"/>
      <c r="E179" s="61" t="s">
        <v>2724</v>
      </c>
      <c r="F179" s="62">
        <v>1.05</v>
      </c>
      <c r="G179">
        <v>1.05</v>
      </c>
      <c r="H179">
        <v>1.1904761904761905</v>
      </c>
      <c r="I179" s="34"/>
      <c r="J179" s="34"/>
      <c r="K179" s="34"/>
      <c r="L179" s="30" t="s">
        <v>2718</v>
      </c>
      <c r="M179" s="31" t="s">
        <v>2741</v>
      </c>
      <c r="N179" s="32" t="s">
        <v>631</v>
      </c>
      <c r="O179" s="34" t="s">
        <v>2689</v>
      </c>
    </row>
    <row r="180" spans="1:15" ht="21" customHeight="1" x14ac:dyDescent="0.2">
      <c r="A180" s="20">
        <v>401205000</v>
      </c>
      <c r="B180" s="8" t="s">
        <v>2057</v>
      </c>
      <c r="C180" s="47" t="s">
        <v>1760</v>
      </c>
      <c r="D180" s="47" t="s">
        <v>2058</v>
      </c>
      <c r="E180" s="61" t="s">
        <v>2737</v>
      </c>
      <c r="F180" s="62">
        <v>1.26</v>
      </c>
      <c r="G180">
        <v>1.56</v>
      </c>
      <c r="H180">
        <v>1.2605094979390701</v>
      </c>
      <c r="I180" s="34"/>
      <c r="J180" s="34"/>
      <c r="K180" s="34">
        <v>1.26</v>
      </c>
      <c r="L180" s="38" t="s">
        <v>2718</v>
      </c>
      <c r="M180" s="37" t="s">
        <v>2742</v>
      </c>
      <c r="N180" s="39" t="s">
        <v>162</v>
      </c>
      <c r="O180" s="4" t="s">
        <v>2753</v>
      </c>
    </row>
    <row r="181" spans="1:15" ht="21" customHeight="1" x14ac:dyDescent="0.2">
      <c r="A181" s="20">
        <v>1002206000</v>
      </c>
      <c r="B181" s="8" t="s">
        <v>2059</v>
      </c>
      <c r="C181" s="47" t="s">
        <v>1912</v>
      </c>
      <c r="D181" s="47" t="s">
        <v>2060</v>
      </c>
      <c r="E181" s="65" t="s">
        <v>2724</v>
      </c>
      <c r="F181" s="62">
        <v>1.2</v>
      </c>
      <c r="G181">
        <v>1.2</v>
      </c>
      <c r="H181">
        <v>1.1904761904761905</v>
      </c>
      <c r="I181" s="34"/>
      <c r="J181" s="34"/>
      <c r="K181" s="34"/>
      <c r="L181" s="30">
        <v>61116010</v>
      </c>
      <c r="M181" s="31" t="s">
        <v>2590</v>
      </c>
      <c r="N181" s="32" t="s">
        <v>2576</v>
      </c>
      <c r="O181" s="34"/>
    </row>
    <row r="182" spans="1:15" ht="21" customHeight="1" x14ac:dyDescent="0.2">
      <c r="A182" s="20">
        <v>1002207000</v>
      </c>
      <c r="B182" s="8" t="s">
        <v>2061</v>
      </c>
      <c r="C182" s="47" t="s">
        <v>1742</v>
      </c>
      <c r="D182" s="47" t="s">
        <v>2062</v>
      </c>
      <c r="E182" s="65" t="s">
        <v>2724</v>
      </c>
      <c r="F182" s="62">
        <v>3.25</v>
      </c>
      <c r="G182">
        <v>3.25</v>
      </c>
      <c r="H182">
        <v>1</v>
      </c>
      <c r="I182" s="34"/>
      <c r="J182" s="34"/>
      <c r="K182" s="34"/>
      <c r="L182" s="30">
        <v>61207010</v>
      </c>
      <c r="M182" s="31" t="s">
        <v>2591</v>
      </c>
      <c r="N182" s="32" t="s">
        <v>2576</v>
      </c>
      <c r="O182" s="34"/>
    </row>
    <row r="183" spans="1:15" ht="21" customHeight="1" x14ac:dyDescent="0.2">
      <c r="A183" s="20">
        <v>2401211000</v>
      </c>
      <c r="B183" s="8" t="s">
        <v>2063</v>
      </c>
      <c r="C183" s="47" t="s">
        <v>1842</v>
      </c>
      <c r="D183" s="47"/>
      <c r="E183" s="65" t="s">
        <v>2724</v>
      </c>
      <c r="F183" s="62">
        <v>1.67</v>
      </c>
      <c r="G183">
        <v>1.67</v>
      </c>
      <c r="H183">
        <v>1</v>
      </c>
      <c r="I183" s="34"/>
      <c r="J183" s="34"/>
      <c r="K183" s="34"/>
      <c r="L183" s="30">
        <v>63126510</v>
      </c>
      <c r="M183" s="31" t="s">
        <v>2592</v>
      </c>
      <c r="N183" s="32" t="s">
        <v>2578</v>
      </c>
      <c r="O183" s="34"/>
    </row>
    <row r="184" spans="1:15" ht="21" customHeight="1" x14ac:dyDescent="0.2">
      <c r="A184" s="20">
        <v>1400213000</v>
      </c>
      <c r="B184" s="8" t="s">
        <v>2064</v>
      </c>
      <c r="C184" s="47" t="s">
        <v>1729</v>
      </c>
      <c r="D184" s="47"/>
      <c r="E184" s="61" t="s">
        <v>2724</v>
      </c>
      <c r="F184" s="62">
        <v>1</v>
      </c>
      <c r="G184">
        <v>1</v>
      </c>
      <c r="H184">
        <v>1</v>
      </c>
      <c r="I184" s="34"/>
      <c r="J184" s="34"/>
      <c r="K184" s="34"/>
      <c r="L184" s="30">
        <v>42109000</v>
      </c>
      <c r="M184" s="31" t="s">
        <v>2593</v>
      </c>
      <c r="N184" s="32" t="s">
        <v>2473</v>
      </c>
      <c r="O184" s="34"/>
    </row>
    <row r="185" spans="1:15" ht="21" customHeight="1" x14ac:dyDescent="0.2">
      <c r="A185" s="20">
        <v>2402215000</v>
      </c>
      <c r="B185" s="8" t="s">
        <v>1551</v>
      </c>
      <c r="C185" s="47" t="s">
        <v>1842</v>
      </c>
      <c r="D185" s="47"/>
      <c r="E185" s="65" t="s">
        <v>2724</v>
      </c>
      <c r="F185" s="62">
        <v>1.45</v>
      </c>
      <c r="G185">
        <v>1.45</v>
      </c>
      <c r="H185">
        <v>1.4492753623188408</v>
      </c>
      <c r="I185" s="34"/>
      <c r="J185" s="34"/>
      <c r="K185" s="34"/>
      <c r="L185" s="30">
        <v>63129010</v>
      </c>
      <c r="M185" s="31" t="s">
        <v>2594</v>
      </c>
      <c r="N185" s="32" t="s">
        <v>2578</v>
      </c>
      <c r="O185" s="34"/>
    </row>
    <row r="186" spans="1:15" ht="21" customHeight="1" x14ac:dyDescent="0.2">
      <c r="A186" s="20">
        <v>2402216000</v>
      </c>
      <c r="B186" s="8" t="s">
        <v>2065</v>
      </c>
      <c r="C186" s="47" t="s">
        <v>2066</v>
      </c>
      <c r="D186" s="47"/>
      <c r="E186" s="61" t="s">
        <v>2737</v>
      </c>
      <c r="F186" s="64">
        <v>5.0423216444981849</v>
      </c>
      <c r="G186">
        <v>4.21</v>
      </c>
      <c r="H186">
        <v>1</v>
      </c>
      <c r="I186" s="34"/>
      <c r="J186" s="34"/>
      <c r="K186" s="34">
        <v>5.0423216444981849</v>
      </c>
      <c r="L186" s="30">
        <v>62114050</v>
      </c>
      <c r="M186" s="31" t="s">
        <v>2065</v>
      </c>
      <c r="N186" s="32" t="s">
        <v>2578</v>
      </c>
      <c r="O186" s="34">
        <v>2402215000</v>
      </c>
    </row>
    <row r="187" spans="1:15" ht="21" customHeight="1" x14ac:dyDescent="0.2">
      <c r="A187" s="20">
        <v>2402217000</v>
      </c>
      <c r="B187" s="8" t="s">
        <v>2067</v>
      </c>
      <c r="C187" s="47" t="s">
        <v>1742</v>
      </c>
      <c r="D187" s="47"/>
      <c r="E187" s="63" t="s">
        <v>878</v>
      </c>
      <c r="F187" s="62">
        <v>1.88</v>
      </c>
      <c r="G187">
        <v>0.57999999999999996</v>
      </c>
      <c r="H187">
        <v>1</v>
      </c>
      <c r="I187" s="34"/>
      <c r="J187" s="34"/>
      <c r="K187" s="34"/>
      <c r="L187" s="30">
        <v>64204010</v>
      </c>
      <c r="M187" s="31" t="s">
        <v>2595</v>
      </c>
      <c r="N187" s="32" t="s">
        <v>2578</v>
      </c>
      <c r="O187" s="34" t="s">
        <v>2689</v>
      </c>
    </row>
    <row r="188" spans="1:15" ht="21" customHeight="1" x14ac:dyDescent="0.2">
      <c r="A188" s="20">
        <v>9500219000</v>
      </c>
      <c r="B188" s="8" t="s">
        <v>2068</v>
      </c>
      <c r="C188" s="47" t="s">
        <v>1943</v>
      </c>
      <c r="D188" s="47"/>
      <c r="E188" s="61" t="s">
        <v>2724</v>
      </c>
      <c r="F188" s="62">
        <v>1</v>
      </c>
      <c r="G188">
        <v>1</v>
      </c>
      <c r="H188">
        <v>1</v>
      </c>
      <c r="I188" s="34"/>
      <c r="J188" s="34"/>
      <c r="K188" s="34"/>
      <c r="L188" s="30">
        <v>91301060</v>
      </c>
      <c r="M188" s="31" t="s">
        <v>2596</v>
      </c>
      <c r="N188" s="32" t="s">
        <v>2471</v>
      </c>
      <c r="O188" s="34"/>
    </row>
    <row r="189" spans="1:15" ht="21" customHeight="1" x14ac:dyDescent="0.2">
      <c r="A189" s="20">
        <v>9500218000</v>
      </c>
      <c r="B189" s="8" t="s">
        <v>2069</v>
      </c>
      <c r="C189" s="47" t="s">
        <v>2070</v>
      </c>
      <c r="D189" s="47"/>
      <c r="E189" s="61" t="s">
        <v>2737</v>
      </c>
      <c r="F189" s="62">
        <v>1.36</v>
      </c>
      <c r="G189">
        <v>1</v>
      </c>
      <c r="H189">
        <v>1</v>
      </c>
      <c r="I189" s="34"/>
      <c r="J189" s="34"/>
      <c r="K189" s="34">
        <v>1.36</v>
      </c>
      <c r="L189" s="30">
        <v>91103010</v>
      </c>
      <c r="M189" s="31" t="s">
        <v>2597</v>
      </c>
      <c r="N189" s="32" t="s">
        <v>2471</v>
      </c>
      <c r="O189" s="4" t="s">
        <v>2755</v>
      </c>
    </row>
    <row r="190" spans="1:15" ht="21" customHeight="1" x14ac:dyDescent="0.2">
      <c r="A190" s="20">
        <v>1901220000</v>
      </c>
      <c r="B190" s="8" t="s">
        <v>2071</v>
      </c>
      <c r="C190" s="47" t="s">
        <v>1782</v>
      </c>
      <c r="D190" s="47" t="s">
        <v>2072</v>
      </c>
      <c r="E190" s="61" t="s">
        <v>594</v>
      </c>
      <c r="F190" s="62">
        <v>1</v>
      </c>
      <c r="H190">
        <v>1</v>
      </c>
      <c r="I190" s="34"/>
      <c r="J190" s="34"/>
      <c r="K190" s="34"/>
      <c r="O190" s="34"/>
    </row>
    <row r="191" spans="1:15" ht="21" customHeight="1" x14ac:dyDescent="0.2">
      <c r="A191" s="20">
        <v>3800221000</v>
      </c>
      <c r="B191" s="8" t="s">
        <v>2073</v>
      </c>
      <c r="C191" s="47" t="s">
        <v>2074</v>
      </c>
      <c r="D191" s="47" t="s">
        <v>2075</v>
      </c>
      <c r="E191" s="61" t="s">
        <v>594</v>
      </c>
      <c r="F191" s="62">
        <v>1</v>
      </c>
      <c r="H191">
        <v>1</v>
      </c>
      <c r="I191" s="34"/>
      <c r="J191" s="34"/>
      <c r="K191" s="34"/>
      <c r="O191" s="34"/>
    </row>
    <row r="192" spans="1:15" ht="21" customHeight="1" x14ac:dyDescent="0.2">
      <c r="A192" s="20">
        <v>3600222000</v>
      </c>
      <c r="B192" s="8" t="s">
        <v>2076</v>
      </c>
      <c r="C192" s="47" t="s">
        <v>2077</v>
      </c>
      <c r="D192" s="47"/>
      <c r="E192" s="61" t="s">
        <v>594</v>
      </c>
      <c r="F192" s="62">
        <v>1</v>
      </c>
      <c r="H192">
        <v>1</v>
      </c>
      <c r="I192" s="34"/>
      <c r="J192" s="34"/>
      <c r="K192" s="34"/>
      <c r="O192" s="34"/>
    </row>
    <row r="193" spans="1:15" ht="21" customHeight="1" x14ac:dyDescent="0.2">
      <c r="A193" s="20">
        <v>3600223000</v>
      </c>
      <c r="B193" s="8" t="s">
        <v>2078</v>
      </c>
      <c r="C193" s="47" t="s">
        <v>2079</v>
      </c>
      <c r="D193" s="47" t="s">
        <v>2080</v>
      </c>
      <c r="E193" s="61" t="s">
        <v>594</v>
      </c>
      <c r="F193" s="62">
        <v>1</v>
      </c>
      <c r="H193">
        <v>1</v>
      </c>
      <c r="I193" s="34"/>
      <c r="J193" s="34"/>
      <c r="K193" s="34"/>
      <c r="O193" s="34"/>
    </row>
    <row r="194" spans="1:15" ht="21" customHeight="1" x14ac:dyDescent="0.2">
      <c r="A194" s="20">
        <v>3600224000</v>
      </c>
      <c r="B194" s="8" t="s">
        <v>2081</v>
      </c>
      <c r="C194" s="47" t="s">
        <v>2082</v>
      </c>
      <c r="D194" s="47"/>
      <c r="E194" s="61" t="s">
        <v>594</v>
      </c>
      <c r="F194" s="62">
        <v>1</v>
      </c>
      <c r="H194">
        <v>1</v>
      </c>
      <c r="I194" s="34"/>
      <c r="J194" s="34"/>
      <c r="K194" s="34"/>
      <c r="O194" s="34"/>
    </row>
    <row r="195" spans="1:15" ht="21" customHeight="1" x14ac:dyDescent="0.2">
      <c r="A195" s="20">
        <v>1500226000</v>
      </c>
      <c r="B195" s="8" t="s">
        <v>2083</v>
      </c>
      <c r="C195" s="47" t="s">
        <v>2084</v>
      </c>
      <c r="D195" s="47"/>
      <c r="E195" s="61" t="s">
        <v>594</v>
      </c>
      <c r="F195" s="62">
        <v>1</v>
      </c>
      <c r="G195">
        <v>0.28899999999999998</v>
      </c>
      <c r="H195">
        <v>1</v>
      </c>
      <c r="I195" s="34"/>
      <c r="J195" s="34"/>
      <c r="K195" s="34"/>
      <c r="L195" s="30">
        <v>56202000</v>
      </c>
      <c r="M195" s="31" t="s">
        <v>2598</v>
      </c>
      <c r="N195" s="32" t="s">
        <v>2517</v>
      </c>
      <c r="O195" s="34"/>
    </row>
    <row r="196" spans="1:15" ht="21" customHeight="1" x14ac:dyDescent="0.2">
      <c r="A196" s="20">
        <v>1303227000</v>
      </c>
      <c r="B196" s="8" t="s">
        <v>2085</v>
      </c>
      <c r="C196" s="47" t="s">
        <v>1877</v>
      </c>
      <c r="D196" s="47" t="s">
        <v>2086</v>
      </c>
      <c r="E196" s="65" t="s">
        <v>2724</v>
      </c>
      <c r="F196" s="62">
        <v>1.04</v>
      </c>
      <c r="G196">
        <v>1.04</v>
      </c>
      <c r="H196">
        <v>1</v>
      </c>
      <c r="I196" s="34"/>
      <c r="J196" s="34"/>
      <c r="K196" s="34"/>
      <c r="L196" s="30">
        <v>63217010</v>
      </c>
      <c r="M196" s="31" t="s">
        <v>2599</v>
      </c>
      <c r="N196" s="32" t="s">
        <v>2507</v>
      </c>
      <c r="O196" s="34"/>
    </row>
    <row r="197" spans="1:15" ht="21" customHeight="1" x14ac:dyDescent="0.2">
      <c r="A197" s="20">
        <v>2100228000</v>
      </c>
      <c r="B197" s="8" t="s">
        <v>736</v>
      </c>
      <c r="C197" s="47" t="s">
        <v>2087</v>
      </c>
      <c r="D197" s="47" t="s">
        <v>2088</v>
      </c>
      <c r="E197" s="65" t="s">
        <v>2724</v>
      </c>
      <c r="F197" s="62">
        <v>1.03</v>
      </c>
      <c r="G197">
        <v>1.03</v>
      </c>
      <c r="H197">
        <v>1.0309278350515465</v>
      </c>
      <c r="I197" s="34"/>
      <c r="J197" s="34"/>
      <c r="K197" s="34"/>
      <c r="L197" s="30">
        <v>75115000</v>
      </c>
      <c r="M197" s="31" t="s">
        <v>2600</v>
      </c>
      <c r="N197" s="32" t="s">
        <v>2481</v>
      </c>
      <c r="O197" s="34"/>
    </row>
    <row r="198" spans="1:15" ht="21" customHeight="1" x14ac:dyDescent="0.2">
      <c r="A198" s="20">
        <v>402229000</v>
      </c>
      <c r="B198" s="8" t="s">
        <v>2089</v>
      </c>
      <c r="C198" s="47" t="s">
        <v>1782</v>
      </c>
      <c r="D198" s="47"/>
      <c r="E198" s="65" t="s">
        <v>2724</v>
      </c>
      <c r="F198" s="62">
        <v>1.08</v>
      </c>
      <c r="G198">
        <v>1.08</v>
      </c>
      <c r="H198">
        <v>1.0752688172043012</v>
      </c>
      <c r="I198" s="34"/>
      <c r="J198" s="34"/>
      <c r="K198" s="34"/>
      <c r="L198" s="30">
        <v>72122100</v>
      </c>
      <c r="M198" s="31" t="s">
        <v>2521</v>
      </c>
      <c r="N198" s="32" t="s">
        <v>2515</v>
      </c>
      <c r="O198" s="34"/>
    </row>
    <row r="199" spans="1:15" ht="21" customHeight="1" x14ac:dyDescent="0.2">
      <c r="A199" s="20">
        <v>1202230000</v>
      </c>
      <c r="B199" s="8" t="s">
        <v>2090</v>
      </c>
      <c r="C199" s="47" t="s">
        <v>2091</v>
      </c>
      <c r="D199" s="47"/>
      <c r="E199" s="65" t="s">
        <v>2724</v>
      </c>
      <c r="F199" s="62">
        <v>1.1000000000000001</v>
      </c>
      <c r="G199">
        <v>1.1000000000000001</v>
      </c>
      <c r="H199">
        <v>1</v>
      </c>
      <c r="I199" s="34"/>
      <c r="J199" s="34"/>
      <c r="K199" s="34"/>
      <c r="L199" s="30">
        <v>63131010</v>
      </c>
      <c r="M199" s="31" t="s">
        <v>2601</v>
      </c>
      <c r="N199" s="32" t="s">
        <v>2468</v>
      </c>
      <c r="O199" s="34"/>
    </row>
    <row r="200" spans="1:15" ht="21" customHeight="1" x14ac:dyDescent="0.2">
      <c r="A200" s="20">
        <v>1500231000</v>
      </c>
      <c r="B200" s="8" t="s">
        <v>2092</v>
      </c>
      <c r="C200" s="47" t="s">
        <v>1774</v>
      </c>
      <c r="D200" s="47"/>
      <c r="E200" s="61" t="s">
        <v>2724</v>
      </c>
      <c r="F200" s="62">
        <v>1</v>
      </c>
      <c r="G200">
        <v>1</v>
      </c>
      <c r="H200">
        <v>1</v>
      </c>
      <c r="I200" s="34"/>
      <c r="J200" s="34"/>
      <c r="K200" s="34"/>
      <c r="L200" s="30">
        <v>57602500</v>
      </c>
      <c r="M200" s="31" t="s">
        <v>2602</v>
      </c>
      <c r="N200" s="32" t="s">
        <v>2603</v>
      </c>
      <c r="O200" s="34" t="s">
        <v>2689</v>
      </c>
    </row>
    <row r="201" spans="1:15" ht="21" customHeight="1" x14ac:dyDescent="0.2">
      <c r="A201" s="29">
        <v>1500232000</v>
      </c>
      <c r="B201" s="8" t="s">
        <v>2093</v>
      </c>
      <c r="C201" s="47" t="s">
        <v>1754</v>
      </c>
      <c r="D201" s="47"/>
      <c r="E201" s="61" t="s">
        <v>2724</v>
      </c>
      <c r="F201" s="62">
        <v>1</v>
      </c>
      <c r="G201">
        <v>1</v>
      </c>
      <c r="H201">
        <v>1</v>
      </c>
      <c r="I201" s="34"/>
      <c r="J201" s="34"/>
      <c r="K201" s="34"/>
      <c r="L201" s="30">
        <v>57602100</v>
      </c>
      <c r="M201" s="31" t="s">
        <v>2604</v>
      </c>
      <c r="N201" s="32" t="s">
        <v>2603</v>
      </c>
      <c r="O201" s="34" t="s">
        <v>2689</v>
      </c>
    </row>
    <row r="202" spans="1:15" ht="21" customHeight="1" x14ac:dyDescent="0.2">
      <c r="A202" s="20">
        <v>1500233000</v>
      </c>
      <c r="B202" s="8" t="s">
        <v>2094</v>
      </c>
      <c r="C202" s="47" t="s">
        <v>2095</v>
      </c>
      <c r="D202" s="47"/>
      <c r="E202" s="63" t="s">
        <v>628</v>
      </c>
      <c r="F202" s="62">
        <v>1</v>
      </c>
      <c r="G202">
        <v>0.16</v>
      </c>
      <c r="H202">
        <v>1.25</v>
      </c>
      <c r="I202" s="34"/>
      <c r="J202" s="34"/>
      <c r="K202" s="34"/>
      <c r="L202" s="26" t="s">
        <v>2699</v>
      </c>
      <c r="M202" s="42" t="s">
        <v>2703</v>
      </c>
      <c r="N202" s="43" t="s">
        <v>2702</v>
      </c>
      <c r="O202" s="34"/>
    </row>
    <row r="203" spans="1:15" ht="21" customHeight="1" x14ac:dyDescent="0.2">
      <c r="A203" s="20">
        <v>802234000</v>
      </c>
      <c r="B203" s="8" t="s">
        <v>2096</v>
      </c>
      <c r="C203" s="47" t="s">
        <v>2097</v>
      </c>
      <c r="D203" s="47"/>
      <c r="E203" s="65" t="s">
        <v>2724</v>
      </c>
      <c r="F203" s="62">
        <v>1.1599999999999999</v>
      </c>
      <c r="G203">
        <v>1.1599999999999999</v>
      </c>
      <c r="H203">
        <v>1.1627906976744187</v>
      </c>
      <c r="I203" s="34"/>
      <c r="J203" s="34"/>
      <c r="K203" s="34"/>
      <c r="L203" s="38" t="s">
        <v>2718</v>
      </c>
      <c r="M203" s="37" t="s">
        <v>2719</v>
      </c>
      <c r="N203" s="39" t="s">
        <v>162</v>
      </c>
      <c r="O203" s="34"/>
    </row>
    <row r="204" spans="1:15" ht="21" customHeight="1" x14ac:dyDescent="0.2">
      <c r="A204" s="20">
        <v>2301235000</v>
      </c>
      <c r="B204" s="8" t="s">
        <v>2098</v>
      </c>
      <c r="C204" s="47" t="s">
        <v>2099</v>
      </c>
      <c r="D204" s="47"/>
      <c r="E204" s="61" t="s">
        <v>2737</v>
      </c>
      <c r="F204" s="62">
        <v>1.163</v>
      </c>
      <c r="G204">
        <v>0.91099999999999992</v>
      </c>
      <c r="H204">
        <v>1</v>
      </c>
      <c r="I204" s="34"/>
      <c r="J204" s="34"/>
      <c r="K204" s="34">
        <f>1/(1-0.14)</f>
        <v>1.1627906976744187</v>
      </c>
      <c r="L204" s="30">
        <v>75510000</v>
      </c>
      <c r="M204" s="31" t="s">
        <v>2605</v>
      </c>
      <c r="N204" s="32" t="s">
        <v>2481</v>
      </c>
      <c r="O204" s="4" t="s">
        <v>2756</v>
      </c>
    </row>
    <row r="205" spans="1:15" ht="21" customHeight="1" x14ac:dyDescent="0.2">
      <c r="A205" s="20">
        <v>2301236000</v>
      </c>
      <c r="B205" s="8" t="s">
        <v>2100</v>
      </c>
      <c r="C205" s="47" t="s">
        <v>1731</v>
      </c>
      <c r="D205" s="47"/>
      <c r="E205" s="61" t="s">
        <v>2724</v>
      </c>
      <c r="F205" s="62">
        <v>1</v>
      </c>
      <c r="G205">
        <v>1</v>
      </c>
      <c r="H205">
        <v>1</v>
      </c>
      <c r="I205" s="34"/>
      <c r="J205" s="34"/>
      <c r="K205" s="34"/>
      <c r="L205" s="30">
        <v>82104000</v>
      </c>
      <c r="M205" s="31" t="s">
        <v>564</v>
      </c>
      <c r="N205" s="32" t="s">
        <v>2548</v>
      </c>
      <c r="O205" s="34" t="s">
        <v>2689</v>
      </c>
    </row>
    <row r="206" spans="1:15" ht="21" customHeight="1" x14ac:dyDescent="0.2">
      <c r="A206" s="20">
        <v>301237000</v>
      </c>
      <c r="B206" s="8" t="s">
        <v>2101</v>
      </c>
      <c r="C206" s="47" t="s">
        <v>2102</v>
      </c>
      <c r="D206" s="47" t="s">
        <v>2103</v>
      </c>
      <c r="E206" s="65" t="s">
        <v>2724</v>
      </c>
      <c r="F206" s="62">
        <v>1.1100000000000001</v>
      </c>
      <c r="G206">
        <v>1.1100000000000001</v>
      </c>
      <c r="H206">
        <v>1.1111111111111112</v>
      </c>
      <c r="I206" s="34"/>
      <c r="J206" s="34"/>
      <c r="K206" s="34"/>
      <c r="L206" s="30">
        <v>75117020</v>
      </c>
      <c r="M206" s="31" t="s">
        <v>2607</v>
      </c>
      <c r="N206" s="32" t="s">
        <v>871</v>
      </c>
      <c r="O206" s="34"/>
    </row>
    <row r="207" spans="1:15" ht="21" customHeight="1" x14ac:dyDescent="0.2">
      <c r="A207" s="20">
        <v>301238000</v>
      </c>
      <c r="B207" s="8" t="s">
        <v>2104</v>
      </c>
      <c r="C207" s="47" t="s">
        <v>2105</v>
      </c>
      <c r="D207" s="47" t="s">
        <v>2103</v>
      </c>
      <c r="E207" s="61" t="s">
        <v>2737</v>
      </c>
      <c r="F207" s="64">
        <v>8.6880000000000006</v>
      </c>
      <c r="H207">
        <v>1</v>
      </c>
      <c r="I207" s="34"/>
      <c r="J207" s="34">
        <v>9.0909090909090917</v>
      </c>
      <c r="K207" s="34">
        <v>8.6880000000000006</v>
      </c>
      <c r="L207" s="30">
        <v>75221100</v>
      </c>
      <c r="M207" s="31" t="s">
        <v>2606</v>
      </c>
      <c r="O207" s="34">
        <v>301237000</v>
      </c>
    </row>
    <row r="208" spans="1:15" ht="21" customHeight="1" x14ac:dyDescent="0.2">
      <c r="A208" s="20">
        <v>302239000</v>
      </c>
      <c r="B208" s="8" t="s">
        <v>2106</v>
      </c>
      <c r="C208" s="47" t="s">
        <v>2107</v>
      </c>
      <c r="D208" s="47" t="s">
        <v>2108</v>
      </c>
      <c r="E208" s="65" t="s">
        <v>2724</v>
      </c>
      <c r="F208" s="62">
        <v>1.04</v>
      </c>
      <c r="G208">
        <v>1.04</v>
      </c>
      <c r="H208">
        <v>1</v>
      </c>
      <c r="I208" s="34"/>
      <c r="J208" s="34"/>
      <c r="K208" s="34"/>
      <c r="L208" s="30">
        <v>75117010</v>
      </c>
      <c r="M208" s="31" t="s">
        <v>2608</v>
      </c>
      <c r="N208" s="32" t="s">
        <v>871</v>
      </c>
      <c r="O208" s="34"/>
    </row>
    <row r="209" spans="1:15" ht="21" customHeight="1" x14ac:dyDescent="0.2">
      <c r="A209" s="20">
        <v>1001240000</v>
      </c>
      <c r="B209" s="8" t="s">
        <v>2109</v>
      </c>
      <c r="C209" s="47" t="s">
        <v>1912</v>
      </c>
      <c r="D209" s="47"/>
      <c r="E209" s="65" t="s">
        <v>2724</v>
      </c>
      <c r="F209" s="62">
        <v>1.37</v>
      </c>
      <c r="G209">
        <v>1.37</v>
      </c>
      <c r="H209">
        <v>1.3698630136986301</v>
      </c>
      <c r="I209" s="34"/>
      <c r="J209" s="34"/>
      <c r="K209" s="34"/>
      <c r="L209" s="30">
        <v>61119010</v>
      </c>
      <c r="M209" s="31" t="s">
        <v>2609</v>
      </c>
      <c r="N209" s="32" t="s">
        <v>1404</v>
      </c>
      <c r="O209" s="34"/>
    </row>
    <row r="210" spans="1:15" ht="21" customHeight="1" x14ac:dyDescent="0.2">
      <c r="A210" s="20">
        <v>1001241000</v>
      </c>
      <c r="B210" s="8" t="s">
        <v>2110</v>
      </c>
      <c r="C210" s="66" t="s">
        <v>1742</v>
      </c>
      <c r="D210" s="47"/>
      <c r="E210" s="61" t="s">
        <v>2724</v>
      </c>
      <c r="F210" s="62">
        <v>2</v>
      </c>
      <c r="G210">
        <v>2</v>
      </c>
      <c r="H210">
        <v>1</v>
      </c>
      <c r="I210" s="34">
        <v>1.111</v>
      </c>
      <c r="J210" s="34"/>
      <c r="K210" s="34"/>
      <c r="L210" s="30">
        <v>61210010</v>
      </c>
      <c r="M210" s="31" t="s">
        <v>2610</v>
      </c>
      <c r="N210" s="32" t="s">
        <v>2612</v>
      </c>
      <c r="O210" s="34">
        <v>1001240000</v>
      </c>
    </row>
    <row r="211" spans="1:15" ht="21" customHeight="1" x14ac:dyDescent="0.2">
      <c r="A211" s="20">
        <v>1001242000</v>
      </c>
      <c r="B211" s="8" t="s">
        <v>2111</v>
      </c>
      <c r="C211" s="47" t="s">
        <v>2052</v>
      </c>
      <c r="D211" s="47"/>
      <c r="E211" s="61" t="s">
        <v>594</v>
      </c>
      <c r="F211" s="62">
        <v>1</v>
      </c>
      <c r="H211">
        <v>1</v>
      </c>
      <c r="I211" s="34"/>
      <c r="J211" s="34"/>
      <c r="K211" s="34"/>
      <c r="L211" s="30">
        <v>61119100</v>
      </c>
      <c r="M211" s="31" t="s">
        <v>2611</v>
      </c>
      <c r="O211" s="34"/>
    </row>
    <row r="212" spans="1:15" ht="21" customHeight="1" x14ac:dyDescent="0.2">
      <c r="A212" s="20">
        <v>2201243000</v>
      </c>
      <c r="B212" s="8" t="s">
        <v>2112</v>
      </c>
      <c r="C212" s="47" t="s">
        <v>2113</v>
      </c>
      <c r="D212" s="47"/>
      <c r="E212" s="61" t="s">
        <v>2724</v>
      </c>
      <c r="F212" s="62">
        <v>1</v>
      </c>
      <c r="G212">
        <v>1</v>
      </c>
      <c r="H212">
        <v>1</v>
      </c>
      <c r="I212" s="34"/>
      <c r="J212" s="34"/>
      <c r="K212" s="34"/>
      <c r="L212" s="30">
        <v>75221160</v>
      </c>
      <c r="M212" s="31" t="s">
        <v>2613</v>
      </c>
      <c r="N212" s="32" t="s">
        <v>2481</v>
      </c>
      <c r="O212" s="34"/>
    </row>
    <row r="213" spans="1:15" ht="21" customHeight="1" x14ac:dyDescent="0.2">
      <c r="A213" s="20">
        <v>9500244000</v>
      </c>
      <c r="B213" s="8" t="s">
        <v>2114</v>
      </c>
      <c r="C213" s="47" t="s">
        <v>1731</v>
      </c>
      <c r="D213" s="47"/>
      <c r="E213" s="61" t="s">
        <v>594</v>
      </c>
      <c r="F213" s="62">
        <v>1</v>
      </c>
      <c r="H213">
        <v>1</v>
      </c>
      <c r="I213" s="34"/>
      <c r="J213" s="34"/>
      <c r="K213" s="34"/>
      <c r="O213" s="34"/>
    </row>
    <row r="214" spans="1:15" ht="21" customHeight="1" x14ac:dyDescent="0.2">
      <c r="A214" s="20">
        <v>2402245000</v>
      </c>
      <c r="B214" s="8" t="s">
        <v>2115</v>
      </c>
      <c r="C214" s="47" t="s">
        <v>2116</v>
      </c>
      <c r="D214" s="47"/>
      <c r="E214" s="65" t="s">
        <v>2724</v>
      </c>
      <c r="F214" s="62">
        <v>1.49</v>
      </c>
      <c r="G214">
        <v>1.49</v>
      </c>
      <c r="H214">
        <v>1.4925373134328359</v>
      </c>
      <c r="I214" s="34"/>
      <c r="J214" s="34"/>
      <c r="K214" s="34"/>
      <c r="L214" s="30">
        <v>63133010</v>
      </c>
      <c r="M214" s="31" t="s">
        <v>2614</v>
      </c>
      <c r="N214" s="32" t="s">
        <v>2578</v>
      </c>
      <c r="O214" s="34"/>
    </row>
    <row r="215" spans="1:15" ht="21" customHeight="1" x14ac:dyDescent="0.2">
      <c r="A215" s="20">
        <v>2402246000</v>
      </c>
      <c r="B215" s="8" t="s">
        <v>2117</v>
      </c>
      <c r="C215" s="47" t="s">
        <v>2066</v>
      </c>
      <c r="D215" s="47"/>
      <c r="E215" s="61" t="s">
        <v>2724</v>
      </c>
      <c r="F215" s="62">
        <v>10.7</v>
      </c>
      <c r="G215">
        <v>10.7</v>
      </c>
      <c r="H215">
        <v>1</v>
      </c>
      <c r="I215" s="34"/>
      <c r="J215" s="34"/>
      <c r="K215" s="34"/>
      <c r="L215" s="30">
        <v>62114110</v>
      </c>
      <c r="M215" s="31" t="s">
        <v>2117</v>
      </c>
      <c r="N215" s="32" t="s">
        <v>2578</v>
      </c>
      <c r="O215" s="34"/>
    </row>
    <row r="216" spans="1:15" ht="21" customHeight="1" x14ac:dyDescent="0.2">
      <c r="A216" s="20">
        <v>2402247000</v>
      </c>
      <c r="B216" s="8" t="s">
        <v>2118</v>
      </c>
      <c r="C216" s="47" t="s">
        <v>1742</v>
      </c>
      <c r="D216" s="47"/>
      <c r="E216" s="61" t="s">
        <v>2724</v>
      </c>
      <c r="F216" s="62">
        <v>1.49</v>
      </c>
      <c r="G216">
        <v>1.49</v>
      </c>
      <c r="H216">
        <v>1</v>
      </c>
      <c r="I216" s="34"/>
      <c r="J216" s="34"/>
      <c r="K216" s="34"/>
      <c r="L216" s="30">
        <v>64120010</v>
      </c>
      <c r="M216" s="31" t="s">
        <v>2615</v>
      </c>
      <c r="N216" s="32" t="s">
        <v>2578</v>
      </c>
      <c r="O216" s="34"/>
    </row>
    <row r="217" spans="1:15" ht="21" customHeight="1" x14ac:dyDescent="0.2">
      <c r="A217" s="20">
        <v>1901249000</v>
      </c>
      <c r="B217" s="8" t="s">
        <v>2119</v>
      </c>
      <c r="C217" s="47" t="s">
        <v>2120</v>
      </c>
      <c r="D217" s="47"/>
      <c r="E217" s="61" t="s">
        <v>2737</v>
      </c>
      <c r="F217" s="64">
        <v>7.6574450772986129</v>
      </c>
      <c r="H217">
        <v>1</v>
      </c>
      <c r="I217" s="34"/>
      <c r="J217" s="34"/>
      <c r="K217" s="34">
        <v>7.6574450772986129</v>
      </c>
      <c r="O217" s="34">
        <v>401248000</v>
      </c>
    </row>
    <row r="218" spans="1:15" ht="21" customHeight="1" x14ac:dyDescent="0.2">
      <c r="A218" s="20">
        <v>401248000</v>
      </c>
      <c r="B218" s="8" t="s">
        <v>2121</v>
      </c>
      <c r="C218" s="47" t="s">
        <v>1782</v>
      </c>
      <c r="D218" s="47"/>
      <c r="E218" s="61" t="s">
        <v>2724</v>
      </c>
      <c r="F218" s="62">
        <v>1.05</v>
      </c>
      <c r="G218">
        <v>1.05</v>
      </c>
      <c r="H218">
        <v>1</v>
      </c>
      <c r="I218" s="34"/>
      <c r="J218" s="34"/>
      <c r="K218" s="34"/>
      <c r="L218" s="30">
        <v>75119000</v>
      </c>
      <c r="M218" s="31" t="s">
        <v>2616</v>
      </c>
      <c r="N218" s="32" t="s">
        <v>2500</v>
      </c>
      <c r="O218" s="34"/>
    </row>
    <row r="219" spans="1:15" ht="21" customHeight="1" x14ac:dyDescent="0.2">
      <c r="A219" s="20">
        <v>101251000</v>
      </c>
      <c r="B219" s="8" t="s">
        <v>2122</v>
      </c>
      <c r="C219" s="47" t="s">
        <v>2123</v>
      </c>
      <c r="D219" s="47"/>
      <c r="E219" s="61" t="s">
        <v>2724</v>
      </c>
      <c r="F219" s="62">
        <v>1.1399999999999999</v>
      </c>
      <c r="G219">
        <v>1.1399999999999999</v>
      </c>
      <c r="H219">
        <v>1</v>
      </c>
      <c r="I219" s="34"/>
      <c r="J219" s="34"/>
      <c r="K219" s="34"/>
      <c r="L219" s="30">
        <v>75222010</v>
      </c>
      <c r="M219" s="31" t="s">
        <v>2617</v>
      </c>
      <c r="N219" s="32" t="s">
        <v>2502</v>
      </c>
      <c r="O219" s="34"/>
    </row>
    <row r="220" spans="1:15" ht="21" customHeight="1" x14ac:dyDescent="0.2">
      <c r="A220" s="20">
        <v>2405252000</v>
      </c>
      <c r="B220" s="8" t="s">
        <v>2124</v>
      </c>
      <c r="C220" s="47" t="s">
        <v>1912</v>
      </c>
      <c r="D220" s="47"/>
      <c r="E220" s="61" t="s">
        <v>2724</v>
      </c>
      <c r="F220" s="62">
        <v>1.28</v>
      </c>
      <c r="G220">
        <v>1.28</v>
      </c>
      <c r="H220">
        <v>1</v>
      </c>
      <c r="I220" s="34"/>
      <c r="J220" s="34"/>
      <c r="K220" s="34"/>
      <c r="L220" s="30">
        <v>63134010</v>
      </c>
      <c r="M220" s="31" t="s">
        <v>2618</v>
      </c>
      <c r="N220" s="32" t="s">
        <v>2578</v>
      </c>
      <c r="O220" s="34"/>
    </row>
    <row r="221" spans="1:15" ht="21" customHeight="1" x14ac:dyDescent="0.2">
      <c r="A221" s="20">
        <v>2405253000</v>
      </c>
      <c r="B221" s="8" t="s">
        <v>2125</v>
      </c>
      <c r="C221" s="47" t="s">
        <v>1742</v>
      </c>
      <c r="D221" s="47"/>
      <c r="E221" s="61" t="s">
        <v>2724</v>
      </c>
      <c r="F221" s="62">
        <v>1.88</v>
      </c>
      <c r="G221">
        <v>1.88</v>
      </c>
      <c r="H221">
        <v>1</v>
      </c>
      <c r="I221" s="34"/>
      <c r="J221" s="34"/>
      <c r="K221" s="34"/>
      <c r="L221" s="30">
        <v>64121000</v>
      </c>
      <c r="M221" s="31" t="s">
        <v>2619</v>
      </c>
      <c r="N221" s="32" t="s">
        <v>2578</v>
      </c>
      <c r="O221" s="34" t="s">
        <v>2689</v>
      </c>
    </row>
    <row r="222" spans="1:15" ht="21" customHeight="1" x14ac:dyDescent="0.2">
      <c r="A222" s="20">
        <v>603256000</v>
      </c>
      <c r="B222" s="8" t="s">
        <v>2126</v>
      </c>
      <c r="C222" s="47" t="s">
        <v>2127</v>
      </c>
      <c r="D222" s="47"/>
      <c r="E222" s="61" t="s">
        <v>594</v>
      </c>
      <c r="F222" s="62">
        <v>1</v>
      </c>
      <c r="H222">
        <v>1</v>
      </c>
      <c r="I222" s="34">
        <v>5</v>
      </c>
      <c r="J222" s="34"/>
      <c r="K222" s="34"/>
      <c r="O222" s="34"/>
    </row>
    <row r="223" spans="1:15" ht="21" customHeight="1" x14ac:dyDescent="0.2">
      <c r="A223" s="20">
        <v>601257000</v>
      </c>
      <c r="B223" s="8" t="s">
        <v>2128</v>
      </c>
      <c r="C223" s="47" t="s">
        <v>2129</v>
      </c>
      <c r="D223" s="47"/>
      <c r="E223" s="61" t="s">
        <v>2724</v>
      </c>
      <c r="F223" s="62">
        <v>1.06</v>
      </c>
      <c r="G223">
        <v>1.06</v>
      </c>
      <c r="H223">
        <v>1</v>
      </c>
      <c r="I223" s="34"/>
      <c r="J223" s="34"/>
      <c r="K223" s="34"/>
      <c r="L223" s="38" t="s">
        <v>2718</v>
      </c>
      <c r="M223" s="37" t="s">
        <v>2720</v>
      </c>
      <c r="N223" s="39" t="s">
        <v>162</v>
      </c>
      <c r="O223" s="34" t="s">
        <v>2689</v>
      </c>
    </row>
    <row r="224" spans="1:15" ht="21" customHeight="1" x14ac:dyDescent="0.2">
      <c r="A224" s="20">
        <v>603258000</v>
      </c>
      <c r="B224" s="8" t="s">
        <v>2130</v>
      </c>
      <c r="C224" s="47" t="s">
        <v>2127</v>
      </c>
      <c r="D224" s="47"/>
      <c r="E224" s="61" t="s">
        <v>594</v>
      </c>
      <c r="F224" s="62">
        <v>1</v>
      </c>
      <c r="G224">
        <v>0.318</v>
      </c>
      <c r="H224">
        <v>1</v>
      </c>
      <c r="I224" s="34"/>
      <c r="J224" s="34"/>
      <c r="K224" s="34"/>
      <c r="L224" s="30">
        <v>75225011</v>
      </c>
      <c r="M224" s="31" t="s">
        <v>2622</v>
      </c>
      <c r="N224" s="32" t="s">
        <v>2481</v>
      </c>
      <c r="O224" s="34"/>
    </row>
    <row r="225" spans="1:15" ht="21" customHeight="1" x14ac:dyDescent="0.2">
      <c r="A225" s="20">
        <v>602259000</v>
      </c>
      <c r="B225" s="8" t="s">
        <v>2131</v>
      </c>
      <c r="C225" s="47" t="s">
        <v>2132</v>
      </c>
      <c r="D225" s="47" t="s">
        <v>2133</v>
      </c>
      <c r="E225" s="61" t="s">
        <v>594</v>
      </c>
      <c r="F225" s="62">
        <v>1</v>
      </c>
      <c r="H225">
        <v>1</v>
      </c>
      <c r="I225" s="34"/>
      <c r="J225" s="34"/>
      <c r="K225" s="34"/>
      <c r="O225" s="34"/>
    </row>
    <row r="226" spans="1:15" ht="21" customHeight="1" x14ac:dyDescent="0.2">
      <c r="A226" s="20">
        <v>602255000</v>
      </c>
      <c r="B226" s="8" t="s">
        <v>2134</v>
      </c>
      <c r="C226" s="47" t="s">
        <v>2135</v>
      </c>
      <c r="D226" s="47"/>
      <c r="E226" s="63" t="s">
        <v>628</v>
      </c>
      <c r="F226" s="62">
        <v>1</v>
      </c>
      <c r="G226">
        <v>2.63</v>
      </c>
      <c r="H226">
        <v>1</v>
      </c>
      <c r="I226" s="34"/>
      <c r="J226" s="34"/>
      <c r="K226" s="34"/>
      <c r="L226" s="30">
        <v>75120000</v>
      </c>
      <c r="M226" s="31" t="s">
        <v>2620</v>
      </c>
      <c r="N226" s="32" t="s">
        <v>2621</v>
      </c>
      <c r="O226" s="4" t="s">
        <v>2757</v>
      </c>
    </row>
    <row r="227" spans="1:15" ht="21" customHeight="1" x14ac:dyDescent="0.2">
      <c r="A227" s="20">
        <v>1202260000</v>
      </c>
      <c r="B227" s="8" t="s">
        <v>2136</v>
      </c>
      <c r="C227" s="47" t="s">
        <v>1748</v>
      </c>
      <c r="D227" s="47"/>
      <c r="E227" s="61" t="s">
        <v>2724</v>
      </c>
      <c r="F227" s="62">
        <v>1.04</v>
      </c>
      <c r="G227">
        <v>1.04</v>
      </c>
      <c r="H227">
        <v>1.0752688172043012</v>
      </c>
      <c r="I227" s="34"/>
      <c r="J227" s="34"/>
      <c r="K227" s="34"/>
      <c r="L227" s="30">
        <v>63135010</v>
      </c>
      <c r="M227" s="31" t="s">
        <v>2623</v>
      </c>
      <c r="N227" s="32" t="s">
        <v>2468</v>
      </c>
      <c r="O227" s="34"/>
    </row>
    <row r="228" spans="1:15" ht="21" customHeight="1" x14ac:dyDescent="0.2">
      <c r="A228" s="20">
        <v>1202261000</v>
      </c>
      <c r="B228" s="8" t="s">
        <v>2137</v>
      </c>
      <c r="C228" s="47" t="s">
        <v>2138</v>
      </c>
      <c r="D228" s="47"/>
      <c r="E228" s="61" t="s">
        <v>2724</v>
      </c>
      <c r="F228" s="62">
        <v>6.38</v>
      </c>
      <c r="G228">
        <v>6.38</v>
      </c>
      <c r="H228">
        <v>1</v>
      </c>
      <c r="I228" s="34"/>
      <c r="J228" s="34">
        <v>6.0149999999999961</v>
      </c>
      <c r="K228" s="34"/>
      <c r="L228" s="30">
        <v>62116100</v>
      </c>
      <c r="M228" s="31" t="s">
        <v>2624</v>
      </c>
      <c r="N228" s="32" t="s">
        <v>2468</v>
      </c>
      <c r="O228" s="34">
        <v>1202260000</v>
      </c>
    </row>
    <row r="229" spans="1:15" ht="21" customHeight="1" x14ac:dyDescent="0.2">
      <c r="A229" s="20">
        <v>1202262000</v>
      </c>
      <c r="B229" s="8" t="s">
        <v>2139</v>
      </c>
      <c r="C229" s="47" t="s">
        <v>1742</v>
      </c>
      <c r="D229" s="47"/>
      <c r="E229" s="63" t="s">
        <v>2750</v>
      </c>
      <c r="F229" s="62">
        <v>1.63</v>
      </c>
      <c r="G229">
        <v>0.41600000000000004</v>
      </c>
      <c r="H229">
        <v>1</v>
      </c>
      <c r="I229" s="34"/>
      <c r="J229" s="34"/>
      <c r="K229" s="34"/>
      <c r="L229" s="30">
        <v>64205010</v>
      </c>
      <c r="M229" s="31" t="s">
        <v>2625</v>
      </c>
      <c r="N229" s="32" t="s">
        <v>2468</v>
      </c>
      <c r="O229" s="34" t="s">
        <v>2689</v>
      </c>
    </row>
    <row r="230" spans="1:15" ht="21" customHeight="1" x14ac:dyDescent="0.2">
      <c r="A230" s="20">
        <v>9500263000</v>
      </c>
      <c r="B230" s="8" t="s">
        <v>2140</v>
      </c>
      <c r="C230" s="47" t="s">
        <v>2141</v>
      </c>
      <c r="D230" s="47"/>
      <c r="E230" s="61" t="s">
        <v>2724</v>
      </c>
      <c r="F230" s="62">
        <v>1</v>
      </c>
      <c r="G230">
        <v>1</v>
      </c>
      <c r="H230">
        <v>1</v>
      </c>
      <c r="I230" s="34"/>
      <c r="J230" s="34"/>
      <c r="K230" s="34"/>
      <c r="L230" s="38" t="s">
        <v>2704</v>
      </c>
      <c r="M230" s="37" t="s">
        <v>2705</v>
      </c>
      <c r="N230" s="32" t="s">
        <v>1159</v>
      </c>
      <c r="O230" s="34"/>
    </row>
    <row r="231" spans="1:15" ht="21" customHeight="1" x14ac:dyDescent="0.2">
      <c r="A231" s="20">
        <v>9500264000</v>
      </c>
      <c r="B231" s="8" t="s">
        <v>2142</v>
      </c>
      <c r="C231" s="47" t="s">
        <v>2143</v>
      </c>
      <c r="D231" s="47"/>
      <c r="E231" s="63" t="s">
        <v>628</v>
      </c>
      <c r="F231" s="62">
        <v>1</v>
      </c>
      <c r="G231">
        <v>1.05</v>
      </c>
      <c r="H231">
        <v>1</v>
      </c>
      <c r="I231" s="34"/>
      <c r="J231" s="34"/>
      <c r="K231" s="34"/>
      <c r="L231" s="30">
        <v>42202000</v>
      </c>
      <c r="M231" s="31" t="s">
        <v>1318</v>
      </c>
      <c r="N231" s="32" t="s">
        <v>1159</v>
      </c>
      <c r="O231" s="34"/>
    </row>
    <row r="232" spans="1:15" ht="21" customHeight="1" x14ac:dyDescent="0.2">
      <c r="A232" s="20">
        <v>9500265000</v>
      </c>
      <c r="B232" s="8" t="s">
        <v>2144</v>
      </c>
      <c r="C232" s="47" t="s">
        <v>1731</v>
      </c>
      <c r="D232" s="47"/>
      <c r="E232" s="63" t="s">
        <v>628</v>
      </c>
      <c r="F232" s="64">
        <v>1</v>
      </c>
      <c r="G232">
        <v>1</v>
      </c>
      <c r="H232">
        <v>1</v>
      </c>
      <c r="I232" s="34">
        <v>3.2260638297872339</v>
      </c>
      <c r="J232" s="34"/>
      <c r="K232" s="34"/>
      <c r="L232" s="30">
        <v>82105000</v>
      </c>
      <c r="M232" s="31" t="s">
        <v>2626</v>
      </c>
      <c r="N232" s="32" t="s">
        <v>2548</v>
      </c>
      <c r="O232" s="34"/>
    </row>
    <row r="233" spans="1:15" ht="21" customHeight="1" x14ac:dyDescent="0.2">
      <c r="A233" s="20">
        <v>1100266000</v>
      </c>
      <c r="B233" s="8" t="s">
        <v>2145</v>
      </c>
      <c r="C233" s="47" t="s">
        <v>2146</v>
      </c>
      <c r="D233" s="47" t="s">
        <v>2147</v>
      </c>
      <c r="E233" s="65" t="s">
        <v>2724</v>
      </c>
      <c r="F233" s="62">
        <v>1.1100000000000001</v>
      </c>
      <c r="G233">
        <v>1.1100000000000001</v>
      </c>
      <c r="H233">
        <v>1.1111111111111112</v>
      </c>
      <c r="I233" s="34"/>
      <c r="J233" s="34"/>
      <c r="K233" s="34"/>
      <c r="L233" s="30">
        <v>63137010</v>
      </c>
      <c r="M233" s="31" t="s">
        <v>2486</v>
      </c>
      <c r="N233" s="32" t="s">
        <v>2487</v>
      </c>
      <c r="O233" s="34"/>
    </row>
    <row r="234" spans="1:15" ht="21" customHeight="1" x14ac:dyDescent="0.2">
      <c r="A234" s="20">
        <v>1100267000</v>
      </c>
      <c r="B234" s="8" t="s">
        <v>2148</v>
      </c>
      <c r="C234" s="47" t="s">
        <v>2149</v>
      </c>
      <c r="D234" s="47" t="s">
        <v>2147</v>
      </c>
      <c r="E234" s="61" t="s">
        <v>2724</v>
      </c>
      <c r="F234" s="62">
        <v>5</v>
      </c>
      <c r="G234">
        <v>5</v>
      </c>
      <c r="H234">
        <v>1</v>
      </c>
      <c r="I234" s="34"/>
      <c r="J234" s="34">
        <v>6.3099999999999978</v>
      </c>
      <c r="K234" s="34"/>
      <c r="L234" s="30">
        <v>62119100</v>
      </c>
      <c r="M234" s="31" t="s">
        <v>2488</v>
      </c>
      <c r="N234" s="32" t="s">
        <v>2487</v>
      </c>
      <c r="O234" s="34">
        <v>1100266000</v>
      </c>
    </row>
    <row r="235" spans="1:15" ht="21" customHeight="1" x14ac:dyDescent="0.2">
      <c r="A235" s="20">
        <v>1100268000</v>
      </c>
      <c r="B235" s="8" t="s">
        <v>2150</v>
      </c>
      <c r="C235" s="47" t="s">
        <v>1742</v>
      </c>
      <c r="D235" s="47" t="s">
        <v>2147</v>
      </c>
      <c r="E235" s="63" t="s">
        <v>2754</v>
      </c>
      <c r="F235" s="62">
        <v>1.5</v>
      </c>
      <c r="G235">
        <v>0.44400000000000001</v>
      </c>
      <c r="H235">
        <v>1</v>
      </c>
      <c r="I235" s="34"/>
      <c r="J235" s="34"/>
      <c r="K235" s="34"/>
      <c r="L235" s="30">
        <v>64215010</v>
      </c>
      <c r="M235" s="31" t="s">
        <v>2489</v>
      </c>
      <c r="N235" s="32" t="s">
        <v>2487</v>
      </c>
      <c r="O235" s="34" t="s">
        <v>2689</v>
      </c>
    </row>
    <row r="236" spans="1:15" ht="21" customHeight="1" x14ac:dyDescent="0.2">
      <c r="A236" s="20">
        <v>1400269000</v>
      </c>
      <c r="B236" s="8" t="s">
        <v>2151</v>
      </c>
      <c r="C236" s="47" t="s">
        <v>1729</v>
      </c>
      <c r="D236" s="47"/>
      <c r="E236" s="61" t="s">
        <v>2724</v>
      </c>
      <c r="F236" s="62">
        <v>1</v>
      </c>
      <c r="G236">
        <v>1</v>
      </c>
      <c r="H236">
        <v>1</v>
      </c>
      <c r="I236" s="34"/>
      <c r="J236" s="34"/>
      <c r="K236" s="34"/>
      <c r="L236" s="30">
        <v>42112000</v>
      </c>
      <c r="M236" s="31" t="s">
        <v>2427</v>
      </c>
      <c r="N236" s="32" t="s">
        <v>2473</v>
      </c>
      <c r="O236" s="4" t="s">
        <v>2759</v>
      </c>
    </row>
    <row r="237" spans="1:15" ht="21" customHeight="1" x14ac:dyDescent="0.2">
      <c r="A237" s="20">
        <v>802270000</v>
      </c>
      <c r="B237" s="8" t="s">
        <v>2152</v>
      </c>
      <c r="C237" s="47" t="s">
        <v>2153</v>
      </c>
      <c r="D237" s="47" t="s">
        <v>2154</v>
      </c>
      <c r="E237" s="65" t="s">
        <v>2724</v>
      </c>
      <c r="F237" s="62">
        <v>1.22</v>
      </c>
      <c r="G237">
        <v>1.22</v>
      </c>
      <c r="H237">
        <v>1.2195121951219512</v>
      </c>
      <c r="I237" s="34"/>
      <c r="J237" s="34"/>
      <c r="K237" s="34"/>
      <c r="L237" s="30">
        <v>75122000</v>
      </c>
      <c r="M237" s="31" t="s">
        <v>2627</v>
      </c>
      <c r="N237" s="32" t="s">
        <v>2628</v>
      </c>
      <c r="O237" s="34"/>
    </row>
    <row r="238" spans="1:15" ht="21" customHeight="1" x14ac:dyDescent="0.2">
      <c r="A238" s="20">
        <v>802271000</v>
      </c>
      <c r="B238" s="8" t="s">
        <v>2155</v>
      </c>
      <c r="C238" s="47" t="s">
        <v>2156</v>
      </c>
      <c r="D238" s="47" t="s">
        <v>2154</v>
      </c>
      <c r="E238" s="61" t="s">
        <v>2737</v>
      </c>
      <c r="F238" s="64">
        <v>12.198</v>
      </c>
      <c r="H238">
        <v>1</v>
      </c>
      <c r="I238" s="34">
        <v>20.399999999999999</v>
      </c>
      <c r="J238" s="34"/>
      <c r="K238" s="34">
        <v>12.198</v>
      </c>
      <c r="O238" s="34"/>
    </row>
    <row r="239" spans="1:15" ht="21" customHeight="1" x14ac:dyDescent="0.2">
      <c r="A239" s="20">
        <v>1902274000</v>
      </c>
      <c r="B239" s="8" t="s">
        <v>2157</v>
      </c>
      <c r="C239" s="47" t="s">
        <v>2158</v>
      </c>
      <c r="D239" s="47"/>
      <c r="E239" s="61" t="s">
        <v>594</v>
      </c>
      <c r="F239" s="62">
        <v>1</v>
      </c>
      <c r="H239">
        <v>1</v>
      </c>
      <c r="I239" s="34"/>
      <c r="J239" s="34"/>
      <c r="K239" s="34"/>
      <c r="O239" s="34"/>
    </row>
    <row r="240" spans="1:15" ht="21" customHeight="1" x14ac:dyDescent="0.2">
      <c r="A240" s="20">
        <v>802272000</v>
      </c>
      <c r="B240" s="8" t="s">
        <v>2159</v>
      </c>
      <c r="C240" s="47" t="s">
        <v>2160</v>
      </c>
      <c r="D240" s="47"/>
      <c r="E240" s="61" t="s">
        <v>2724</v>
      </c>
      <c r="F240" s="62">
        <v>1.21</v>
      </c>
      <c r="G240">
        <v>1.21</v>
      </c>
      <c r="H240">
        <v>1</v>
      </c>
      <c r="I240" s="34"/>
      <c r="J240" s="34"/>
      <c r="K240" s="34"/>
      <c r="L240" s="30">
        <v>75121000</v>
      </c>
      <c r="M240" s="31" t="s">
        <v>2743</v>
      </c>
      <c r="N240" s="32" t="s">
        <v>2628</v>
      </c>
      <c r="O240" s="34"/>
    </row>
    <row r="241" spans="1:15" ht="21" customHeight="1" x14ac:dyDescent="0.2">
      <c r="A241" s="20">
        <v>802273000</v>
      </c>
      <c r="B241" s="8" t="s">
        <v>2161</v>
      </c>
      <c r="C241" s="47" t="s">
        <v>2162</v>
      </c>
      <c r="D241" s="47"/>
      <c r="E241" s="61" t="s">
        <v>2737</v>
      </c>
      <c r="F241" s="62">
        <v>10.145</v>
      </c>
      <c r="H241">
        <v>1</v>
      </c>
      <c r="I241" s="34"/>
      <c r="J241" s="34"/>
      <c r="K241" s="34">
        <v>10.145</v>
      </c>
      <c r="O241" s="34"/>
    </row>
    <row r="242" spans="1:15" ht="21" customHeight="1" x14ac:dyDescent="0.2">
      <c r="A242" s="20">
        <v>9500275000</v>
      </c>
      <c r="B242" s="8" t="s">
        <v>2163</v>
      </c>
      <c r="C242" s="47" t="s">
        <v>1782</v>
      </c>
      <c r="D242" s="47" t="s">
        <v>2164</v>
      </c>
      <c r="E242" s="61" t="s">
        <v>594</v>
      </c>
      <c r="F242" s="62">
        <v>1</v>
      </c>
      <c r="H242">
        <v>1</v>
      </c>
      <c r="I242" s="34"/>
      <c r="J242" s="34"/>
      <c r="K242" s="34"/>
      <c r="O242" s="34"/>
    </row>
    <row r="243" spans="1:15" ht="21" customHeight="1" x14ac:dyDescent="0.2">
      <c r="A243" s="20">
        <v>9500276000</v>
      </c>
      <c r="B243" s="8" t="s">
        <v>2165</v>
      </c>
      <c r="C243" s="47" t="s">
        <v>1731</v>
      </c>
      <c r="D243" s="47"/>
      <c r="E243" s="61" t="s">
        <v>594</v>
      </c>
      <c r="F243" s="62">
        <v>1</v>
      </c>
      <c r="H243">
        <v>1</v>
      </c>
      <c r="I243" s="34"/>
      <c r="J243" s="34"/>
      <c r="K243" s="34"/>
      <c r="O243" s="34"/>
    </row>
    <row r="244" spans="1:15" ht="21" customHeight="1" x14ac:dyDescent="0.2">
      <c r="A244" s="20">
        <v>2402277000</v>
      </c>
      <c r="B244" s="8" t="s">
        <v>2166</v>
      </c>
      <c r="C244" s="47" t="s">
        <v>2167</v>
      </c>
      <c r="D244" s="47"/>
      <c r="E244" s="65" t="s">
        <v>2724</v>
      </c>
      <c r="F244" s="62">
        <v>1.19</v>
      </c>
      <c r="G244">
        <v>1.19</v>
      </c>
      <c r="H244">
        <v>1</v>
      </c>
      <c r="I244" s="34"/>
      <c r="J244" s="34"/>
      <c r="K244" s="34"/>
      <c r="L244" s="30">
        <v>63139010</v>
      </c>
      <c r="M244" s="31" t="s">
        <v>2629</v>
      </c>
      <c r="N244" s="32" t="s">
        <v>2487</v>
      </c>
      <c r="O244" s="34"/>
    </row>
    <row r="245" spans="1:15" ht="21" customHeight="1" x14ac:dyDescent="0.2">
      <c r="A245" s="20">
        <v>1400278000</v>
      </c>
      <c r="B245" s="8" t="s">
        <v>2168</v>
      </c>
      <c r="C245" s="47" t="s">
        <v>1729</v>
      </c>
      <c r="D245" s="47" t="s">
        <v>2169</v>
      </c>
      <c r="E245" s="61" t="s">
        <v>2724</v>
      </c>
      <c r="F245" s="62">
        <v>1</v>
      </c>
      <c r="G245">
        <v>1</v>
      </c>
      <c r="H245">
        <v>1</v>
      </c>
      <c r="I245" s="34"/>
      <c r="J245" s="34"/>
      <c r="K245" s="34"/>
      <c r="L245" s="30">
        <v>42113000</v>
      </c>
      <c r="M245" s="31" t="s">
        <v>2630</v>
      </c>
      <c r="N245" s="32" t="s">
        <v>2473</v>
      </c>
      <c r="O245" s="34"/>
    </row>
    <row r="246" spans="1:15" ht="21" customHeight="1" x14ac:dyDescent="0.2">
      <c r="A246" s="20">
        <v>2403279000</v>
      </c>
      <c r="B246" s="8" t="s">
        <v>480</v>
      </c>
      <c r="C246" s="47" t="s">
        <v>2170</v>
      </c>
      <c r="D246" s="47"/>
      <c r="E246" s="65" t="s">
        <v>2724</v>
      </c>
      <c r="F246" s="62">
        <v>1.96</v>
      </c>
      <c r="G246">
        <v>1.96</v>
      </c>
      <c r="H246">
        <v>1.9607843137254901</v>
      </c>
      <c r="I246" s="34"/>
      <c r="J246" s="34"/>
      <c r="K246" s="34"/>
      <c r="L246" s="30">
        <v>63141010</v>
      </c>
      <c r="M246" s="31" t="s">
        <v>2631</v>
      </c>
      <c r="N246" s="32" t="s">
        <v>2578</v>
      </c>
      <c r="O246" s="34"/>
    </row>
    <row r="247" spans="1:15" ht="21" customHeight="1" x14ac:dyDescent="0.2">
      <c r="A247" s="20">
        <v>2403280000</v>
      </c>
      <c r="B247" s="8" t="s">
        <v>2171</v>
      </c>
      <c r="C247" s="47" t="s">
        <v>2172</v>
      </c>
      <c r="D247" s="47"/>
      <c r="E247" s="61" t="s">
        <v>2724</v>
      </c>
      <c r="F247" s="62">
        <v>9.6999999999999993</v>
      </c>
      <c r="G247">
        <v>9.6999999999999993</v>
      </c>
      <c r="H247">
        <v>1</v>
      </c>
      <c r="I247" s="34"/>
      <c r="J247" s="34"/>
      <c r="K247" s="34"/>
      <c r="L247" s="30">
        <v>62120100</v>
      </c>
      <c r="M247" s="31" t="s">
        <v>2171</v>
      </c>
      <c r="N247" s="32" t="s">
        <v>2578</v>
      </c>
      <c r="O247" s="34" t="s">
        <v>2689</v>
      </c>
    </row>
    <row r="248" spans="1:15" ht="21" customHeight="1" x14ac:dyDescent="0.2">
      <c r="A248" s="20">
        <v>2403281000</v>
      </c>
      <c r="B248" s="8" t="s">
        <v>2173</v>
      </c>
      <c r="C248" s="47" t="s">
        <v>1742</v>
      </c>
      <c r="D248" s="47"/>
      <c r="E248" s="61" t="s">
        <v>2724</v>
      </c>
      <c r="F248" s="62">
        <v>1.88</v>
      </c>
      <c r="G248">
        <v>1.88</v>
      </c>
      <c r="H248">
        <v>1</v>
      </c>
      <c r="I248" s="34"/>
      <c r="J248" s="34">
        <v>1.7045454545454535</v>
      </c>
      <c r="K248" s="34"/>
      <c r="L248" s="30">
        <v>64124020</v>
      </c>
      <c r="M248" s="31" t="s">
        <v>2424</v>
      </c>
      <c r="N248" s="32" t="s">
        <v>2578</v>
      </c>
      <c r="O248" s="34">
        <v>2403279000</v>
      </c>
    </row>
    <row r="249" spans="1:15" ht="21" customHeight="1" x14ac:dyDescent="0.2">
      <c r="A249" s="20">
        <v>1400282000</v>
      </c>
      <c r="B249" s="8" t="s">
        <v>1463</v>
      </c>
      <c r="C249" s="47" t="s">
        <v>1729</v>
      </c>
      <c r="D249" s="47"/>
      <c r="E249" s="61" t="s">
        <v>2724</v>
      </c>
      <c r="F249" s="62">
        <v>1.03</v>
      </c>
      <c r="G249">
        <v>1.03</v>
      </c>
      <c r="H249">
        <v>1</v>
      </c>
      <c r="I249" s="34"/>
      <c r="J249" s="34"/>
      <c r="K249" s="34"/>
      <c r="L249" s="30">
        <v>42114130</v>
      </c>
      <c r="M249" s="31" t="s">
        <v>2632</v>
      </c>
      <c r="N249" s="32" t="s">
        <v>2473</v>
      </c>
      <c r="O249" s="34"/>
    </row>
    <row r="250" spans="1:15" ht="21" customHeight="1" x14ac:dyDescent="0.2">
      <c r="A250" s="20">
        <v>2402283000</v>
      </c>
      <c r="B250" s="8" t="s">
        <v>2174</v>
      </c>
      <c r="C250" s="47" t="s">
        <v>2175</v>
      </c>
      <c r="D250" s="47"/>
      <c r="E250" s="61" t="s">
        <v>2724</v>
      </c>
      <c r="F250" s="62">
        <v>1.54</v>
      </c>
      <c r="G250">
        <v>1.54</v>
      </c>
      <c r="H250">
        <v>1</v>
      </c>
      <c r="I250" s="34"/>
      <c r="J250" s="34"/>
      <c r="K250" s="34"/>
      <c r="L250" s="30">
        <v>71905000</v>
      </c>
      <c r="M250" s="31" t="s">
        <v>2633</v>
      </c>
      <c r="N250" s="32" t="s">
        <v>237</v>
      </c>
      <c r="O250" s="34"/>
    </row>
    <row r="251" spans="1:15" ht="21" customHeight="1" x14ac:dyDescent="0.2">
      <c r="A251" s="20">
        <v>2402284000</v>
      </c>
      <c r="B251" s="8" t="s">
        <v>2176</v>
      </c>
      <c r="C251" s="47" t="s">
        <v>2172</v>
      </c>
      <c r="D251" s="47"/>
      <c r="E251" s="61" t="s">
        <v>2724</v>
      </c>
      <c r="F251" s="62">
        <v>3.157</v>
      </c>
      <c r="G251">
        <v>3.157</v>
      </c>
      <c r="H251">
        <v>1</v>
      </c>
      <c r="I251" s="34"/>
      <c r="J251" s="34"/>
      <c r="K251" s="34">
        <v>2.8199884792626726</v>
      </c>
      <c r="L251" s="30">
        <v>71905410</v>
      </c>
      <c r="M251" s="31" t="s">
        <v>2634</v>
      </c>
      <c r="N251" s="32" t="s">
        <v>237</v>
      </c>
      <c r="O251" s="34">
        <v>2402283000</v>
      </c>
    </row>
    <row r="252" spans="1:15" ht="21" customHeight="1" x14ac:dyDescent="0.2">
      <c r="A252" s="20">
        <v>1203285000</v>
      </c>
      <c r="B252" s="8" t="s">
        <v>2177</v>
      </c>
      <c r="C252" s="47" t="s">
        <v>2178</v>
      </c>
      <c r="D252" s="47" t="s">
        <v>2179</v>
      </c>
      <c r="E252" s="65" t="s">
        <v>2724</v>
      </c>
      <c r="F252" s="62">
        <v>1.06</v>
      </c>
      <c r="G252">
        <v>1.06</v>
      </c>
      <c r="H252">
        <v>1.0638297872340425</v>
      </c>
      <c r="I252" s="34"/>
      <c r="J252" s="34"/>
      <c r="K252" s="34"/>
      <c r="L252" s="30">
        <v>63143010</v>
      </c>
      <c r="M252" s="31" t="s">
        <v>2635</v>
      </c>
      <c r="N252" s="32" t="s">
        <v>2468</v>
      </c>
      <c r="O252" s="34"/>
    </row>
    <row r="253" spans="1:15" ht="21" customHeight="1" x14ac:dyDescent="0.2">
      <c r="A253" s="20">
        <v>1203287000</v>
      </c>
      <c r="B253" s="8" t="s">
        <v>2180</v>
      </c>
      <c r="C253" s="47" t="s">
        <v>2181</v>
      </c>
      <c r="D253" s="47"/>
      <c r="E253" s="61" t="s">
        <v>2724</v>
      </c>
      <c r="F253" s="62">
        <v>5.73</v>
      </c>
      <c r="G253">
        <v>5.73</v>
      </c>
      <c r="H253">
        <v>1</v>
      </c>
      <c r="I253" s="34"/>
      <c r="J253" s="34"/>
      <c r="K253" s="34">
        <v>5.4095536413469079</v>
      </c>
      <c r="L253" s="30">
        <v>62122100</v>
      </c>
      <c r="M253" s="31" t="s">
        <v>2636</v>
      </c>
      <c r="N253" s="32" t="s">
        <v>2468</v>
      </c>
      <c r="O253" s="34">
        <v>1203285000</v>
      </c>
    </row>
    <row r="254" spans="1:15" ht="21" customHeight="1" x14ac:dyDescent="0.2">
      <c r="A254" s="20">
        <v>1203286000</v>
      </c>
      <c r="B254" s="8" t="s">
        <v>2182</v>
      </c>
      <c r="C254" s="47" t="s">
        <v>2183</v>
      </c>
      <c r="D254" s="47"/>
      <c r="E254" s="65" t="s">
        <v>2724</v>
      </c>
      <c r="F254" s="62">
        <v>1.06</v>
      </c>
      <c r="G254">
        <v>1.06</v>
      </c>
      <c r="H254">
        <v>1.0638297872340425</v>
      </c>
      <c r="I254" s="34"/>
      <c r="J254" s="34"/>
      <c r="K254" s="34"/>
      <c r="L254" s="30">
        <v>63143010</v>
      </c>
      <c r="M254" s="31" t="s">
        <v>2635</v>
      </c>
      <c r="N254" s="32" t="s">
        <v>2468</v>
      </c>
      <c r="O254" s="34"/>
    </row>
    <row r="255" spans="1:15" ht="21" customHeight="1" x14ac:dyDescent="0.2">
      <c r="A255" s="20">
        <v>1203288000</v>
      </c>
      <c r="B255" s="8" t="s">
        <v>2184</v>
      </c>
      <c r="C255" s="47" t="s">
        <v>1742</v>
      </c>
      <c r="D255" s="47"/>
      <c r="E255" s="61" t="s">
        <v>2724</v>
      </c>
      <c r="F255" s="62">
        <v>1.63</v>
      </c>
      <c r="G255">
        <v>1.63</v>
      </c>
      <c r="H255">
        <v>1</v>
      </c>
      <c r="I255" s="34">
        <v>2.5</v>
      </c>
      <c r="J255" s="34"/>
      <c r="K255" s="34"/>
      <c r="L255" s="30">
        <v>64132010</v>
      </c>
      <c r="M255" s="31" t="s">
        <v>2425</v>
      </c>
      <c r="N255" s="32" t="s">
        <v>2468</v>
      </c>
      <c r="O255" s="34">
        <v>1203286000</v>
      </c>
    </row>
    <row r="256" spans="1:15" ht="21" customHeight="1" x14ac:dyDescent="0.2">
      <c r="A256" s="20">
        <v>2402289000</v>
      </c>
      <c r="B256" s="8" t="s">
        <v>2185</v>
      </c>
      <c r="C256" s="47" t="s">
        <v>2116</v>
      </c>
      <c r="D256" s="47" t="s">
        <v>2186</v>
      </c>
      <c r="E256" s="61" t="s">
        <v>2724</v>
      </c>
      <c r="F256" s="62">
        <v>1.79</v>
      </c>
      <c r="G256">
        <v>1.79</v>
      </c>
      <c r="H256">
        <v>1</v>
      </c>
      <c r="I256" s="34"/>
      <c r="J256" s="34"/>
      <c r="K256" s="34"/>
      <c r="L256" s="30">
        <v>63145010</v>
      </c>
      <c r="M256" s="31" t="s">
        <v>2637</v>
      </c>
      <c r="N256" s="32" t="s">
        <v>2487</v>
      </c>
      <c r="O256" s="34"/>
    </row>
    <row r="257" spans="1:15" ht="21" customHeight="1" x14ac:dyDescent="0.2">
      <c r="A257" s="20">
        <v>2402290000</v>
      </c>
      <c r="B257" s="8" t="s">
        <v>2187</v>
      </c>
      <c r="C257" s="47" t="s">
        <v>1808</v>
      </c>
      <c r="D257" s="47" t="s">
        <v>1809</v>
      </c>
      <c r="E257" s="61" t="s">
        <v>2724</v>
      </c>
      <c r="F257" s="62">
        <v>3.58</v>
      </c>
      <c r="G257">
        <v>3.58</v>
      </c>
      <c r="H257">
        <v>1</v>
      </c>
      <c r="I257" s="34"/>
      <c r="J257" s="34"/>
      <c r="K257" s="34"/>
      <c r="L257" s="30">
        <v>64126000</v>
      </c>
      <c r="M257" s="31" t="s">
        <v>2638</v>
      </c>
      <c r="N257" s="32" t="s">
        <v>2487</v>
      </c>
      <c r="O257" s="34"/>
    </row>
    <row r="258" spans="1:15" ht="21" customHeight="1" x14ac:dyDescent="0.2">
      <c r="A258" s="20">
        <v>3400293000</v>
      </c>
      <c r="B258" s="8" t="s">
        <v>2188</v>
      </c>
      <c r="C258" s="47" t="s">
        <v>2189</v>
      </c>
      <c r="D258" s="47"/>
      <c r="E258" s="61" t="s">
        <v>594</v>
      </c>
      <c r="F258" s="62">
        <v>1</v>
      </c>
      <c r="H258">
        <v>1</v>
      </c>
      <c r="I258" s="34"/>
      <c r="J258" s="34"/>
      <c r="K258" s="34"/>
      <c r="O258" s="34"/>
    </row>
    <row r="259" spans="1:15" ht="21" customHeight="1" x14ac:dyDescent="0.2">
      <c r="A259" s="20">
        <v>3400295000</v>
      </c>
      <c r="B259" s="8" t="s">
        <v>2190</v>
      </c>
      <c r="C259" s="47" t="s">
        <v>1813</v>
      </c>
      <c r="D259" s="47"/>
      <c r="E259" s="61" t="s">
        <v>594</v>
      </c>
      <c r="F259" s="62">
        <v>1</v>
      </c>
      <c r="H259">
        <v>1</v>
      </c>
      <c r="I259" s="34"/>
      <c r="J259" s="34"/>
      <c r="K259" s="34"/>
      <c r="O259" s="34"/>
    </row>
    <row r="260" spans="1:15" ht="21" customHeight="1" x14ac:dyDescent="0.2">
      <c r="A260" s="20">
        <v>3400290000</v>
      </c>
      <c r="B260" s="8" t="s">
        <v>2191</v>
      </c>
      <c r="C260" s="47" t="s">
        <v>2007</v>
      </c>
      <c r="D260" s="47"/>
      <c r="E260" s="61" t="s">
        <v>594</v>
      </c>
      <c r="F260" s="62">
        <v>1</v>
      </c>
      <c r="H260">
        <v>1</v>
      </c>
      <c r="I260" s="34"/>
      <c r="J260" s="34"/>
      <c r="K260" s="34"/>
      <c r="O260" s="34"/>
    </row>
    <row r="261" spans="1:15" ht="21" customHeight="1" x14ac:dyDescent="0.2">
      <c r="A261" s="20">
        <v>3400292000</v>
      </c>
      <c r="B261" s="8" t="s">
        <v>2192</v>
      </c>
      <c r="C261" s="47" t="s">
        <v>2193</v>
      </c>
      <c r="D261" s="47" t="s">
        <v>2194</v>
      </c>
      <c r="E261" s="61" t="s">
        <v>594</v>
      </c>
      <c r="F261" s="62">
        <v>1</v>
      </c>
      <c r="H261">
        <v>1</v>
      </c>
      <c r="I261" s="34"/>
      <c r="J261" s="34"/>
      <c r="K261" s="34"/>
      <c r="O261" s="34"/>
    </row>
    <row r="262" spans="1:15" ht="21" customHeight="1" x14ac:dyDescent="0.2">
      <c r="A262" s="20">
        <v>3400291000</v>
      </c>
      <c r="B262" s="8" t="s">
        <v>2195</v>
      </c>
      <c r="C262" s="47" t="s">
        <v>2196</v>
      </c>
      <c r="D262" s="47" t="s">
        <v>2197</v>
      </c>
      <c r="E262" s="61" t="s">
        <v>594</v>
      </c>
      <c r="F262" s="62">
        <v>1</v>
      </c>
      <c r="H262">
        <v>1</v>
      </c>
      <c r="I262" s="34"/>
      <c r="J262" s="34"/>
      <c r="K262" s="34"/>
      <c r="O262" s="34"/>
    </row>
    <row r="263" spans="1:15" ht="21" customHeight="1" x14ac:dyDescent="0.2">
      <c r="A263" s="20">
        <v>103296000</v>
      </c>
      <c r="B263" s="8" t="s">
        <v>2198</v>
      </c>
      <c r="C263" s="48" t="s">
        <v>2199</v>
      </c>
      <c r="D263" s="47"/>
      <c r="E263" s="63" t="s">
        <v>628</v>
      </c>
      <c r="F263" s="62">
        <v>1</v>
      </c>
      <c r="G263">
        <v>3.9289999999999998</v>
      </c>
      <c r="H263">
        <v>1</v>
      </c>
      <c r="I263" s="34">
        <v>3</v>
      </c>
      <c r="J263" s="34"/>
      <c r="K263" s="34"/>
      <c r="L263" s="30">
        <v>71201010</v>
      </c>
      <c r="M263" s="31" t="s">
        <v>2639</v>
      </c>
      <c r="N263" s="32" t="s">
        <v>503</v>
      </c>
      <c r="O263" s="34"/>
    </row>
    <row r="264" spans="1:15" ht="21" customHeight="1" x14ac:dyDescent="0.2">
      <c r="A264" s="20">
        <v>103297000</v>
      </c>
      <c r="B264" s="8" t="s">
        <v>2200</v>
      </c>
      <c r="C264" s="47" t="s">
        <v>2201</v>
      </c>
      <c r="D264" s="47"/>
      <c r="E264" s="61" t="s">
        <v>2724</v>
      </c>
      <c r="F264" s="62">
        <v>6.02</v>
      </c>
      <c r="G264">
        <v>6.02</v>
      </c>
      <c r="H264">
        <v>1</v>
      </c>
      <c r="I264" s="34">
        <v>6.5</v>
      </c>
      <c r="J264" s="34"/>
      <c r="K264" s="34"/>
      <c r="L264" s="26" t="s">
        <v>2722</v>
      </c>
      <c r="M264" s="34" t="s">
        <v>2723</v>
      </c>
      <c r="N264" s="58" t="s">
        <v>503</v>
      </c>
      <c r="O264" s="34"/>
    </row>
    <row r="265" spans="1:15" ht="21" customHeight="1" x14ac:dyDescent="0.2">
      <c r="A265" s="20">
        <v>103298000</v>
      </c>
      <c r="B265" s="8" t="s">
        <v>2202</v>
      </c>
      <c r="C265" s="47" t="s">
        <v>2203</v>
      </c>
      <c r="D265" s="47"/>
      <c r="E265" s="63" t="s">
        <v>628</v>
      </c>
      <c r="F265" s="62">
        <v>1</v>
      </c>
      <c r="G265">
        <v>6.01</v>
      </c>
      <c r="H265">
        <v>1</v>
      </c>
      <c r="I265" s="34">
        <v>9</v>
      </c>
      <c r="J265" s="34"/>
      <c r="K265" s="34"/>
      <c r="L265" s="26" t="s">
        <v>2722</v>
      </c>
      <c r="M265" s="34" t="s">
        <v>2723</v>
      </c>
      <c r="N265" s="58" t="s">
        <v>503</v>
      </c>
      <c r="O265" s="34"/>
    </row>
    <row r="266" spans="1:15" ht="21" customHeight="1" x14ac:dyDescent="0.2">
      <c r="A266" s="20">
        <v>103300000</v>
      </c>
      <c r="B266" s="8" t="s">
        <v>2204</v>
      </c>
      <c r="C266" s="47" t="s">
        <v>2205</v>
      </c>
      <c r="D266" s="47"/>
      <c r="E266" s="61" t="s">
        <v>2724</v>
      </c>
      <c r="F266" s="62">
        <v>1.33</v>
      </c>
      <c r="G266">
        <v>1.33</v>
      </c>
      <c r="H266">
        <v>1.1111111111111112</v>
      </c>
      <c r="I266" s="34"/>
      <c r="J266" s="34"/>
      <c r="K266" s="34"/>
      <c r="L266" s="30">
        <v>71001000</v>
      </c>
      <c r="M266" s="31" t="s">
        <v>2640</v>
      </c>
      <c r="N266" s="32" t="s">
        <v>503</v>
      </c>
      <c r="O266" s="34"/>
    </row>
    <row r="267" spans="1:15" ht="21" customHeight="1" x14ac:dyDescent="0.2">
      <c r="A267" s="20">
        <v>103299000</v>
      </c>
      <c r="B267" s="8" t="s">
        <v>2206</v>
      </c>
      <c r="C267" s="47" t="s">
        <v>2207</v>
      </c>
      <c r="D267" s="47"/>
      <c r="E267" s="63" t="s">
        <v>628</v>
      </c>
      <c r="F267" s="62">
        <v>1</v>
      </c>
      <c r="G267">
        <v>1.33</v>
      </c>
      <c r="H267">
        <v>1</v>
      </c>
      <c r="I267" s="34"/>
      <c r="J267" s="34"/>
      <c r="K267" s="34"/>
      <c r="L267" s="30">
        <v>71001000</v>
      </c>
      <c r="M267" s="31" t="s">
        <v>2640</v>
      </c>
      <c r="N267" s="32" t="s">
        <v>503</v>
      </c>
      <c r="O267" s="34"/>
    </row>
    <row r="268" spans="1:15" ht="21" customHeight="1" x14ac:dyDescent="0.2">
      <c r="A268" s="20">
        <v>6000304000</v>
      </c>
      <c r="B268" s="8" t="s">
        <v>2208</v>
      </c>
      <c r="C268" s="47" t="s">
        <v>2209</v>
      </c>
      <c r="D268" s="47" t="s">
        <v>2210</v>
      </c>
      <c r="E268" s="61" t="s">
        <v>594</v>
      </c>
      <c r="F268" s="62">
        <v>1</v>
      </c>
      <c r="H268">
        <v>1</v>
      </c>
      <c r="I268" s="34"/>
      <c r="J268" s="34"/>
      <c r="K268" s="34"/>
      <c r="O268" s="34"/>
    </row>
    <row r="269" spans="1:15" ht="21" customHeight="1" x14ac:dyDescent="0.2">
      <c r="A269" s="20">
        <v>6000302000</v>
      </c>
      <c r="B269" s="8" t="s">
        <v>2211</v>
      </c>
      <c r="C269" s="47" t="s">
        <v>2212</v>
      </c>
      <c r="D269" s="47" t="s">
        <v>2210</v>
      </c>
      <c r="E269" s="61" t="s">
        <v>594</v>
      </c>
      <c r="F269" s="62">
        <v>1</v>
      </c>
      <c r="H269">
        <v>1</v>
      </c>
      <c r="I269" s="34"/>
      <c r="J269" s="34"/>
      <c r="K269" s="34"/>
      <c r="O269" s="34"/>
    </row>
    <row r="270" spans="1:15" ht="21" customHeight="1" x14ac:dyDescent="0.2">
      <c r="A270" s="20">
        <v>6000301000</v>
      </c>
      <c r="B270" s="8" t="s">
        <v>2213</v>
      </c>
      <c r="C270" s="47" t="s">
        <v>2214</v>
      </c>
      <c r="D270" s="47" t="s">
        <v>2210</v>
      </c>
      <c r="E270" s="61" t="s">
        <v>594</v>
      </c>
      <c r="F270" s="62">
        <v>1</v>
      </c>
      <c r="H270">
        <v>1</v>
      </c>
      <c r="I270" s="34"/>
      <c r="J270" s="34"/>
      <c r="K270" s="34"/>
      <c r="O270" s="34"/>
    </row>
    <row r="271" spans="1:15" ht="21" customHeight="1" x14ac:dyDescent="0.2">
      <c r="A271" s="20">
        <v>6000303000</v>
      </c>
      <c r="B271" s="8" t="s">
        <v>2215</v>
      </c>
      <c r="C271" s="47" t="s">
        <v>2216</v>
      </c>
      <c r="D271" s="47" t="s">
        <v>2217</v>
      </c>
      <c r="E271" s="61" t="s">
        <v>594</v>
      </c>
      <c r="F271" s="62">
        <v>1</v>
      </c>
      <c r="H271">
        <v>1</v>
      </c>
      <c r="I271" s="34"/>
      <c r="J271" s="34"/>
      <c r="K271" s="34"/>
      <c r="O271" s="34"/>
    </row>
    <row r="272" spans="1:15" ht="21" customHeight="1" x14ac:dyDescent="0.2">
      <c r="A272" s="20">
        <v>6000305000</v>
      </c>
      <c r="B272" s="8" t="s">
        <v>2218</v>
      </c>
      <c r="C272" s="47" t="s">
        <v>2209</v>
      </c>
      <c r="D272" s="47" t="s">
        <v>2210</v>
      </c>
      <c r="E272" s="61" t="s">
        <v>594</v>
      </c>
      <c r="F272" s="62">
        <v>1</v>
      </c>
      <c r="H272">
        <v>1</v>
      </c>
      <c r="I272" s="34"/>
      <c r="J272" s="34"/>
      <c r="K272" s="34"/>
      <c r="O272" s="34"/>
    </row>
    <row r="273" spans="1:15" ht="21" customHeight="1" x14ac:dyDescent="0.2">
      <c r="A273" s="20">
        <v>9500306000</v>
      </c>
      <c r="B273" s="8" t="s">
        <v>2219</v>
      </c>
      <c r="C273" s="47" t="s">
        <v>2220</v>
      </c>
      <c r="D273" s="47"/>
      <c r="E273" s="61" t="s">
        <v>594</v>
      </c>
      <c r="F273" s="62">
        <v>1</v>
      </c>
      <c r="H273">
        <v>1</v>
      </c>
      <c r="I273" s="34"/>
      <c r="J273" s="34"/>
      <c r="K273" s="34"/>
      <c r="L273" s="30">
        <v>43105200</v>
      </c>
      <c r="M273" s="31" t="s">
        <v>2641</v>
      </c>
      <c r="O273" s="34"/>
    </row>
    <row r="274" spans="1:15" ht="21" customHeight="1" x14ac:dyDescent="0.2">
      <c r="A274" s="20">
        <v>902308000</v>
      </c>
      <c r="B274" s="8" t="s">
        <v>2221</v>
      </c>
      <c r="C274" s="47" t="s">
        <v>2023</v>
      </c>
      <c r="D274" s="47"/>
      <c r="E274" s="65" t="s">
        <v>2724</v>
      </c>
      <c r="F274" s="62">
        <v>1.43</v>
      </c>
      <c r="G274">
        <v>1.43</v>
      </c>
      <c r="H274">
        <v>1.4285714285714286</v>
      </c>
      <c r="I274" s="34"/>
      <c r="J274" s="34"/>
      <c r="K274" s="34"/>
      <c r="L274" s="38" t="s">
        <v>2724</v>
      </c>
      <c r="M274" s="37" t="s">
        <v>2725</v>
      </c>
      <c r="N274" s="39" t="s">
        <v>162</v>
      </c>
      <c r="O274" s="34"/>
    </row>
    <row r="275" spans="1:15" ht="21" customHeight="1" x14ac:dyDescent="0.2">
      <c r="A275" s="20">
        <v>902309000</v>
      </c>
      <c r="B275" s="8" t="s">
        <v>2222</v>
      </c>
      <c r="C275" s="47" t="s">
        <v>2223</v>
      </c>
      <c r="D275" s="47"/>
      <c r="E275" s="61" t="s">
        <v>594</v>
      </c>
      <c r="F275" s="62">
        <v>1</v>
      </c>
      <c r="H275">
        <v>1</v>
      </c>
      <c r="I275" s="34"/>
      <c r="J275" s="34"/>
      <c r="K275" s="34"/>
      <c r="L275" s="30">
        <v>43101000</v>
      </c>
      <c r="M275" s="31" t="s">
        <v>2642</v>
      </c>
      <c r="O275" s="34"/>
    </row>
    <row r="276" spans="1:15" ht="21" customHeight="1" x14ac:dyDescent="0.2">
      <c r="A276" s="20">
        <v>3900312000</v>
      </c>
      <c r="B276" s="8" t="s">
        <v>2224</v>
      </c>
      <c r="C276" s="47" t="s">
        <v>2074</v>
      </c>
      <c r="D276" s="47"/>
      <c r="E276" s="61" t="s">
        <v>594</v>
      </c>
      <c r="F276" s="62">
        <v>1</v>
      </c>
      <c r="G276">
        <v>1.6130000000000002</v>
      </c>
      <c r="H276">
        <v>1</v>
      </c>
      <c r="I276" s="34"/>
      <c r="J276" s="34"/>
      <c r="K276" s="34"/>
      <c r="L276" s="30">
        <v>23310000</v>
      </c>
      <c r="M276" s="31" t="s">
        <v>2643</v>
      </c>
      <c r="N276" s="32" t="s">
        <v>2644</v>
      </c>
      <c r="O276" s="34"/>
    </row>
    <row r="277" spans="1:15" ht="21" customHeight="1" x14ac:dyDescent="0.2">
      <c r="A277" s="20">
        <v>401313000</v>
      </c>
      <c r="B277" s="8" t="s">
        <v>2225</v>
      </c>
      <c r="C277" s="47" t="s">
        <v>1760</v>
      </c>
      <c r="D277" s="47"/>
      <c r="E277" s="61" t="s">
        <v>2724</v>
      </c>
      <c r="F277" s="62">
        <v>1.1000000000000001</v>
      </c>
      <c r="G277">
        <v>1.1000000000000001</v>
      </c>
      <c r="H277">
        <v>1</v>
      </c>
      <c r="I277" s="34"/>
      <c r="J277" s="34"/>
      <c r="K277" s="34"/>
      <c r="L277" s="30">
        <v>72124100</v>
      </c>
      <c r="M277" s="31" t="s">
        <v>2645</v>
      </c>
      <c r="N277" s="32" t="s">
        <v>2481</v>
      </c>
      <c r="O277" s="34"/>
    </row>
    <row r="278" spans="1:15" ht="21" customHeight="1" x14ac:dyDescent="0.2">
      <c r="A278" s="20">
        <v>101316000</v>
      </c>
      <c r="B278" s="8" t="s">
        <v>2226</v>
      </c>
      <c r="C278" s="47" t="s">
        <v>1851</v>
      </c>
      <c r="D278" s="47"/>
      <c r="E278" s="61" t="s">
        <v>2724</v>
      </c>
      <c r="F278" s="62">
        <v>1.27</v>
      </c>
      <c r="G278">
        <v>1.27</v>
      </c>
      <c r="H278">
        <v>1</v>
      </c>
      <c r="I278" s="34"/>
      <c r="J278" s="34"/>
      <c r="K278" s="34"/>
      <c r="L278" s="38" t="s">
        <v>2722</v>
      </c>
      <c r="M278" s="37" t="s">
        <v>2726</v>
      </c>
      <c r="N278" s="39" t="s">
        <v>162</v>
      </c>
      <c r="O278" s="34"/>
    </row>
    <row r="279" spans="1:15" ht="21" customHeight="1" x14ac:dyDescent="0.2">
      <c r="A279" s="20">
        <v>101314000</v>
      </c>
      <c r="B279" s="8" t="s">
        <v>2227</v>
      </c>
      <c r="C279" s="47" t="s">
        <v>1851</v>
      </c>
      <c r="D279" s="47"/>
      <c r="E279" s="65" t="s">
        <v>2724</v>
      </c>
      <c r="F279" s="62">
        <v>1.1100000000000001</v>
      </c>
      <c r="G279">
        <v>1.1100000000000001</v>
      </c>
      <c r="H279">
        <v>1.1111111111111112</v>
      </c>
      <c r="I279" s="34"/>
      <c r="J279" s="34"/>
      <c r="K279" s="34"/>
      <c r="L279" s="38" t="s">
        <v>2722</v>
      </c>
      <c r="M279" s="37" t="s">
        <v>2726</v>
      </c>
      <c r="N279" s="39" t="s">
        <v>162</v>
      </c>
      <c r="O279" s="34"/>
    </row>
    <row r="280" spans="1:15" ht="21" customHeight="1" x14ac:dyDescent="0.2">
      <c r="A280" s="20">
        <v>2001319000</v>
      </c>
      <c r="B280" s="8" t="s">
        <v>2228</v>
      </c>
      <c r="C280" s="47" t="s">
        <v>1731</v>
      </c>
      <c r="D280" s="47" t="s">
        <v>2229</v>
      </c>
      <c r="E280" s="61" t="s">
        <v>2724</v>
      </c>
      <c r="F280" s="62">
        <v>1</v>
      </c>
      <c r="G280">
        <v>1</v>
      </c>
      <c r="H280">
        <v>1</v>
      </c>
      <c r="I280" s="34"/>
      <c r="J280" s="34"/>
      <c r="K280" s="34"/>
      <c r="L280" s="30">
        <v>82105500</v>
      </c>
      <c r="M280" s="31" t="s">
        <v>2646</v>
      </c>
      <c r="N280" s="32" t="s">
        <v>2548</v>
      </c>
      <c r="O280" s="34"/>
    </row>
    <row r="281" spans="1:15" ht="21" customHeight="1" x14ac:dyDescent="0.2">
      <c r="A281" s="20">
        <v>1301320000</v>
      </c>
      <c r="B281" s="8" t="s">
        <v>2230</v>
      </c>
      <c r="C281" s="47" t="s">
        <v>1834</v>
      </c>
      <c r="D281" s="47" t="s">
        <v>2231</v>
      </c>
      <c r="E281" s="65" t="s">
        <v>2724</v>
      </c>
      <c r="F281" s="62">
        <v>1.04</v>
      </c>
      <c r="G281">
        <v>1.04</v>
      </c>
      <c r="H281">
        <v>1.0416666666666667</v>
      </c>
      <c r="I281" s="34"/>
      <c r="J281" s="34"/>
      <c r="K281" s="34"/>
      <c r="L281" s="30">
        <v>63219010</v>
      </c>
      <c r="M281" s="31" t="s">
        <v>2647</v>
      </c>
      <c r="N281" s="32" t="s">
        <v>2507</v>
      </c>
      <c r="O281" s="34"/>
    </row>
    <row r="282" spans="1:15" ht="21" customHeight="1" x14ac:dyDescent="0.2">
      <c r="A282" s="20">
        <v>1301321000</v>
      </c>
      <c r="B282" s="8" t="s">
        <v>2232</v>
      </c>
      <c r="C282" s="47" t="s">
        <v>1742</v>
      </c>
      <c r="D282" s="47" t="s">
        <v>2231</v>
      </c>
      <c r="E282" s="61" t="s">
        <v>594</v>
      </c>
      <c r="F282" s="62">
        <v>1</v>
      </c>
      <c r="H282">
        <v>1</v>
      </c>
      <c r="I282" s="34"/>
      <c r="J282" s="34"/>
      <c r="K282" s="34"/>
      <c r="L282" s="30"/>
      <c r="O282" s="34" t="s">
        <v>2689</v>
      </c>
    </row>
    <row r="283" spans="1:15" ht="21" customHeight="1" x14ac:dyDescent="0.2">
      <c r="A283" s="20">
        <v>2202322000</v>
      </c>
      <c r="B283" s="8" t="s">
        <v>2233</v>
      </c>
      <c r="C283" s="47" t="s">
        <v>2234</v>
      </c>
      <c r="D283" s="47"/>
      <c r="E283" s="61" t="s">
        <v>2724</v>
      </c>
      <c r="F283" s="62">
        <v>1.33</v>
      </c>
      <c r="G283">
        <v>1.33</v>
      </c>
      <c r="H283">
        <v>1</v>
      </c>
      <c r="I283" s="34"/>
      <c r="J283" s="34"/>
      <c r="K283" s="34"/>
      <c r="L283" s="30">
        <v>63147010</v>
      </c>
      <c r="M283" s="31" t="s">
        <v>2648</v>
      </c>
      <c r="N283" s="32" t="s">
        <v>2487</v>
      </c>
      <c r="O283" s="34"/>
    </row>
    <row r="284" spans="1:15" ht="21" customHeight="1" x14ac:dyDescent="0.2">
      <c r="A284" s="20">
        <v>1500326000</v>
      </c>
      <c r="B284" s="8" t="s">
        <v>2235</v>
      </c>
      <c r="C284" s="47" t="s">
        <v>1774</v>
      </c>
      <c r="D284" s="47"/>
      <c r="E284" s="61" t="s">
        <v>594</v>
      </c>
      <c r="F284" s="62">
        <v>1</v>
      </c>
      <c r="H284">
        <v>1</v>
      </c>
      <c r="I284" s="34"/>
      <c r="J284" s="34"/>
      <c r="K284" s="34"/>
      <c r="O284" s="34"/>
    </row>
    <row r="285" spans="1:15" ht="21" customHeight="1" x14ac:dyDescent="0.2">
      <c r="A285" s="20">
        <v>1500324000</v>
      </c>
      <c r="B285" s="8" t="s">
        <v>2236</v>
      </c>
      <c r="C285" s="47" t="s">
        <v>2237</v>
      </c>
      <c r="D285" s="47"/>
      <c r="E285" s="61" t="s">
        <v>594</v>
      </c>
      <c r="F285" s="62">
        <v>1</v>
      </c>
      <c r="G285">
        <v>0.36</v>
      </c>
      <c r="H285">
        <v>1</v>
      </c>
      <c r="I285" s="34"/>
      <c r="J285" s="34"/>
      <c r="K285" s="34"/>
      <c r="L285" s="30">
        <v>56205110</v>
      </c>
      <c r="M285" s="31" t="s">
        <v>2649</v>
      </c>
      <c r="N285" s="32" t="s">
        <v>2650</v>
      </c>
      <c r="O285" s="34"/>
    </row>
    <row r="286" spans="1:15" ht="21" customHeight="1" x14ac:dyDescent="0.2">
      <c r="A286" s="20">
        <v>1500325000</v>
      </c>
      <c r="B286" s="8" t="s">
        <v>2238</v>
      </c>
      <c r="C286" s="47" t="s">
        <v>1754</v>
      </c>
      <c r="D286" s="47"/>
      <c r="E286" s="61" t="s">
        <v>594</v>
      </c>
      <c r="F286" s="62">
        <v>1</v>
      </c>
      <c r="H286">
        <v>1</v>
      </c>
      <c r="I286" s="34"/>
      <c r="J286" s="34"/>
      <c r="K286" s="34"/>
      <c r="O286" s="34" t="s">
        <v>2689</v>
      </c>
    </row>
    <row r="287" spans="1:15" ht="21" customHeight="1" x14ac:dyDescent="0.2">
      <c r="A287" s="20">
        <v>1500323000</v>
      </c>
      <c r="B287" s="8" t="s">
        <v>2239</v>
      </c>
      <c r="C287" s="47" t="s">
        <v>2084</v>
      </c>
      <c r="D287" s="47"/>
      <c r="E287" s="61" t="s">
        <v>594</v>
      </c>
      <c r="F287" s="62">
        <v>1</v>
      </c>
      <c r="G287">
        <v>0.36</v>
      </c>
      <c r="H287">
        <v>1</v>
      </c>
      <c r="I287" s="34"/>
      <c r="J287" s="34"/>
      <c r="K287" s="34"/>
      <c r="L287" s="30">
        <v>56205010</v>
      </c>
      <c r="M287" s="31" t="s">
        <v>2651</v>
      </c>
      <c r="N287" s="32" t="s">
        <v>2650</v>
      </c>
      <c r="O287" s="34"/>
    </row>
    <row r="288" spans="1:15" ht="21" customHeight="1" x14ac:dyDescent="0.2">
      <c r="A288" s="20">
        <v>101327000</v>
      </c>
      <c r="B288" s="8" t="s">
        <v>2240</v>
      </c>
      <c r="C288" s="47" t="s">
        <v>2241</v>
      </c>
      <c r="D288" s="47"/>
      <c r="E288" s="61" t="s">
        <v>2724</v>
      </c>
      <c r="F288" s="62">
        <v>1.18</v>
      </c>
      <c r="G288">
        <v>1.18</v>
      </c>
      <c r="H288">
        <v>1</v>
      </c>
      <c r="I288" s="34"/>
      <c r="J288" s="34"/>
      <c r="K288" s="34"/>
      <c r="L288" s="30">
        <v>75127000</v>
      </c>
      <c r="M288" s="31" t="s">
        <v>2652</v>
      </c>
      <c r="N288" s="32" t="s">
        <v>2515</v>
      </c>
      <c r="O288" s="34"/>
    </row>
    <row r="289" spans="1:15" ht="21" customHeight="1" x14ac:dyDescent="0.2">
      <c r="A289" s="20">
        <v>1500329000</v>
      </c>
      <c r="B289" s="8" t="s">
        <v>2242</v>
      </c>
      <c r="C289" s="47" t="s">
        <v>1754</v>
      </c>
      <c r="D289" s="47"/>
      <c r="E289" s="61" t="s">
        <v>594</v>
      </c>
      <c r="F289" s="62">
        <v>1</v>
      </c>
      <c r="H289">
        <v>1</v>
      </c>
      <c r="I289" s="34"/>
      <c r="J289" s="34"/>
      <c r="K289" s="34"/>
      <c r="O289" s="34"/>
    </row>
    <row r="290" spans="1:15" ht="21" customHeight="1" x14ac:dyDescent="0.2">
      <c r="A290" s="20">
        <v>1500328000</v>
      </c>
      <c r="B290" s="8" t="s">
        <v>2243</v>
      </c>
      <c r="C290" s="47" t="s">
        <v>2244</v>
      </c>
      <c r="D290" s="47"/>
      <c r="E290" s="61" t="s">
        <v>594</v>
      </c>
      <c r="F290" s="62">
        <v>1</v>
      </c>
      <c r="H290">
        <v>1</v>
      </c>
      <c r="I290" s="34"/>
      <c r="J290" s="34"/>
      <c r="K290" s="34"/>
      <c r="O290" s="34"/>
    </row>
    <row r="291" spans="1:15" ht="21" customHeight="1" x14ac:dyDescent="0.2">
      <c r="A291" s="20">
        <v>2002330000</v>
      </c>
      <c r="B291" s="8" t="s">
        <v>2245</v>
      </c>
      <c r="C291" s="47" t="s">
        <v>1731</v>
      </c>
      <c r="D291" s="47"/>
      <c r="E291" s="61" t="s">
        <v>2724</v>
      </c>
      <c r="F291" s="62">
        <v>1</v>
      </c>
      <c r="G291">
        <v>1</v>
      </c>
      <c r="H291">
        <v>1</v>
      </c>
      <c r="I291" s="34">
        <v>2.6310160427807485</v>
      </c>
      <c r="J291" s="34"/>
      <c r="K291" s="34"/>
      <c r="L291" s="30">
        <v>82106000</v>
      </c>
      <c r="M291" s="31" t="s">
        <v>2653</v>
      </c>
      <c r="N291" s="32" t="s">
        <v>2548</v>
      </c>
      <c r="O291" s="34"/>
    </row>
    <row r="292" spans="1:15" ht="21" customHeight="1" x14ac:dyDescent="0.2">
      <c r="A292" s="20">
        <v>1901334000</v>
      </c>
      <c r="B292" s="8" t="s">
        <v>2246</v>
      </c>
      <c r="C292" s="47" t="s">
        <v>2247</v>
      </c>
      <c r="D292" s="47" t="s">
        <v>2248</v>
      </c>
      <c r="E292" s="61" t="s">
        <v>594</v>
      </c>
      <c r="F292" s="62">
        <v>1</v>
      </c>
      <c r="H292">
        <v>1</v>
      </c>
      <c r="I292" s="34"/>
      <c r="J292" s="34"/>
      <c r="K292" s="34"/>
      <c r="O292" s="34"/>
    </row>
    <row r="293" spans="1:15" ht="21" customHeight="1" x14ac:dyDescent="0.2">
      <c r="A293" s="20">
        <v>9500335000</v>
      </c>
      <c r="B293" s="8" t="s">
        <v>2249</v>
      </c>
      <c r="C293" s="47" t="s">
        <v>2250</v>
      </c>
      <c r="D293" s="47" t="s">
        <v>2251</v>
      </c>
      <c r="E293" s="61" t="s">
        <v>2724</v>
      </c>
      <c r="F293" s="62">
        <v>1</v>
      </c>
      <c r="G293">
        <v>1</v>
      </c>
      <c r="H293">
        <v>1</v>
      </c>
      <c r="I293" s="34"/>
      <c r="J293" s="34"/>
      <c r="K293" s="34"/>
      <c r="L293" s="30">
        <v>75127500</v>
      </c>
      <c r="M293" s="31" t="s">
        <v>2654</v>
      </c>
      <c r="N293" s="32" t="s">
        <v>2481</v>
      </c>
      <c r="O293" s="34"/>
    </row>
    <row r="294" spans="1:15" ht="21" customHeight="1" x14ac:dyDescent="0.2">
      <c r="A294" s="20">
        <v>2001337000</v>
      </c>
      <c r="B294" s="8" t="s">
        <v>2252</v>
      </c>
      <c r="C294" s="47" t="s">
        <v>1731</v>
      </c>
      <c r="D294" s="47"/>
      <c r="E294" s="61" t="s">
        <v>2724</v>
      </c>
      <c r="F294" s="62">
        <v>1</v>
      </c>
      <c r="G294">
        <v>1</v>
      </c>
      <c r="H294">
        <v>1</v>
      </c>
      <c r="I294" s="34"/>
      <c r="J294" s="34"/>
      <c r="K294" s="34"/>
      <c r="L294" s="30">
        <v>82107000</v>
      </c>
      <c r="M294" s="31" t="s">
        <v>2655</v>
      </c>
      <c r="N294" s="32" t="s">
        <v>2548</v>
      </c>
      <c r="O294" s="34"/>
    </row>
    <row r="295" spans="1:15" ht="21" customHeight="1" x14ac:dyDescent="0.2">
      <c r="A295" s="20">
        <v>2001336000</v>
      </c>
      <c r="B295" s="8" t="s">
        <v>2253</v>
      </c>
      <c r="C295" s="47" t="s">
        <v>1965</v>
      </c>
      <c r="D295" s="47"/>
      <c r="E295" s="61" t="s">
        <v>594</v>
      </c>
      <c r="F295" s="62">
        <v>1</v>
      </c>
      <c r="H295">
        <v>1</v>
      </c>
      <c r="I295" s="34"/>
      <c r="J295" s="34"/>
      <c r="K295" s="34"/>
      <c r="L295" s="30">
        <v>43103050</v>
      </c>
      <c r="M295" s="31" t="s">
        <v>2656</v>
      </c>
      <c r="O295" s="34"/>
    </row>
    <row r="296" spans="1:15" ht="21" customHeight="1" x14ac:dyDescent="0.2">
      <c r="A296" s="20">
        <v>301338000</v>
      </c>
      <c r="B296" s="8" t="s">
        <v>2254</v>
      </c>
      <c r="C296" s="47" t="s">
        <v>2255</v>
      </c>
      <c r="D296" s="47"/>
      <c r="E296" s="63" t="s">
        <v>2737</v>
      </c>
      <c r="F296" s="62">
        <v>1.1359999999999999</v>
      </c>
      <c r="H296">
        <v>1</v>
      </c>
      <c r="I296" s="34"/>
      <c r="J296" s="34"/>
      <c r="K296" s="34">
        <v>1.1359999999999999</v>
      </c>
      <c r="O296" s="34"/>
    </row>
    <row r="297" spans="1:15" ht="21" customHeight="1" x14ac:dyDescent="0.2">
      <c r="A297" s="20">
        <v>3500341000</v>
      </c>
      <c r="B297" s="8" t="s">
        <v>2256</v>
      </c>
      <c r="C297" s="47" t="s">
        <v>2257</v>
      </c>
      <c r="D297" s="47"/>
      <c r="E297" s="61" t="s">
        <v>594</v>
      </c>
      <c r="F297" s="62">
        <v>1</v>
      </c>
      <c r="H297">
        <v>1</v>
      </c>
      <c r="I297" s="34"/>
      <c r="J297" s="34"/>
      <c r="K297" s="34"/>
      <c r="O297" s="34"/>
    </row>
    <row r="298" spans="1:15" ht="21" customHeight="1" x14ac:dyDescent="0.2">
      <c r="A298" s="20">
        <v>3500343000</v>
      </c>
      <c r="B298" s="8" t="s">
        <v>2258</v>
      </c>
      <c r="C298" s="47" t="s">
        <v>2212</v>
      </c>
      <c r="D298" s="47"/>
      <c r="E298" s="61" t="s">
        <v>594</v>
      </c>
      <c r="F298" s="62">
        <v>1</v>
      </c>
      <c r="H298">
        <v>1</v>
      </c>
      <c r="I298" s="34"/>
      <c r="J298" s="34"/>
      <c r="K298" s="34"/>
      <c r="O298" s="34"/>
    </row>
    <row r="299" spans="1:15" ht="21" customHeight="1" x14ac:dyDescent="0.2">
      <c r="A299" s="20">
        <v>3500339000</v>
      </c>
      <c r="B299" s="8" t="s">
        <v>2259</v>
      </c>
      <c r="C299" s="47" t="s">
        <v>2260</v>
      </c>
      <c r="D299" s="47"/>
      <c r="E299" s="61" t="s">
        <v>594</v>
      </c>
      <c r="F299" s="62">
        <v>1</v>
      </c>
      <c r="H299">
        <v>1</v>
      </c>
      <c r="I299" s="34"/>
      <c r="J299" s="34"/>
      <c r="K299" s="34"/>
      <c r="O299" s="34"/>
    </row>
    <row r="300" spans="1:15" ht="21" customHeight="1" x14ac:dyDescent="0.2">
      <c r="A300" s="20">
        <v>3500340000</v>
      </c>
      <c r="B300" s="8" t="s">
        <v>2261</v>
      </c>
      <c r="C300" s="47" t="s">
        <v>2262</v>
      </c>
      <c r="D300" s="47" t="s">
        <v>2263</v>
      </c>
      <c r="E300" s="61" t="s">
        <v>594</v>
      </c>
      <c r="F300" s="62">
        <v>1</v>
      </c>
      <c r="H300">
        <v>1</v>
      </c>
      <c r="I300" s="34"/>
      <c r="J300" s="34"/>
      <c r="K300" s="34"/>
      <c r="O300" s="34"/>
    </row>
    <row r="301" spans="1:15" ht="21" customHeight="1" x14ac:dyDescent="0.2">
      <c r="A301" s="20">
        <v>1500345000</v>
      </c>
      <c r="B301" s="8" t="s">
        <v>2264</v>
      </c>
      <c r="C301" s="47" t="s">
        <v>1943</v>
      </c>
      <c r="D301" s="47"/>
      <c r="E301" s="61" t="s">
        <v>2724</v>
      </c>
      <c r="F301" s="62">
        <v>1</v>
      </c>
      <c r="G301">
        <v>1</v>
      </c>
      <c r="H301">
        <v>1</v>
      </c>
      <c r="I301" s="34"/>
      <c r="J301" s="34"/>
      <c r="K301" s="34"/>
      <c r="L301" s="30">
        <v>91301090</v>
      </c>
      <c r="M301" s="31" t="s">
        <v>2657</v>
      </c>
      <c r="N301" s="32" t="s">
        <v>2471</v>
      </c>
      <c r="O301" s="34"/>
    </row>
    <row r="302" spans="1:15" ht="21" customHeight="1" x14ac:dyDescent="0.2">
      <c r="A302" s="20">
        <v>2403346000</v>
      </c>
      <c r="B302" s="8" t="s">
        <v>2265</v>
      </c>
      <c r="C302" s="47" t="s">
        <v>1842</v>
      </c>
      <c r="D302" s="47"/>
      <c r="E302" s="65" t="s">
        <v>2724</v>
      </c>
      <c r="F302" s="62">
        <v>1.49</v>
      </c>
      <c r="G302">
        <v>1.49</v>
      </c>
      <c r="H302">
        <v>1</v>
      </c>
      <c r="I302" s="34"/>
      <c r="J302" s="34"/>
      <c r="K302" s="34"/>
      <c r="L302" s="38" t="s">
        <v>2697</v>
      </c>
      <c r="M302" s="37" t="s">
        <v>2698</v>
      </c>
      <c r="N302" s="39" t="s">
        <v>2578</v>
      </c>
      <c r="O302" s="34"/>
    </row>
    <row r="303" spans="1:15" ht="21" customHeight="1" x14ac:dyDescent="0.2">
      <c r="A303" s="20">
        <v>600348000</v>
      </c>
      <c r="B303" s="21" t="s">
        <v>2266</v>
      </c>
      <c r="C303" s="48" t="s">
        <v>2267</v>
      </c>
      <c r="D303" s="47"/>
      <c r="E303" s="61" t="s">
        <v>2724</v>
      </c>
      <c r="F303" s="61">
        <v>1</v>
      </c>
      <c r="G303">
        <v>1</v>
      </c>
      <c r="H303">
        <v>1</v>
      </c>
      <c r="I303" s="36">
        <v>1.1000000000000001</v>
      </c>
      <c r="J303" s="36"/>
      <c r="K303" s="36"/>
      <c r="L303" s="38" t="s">
        <v>2722</v>
      </c>
      <c r="M303" s="37" t="s">
        <v>2727</v>
      </c>
      <c r="N303" s="39" t="s">
        <v>162</v>
      </c>
      <c r="O303" s="36"/>
    </row>
    <row r="304" spans="1:15" ht="21" customHeight="1" x14ac:dyDescent="0.2">
      <c r="A304" s="20">
        <v>600350000</v>
      </c>
      <c r="B304" s="8" t="s">
        <v>2268</v>
      </c>
      <c r="C304" s="47" t="s">
        <v>1731</v>
      </c>
      <c r="D304" s="47" t="s">
        <v>2269</v>
      </c>
      <c r="E304" s="63" t="s">
        <v>628</v>
      </c>
      <c r="F304" s="64">
        <v>1</v>
      </c>
      <c r="G304">
        <v>1</v>
      </c>
      <c r="H304">
        <v>1</v>
      </c>
      <c r="I304" s="34">
        <v>5.3983739837398375</v>
      </c>
      <c r="J304" s="34"/>
      <c r="K304" s="34"/>
      <c r="L304" s="30">
        <v>82108000</v>
      </c>
      <c r="M304" s="31" t="s">
        <v>2658</v>
      </c>
      <c r="N304" s="32" t="s">
        <v>2548</v>
      </c>
      <c r="O304" s="34"/>
    </row>
    <row r="305" spans="1:15" ht="21" customHeight="1" x14ac:dyDescent="0.2">
      <c r="A305" s="20">
        <v>600347000</v>
      </c>
      <c r="B305" s="8" t="s">
        <v>2270</v>
      </c>
      <c r="C305" s="47" t="s">
        <v>2271</v>
      </c>
      <c r="D305" s="47"/>
      <c r="E305" s="61" t="s">
        <v>594</v>
      </c>
      <c r="F305" s="62">
        <v>1</v>
      </c>
      <c r="H305">
        <v>1</v>
      </c>
      <c r="I305" s="34"/>
      <c r="J305" s="34"/>
      <c r="K305" s="34"/>
      <c r="O305" s="34"/>
    </row>
    <row r="306" spans="1:15" ht="21" customHeight="1" x14ac:dyDescent="0.2">
      <c r="A306" s="20">
        <v>600349000</v>
      </c>
      <c r="B306" s="8" t="s">
        <v>2272</v>
      </c>
      <c r="C306" s="47" t="s">
        <v>2273</v>
      </c>
      <c r="D306" s="47"/>
      <c r="E306" s="61" t="s">
        <v>594</v>
      </c>
      <c r="F306" s="62">
        <v>1</v>
      </c>
      <c r="G306">
        <v>0.17</v>
      </c>
      <c r="H306">
        <v>1</v>
      </c>
      <c r="I306" s="34"/>
      <c r="J306" s="34"/>
      <c r="K306" s="34"/>
      <c r="L306" s="30">
        <v>11320000</v>
      </c>
      <c r="M306" s="31" t="s">
        <v>2659</v>
      </c>
      <c r="N306" s="32" t="s">
        <v>2481</v>
      </c>
      <c r="O306" s="34"/>
    </row>
    <row r="307" spans="1:15" ht="21" customHeight="1" x14ac:dyDescent="0.2">
      <c r="A307" s="20">
        <v>1902354000</v>
      </c>
      <c r="B307" s="8" t="s">
        <v>2274</v>
      </c>
      <c r="C307" s="47" t="s">
        <v>2095</v>
      </c>
      <c r="D307" s="50" t="s">
        <v>2275</v>
      </c>
      <c r="E307" s="63" t="s">
        <v>594</v>
      </c>
      <c r="F307" s="62">
        <v>1</v>
      </c>
      <c r="H307">
        <v>1</v>
      </c>
      <c r="I307" s="34"/>
      <c r="J307" s="34"/>
      <c r="K307" s="34"/>
      <c r="O307" s="34"/>
    </row>
    <row r="308" spans="1:15" ht="21" customHeight="1" x14ac:dyDescent="0.2">
      <c r="A308" s="20">
        <v>401355000</v>
      </c>
      <c r="B308" s="8" t="s">
        <v>892</v>
      </c>
      <c r="C308" s="47" t="s">
        <v>2056</v>
      </c>
      <c r="D308" s="47"/>
      <c r="E308" s="65" t="s">
        <v>2724</v>
      </c>
      <c r="F308" s="62">
        <v>1.39</v>
      </c>
      <c r="G308">
        <v>1.39</v>
      </c>
      <c r="H308">
        <v>1.3888888888888888</v>
      </c>
      <c r="I308" s="34"/>
      <c r="J308" s="34"/>
      <c r="K308" s="34"/>
      <c r="L308" s="30">
        <v>72125100</v>
      </c>
      <c r="M308" s="31" t="s">
        <v>2660</v>
      </c>
      <c r="N308" s="32" t="s">
        <v>2500</v>
      </c>
      <c r="O308" s="34"/>
    </row>
    <row r="309" spans="1:15" ht="21" customHeight="1" x14ac:dyDescent="0.2">
      <c r="A309" s="20">
        <v>902356000</v>
      </c>
      <c r="B309" s="8" t="s">
        <v>2276</v>
      </c>
      <c r="C309" s="47" t="s">
        <v>2277</v>
      </c>
      <c r="D309" s="47" t="s">
        <v>2278</v>
      </c>
      <c r="E309" s="61" t="s">
        <v>2724</v>
      </c>
      <c r="F309" s="62">
        <v>1.05</v>
      </c>
      <c r="G309">
        <v>1.05</v>
      </c>
      <c r="H309">
        <v>1.2048192771084338</v>
      </c>
      <c r="I309" s="34"/>
      <c r="J309" s="34"/>
      <c r="K309" s="34"/>
      <c r="L309" s="30">
        <v>75128000</v>
      </c>
      <c r="M309" s="31" t="s">
        <v>2661</v>
      </c>
      <c r="N309" s="32" t="s">
        <v>2481</v>
      </c>
      <c r="O309" s="34"/>
    </row>
    <row r="310" spans="1:15" ht="21" customHeight="1" x14ac:dyDescent="0.2">
      <c r="A310" s="20">
        <v>902357000</v>
      </c>
      <c r="B310" s="8" t="s">
        <v>2279</v>
      </c>
      <c r="C310" s="47" t="s">
        <v>2280</v>
      </c>
      <c r="D310" s="47" t="s">
        <v>2281</v>
      </c>
      <c r="E310" s="61" t="s">
        <v>2724</v>
      </c>
      <c r="F310" s="62">
        <v>1.41</v>
      </c>
      <c r="G310">
        <v>1.41</v>
      </c>
      <c r="H310">
        <v>1.2048192771084338</v>
      </c>
      <c r="I310" s="34"/>
      <c r="J310" s="34"/>
      <c r="K310" s="34"/>
      <c r="L310" s="30">
        <v>73302010</v>
      </c>
      <c r="M310" s="31" t="s">
        <v>2662</v>
      </c>
      <c r="N310" s="32" t="s">
        <v>2481</v>
      </c>
      <c r="O310" s="34"/>
    </row>
    <row r="311" spans="1:15" ht="21" customHeight="1" x14ac:dyDescent="0.2">
      <c r="A311" s="20">
        <v>1307359000</v>
      </c>
      <c r="B311" s="8" t="s">
        <v>2282</v>
      </c>
      <c r="C311" s="47" t="s">
        <v>2283</v>
      </c>
      <c r="D311" s="47"/>
      <c r="E311" s="65" t="s">
        <v>2724</v>
      </c>
      <c r="F311" s="62">
        <v>1.06</v>
      </c>
      <c r="G311">
        <v>1.06</v>
      </c>
      <c r="H311">
        <v>1.0638297872340425</v>
      </c>
      <c r="I311" s="34"/>
      <c r="J311" s="34"/>
      <c r="K311" s="34"/>
      <c r="L311" s="30">
        <v>63223020</v>
      </c>
      <c r="M311" s="31" t="s">
        <v>2663</v>
      </c>
      <c r="N311" s="32" t="s">
        <v>2507</v>
      </c>
      <c r="O311" s="34"/>
    </row>
    <row r="312" spans="1:15" ht="21" customHeight="1" x14ac:dyDescent="0.2">
      <c r="A312" s="20">
        <v>1307360000</v>
      </c>
      <c r="B312" s="8" t="s">
        <v>2284</v>
      </c>
      <c r="C312" s="47" t="s">
        <v>1742</v>
      </c>
      <c r="D312" s="47"/>
      <c r="E312" s="61" t="s">
        <v>2724</v>
      </c>
      <c r="F312" s="62">
        <v>1.3</v>
      </c>
      <c r="G312">
        <v>1.3</v>
      </c>
      <c r="H312">
        <v>1</v>
      </c>
      <c r="I312" s="34"/>
      <c r="J312" s="34"/>
      <c r="K312" s="34"/>
      <c r="L312" s="30">
        <v>64132500</v>
      </c>
      <c r="M312" s="31" t="s">
        <v>2664</v>
      </c>
      <c r="N312" s="32" t="s">
        <v>2507</v>
      </c>
      <c r="O312" s="34" t="s">
        <v>2689</v>
      </c>
    </row>
    <row r="313" spans="1:15" ht="21" customHeight="1" x14ac:dyDescent="0.2">
      <c r="A313" s="20">
        <v>9500363000</v>
      </c>
      <c r="B313" s="8" t="s">
        <v>2285</v>
      </c>
      <c r="C313" s="47" t="s">
        <v>1830</v>
      </c>
      <c r="D313" s="47" t="s">
        <v>2286</v>
      </c>
      <c r="E313" s="63" t="s">
        <v>594</v>
      </c>
      <c r="F313" s="62">
        <v>1</v>
      </c>
      <c r="H313">
        <v>1</v>
      </c>
      <c r="I313" s="34"/>
      <c r="J313" s="34"/>
      <c r="K313" s="34"/>
      <c r="O313" s="34" t="s">
        <v>2689</v>
      </c>
    </row>
    <row r="314" spans="1:15" ht="21" customHeight="1" x14ac:dyDescent="0.2">
      <c r="A314" s="20">
        <v>9500362000</v>
      </c>
      <c r="B314" s="8" t="s">
        <v>2287</v>
      </c>
      <c r="C314" s="47" t="s">
        <v>2288</v>
      </c>
      <c r="D314" s="47" t="s">
        <v>1828</v>
      </c>
      <c r="E314" s="63" t="s">
        <v>594</v>
      </c>
      <c r="F314" s="62">
        <v>1</v>
      </c>
      <c r="H314">
        <v>1</v>
      </c>
      <c r="I314" s="34"/>
      <c r="J314" s="34"/>
      <c r="K314" s="34"/>
      <c r="O314" s="34"/>
    </row>
    <row r="315" spans="1:15" ht="21" customHeight="1" x14ac:dyDescent="0.2">
      <c r="A315" s="20">
        <v>2002365000</v>
      </c>
      <c r="B315" s="8" t="s">
        <v>2289</v>
      </c>
      <c r="C315" s="47" t="s">
        <v>1731</v>
      </c>
      <c r="D315" s="47"/>
      <c r="E315" s="63" t="s">
        <v>628</v>
      </c>
      <c r="F315" s="64">
        <v>1</v>
      </c>
      <c r="G315">
        <v>1</v>
      </c>
      <c r="H315">
        <v>1</v>
      </c>
      <c r="I315" s="34">
        <v>2.4688796680497926</v>
      </c>
      <c r="J315" s="34"/>
      <c r="K315" s="34"/>
      <c r="L315" s="30">
        <v>82108500</v>
      </c>
      <c r="M315" s="31" t="s">
        <v>2665</v>
      </c>
      <c r="N315" s="32" t="s">
        <v>2548</v>
      </c>
      <c r="O315" s="34"/>
    </row>
    <row r="316" spans="1:15" ht="21" customHeight="1" x14ac:dyDescent="0.2">
      <c r="A316" s="20">
        <v>2002364000</v>
      </c>
      <c r="B316" s="8" t="s">
        <v>2290</v>
      </c>
      <c r="C316" s="47" t="s">
        <v>2291</v>
      </c>
      <c r="D316" s="47"/>
      <c r="E316" s="61" t="s">
        <v>594</v>
      </c>
      <c r="F316" s="62">
        <v>1</v>
      </c>
      <c r="H316">
        <v>1</v>
      </c>
      <c r="I316" s="34"/>
      <c r="J316" s="34"/>
      <c r="K316" s="34"/>
      <c r="L316" s="30">
        <v>43102000</v>
      </c>
      <c r="M316" s="31" t="s">
        <v>2666</v>
      </c>
      <c r="O316" s="34" t="s">
        <v>2689</v>
      </c>
    </row>
    <row r="317" spans="1:15" ht="21" customHeight="1" x14ac:dyDescent="0.2">
      <c r="A317" s="20">
        <v>103366000</v>
      </c>
      <c r="B317" s="8" t="s">
        <v>2292</v>
      </c>
      <c r="C317" s="47" t="s">
        <v>2293</v>
      </c>
      <c r="D317" s="47"/>
      <c r="E317" s="65" t="s">
        <v>2724</v>
      </c>
      <c r="F317" s="62">
        <v>1.39</v>
      </c>
      <c r="G317">
        <v>1.39</v>
      </c>
      <c r="H317">
        <v>1.3888888888888888</v>
      </c>
      <c r="I317" s="34"/>
      <c r="J317" s="34"/>
      <c r="K317" s="34"/>
      <c r="L317" s="38" t="s">
        <v>2722</v>
      </c>
      <c r="M317" s="37" t="s">
        <v>2728</v>
      </c>
      <c r="N317" s="39" t="s">
        <v>162</v>
      </c>
      <c r="O317" s="34"/>
    </row>
    <row r="318" spans="1:15" ht="21" customHeight="1" x14ac:dyDescent="0.2">
      <c r="A318" s="20">
        <v>401367000</v>
      </c>
      <c r="B318" s="8" t="s">
        <v>2294</v>
      </c>
      <c r="C318" s="47" t="s">
        <v>2295</v>
      </c>
      <c r="D318" s="47"/>
      <c r="E318" s="61" t="s">
        <v>2724</v>
      </c>
      <c r="F318" s="62">
        <v>1.0900000000000001</v>
      </c>
      <c r="G318">
        <v>1.0900000000000001</v>
      </c>
      <c r="H318">
        <v>1</v>
      </c>
      <c r="I318" s="34"/>
      <c r="J318" s="34"/>
      <c r="K318" s="34"/>
      <c r="L318" s="30">
        <v>72104100</v>
      </c>
      <c r="M318" s="31" t="s">
        <v>2667</v>
      </c>
      <c r="N318" s="32" t="s">
        <v>2500</v>
      </c>
      <c r="O318" s="34"/>
    </row>
    <row r="319" spans="1:15" ht="21" customHeight="1" x14ac:dyDescent="0.2">
      <c r="A319" s="20">
        <v>2302368000</v>
      </c>
      <c r="B319" s="8" t="s">
        <v>2296</v>
      </c>
      <c r="C319" s="47" t="s">
        <v>2297</v>
      </c>
      <c r="D319" s="47"/>
      <c r="E319" s="61" t="s">
        <v>2724</v>
      </c>
      <c r="F319" s="62">
        <v>2.94</v>
      </c>
      <c r="G319">
        <v>2.94</v>
      </c>
      <c r="H319">
        <v>1</v>
      </c>
      <c r="I319" s="34"/>
      <c r="J319" s="34"/>
      <c r="K319" s="34"/>
      <c r="L319" s="30">
        <v>63148750</v>
      </c>
      <c r="M319" s="31" t="s">
        <v>2668</v>
      </c>
      <c r="N319" s="32" t="s">
        <v>2487</v>
      </c>
      <c r="O319" s="34"/>
    </row>
    <row r="320" spans="1:15" ht="21" customHeight="1" x14ac:dyDescent="0.2">
      <c r="A320" s="20">
        <v>1001369000</v>
      </c>
      <c r="B320" s="8" t="s">
        <v>2298</v>
      </c>
      <c r="C320" s="47" t="s">
        <v>1912</v>
      </c>
      <c r="D320" s="47" t="s">
        <v>2299</v>
      </c>
      <c r="E320" s="65" t="s">
        <v>2724</v>
      </c>
      <c r="F320" s="62">
        <v>1.35</v>
      </c>
      <c r="G320">
        <v>1.35</v>
      </c>
      <c r="H320">
        <v>1.3513513513513513</v>
      </c>
      <c r="I320" s="34"/>
      <c r="J320" s="34"/>
      <c r="K320" s="34"/>
      <c r="L320" s="30">
        <v>61125010</v>
      </c>
      <c r="M320" s="31" t="s">
        <v>2669</v>
      </c>
      <c r="N320" s="32" t="s">
        <v>2576</v>
      </c>
      <c r="O320" s="34"/>
    </row>
    <row r="321" spans="1:15" ht="21" customHeight="1" x14ac:dyDescent="0.2">
      <c r="A321" s="20">
        <v>1001370000</v>
      </c>
      <c r="B321" s="8" t="s">
        <v>2300</v>
      </c>
      <c r="C321" s="47" t="s">
        <v>1742</v>
      </c>
      <c r="D321" s="47" t="s">
        <v>2301</v>
      </c>
      <c r="E321" s="61" t="s">
        <v>2724</v>
      </c>
      <c r="F321" s="62">
        <v>2</v>
      </c>
      <c r="G321">
        <v>2</v>
      </c>
      <c r="H321">
        <v>1</v>
      </c>
      <c r="I321" s="34"/>
      <c r="J321" s="34"/>
      <c r="K321" s="34"/>
      <c r="L321" s="30">
        <v>61213000</v>
      </c>
      <c r="M321" s="31" t="s">
        <v>2670</v>
      </c>
      <c r="N321" s="32" t="s">
        <v>2576</v>
      </c>
      <c r="O321" s="34" t="s">
        <v>2689</v>
      </c>
    </row>
    <row r="322" spans="1:15" ht="21" customHeight="1" x14ac:dyDescent="0.2">
      <c r="A322" s="20">
        <v>103371000</v>
      </c>
      <c r="B322" s="8" t="s">
        <v>2302</v>
      </c>
      <c r="C322" s="47" t="s">
        <v>2303</v>
      </c>
      <c r="D322" s="47" t="s">
        <v>2304</v>
      </c>
      <c r="E322" s="61" t="s">
        <v>594</v>
      </c>
      <c r="F322" s="62">
        <v>1</v>
      </c>
      <c r="G322" s="60">
        <v>1.581</v>
      </c>
      <c r="H322">
        <v>1</v>
      </c>
      <c r="I322" s="34"/>
      <c r="J322" s="34"/>
      <c r="K322" s="34"/>
      <c r="L322" s="30">
        <v>71950010</v>
      </c>
      <c r="M322" s="31" t="s">
        <v>2671</v>
      </c>
      <c r="N322" s="32" t="s">
        <v>2502</v>
      </c>
      <c r="O322" s="34"/>
    </row>
    <row r="323" spans="1:15" ht="21" customHeight="1" x14ac:dyDescent="0.2">
      <c r="A323" s="20">
        <v>9500372000</v>
      </c>
      <c r="B323" s="8" t="s">
        <v>2305</v>
      </c>
      <c r="C323" s="47" t="s">
        <v>2306</v>
      </c>
      <c r="D323" s="47"/>
      <c r="E323" s="61" t="s">
        <v>594</v>
      </c>
      <c r="F323" s="62">
        <v>1</v>
      </c>
      <c r="H323">
        <v>1</v>
      </c>
      <c r="I323" s="34"/>
      <c r="J323" s="34"/>
      <c r="K323" s="34"/>
      <c r="L323" s="30">
        <v>92302000</v>
      </c>
      <c r="M323" s="31" t="s">
        <v>2673</v>
      </c>
      <c r="O323" s="34"/>
    </row>
    <row r="324" spans="1:15" ht="21" customHeight="1" x14ac:dyDescent="0.2">
      <c r="A324" s="20">
        <v>9500373000</v>
      </c>
      <c r="B324" s="8" t="s">
        <v>2307</v>
      </c>
      <c r="C324" s="47" t="s">
        <v>2308</v>
      </c>
      <c r="D324" s="47"/>
      <c r="E324" s="63" t="s">
        <v>628</v>
      </c>
      <c r="F324" s="64">
        <v>1</v>
      </c>
      <c r="H324">
        <v>1</v>
      </c>
      <c r="I324" s="34">
        <v>2.2466861379465288</v>
      </c>
      <c r="J324" s="34"/>
      <c r="K324" s="34"/>
      <c r="L324" s="30">
        <v>92307000</v>
      </c>
      <c r="M324" s="31" t="s">
        <v>2672</v>
      </c>
      <c r="O324" s="34">
        <v>9500372000</v>
      </c>
    </row>
    <row r="325" spans="1:15" ht="21" customHeight="1" x14ac:dyDescent="0.2">
      <c r="A325" s="20">
        <v>801374000</v>
      </c>
      <c r="B325" s="8" t="s">
        <v>2309</v>
      </c>
      <c r="C325" s="47" t="s">
        <v>2310</v>
      </c>
      <c r="D325" s="51"/>
      <c r="E325" s="67" t="s">
        <v>839</v>
      </c>
      <c r="F325" s="62">
        <v>1.1000000000000001</v>
      </c>
      <c r="H325">
        <v>1</v>
      </c>
      <c r="I325" s="34"/>
      <c r="J325" s="34"/>
      <c r="K325" s="34"/>
      <c r="O325" s="34"/>
    </row>
    <row r="326" spans="1:15" ht="21" customHeight="1" x14ac:dyDescent="0.2">
      <c r="A326" s="20">
        <v>801375000</v>
      </c>
      <c r="B326" s="8" t="s">
        <v>2311</v>
      </c>
      <c r="C326" s="47" t="s">
        <v>2312</v>
      </c>
      <c r="D326" s="51"/>
      <c r="E326" s="65" t="s">
        <v>2724</v>
      </c>
      <c r="F326" s="62">
        <v>1.1000000000000001</v>
      </c>
      <c r="G326">
        <v>1.1000000000000001</v>
      </c>
      <c r="H326">
        <v>1.0989010989010988</v>
      </c>
      <c r="I326" s="34"/>
      <c r="J326" s="34"/>
      <c r="K326" s="34"/>
      <c r="L326" s="30">
        <v>74101000</v>
      </c>
      <c r="M326" s="31" t="s">
        <v>2674</v>
      </c>
      <c r="N326" s="32" t="s">
        <v>163</v>
      </c>
      <c r="O326" s="34"/>
    </row>
    <row r="327" spans="1:15" ht="21" customHeight="1" x14ac:dyDescent="0.2">
      <c r="A327" s="20">
        <v>801378000</v>
      </c>
      <c r="B327" s="8" t="s">
        <v>2313</v>
      </c>
      <c r="C327" s="47" t="s">
        <v>2314</v>
      </c>
      <c r="D327" s="51"/>
      <c r="E327" s="68" t="s">
        <v>2724</v>
      </c>
      <c r="F327" s="62">
        <v>17.079999999999998</v>
      </c>
      <c r="G327">
        <v>17.079999999999998</v>
      </c>
      <c r="H327">
        <v>1</v>
      </c>
      <c r="I327" s="34"/>
      <c r="J327" s="34"/>
      <c r="K327" s="34">
        <v>15.591240875912398</v>
      </c>
      <c r="L327" s="30">
        <v>74206000</v>
      </c>
      <c r="M327" s="31" t="s">
        <v>2675</v>
      </c>
      <c r="N327" s="32" t="s">
        <v>163</v>
      </c>
      <c r="O327" s="34">
        <v>801375000</v>
      </c>
    </row>
    <row r="328" spans="1:15" ht="21" customHeight="1" x14ac:dyDescent="0.2">
      <c r="A328" s="20">
        <v>801379000</v>
      </c>
      <c r="B328" s="8" t="s">
        <v>2315</v>
      </c>
      <c r="C328" s="47" t="s">
        <v>1742</v>
      </c>
      <c r="D328" s="51"/>
      <c r="E328" s="68" t="s">
        <v>2724</v>
      </c>
      <c r="F328" s="62">
        <v>1.53</v>
      </c>
      <c r="G328">
        <v>1.53</v>
      </c>
      <c r="H328">
        <v>1</v>
      </c>
      <c r="I328" s="34">
        <v>0</v>
      </c>
      <c r="J328" s="34"/>
      <c r="K328" s="34"/>
      <c r="L328" s="30">
        <v>74301100</v>
      </c>
      <c r="M328" s="31" t="s">
        <v>2433</v>
      </c>
      <c r="N328" s="32" t="s">
        <v>163</v>
      </c>
      <c r="O328" s="34">
        <v>801375000</v>
      </c>
    </row>
    <row r="329" spans="1:15" ht="21" customHeight="1" x14ac:dyDescent="0.2">
      <c r="A329" s="20">
        <v>801376000</v>
      </c>
      <c r="B329" s="8" t="s">
        <v>2316</v>
      </c>
      <c r="C329" s="47" t="s">
        <v>2317</v>
      </c>
      <c r="D329" s="51"/>
      <c r="E329" s="67" t="s">
        <v>628</v>
      </c>
      <c r="F329" s="62">
        <v>1</v>
      </c>
      <c r="G329">
        <v>5.3</v>
      </c>
      <c r="H329">
        <v>1</v>
      </c>
      <c r="I329" s="34">
        <v>1.7</v>
      </c>
      <c r="J329" s="34"/>
      <c r="K329" s="34"/>
      <c r="L329" s="30">
        <v>74403110</v>
      </c>
      <c r="M329" s="31" t="s">
        <v>2434</v>
      </c>
      <c r="N329" s="32" t="s">
        <v>163</v>
      </c>
      <c r="O329" s="34">
        <v>801375000</v>
      </c>
    </row>
    <row r="330" spans="1:15" ht="21" customHeight="1" x14ac:dyDescent="0.2">
      <c r="A330" s="20">
        <v>801377000</v>
      </c>
      <c r="B330" s="8" t="s">
        <v>2318</v>
      </c>
      <c r="C330" s="47" t="s">
        <v>2319</v>
      </c>
      <c r="D330" s="51"/>
      <c r="E330" s="67" t="s">
        <v>628</v>
      </c>
      <c r="F330" s="62">
        <v>1</v>
      </c>
      <c r="G330">
        <v>2.42</v>
      </c>
      <c r="H330">
        <v>1</v>
      </c>
      <c r="I330" s="34">
        <v>1.1200000000000001</v>
      </c>
      <c r="J330" s="34"/>
      <c r="K330" s="34"/>
      <c r="L330" s="30">
        <v>74403120</v>
      </c>
      <c r="M330" s="31" t="s">
        <v>174</v>
      </c>
      <c r="N330" s="32" t="s">
        <v>163</v>
      </c>
      <c r="O330" s="34">
        <v>801375000</v>
      </c>
    </row>
    <row r="331" spans="1:15" ht="21" customHeight="1" x14ac:dyDescent="0.2">
      <c r="A331" s="20">
        <v>1500381000</v>
      </c>
      <c r="B331" s="8" t="s">
        <v>2320</v>
      </c>
      <c r="C331" s="47" t="s">
        <v>1754</v>
      </c>
      <c r="D331" s="47"/>
      <c r="E331" s="61" t="s">
        <v>594</v>
      </c>
      <c r="F331" s="62">
        <v>1</v>
      </c>
      <c r="H331">
        <v>1</v>
      </c>
      <c r="I331" s="34"/>
      <c r="J331" s="34"/>
      <c r="K331" s="34"/>
      <c r="O331" s="34"/>
    </row>
    <row r="332" spans="1:15" ht="21" customHeight="1" x14ac:dyDescent="0.2">
      <c r="A332" s="20">
        <v>5000385000</v>
      </c>
      <c r="B332" s="8" t="s">
        <v>2321</v>
      </c>
      <c r="C332" s="47" t="s">
        <v>2322</v>
      </c>
      <c r="D332" s="47"/>
      <c r="E332" s="61" t="s">
        <v>594</v>
      </c>
      <c r="F332" s="62">
        <v>1</v>
      </c>
      <c r="H332">
        <v>1</v>
      </c>
      <c r="I332" s="34"/>
      <c r="J332" s="34"/>
      <c r="K332" s="34"/>
      <c r="O332" s="34"/>
    </row>
    <row r="333" spans="1:15" ht="21" customHeight="1" x14ac:dyDescent="0.2">
      <c r="A333" s="20">
        <v>5000383000</v>
      </c>
      <c r="B333" s="8" t="s">
        <v>2323</v>
      </c>
      <c r="C333" s="47" t="s">
        <v>2212</v>
      </c>
      <c r="D333" s="47"/>
      <c r="E333" s="61" t="s">
        <v>594</v>
      </c>
      <c r="F333" s="62">
        <v>1</v>
      </c>
      <c r="H333">
        <v>1</v>
      </c>
      <c r="I333" s="34"/>
      <c r="J333" s="34"/>
      <c r="K333" s="34"/>
      <c r="O333" s="34"/>
    </row>
    <row r="334" spans="1:15" ht="21" customHeight="1" x14ac:dyDescent="0.2">
      <c r="A334" s="20">
        <v>5000382000</v>
      </c>
      <c r="B334" s="8" t="s">
        <v>2324</v>
      </c>
      <c r="C334" s="47" t="s">
        <v>2325</v>
      </c>
      <c r="D334" s="47"/>
      <c r="E334" s="61" t="s">
        <v>594</v>
      </c>
      <c r="F334" s="62">
        <v>1</v>
      </c>
      <c r="H334">
        <v>1</v>
      </c>
      <c r="I334" s="34"/>
      <c r="J334" s="34"/>
      <c r="K334" s="34"/>
      <c r="O334" s="34"/>
    </row>
    <row r="335" spans="1:15" ht="21" customHeight="1" x14ac:dyDescent="0.2">
      <c r="A335" s="20">
        <v>5000384000</v>
      </c>
      <c r="B335" s="8" t="s">
        <v>2326</v>
      </c>
      <c r="C335" s="47" t="s">
        <v>2327</v>
      </c>
      <c r="D335" s="47" t="s">
        <v>2328</v>
      </c>
      <c r="E335" s="61" t="s">
        <v>594</v>
      </c>
      <c r="F335" s="62">
        <v>1</v>
      </c>
      <c r="H335">
        <v>1</v>
      </c>
      <c r="I335" s="34"/>
      <c r="J335" s="34"/>
      <c r="K335" s="34"/>
      <c r="O335" s="34"/>
    </row>
    <row r="336" spans="1:15" ht="21" customHeight="1" x14ac:dyDescent="0.2">
      <c r="A336" s="20">
        <v>5000386000</v>
      </c>
      <c r="B336" s="8" t="s">
        <v>2329</v>
      </c>
      <c r="C336" s="47" t="s">
        <v>1895</v>
      </c>
      <c r="D336" s="47"/>
      <c r="E336" s="61" t="s">
        <v>594</v>
      </c>
      <c r="F336" s="62">
        <v>1</v>
      </c>
      <c r="H336">
        <v>1</v>
      </c>
      <c r="I336" s="34"/>
      <c r="J336" s="34"/>
      <c r="K336" s="34"/>
      <c r="O336" s="34"/>
    </row>
    <row r="337" spans="1:15" ht="21" customHeight="1" x14ac:dyDescent="0.2">
      <c r="A337" s="20">
        <v>103387000</v>
      </c>
      <c r="B337" s="8" t="s">
        <v>2330</v>
      </c>
      <c r="C337" s="47" t="s">
        <v>1851</v>
      </c>
      <c r="D337" s="47"/>
      <c r="E337" s="61" t="s">
        <v>594</v>
      </c>
      <c r="F337" s="62">
        <v>1</v>
      </c>
      <c r="H337">
        <v>1</v>
      </c>
      <c r="I337" s="34"/>
      <c r="J337" s="34"/>
      <c r="K337" s="34"/>
      <c r="O337" s="34"/>
    </row>
    <row r="338" spans="1:15" ht="21" customHeight="1" x14ac:dyDescent="0.2">
      <c r="A338" s="20">
        <v>402389000</v>
      </c>
      <c r="B338" s="8" t="s">
        <v>2331</v>
      </c>
      <c r="C338" s="47" t="s">
        <v>1760</v>
      </c>
      <c r="D338" s="47"/>
      <c r="E338" s="61" t="s">
        <v>2735</v>
      </c>
      <c r="F338" s="62">
        <v>1.4285714285714286</v>
      </c>
      <c r="G338">
        <v>0.93400000000000005</v>
      </c>
      <c r="H338">
        <v>1.4285714285714286</v>
      </c>
      <c r="I338" s="34"/>
      <c r="J338" s="34"/>
      <c r="K338" s="34"/>
      <c r="L338" s="30">
        <v>72128211</v>
      </c>
      <c r="M338" s="31" t="s">
        <v>2676</v>
      </c>
      <c r="N338" s="32" t="s">
        <v>2515</v>
      </c>
      <c r="O338" s="34"/>
    </row>
    <row r="339" spans="1:15" ht="21" customHeight="1" x14ac:dyDescent="0.2">
      <c r="A339" s="20">
        <v>101388000</v>
      </c>
      <c r="B339" s="8" t="s">
        <v>2332</v>
      </c>
      <c r="C339" s="47" t="s">
        <v>1851</v>
      </c>
      <c r="D339" s="47"/>
      <c r="E339" s="61" t="s">
        <v>2724</v>
      </c>
      <c r="F339" s="62">
        <v>1.23</v>
      </c>
      <c r="G339">
        <v>1.23</v>
      </c>
      <c r="H339">
        <v>1</v>
      </c>
      <c r="I339" s="34"/>
      <c r="J339" s="34"/>
      <c r="K339" s="34"/>
      <c r="L339" s="30">
        <v>75129000</v>
      </c>
      <c r="M339" s="31" t="s">
        <v>2677</v>
      </c>
      <c r="N339" s="32" t="s">
        <v>2515</v>
      </c>
      <c r="O339" s="34"/>
    </row>
    <row r="340" spans="1:15" ht="21" customHeight="1" x14ac:dyDescent="0.2">
      <c r="A340" s="20">
        <v>9500390000</v>
      </c>
      <c r="B340" s="8" t="s">
        <v>2333</v>
      </c>
      <c r="C340" s="47" t="s">
        <v>2334</v>
      </c>
      <c r="D340" s="47"/>
      <c r="E340" s="61" t="s">
        <v>594</v>
      </c>
      <c r="F340" s="62">
        <v>1</v>
      </c>
      <c r="H340">
        <v>1</v>
      </c>
      <c r="I340" s="34"/>
      <c r="J340" s="34"/>
      <c r="K340" s="34"/>
      <c r="L340" s="30">
        <v>64401000</v>
      </c>
      <c r="M340" s="31" t="s">
        <v>2333</v>
      </c>
      <c r="O340" s="34"/>
    </row>
    <row r="341" spans="1:15" ht="21" customHeight="1" x14ac:dyDescent="0.2">
      <c r="A341" s="20">
        <v>1400391000</v>
      </c>
      <c r="B341" s="8" t="s">
        <v>2335</v>
      </c>
      <c r="C341" s="47" t="s">
        <v>1729</v>
      </c>
      <c r="D341" s="47"/>
      <c r="E341" s="61" t="s">
        <v>2724</v>
      </c>
      <c r="F341" s="62">
        <v>1</v>
      </c>
      <c r="G341">
        <v>1</v>
      </c>
      <c r="H341">
        <v>1</v>
      </c>
      <c r="I341" s="34"/>
      <c r="J341" s="34"/>
      <c r="K341" s="34"/>
      <c r="L341" s="30">
        <v>42116000</v>
      </c>
      <c r="M341" s="31" t="s">
        <v>818</v>
      </c>
      <c r="N341" s="32" t="s">
        <v>2473</v>
      </c>
      <c r="O341" s="34"/>
    </row>
    <row r="342" spans="1:15" ht="21" customHeight="1" x14ac:dyDescent="0.2">
      <c r="A342" s="20">
        <v>9500397000</v>
      </c>
      <c r="B342" s="8" t="s">
        <v>2336</v>
      </c>
      <c r="C342" s="47" t="s">
        <v>2337</v>
      </c>
      <c r="D342" s="47"/>
      <c r="E342" s="61" t="s">
        <v>2724</v>
      </c>
      <c r="F342" s="62">
        <v>1.3</v>
      </c>
      <c r="G342">
        <v>1.3</v>
      </c>
      <c r="H342">
        <v>1</v>
      </c>
      <c r="I342" s="34"/>
      <c r="J342" s="34"/>
      <c r="K342" s="34"/>
      <c r="L342" s="30" t="s">
        <v>2729</v>
      </c>
      <c r="M342" s="31" t="s">
        <v>2740</v>
      </c>
      <c r="N342" s="32" t="s">
        <v>2481</v>
      </c>
      <c r="O342" s="34"/>
    </row>
    <row r="343" spans="1:15" ht="21" customHeight="1" x14ac:dyDescent="0.2">
      <c r="A343" s="20">
        <v>8601200000</v>
      </c>
      <c r="B343" s="28" t="s">
        <v>2338</v>
      </c>
      <c r="C343" s="47">
        <v>0</v>
      </c>
      <c r="D343" s="47"/>
      <c r="E343" s="61" t="s">
        <v>594</v>
      </c>
      <c r="F343" s="62">
        <v>1</v>
      </c>
      <c r="H343">
        <v>1</v>
      </c>
      <c r="I343" s="34"/>
      <c r="J343" s="34"/>
      <c r="K343" s="34"/>
      <c r="L343" s="30">
        <v>94100100</v>
      </c>
      <c r="M343" s="31" t="s">
        <v>2678</v>
      </c>
      <c r="O343" s="34"/>
    </row>
    <row r="344" spans="1:15" ht="21" customHeight="1" x14ac:dyDescent="0.2">
      <c r="A344" s="20">
        <v>8601100000</v>
      </c>
      <c r="B344" s="28" t="s">
        <v>2339</v>
      </c>
      <c r="C344" s="47">
        <v>0</v>
      </c>
      <c r="D344" s="47"/>
      <c r="E344" s="61" t="s">
        <v>594</v>
      </c>
      <c r="F344" s="62">
        <v>1</v>
      </c>
      <c r="H344">
        <v>1</v>
      </c>
      <c r="I344" s="34"/>
      <c r="J344" s="34"/>
      <c r="K344" s="34"/>
      <c r="L344" s="30">
        <v>94000100</v>
      </c>
      <c r="M344" s="31" t="s">
        <v>2679</v>
      </c>
      <c r="O344" s="34"/>
    </row>
    <row r="345" spans="1:15" ht="21" customHeight="1" x14ac:dyDescent="0.2">
      <c r="A345" s="20">
        <v>8602000000</v>
      </c>
      <c r="B345" s="28" t="s">
        <v>2340</v>
      </c>
      <c r="C345" s="47">
        <v>0</v>
      </c>
      <c r="D345" s="47"/>
      <c r="E345" s="61" t="s">
        <v>594</v>
      </c>
      <c r="F345" s="62">
        <v>1</v>
      </c>
      <c r="H345">
        <v>1</v>
      </c>
      <c r="I345" s="34"/>
      <c r="J345" s="34"/>
      <c r="K345" s="34"/>
      <c r="O345" s="34"/>
    </row>
    <row r="346" spans="1:15" ht="21" customHeight="1" x14ac:dyDescent="0.2">
      <c r="A346" s="20">
        <v>402398000</v>
      </c>
      <c r="B346" s="8" t="s">
        <v>2341</v>
      </c>
      <c r="C346" s="47" t="s">
        <v>2342</v>
      </c>
      <c r="D346" s="47"/>
      <c r="E346" s="61" t="s">
        <v>2724</v>
      </c>
      <c r="F346" s="62">
        <v>1.0900000000000001</v>
      </c>
      <c r="G346">
        <v>1.0900000000000001</v>
      </c>
      <c r="H346">
        <v>1</v>
      </c>
      <c r="I346" s="34"/>
      <c r="J346" s="34"/>
      <c r="K346" s="34"/>
      <c r="L346" s="30">
        <v>72130100</v>
      </c>
      <c r="M346" s="31" t="s">
        <v>2680</v>
      </c>
      <c r="N346" s="32" t="s">
        <v>2515</v>
      </c>
      <c r="O346" s="34"/>
    </row>
    <row r="347" spans="1:15" ht="21" customHeight="1" x14ac:dyDescent="0.2">
      <c r="A347" s="20">
        <v>901399000</v>
      </c>
      <c r="B347" s="8" t="s">
        <v>2343</v>
      </c>
      <c r="C347" s="47" t="s">
        <v>2344</v>
      </c>
      <c r="D347" s="47" t="s">
        <v>2345</v>
      </c>
      <c r="E347" s="65" t="s">
        <v>2724</v>
      </c>
      <c r="F347" s="62">
        <v>1.92</v>
      </c>
      <c r="G347">
        <v>1.92</v>
      </c>
      <c r="H347">
        <v>1.9230769230769229</v>
      </c>
      <c r="I347" s="34"/>
      <c r="J347" s="34"/>
      <c r="K347" s="34"/>
      <c r="L347" s="30">
        <v>63149010</v>
      </c>
      <c r="M347" s="31" t="s">
        <v>2681</v>
      </c>
      <c r="N347" s="32" t="s">
        <v>2524</v>
      </c>
      <c r="O347" s="34"/>
    </row>
    <row r="348" spans="1:15" ht="21" customHeight="1" x14ac:dyDescent="0.2">
      <c r="A348" s="20">
        <v>901400000</v>
      </c>
      <c r="B348" s="8" t="s">
        <v>2346</v>
      </c>
      <c r="C348" s="47" t="s">
        <v>1742</v>
      </c>
      <c r="D348" s="47"/>
      <c r="E348" s="61" t="s">
        <v>2724</v>
      </c>
      <c r="F348" s="62">
        <v>1.92</v>
      </c>
      <c r="G348">
        <v>1.92</v>
      </c>
      <c r="H348">
        <v>1</v>
      </c>
      <c r="I348" s="34"/>
      <c r="J348" s="34"/>
      <c r="K348" s="34"/>
      <c r="L348" s="30">
        <v>64133100</v>
      </c>
      <c r="M348" s="31" t="s">
        <v>2682</v>
      </c>
      <c r="N348" s="32" t="s">
        <v>2524</v>
      </c>
      <c r="O348" s="34"/>
    </row>
    <row r="349" spans="1:15" ht="21" customHeight="1" x14ac:dyDescent="0.2">
      <c r="A349" s="20">
        <v>1500404000</v>
      </c>
      <c r="B349" s="8" t="s">
        <v>2347</v>
      </c>
      <c r="C349" s="47" t="s">
        <v>1774</v>
      </c>
      <c r="D349" s="47"/>
      <c r="E349" s="61" t="s">
        <v>2724</v>
      </c>
      <c r="F349" s="62">
        <v>1</v>
      </c>
      <c r="G349">
        <v>1</v>
      </c>
      <c r="H349">
        <v>1</v>
      </c>
      <c r="I349" s="34"/>
      <c r="J349" s="34"/>
      <c r="K349" s="34"/>
      <c r="L349" s="30">
        <v>57601100</v>
      </c>
      <c r="M349" s="31" t="s">
        <v>2683</v>
      </c>
      <c r="N349" s="32" t="s">
        <v>2684</v>
      </c>
      <c r="O349" s="34"/>
    </row>
    <row r="350" spans="1:15" ht="21" customHeight="1" x14ac:dyDescent="0.2">
      <c r="A350" s="20">
        <v>1500402000</v>
      </c>
      <c r="B350" s="8" t="s">
        <v>2348</v>
      </c>
      <c r="C350" s="47" t="s">
        <v>1754</v>
      </c>
      <c r="D350" s="47"/>
      <c r="E350" s="61" t="s">
        <v>594</v>
      </c>
      <c r="F350" s="62">
        <v>1</v>
      </c>
      <c r="H350">
        <v>1</v>
      </c>
      <c r="I350" s="34"/>
      <c r="J350" s="34"/>
      <c r="K350" s="34"/>
      <c r="O350" s="34"/>
    </row>
    <row r="351" spans="1:15" ht="21" customHeight="1" x14ac:dyDescent="0.2">
      <c r="A351" s="20">
        <v>1500403000</v>
      </c>
      <c r="B351" s="8" t="s">
        <v>2349</v>
      </c>
      <c r="C351" s="47" t="s">
        <v>2350</v>
      </c>
      <c r="D351" s="47"/>
      <c r="E351" s="61" t="s">
        <v>2724</v>
      </c>
      <c r="F351" s="62">
        <v>1</v>
      </c>
      <c r="G351">
        <v>1</v>
      </c>
      <c r="H351">
        <v>1</v>
      </c>
      <c r="I351" s="34"/>
      <c r="J351" s="34"/>
      <c r="K351" s="34"/>
      <c r="L351" s="30">
        <v>57412000</v>
      </c>
      <c r="M351" s="31" t="s">
        <v>2685</v>
      </c>
      <c r="N351" s="32" t="s">
        <v>2684</v>
      </c>
      <c r="O351" s="34"/>
    </row>
    <row r="352" spans="1:15" ht="21" customHeight="1" x14ac:dyDescent="0.2">
      <c r="A352" s="20">
        <v>1500401000</v>
      </c>
      <c r="B352" s="8" t="s">
        <v>2351</v>
      </c>
      <c r="C352" s="47" t="s">
        <v>2084</v>
      </c>
      <c r="D352" s="47" t="s">
        <v>2352</v>
      </c>
      <c r="E352" s="61" t="s">
        <v>2724</v>
      </c>
      <c r="F352" s="62">
        <v>1</v>
      </c>
      <c r="G352">
        <v>1</v>
      </c>
      <c r="H352">
        <v>1</v>
      </c>
      <c r="I352" s="34"/>
      <c r="J352" s="34"/>
      <c r="K352" s="34"/>
      <c r="L352" s="30">
        <v>57604100</v>
      </c>
      <c r="M352" s="31" t="s">
        <v>2686</v>
      </c>
      <c r="N352" s="32" t="s">
        <v>2684</v>
      </c>
      <c r="O352" s="34"/>
    </row>
    <row r="353" spans="1:15" ht="21" customHeight="1" x14ac:dyDescent="0.2">
      <c r="A353" s="20">
        <v>1500405000</v>
      </c>
      <c r="B353" s="8" t="s">
        <v>2353</v>
      </c>
      <c r="C353" s="47" t="s">
        <v>2084</v>
      </c>
      <c r="D353" s="47"/>
      <c r="E353" s="61" t="s">
        <v>594</v>
      </c>
      <c r="F353" s="62">
        <v>1</v>
      </c>
      <c r="G353">
        <v>0.36</v>
      </c>
      <c r="H353">
        <v>1</v>
      </c>
      <c r="I353" s="34"/>
      <c r="J353" s="34"/>
      <c r="K353" s="34"/>
      <c r="L353" s="30">
        <v>56205210</v>
      </c>
      <c r="M353" s="31" t="s">
        <v>2687</v>
      </c>
      <c r="N353" s="32" t="s">
        <v>2650</v>
      </c>
      <c r="O353" s="34"/>
    </row>
    <row r="354" spans="1:15" ht="21" customHeight="1" x14ac:dyDescent="0.2">
      <c r="A354" s="20">
        <v>103407000</v>
      </c>
      <c r="B354" s="8" t="s">
        <v>2354</v>
      </c>
      <c r="C354" s="47" t="s">
        <v>1851</v>
      </c>
      <c r="D354" s="47" t="s">
        <v>2355</v>
      </c>
      <c r="E354" s="61" t="s">
        <v>2724</v>
      </c>
      <c r="F354" s="62">
        <v>1.0900000000000001</v>
      </c>
      <c r="G354">
        <v>1.0900000000000001</v>
      </c>
      <c r="H354">
        <v>1</v>
      </c>
      <c r="I354" s="34"/>
      <c r="J354" s="34"/>
      <c r="K354" s="34"/>
      <c r="L354" s="30">
        <v>75111800</v>
      </c>
      <c r="M354" s="31" t="s">
        <v>2688</v>
      </c>
      <c r="N354" s="32" t="s">
        <v>2502</v>
      </c>
      <c r="O354" s="34"/>
    </row>
    <row r="355" spans="1:15" ht="21" customHeight="1" thickBot="1" x14ac:dyDescent="0.25">
      <c r="A355" s="24">
        <v>103406000</v>
      </c>
      <c r="B355" s="25" t="s">
        <v>2356</v>
      </c>
      <c r="C355" s="52" t="s">
        <v>1851</v>
      </c>
      <c r="D355" s="52"/>
      <c r="E355" s="61" t="s">
        <v>2724</v>
      </c>
      <c r="F355" s="62">
        <v>1.1599999999999999</v>
      </c>
      <c r="G355">
        <v>1.1599999999999999</v>
      </c>
      <c r="H355">
        <v>1</v>
      </c>
      <c r="I355" s="34"/>
      <c r="J355" s="34"/>
      <c r="K355" s="34"/>
      <c r="L355" s="26" t="s">
        <v>2729</v>
      </c>
      <c r="M355" s="40" t="s">
        <v>2730</v>
      </c>
      <c r="N355" s="41" t="s">
        <v>162</v>
      </c>
      <c r="O355" s="34"/>
    </row>
    <row r="356" spans="1:15" ht="21" customHeight="1" x14ac:dyDescent="0.2">
      <c r="A356" s="4"/>
      <c r="B356" s="4"/>
      <c r="C356" s="53"/>
      <c r="D356" s="53" t="s">
        <v>2724</v>
      </c>
      <c r="E356" s="53">
        <f>COUNTIF($E$2:$E$355,D356)</f>
        <v>168</v>
      </c>
      <c r="F356" s="59">
        <f>E356/$E$361</f>
        <v>0.48414985590778098</v>
      </c>
      <c r="I356" s="4"/>
      <c r="J356" s="4"/>
      <c r="K356" s="4"/>
      <c r="L356" s="33"/>
      <c r="O356" s="4"/>
    </row>
    <row r="357" spans="1:15" ht="21" customHeight="1" x14ac:dyDescent="0.2">
      <c r="A357" s="4"/>
      <c r="B357" s="4"/>
      <c r="C357" s="53"/>
      <c r="D357" s="53" t="s">
        <v>594</v>
      </c>
      <c r="E357" s="53">
        <f t="shared" ref="E357:E360" si="0">COUNTIF($E$2:$E$355,D357)</f>
        <v>157</v>
      </c>
      <c r="F357" s="59">
        <f t="shared" ref="F357:F361" si="1">E357/$E$361</f>
        <v>0.45244956772334294</v>
      </c>
      <c r="I357" s="4"/>
      <c r="J357" s="4"/>
      <c r="K357" s="4"/>
      <c r="O357" s="4"/>
    </row>
    <row r="358" spans="1:15" ht="21" customHeight="1" x14ac:dyDescent="0.2">
      <c r="A358" s="4"/>
      <c r="B358" s="4"/>
      <c r="C358" s="53"/>
      <c r="D358" s="53" t="s">
        <v>2736</v>
      </c>
      <c r="E358" s="53">
        <f t="shared" si="0"/>
        <v>1</v>
      </c>
      <c r="F358" s="59">
        <f t="shared" si="1"/>
        <v>2.881844380403458E-3</v>
      </c>
      <c r="I358" s="4"/>
      <c r="J358" s="4"/>
      <c r="K358" s="4"/>
      <c r="O358" s="4"/>
    </row>
    <row r="359" spans="1:15" ht="21" customHeight="1" x14ac:dyDescent="0.2">
      <c r="A359" s="4"/>
      <c r="B359" s="4"/>
      <c r="C359" s="53"/>
      <c r="D359" s="53" t="s">
        <v>2737</v>
      </c>
      <c r="E359" s="53">
        <f t="shared" si="0"/>
        <v>17</v>
      </c>
      <c r="F359" s="59">
        <f t="shared" si="1"/>
        <v>4.8991354466858789E-2</v>
      </c>
      <c r="I359" s="4"/>
      <c r="J359" s="4"/>
      <c r="K359" s="4"/>
      <c r="O359" s="4"/>
    </row>
    <row r="360" spans="1:15" ht="21" customHeight="1" x14ac:dyDescent="0.2">
      <c r="A360" s="4"/>
      <c r="B360" s="4"/>
      <c r="C360" s="53"/>
      <c r="D360" s="53" t="s">
        <v>2735</v>
      </c>
      <c r="E360" s="53">
        <f t="shared" si="0"/>
        <v>4</v>
      </c>
      <c r="F360" s="59">
        <f t="shared" si="1"/>
        <v>1.1527377521613832E-2</v>
      </c>
      <c r="I360" s="4"/>
      <c r="J360" s="4"/>
      <c r="K360" s="4"/>
      <c r="O360" s="4"/>
    </row>
    <row r="361" spans="1:15" ht="21" customHeight="1" x14ac:dyDescent="0.2">
      <c r="A361" s="4"/>
      <c r="B361" s="4"/>
      <c r="C361" s="53"/>
      <c r="D361" s="53"/>
      <c r="E361" s="53">
        <f>SUM(E356:E360)</f>
        <v>347</v>
      </c>
      <c r="F361" s="59">
        <f t="shared" si="1"/>
        <v>1</v>
      </c>
      <c r="I361" s="4"/>
      <c r="J361" s="4"/>
      <c r="K361" s="4"/>
      <c r="O361" s="4"/>
    </row>
    <row r="362" spans="1:15" ht="21" customHeight="1" x14ac:dyDescent="0.2">
      <c r="A362" s="4"/>
      <c r="B362" s="4"/>
      <c r="C362" s="53"/>
      <c r="D362" s="53"/>
      <c r="E362" s="53"/>
      <c r="F362" s="53"/>
      <c r="I362" s="4"/>
      <c r="J362" s="4"/>
      <c r="K362" s="4"/>
      <c r="O362" s="4"/>
    </row>
    <row r="363" spans="1:15" ht="21" customHeight="1" x14ac:dyDescent="0.2">
      <c r="A363" s="4"/>
      <c r="B363" s="4"/>
      <c r="C363" s="53"/>
      <c r="D363" s="53"/>
      <c r="E363" s="53"/>
      <c r="F363" s="53"/>
      <c r="I363" s="4"/>
      <c r="J363" s="4"/>
      <c r="K363" s="4"/>
      <c r="O363" s="4"/>
    </row>
    <row r="364" spans="1:15" ht="21" customHeight="1" x14ac:dyDescent="0.2">
      <c r="A364" s="4"/>
      <c r="B364" s="4"/>
      <c r="C364" s="53"/>
      <c r="D364" s="53"/>
      <c r="E364" s="53"/>
      <c r="F364" s="53"/>
      <c r="I364" s="4"/>
      <c r="J364" s="4"/>
      <c r="K364" s="4"/>
      <c r="O364" s="4"/>
    </row>
    <row r="365" spans="1:15" ht="21" customHeight="1" x14ac:dyDescent="0.2">
      <c r="A365" s="4"/>
      <c r="B365" s="4"/>
      <c r="C365" s="53"/>
      <c r="D365" s="53"/>
      <c r="E365" s="53"/>
      <c r="F365" s="53"/>
      <c r="I365" s="4"/>
      <c r="J365" s="4"/>
      <c r="K365" s="4"/>
      <c r="O365" s="4"/>
    </row>
    <row r="366" spans="1:15" ht="21" customHeight="1" x14ac:dyDescent="0.2">
      <c r="A366" s="4"/>
      <c r="B366" s="4"/>
      <c r="C366" s="53"/>
      <c r="D366" s="53"/>
      <c r="E366" s="53"/>
      <c r="F366" s="53"/>
      <c r="I366" s="4"/>
      <c r="J366" s="4"/>
      <c r="K366" s="4"/>
      <c r="O366" s="4"/>
    </row>
    <row r="367" spans="1:15" ht="21" customHeight="1" x14ac:dyDescent="0.2">
      <c r="A367" s="4"/>
      <c r="B367" s="4"/>
      <c r="C367" s="53"/>
      <c r="D367" s="53"/>
      <c r="E367" s="53"/>
      <c r="F367" s="53"/>
      <c r="I367" s="4"/>
      <c r="J367" s="4"/>
      <c r="K367" s="4"/>
      <c r="O367" s="4"/>
    </row>
    <row r="368" spans="1:15" ht="21" customHeight="1" x14ac:dyDescent="0.2">
      <c r="A368" s="4"/>
      <c r="B368" s="4"/>
      <c r="C368" s="53"/>
      <c r="D368" s="53"/>
      <c r="E368" s="53"/>
      <c r="F368" s="53"/>
      <c r="I368" s="4"/>
      <c r="J368" s="4"/>
      <c r="K368" s="4"/>
      <c r="O368" s="4"/>
    </row>
    <row r="369" spans="1:15" ht="21" customHeight="1" x14ac:dyDescent="0.2">
      <c r="A369" s="4"/>
      <c r="B369" s="4"/>
      <c r="C369" s="53"/>
      <c r="D369" s="53"/>
      <c r="E369" s="53"/>
      <c r="F369" s="53"/>
      <c r="I369" s="4"/>
      <c r="J369" s="4"/>
      <c r="K369" s="4"/>
      <c r="O369" s="4"/>
    </row>
    <row r="370" spans="1:15" ht="21" customHeight="1" x14ac:dyDescent="0.2">
      <c r="A370" s="4"/>
      <c r="B370" s="4"/>
      <c r="C370" s="53"/>
      <c r="D370" s="53"/>
      <c r="E370" s="53"/>
      <c r="F370" s="53"/>
      <c r="I370" s="4"/>
      <c r="J370" s="4"/>
      <c r="K370" s="4"/>
      <c r="O370" s="4"/>
    </row>
    <row r="371" spans="1:15" ht="21" customHeight="1" x14ac:dyDescent="0.2">
      <c r="A371" s="4"/>
      <c r="B371" s="4"/>
      <c r="C371" s="53"/>
      <c r="D371" s="53"/>
      <c r="E371" s="53"/>
      <c r="F371" s="53"/>
      <c r="I371" s="4"/>
      <c r="J371" s="4"/>
      <c r="K371" s="4"/>
      <c r="O371" s="4"/>
    </row>
    <row r="372" spans="1:15" ht="21" customHeight="1" x14ac:dyDescent="0.2">
      <c r="A372" s="4"/>
      <c r="B372" s="4"/>
      <c r="C372" s="53"/>
      <c r="D372" s="53"/>
      <c r="E372" s="53"/>
      <c r="F372" s="53"/>
      <c r="I372" s="4"/>
      <c r="J372" s="4"/>
      <c r="K372" s="4"/>
      <c r="O372" s="4"/>
    </row>
    <row r="373" spans="1:15" ht="21" customHeight="1" x14ac:dyDescent="0.2">
      <c r="A373" s="4"/>
      <c r="B373" s="4"/>
      <c r="C373" s="53"/>
      <c r="D373" s="53"/>
      <c r="E373" s="53"/>
      <c r="F373" s="53"/>
      <c r="I373" s="4"/>
      <c r="J373" s="4"/>
      <c r="K373" s="4"/>
      <c r="O373" s="4"/>
    </row>
    <row r="374" spans="1:15" ht="21" customHeight="1" x14ac:dyDescent="0.2">
      <c r="A374" s="4"/>
      <c r="B374" s="4"/>
      <c r="C374" s="53"/>
      <c r="D374" s="53"/>
      <c r="E374" s="53"/>
      <c r="F374" s="53"/>
      <c r="I374" s="4"/>
      <c r="J374" s="4"/>
      <c r="K374" s="4"/>
      <c r="O374" s="4"/>
    </row>
    <row r="375" spans="1:15" ht="21" customHeight="1" x14ac:dyDescent="0.2">
      <c r="A375" s="4"/>
      <c r="B375" s="4"/>
      <c r="C375" s="53"/>
      <c r="D375" s="53"/>
      <c r="E375" s="53"/>
      <c r="F375" s="53"/>
      <c r="I375" s="4"/>
      <c r="J375" s="4"/>
      <c r="K375" s="4"/>
      <c r="O375" s="4"/>
    </row>
    <row r="376" spans="1:15" ht="21" customHeight="1" x14ac:dyDescent="0.2">
      <c r="A376" s="4"/>
      <c r="B376" s="4"/>
      <c r="C376" s="53"/>
      <c r="D376" s="53"/>
      <c r="E376" s="53"/>
      <c r="F376" s="53"/>
      <c r="I376" s="4"/>
      <c r="J376" s="4"/>
      <c r="K376" s="4"/>
      <c r="O376" s="4"/>
    </row>
    <row r="377" spans="1:15" ht="21" customHeight="1" x14ac:dyDescent="0.2">
      <c r="A377" s="4"/>
      <c r="B377" s="4"/>
      <c r="C377" s="53"/>
      <c r="D377" s="53"/>
      <c r="E377" s="53"/>
      <c r="F377" s="53"/>
      <c r="I377" s="4"/>
      <c r="J377" s="4"/>
      <c r="K377" s="4"/>
      <c r="O377" s="4"/>
    </row>
    <row r="378" spans="1:15" ht="21" customHeight="1" x14ac:dyDescent="0.2">
      <c r="A378" s="4"/>
      <c r="B378" s="4"/>
      <c r="C378" s="53"/>
      <c r="D378" s="53"/>
      <c r="E378" s="53"/>
      <c r="F378" s="53"/>
      <c r="I378" s="4"/>
      <c r="J378" s="4"/>
      <c r="K378" s="4"/>
      <c r="O378" s="4"/>
    </row>
    <row r="379" spans="1:15" ht="21" customHeight="1" x14ac:dyDescent="0.2">
      <c r="A379" s="4"/>
      <c r="B379" s="4"/>
      <c r="C379" s="53"/>
      <c r="D379" s="53"/>
      <c r="E379" s="53"/>
      <c r="F379" s="53"/>
      <c r="I379" s="4"/>
      <c r="J379" s="4"/>
      <c r="K379" s="4"/>
      <c r="O379" s="4"/>
    </row>
    <row r="380" spans="1:15" ht="21" customHeight="1" x14ac:dyDescent="0.2">
      <c r="A380" s="4"/>
      <c r="B380" s="4"/>
      <c r="C380" s="53"/>
      <c r="D380" s="53"/>
      <c r="E380" s="53"/>
      <c r="F380" s="53"/>
      <c r="I380" s="4"/>
      <c r="J380" s="4"/>
      <c r="K380" s="4"/>
      <c r="O380" s="4"/>
    </row>
    <row r="381" spans="1:15" ht="21" customHeight="1" x14ac:dyDescent="0.2">
      <c r="A381" s="4"/>
      <c r="B381" s="4"/>
      <c r="C381" s="53"/>
      <c r="D381" s="53"/>
      <c r="E381" s="53"/>
      <c r="F381" s="53"/>
      <c r="I381" s="4"/>
      <c r="J381" s="4"/>
      <c r="K381" s="4"/>
      <c r="O381" s="4"/>
    </row>
    <row r="382" spans="1:15" ht="21" customHeight="1" x14ac:dyDescent="0.2">
      <c r="A382" s="4"/>
      <c r="B382" s="4"/>
      <c r="C382" s="53"/>
      <c r="D382" s="53"/>
      <c r="E382" s="53"/>
      <c r="F382" s="53"/>
      <c r="I382" s="4"/>
      <c r="J382" s="4"/>
      <c r="K382" s="4"/>
      <c r="O382" s="4"/>
    </row>
    <row r="383" spans="1:15" ht="21" customHeight="1" x14ac:dyDescent="0.2">
      <c r="A383" s="4"/>
      <c r="B383" s="4"/>
      <c r="C383" s="53"/>
      <c r="D383" s="53"/>
      <c r="E383" s="53"/>
      <c r="F383" s="53"/>
      <c r="I383" s="4"/>
      <c r="J383" s="4"/>
      <c r="K383" s="4"/>
      <c r="O383" s="4"/>
    </row>
    <row r="384" spans="1:15" ht="21" customHeight="1" x14ac:dyDescent="0.2">
      <c r="A384" s="4"/>
      <c r="B384" s="4"/>
      <c r="C384" s="53"/>
      <c r="D384" s="53"/>
      <c r="E384" s="53"/>
      <c r="F384" s="53"/>
      <c r="I384" s="4"/>
      <c r="J384" s="4"/>
      <c r="K384" s="4"/>
      <c r="O384" s="4"/>
    </row>
    <row r="385" spans="1:15" ht="21" customHeight="1" x14ac:dyDescent="0.2">
      <c r="A385" s="4"/>
      <c r="B385" s="4"/>
      <c r="C385" s="53"/>
      <c r="D385" s="53"/>
      <c r="E385" s="53"/>
      <c r="F385" s="53"/>
      <c r="I385" s="4"/>
      <c r="J385" s="4"/>
      <c r="K385" s="4"/>
      <c r="O385" s="4"/>
    </row>
    <row r="386" spans="1:15" ht="21" customHeight="1" x14ac:dyDescent="0.2">
      <c r="A386" s="4"/>
      <c r="B386" s="4"/>
      <c r="C386" s="53"/>
      <c r="D386" s="53"/>
      <c r="E386" s="53"/>
      <c r="F386" s="53"/>
      <c r="I386" s="4"/>
      <c r="J386" s="4"/>
      <c r="K386" s="4"/>
      <c r="O386" s="4"/>
    </row>
    <row r="387" spans="1:15" ht="21" customHeight="1" x14ac:dyDescent="0.2">
      <c r="A387" s="4"/>
      <c r="B387" s="4"/>
      <c r="C387" s="53"/>
      <c r="D387" s="53"/>
      <c r="E387" s="53"/>
      <c r="F387" s="53"/>
      <c r="I387" s="4"/>
      <c r="J387" s="4"/>
      <c r="K387" s="4"/>
      <c r="O387" s="4"/>
    </row>
    <row r="388" spans="1:15" ht="21" customHeight="1" x14ac:dyDescent="0.2">
      <c r="A388" s="4"/>
      <c r="B388" s="4"/>
      <c r="C388" s="53"/>
      <c r="D388" s="53"/>
      <c r="E388" s="53"/>
      <c r="F388" s="53"/>
      <c r="I388" s="4"/>
      <c r="J388" s="4"/>
      <c r="K388" s="4"/>
      <c r="O388" s="4"/>
    </row>
    <row r="389" spans="1:15" ht="21" customHeight="1" x14ac:dyDescent="0.2">
      <c r="A389" s="4"/>
      <c r="B389" s="4"/>
      <c r="C389" s="53"/>
      <c r="D389" s="53"/>
      <c r="E389" s="53"/>
      <c r="F389" s="53"/>
      <c r="I389" s="4"/>
      <c r="J389" s="4"/>
      <c r="K389" s="4"/>
      <c r="O389" s="4"/>
    </row>
    <row r="390" spans="1:15" ht="21" customHeight="1" x14ac:dyDescent="0.2">
      <c r="A390" s="4"/>
      <c r="B390" s="4"/>
      <c r="C390" s="53"/>
      <c r="D390" s="53"/>
      <c r="E390" s="53"/>
      <c r="F390" s="53"/>
      <c r="I390" s="4"/>
      <c r="J390" s="4"/>
      <c r="K390" s="4"/>
      <c r="O390" s="4"/>
    </row>
    <row r="391" spans="1:15" ht="21" customHeight="1" x14ac:dyDescent="0.2">
      <c r="A391" s="4"/>
      <c r="B391" s="4"/>
      <c r="C391" s="53"/>
      <c r="D391" s="53"/>
      <c r="E391" s="53"/>
      <c r="F391" s="53"/>
      <c r="I391" s="4"/>
      <c r="J391" s="4"/>
      <c r="K391" s="4"/>
      <c r="O391" s="4"/>
    </row>
    <row r="392" spans="1:15" ht="21" customHeight="1" x14ac:dyDescent="0.2">
      <c r="A392" s="4"/>
      <c r="B392" s="4"/>
      <c r="C392" s="53"/>
      <c r="D392" s="53"/>
      <c r="E392" s="53"/>
      <c r="F392" s="53"/>
      <c r="I392" s="4"/>
      <c r="J392" s="4"/>
      <c r="K392" s="4"/>
      <c r="O392" s="4"/>
    </row>
    <row r="393" spans="1:15" ht="21" customHeight="1" x14ac:dyDescent="0.2">
      <c r="A393" s="4"/>
      <c r="B393" s="4"/>
      <c r="C393" s="53"/>
      <c r="D393" s="53"/>
      <c r="E393" s="53"/>
      <c r="F393" s="53"/>
      <c r="I393" s="4"/>
      <c r="J393" s="4"/>
      <c r="K393" s="4"/>
      <c r="O393" s="4"/>
    </row>
    <row r="394" spans="1:15" ht="21" customHeight="1" x14ac:dyDescent="0.2">
      <c r="A394" s="4"/>
      <c r="B394" s="4"/>
      <c r="C394" s="53"/>
      <c r="D394" s="53"/>
      <c r="E394" s="53"/>
      <c r="F394" s="53"/>
      <c r="I394" s="4"/>
      <c r="J394" s="4"/>
      <c r="K394" s="4"/>
      <c r="O394" s="4"/>
    </row>
    <row r="395" spans="1:15" ht="21" customHeight="1" x14ac:dyDescent="0.2">
      <c r="A395" s="4"/>
      <c r="B395" s="4"/>
      <c r="C395" s="53"/>
      <c r="D395" s="53"/>
      <c r="E395" s="53"/>
      <c r="F395" s="53"/>
      <c r="I395" s="4"/>
      <c r="J395" s="4"/>
      <c r="K395" s="4"/>
      <c r="O395" s="4"/>
    </row>
    <row r="396" spans="1:15" ht="21" customHeight="1" x14ac:dyDescent="0.2">
      <c r="A396" s="4"/>
      <c r="B396" s="4"/>
      <c r="C396" s="53"/>
      <c r="D396" s="53"/>
      <c r="E396" s="53"/>
      <c r="F396" s="53"/>
      <c r="I396" s="4"/>
      <c r="J396" s="4"/>
      <c r="K396" s="4"/>
      <c r="O396" s="4"/>
    </row>
    <row r="397" spans="1:15" ht="21" customHeight="1" x14ac:dyDescent="0.2">
      <c r="A397" s="4"/>
      <c r="B397" s="4"/>
      <c r="C397" s="53"/>
      <c r="D397" s="53"/>
      <c r="E397" s="53"/>
      <c r="F397" s="53"/>
      <c r="I397" s="4"/>
      <c r="J397" s="4"/>
      <c r="K397" s="4"/>
      <c r="O397" s="4"/>
    </row>
    <row r="398" spans="1:15" ht="21" customHeight="1" x14ac:dyDescent="0.2">
      <c r="A398" s="4"/>
      <c r="B398" s="4"/>
      <c r="C398" s="53"/>
      <c r="D398" s="53"/>
      <c r="E398" s="53"/>
      <c r="F398" s="53"/>
      <c r="I398" s="4"/>
      <c r="J398" s="4"/>
      <c r="K398" s="4"/>
      <c r="O398" s="4"/>
    </row>
    <row r="399" spans="1:15" ht="21" customHeight="1" x14ac:dyDescent="0.2">
      <c r="A399" s="4"/>
      <c r="B399" s="4"/>
      <c r="C399" s="53"/>
      <c r="D399" s="53"/>
      <c r="E399" s="53"/>
      <c r="F399" s="53"/>
      <c r="I399" s="4"/>
      <c r="J399" s="4"/>
      <c r="K399" s="4"/>
      <c r="O399" s="4"/>
    </row>
    <row r="400" spans="1:15" ht="21" customHeight="1" x14ac:dyDescent="0.2">
      <c r="A400" s="4"/>
      <c r="B400" s="4"/>
      <c r="C400" s="53"/>
      <c r="D400" s="53"/>
      <c r="E400" s="53"/>
      <c r="F400" s="53"/>
      <c r="I400" s="4"/>
      <c r="J400" s="4"/>
      <c r="K400" s="4"/>
      <c r="O400" s="4"/>
    </row>
    <row r="401" spans="1:15" ht="21" customHeight="1" x14ac:dyDescent="0.2">
      <c r="A401" s="4"/>
      <c r="B401" s="4"/>
      <c r="C401" s="53"/>
      <c r="D401" s="53"/>
      <c r="E401" s="53"/>
      <c r="F401" s="53"/>
      <c r="I401" s="4"/>
      <c r="J401" s="4"/>
      <c r="K401" s="4"/>
      <c r="O401" s="4"/>
    </row>
    <row r="402" spans="1:15" ht="21" customHeight="1" x14ac:dyDescent="0.2">
      <c r="A402" s="4"/>
      <c r="B402" s="4"/>
      <c r="C402" s="53"/>
      <c r="D402" s="53"/>
      <c r="E402" s="53"/>
      <c r="F402" s="53"/>
      <c r="I402" s="4"/>
      <c r="J402" s="4"/>
      <c r="K402" s="4"/>
      <c r="O402" s="4"/>
    </row>
    <row r="403" spans="1:15" ht="21" customHeight="1" x14ac:dyDescent="0.2">
      <c r="A403" s="4"/>
      <c r="B403" s="4"/>
      <c r="C403" s="53"/>
      <c r="D403" s="53"/>
      <c r="E403" s="53"/>
      <c r="F403" s="53"/>
      <c r="I403" s="4"/>
      <c r="J403" s="4"/>
      <c r="K403" s="4"/>
      <c r="O403" s="4"/>
    </row>
    <row r="404" spans="1:15" ht="21" customHeight="1" x14ac:dyDescent="0.2">
      <c r="A404" s="4"/>
      <c r="B404" s="4"/>
      <c r="C404" s="53"/>
      <c r="D404" s="53"/>
      <c r="E404" s="53"/>
      <c r="F404" s="53"/>
      <c r="I404" s="4"/>
      <c r="J404" s="4"/>
      <c r="K404" s="4"/>
      <c r="O404" s="4"/>
    </row>
    <row r="405" spans="1:15" ht="21" customHeight="1" x14ac:dyDescent="0.2">
      <c r="A405" s="4"/>
      <c r="B405" s="4"/>
      <c r="C405" s="53"/>
      <c r="D405" s="53"/>
      <c r="E405" s="53"/>
      <c r="F405" s="53"/>
      <c r="I405" s="4"/>
      <c r="J405" s="4"/>
      <c r="K405" s="4"/>
      <c r="O405" s="4"/>
    </row>
    <row r="406" spans="1:15" ht="21" customHeight="1" x14ac:dyDescent="0.2">
      <c r="A406" s="4"/>
      <c r="B406" s="4"/>
      <c r="C406" s="53"/>
      <c r="D406" s="53"/>
      <c r="E406" s="53"/>
      <c r="F406" s="53"/>
      <c r="I406" s="4"/>
      <c r="J406" s="4"/>
      <c r="K406" s="4"/>
      <c r="O406" s="4"/>
    </row>
    <row r="407" spans="1:15" ht="21" customHeight="1" x14ac:dyDescent="0.2">
      <c r="A407" s="4"/>
      <c r="B407" s="4"/>
      <c r="C407" s="53"/>
      <c r="D407" s="53"/>
      <c r="E407" s="53"/>
      <c r="F407" s="53"/>
      <c r="I407" s="4"/>
      <c r="J407" s="4"/>
      <c r="K407" s="4"/>
      <c r="O407" s="4"/>
    </row>
    <row r="408" spans="1:15" ht="21" customHeight="1" x14ac:dyDescent="0.2">
      <c r="A408" s="4"/>
      <c r="B408" s="4"/>
      <c r="C408" s="53"/>
      <c r="D408" s="53"/>
      <c r="E408" s="53"/>
      <c r="F408" s="53"/>
      <c r="I408" s="4"/>
      <c r="J408" s="4"/>
      <c r="K408" s="4"/>
      <c r="O408" s="4"/>
    </row>
    <row r="409" spans="1:15" ht="21" customHeight="1" x14ac:dyDescent="0.2">
      <c r="A409" s="4"/>
      <c r="B409" s="4"/>
      <c r="C409" s="53"/>
      <c r="D409" s="53"/>
      <c r="E409" s="53"/>
      <c r="F409" s="53"/>
      <c r="I409" s="4"/>
      <c r="J409" s="4"/>
      <c r="K409" s="4"/>
      <c r="O409" s="4"/>
    </row>
    <row r="410" spans="1:15" ht="21" customHeight="1" x14ac:dyDescent="0.2">
      <c r="A410" s="4"/>
      <c r="B410" s="4"/>
      <c r="C410" s="53"/>
      <c r="D410" s="53"/>
      <c r="E410" s="53"/>
      <c r="F410" s="53"/>
      <c r="I410" s="4"/>
      <c r="J410" s="4"/>
      <c r="K410" s="4"/>
      <c r="O410" s="4"/>
    </row>
    <row r="411" spans="1:15" ht="21" customHeight="1" x14ac:dyDescent="0.2">
      <c r="A411" s="4"/>
      <c r="B411" s="4"/>
      <c r="C411" s="53"/>
      <c r="D411" s="53"/>
      <c r="E411" s="53"/>
      <c r="F411" s="53"/>
      <c r="I411" s="4"/>
      <c r="J411" s="4"/>
      <c r="K411" s="4"/>
      <c r="O411" s="4"/>
    </row>
    <row r="412" spans="1:15" ht="21" customHeight="1" x14ac:dyDescent="0.2">
      <c r="A412" s="4"/>
      <c r="B412" s="4"/>
      <c r="C412" s="53"/>
      <c r="D412" s="53"/>
      <c r="E412" s="53"/>
      <c r="F412" s="53"/>
      <c r="I412" s="4"/>
      <c r="J412" s="4"/>
      <c r="K412" s="4"/>
      <c r="O412" s="4"/>
    </row>
    <row r="413" spans="1:15" ht="21" customHeight="1" x14ac:dyDescent="0.2">
      <c r="A413" s="4"/>
      <c r="B413" s="4"/>
      <c r="C413" s="53"/>
      <c r="D413" s="53"/>
      <c r="E413" s="53"/>
      <c r="F413" s="53"/>
      <c r="I413" s="4"/>
      <c r="J413" s="4"/>
      <c r="K413" s="4"/>
      <c r="O413" s="4"/>
    </row>
    <row r="414" spans="1:15" ht="21" customHeight="1" x14ac:dyDescent="0.2">
      <c r="A414" s="4"/>
      <c r="B414" s="4"/>
      <c r="C414" s="53"/>
      <c r="D414" s="53"/>
      <c r="E414" s="53"/>
      <c r="F414" s="53"/>
      <c r="I414" s="4"/>
      <c r="J414" s="4"/>
      <c r="K414" s="4"/>
      <c r="O414" s="4"/>
    </row>
    <row r="415" spans="1:15" ht="21" customHeight="1" x14ac:dyDescent="0.2">
      <c r="A415" s="4"/>
      <c r="B415" s="4"/>
      <c r="C415" s="53"/>
      <c r="D415" s="53"/>
      <c r="E415" s="53"/>
      <c r="F415" s="53"/>
      <c r="I415" s="4"/>
      <c r="J415" s="4"/>
      <c r="K415" s="4"/>
      <c r="O415" s="4"/>
    </row>
    <row r="416" spans="1:15" ht="21" customHeight="1" x14ac:dyDescent="0.2">
      <c r="A416" s="4"/>
      <c r="B416" s="4"/>
      <c r="C416" s="53"/>
      <c r="D416" s="53"/>
      <c r="E416" s="53"/>
      <c r="F416" s="53"/>
      <c r="I416" s="4"/>
      <c r="J416" s="4"/>
      <c r="K416" s="4"/>
      <c r="O416" s="4"/>
    </row>
    <row r="417" spans="1:15" ht="21" customHeight="1" x14ac:dyDescent="0.2">
      <c r="A417" s="4"/>
      <c r="B417" s="4"/>
      <c r="C417" s="53"/>
      <c r="D417" s="53"/>
      <c r="E417" s="53"/>
      <c r="F417" s="53"/>
      <c r="I417" s="4"/>
      <c r="J417" s="4"/>
      <c r="K417" s="4"/>
      <c r="O417" s="4"/>
    </row>
    <row r="418" spans="1:15" ht="21" customHeight="1" x14ac:dyDescent="0.2">
      <c r="A418" s="4"/>
      <c r="B418" s="4"/>
      <c r="C418" s="53"/>
      <c r="D418" s="53"/>
      <c r="E418" s="53"/>
      <c r="F418" s="53"/>
      <c r="I418" s="4"/>
      <c r="J418" s="4"/>
      <c r="K418" s="4"/>
      <c r="O418" s="4"/>
    </row>
    <row r="419" spans="1:15" ht="21" customHeight="1" x14ac:dyDescent="0.2">
      <c r="A419" s="4"/>
      <c r="B419" s="4"/>
      <c r="C419" s="53"/>
      <c r="D419" s="53"/>
      <c r="E419" s="53"/>
      <c r="F419" s="53"/>
      <c r="I419" s="4"/>
      <c r="J419" s="4"/>
      <c r="K419" s="4"/>
      <c r="O419" s="4"/>
    </row>
    <row r="420" spans="1:15" ht="21" customHeight="1" x14ac:dyDescent="0.2">
      <c r="A420" s="4"/>
      <c r="B420" s="4"/>
      <c r="C420" s="53"/>
      <c r="D420" s="53"/>
      <c r="E420" s="53"/>
      <c r="F420" s="53"/>
      <c r="I420" s="4"/>
      <c r="J420" s="4"/>
      <c r="K420" s="4"/>
      <c r="O420" s="4"/>
    </row>
    <row r="421" spans="1:15" ht="21" customHeight="1" x14ac:dyDescent="0.2">
      <c r="A421" s="4"/>
      <c r="B421" s="4"/>
      <c r="C421" s="53"/>
      <c r="D421" s="53"/>
      <c r="E421" s="53"/>
      <c r="F421" s="53"/>
      <c r="I421" s="4"/>
      <c r="J421" s="4"/>
      <c r="K421" s="4"/>
      <c r="O421" s="4"/>
    </row>
    <row r="422" spans="1:15" ht="21" customHeight="1" x14ac:dyDescent="0.2">
      <c r="A422" s="4"/>
      <c r="B422" s="4"/>
      <c r="C422" s="53"/>
      <c r="D422" s="53"/>
      <c r="E422" s="53"/>
      <c r="F422" s="53"/>
      <c r="I422" s="4"/>
      <c r="J422" s="4"/>
      <c r="K422" s="4"/>
      <c r="O422" s="4"/>
    </row>
    <row r="423" spans="1:15" ht="21" customHeight="1" x14ac:dyDescent="0.2">
      <c r="A423" s="4"/>
      <c r="B423" s="4"/>
      <c r="C423" s="53"/>
      <c r="D423" s="53"/>
      <c r="E423" s="53"/>
      <c r="F423" s="53"/>
      <c r="I423" s="4"/>
      <c r="J423" s="4"/>
      <c r="K423" s="4"/>
      <c r="O423" s="4"/>
    </row>
    <row r="424" spans="1:15" ht="21" customHeight="1" x14ac:dyDescent="0.2">
      <c r="A424" s="4"/>
      <c r="B424" s="4"/>
      <c r="C424" s="53"/>
      <c r="D424" s="53"/>
      <c r="E424" s="53"/>
      <c r="F424" s="53"/>
      <c r="I424" s="4"/>
      <c r="J424" s="4"/>
      <c r="K424" s="4"/>
      <c r="O424" s="4"/>
    </row>
    <row r="425" spans="1:15" ht="21" customHeight="1" x14ac:dyDescent="0.2">
      <c r="A425" s="4"/>
      <c r="B425" s="4"/>
      <c r="C425" s="53"/>
      <c r="D425" s="53"/>
      <c r="E425" s="53"/>
      <c r="F425" s="53"/>
      <c r="I425" s="4"/>
      <c r="J425" s="4"/>
      <c r="K425" s="4"/>
      <c r="O425" s="4"/>
    </row>
    <row r="426" spans="1:15" ht="21" customHeight="1" x14ac:dyDescent="0.2">
      <c r="A426" s="4"/>
      <c r="B426" s="4"/>
      <c r="C426" s="53"/>
      <c r="D426" s="53"/>
      <c r="E426" s="53"/>
      <c r="F426" s="53"/>
      <c r="I426" s="4"/>
      <c r="J426" s="4"/>
      <c r="K426" s="4"/>
      <c r="O426" s="4"/>
    </row>
    <row r="427" spans="1:15" ht="21" customHeight="1" x14ac:dyDescent="0.2">
      <c r="A427" s="4"/>
      <c r="B427" s="4"/>
      <c r="C427" s="53"/>
      <c r="D427" s="53"/>
      <c r="E427" s="53"/>
      <c r="F427" s="53"/>
      <c r="I427" s="4"/>
      <c r="J427" s="4"/>
      <c r="K427" s="4"/>
      <c r="O427" s="4"/>
    </row>
    <row r="428" spans="1:15" ht="21" customHeight="1" x14ac:dyDescent="0.2">
      <c r="A428" s="4"/>
      <c r="B428" s="4"/>
      <c r="C428" s="53"/>
      <c r="D428" s="53"/>
      <c r="E428" s="53"/>
      <c r="F428" s="53"/>
      <c r="I428" s="4"/>
      <c r="J428" s="4"/>
      <c r="K428" s="4"/>
      <c r="O428" s="4"/>
    </row>
    <row r="429" spans="1:15" ht="21" customHeight="1" x14ac:dyDescent="0.2">
      <c r="A429" s="4"/>
      <c r="B429" s="4"/>
      <c r="C429" s="53"/>
      <c r="D429" s="53"/>
      <c r="E429" s="53"/>
      <c r="F429" s="53"/>
      <c r="I429" s="4"/>
      <c r="J429" s="4"/>
      <c r="K429" s="4"/>
      <c r="O429" s="4"/>
    </row>
    <row r="430" spans="1:15" ht="21" customHeight="1" x14ac:dyDescent="0.2">
      <c r="A430" s="4"/>
      <c r="B430" s="4"/>
      <c r="C430" s="53"/>
      <c r="D430" s="53"/>
      <c r="E430" s="53"/>
      <c r="F430" s="53"/>
      <c r="I430" s="4"/>
      <c r="J430" s="4"/>
      <c r="K430" s="4"/>
      <c r="O430" s="4"/>
    </row>
    <row r="431" spans="1:15" ht="21" customHeight="1" x14ac:dyDescent="0.2">
      <c r="A431" s="4"/>
      <c r="B431" s="4"/>
      <c r="C431" s="53"/>
      <c r="D431" s="53"/>
      <c r="E431" s="53"/>
      <c r="F431" s="53"/>
      <c r="I431" s="4"/>
      <c r="J431" s="4"/>
      <c r="K431" s="4"/>
      <c r="O431" s="4"/>
    </row>
    <row r="432" spans="1:15" ht="21" customHeight="1" x14ac:dyDescent="0.2">
      <c r="A432" s="4"/>
      <c r="B432" s="4"/>
      <c r="C432" s="53"/>
      <c r="D432" s="53"/>
      <c r="E432" s="53"/>
      <c r="F432" s="53"/>
      <c r="I432" s="4"/>
      <c r="J432" s="4"/>
      <c r="K432" s="4"/>
      <c r="O432" s="4"/>
    </row>
    <row r="433" spans="1:15" ht="21" customHeight="1" x14ac:dyDescent="0.2">
      <c r="A433" s="4"/>
      <c r="B433" s="4"/>
      <c r="C433" s="53"/>
      <c r="D433" s="53"/>
      <c r="E433" s="53"/>
      <c r="F433" s="53"/>
      <c r="I433" s="4"/>
      <c r="J433" s="4"/>
      <c r="K433" s="4"/>
      <c r="O433" s="4"/>
    </row>
    <row r="434" spans="1:15" ht="21" customHeight="1" x14ac:dyDescent="0.2">
      <c r="A434" s="4"/>
      <c r="B434" s="4"/>
      <c r="C434" s="53"/>
      <c r="D434" s="53"/>
      <c r="E434" s="53"/>
      <c r="F434" s="53"/>
      <c r="I434" s="4"/>
      <c r="J434" s="4"/>
      <c r="K434" s="4"/>
      <c r="O434" s="4"/>
    </row>
    <row r="435" spans="1:15" ht="21" customHeight="1" x14ac:dyDescent="0.2">
      <c r="A435" s="4"/>
      <c r="B435" s="4"/>
      <c r="C435" s="53"/>
      <c r="D435" s="53"/>
      <c r="E435" s="53"/>
      <c r="F435" s="53"/>
      <c r="I435" s="4"/>
      <c r="J435" s="4"/>
      <c r="K435" s="4"/>
      <c r="O435" s="4"/>
    </row>
    <row r="436" spans="1:15" ht="21" customHeight="1" x14ac:dyDescent="0.2">
      <c r="A436" s="4"/>
      <c r="B436" s="4"/>
      <c r="C436" s="53"/>
      <c r="D436" s="53"/>
      <c r="E436" s="53"/>
      <c r="F436" s="53"/>
      <c r="I436" s="4"/>
      <c r="J436" s="4"/>
      <c r="K436" s="4"/>
      <c r="O436" s="4"/>
    </row>
    <row r="437" spans="1:15" ht="21" customHeight="1" x14ac:dyDescent="0.2">
      <c r="A437" s="4"/>
      <c r="B437" s="4"/>
      <c r="C437" s="53"/>
      <c r="D437" s="53"/>
      <c r="E437" s="53"/>
      <c r="F437" s="53"/>
      <c r="I437" s="4"/>
      <c r="J437" s="4"/>
      <c r="K437" s="4"/>
      <c r="O437" s="4"/>
    </row>
    <row r="438" spans="1:15" ht="21" customHeight="1" x14ac:dyDescent="0.2">
      <c r="A438" s="4"/>
      <c r="B438" s="4"/>
      <c r="C438" s="53"/>
      <c r="D438" s="53"/>
      <c r="E438" s="53"/>
      <c r="F438" s="53"/>
      <c r="I438" s="4"/>
      <c r="J438" s="4"/>
      <c r="K438" s="4"/>
      <c r="O438" s="4"/>
    </row>
    <row r="439" spans="1:15" ht="21" customHeight="1" x14ac:dyDescent="0.2">
      <c r="A439" s="4"/>
      <c r="B439" s="4"/>
      <c r="C439" s="53"/>
      <c r="D439" s="53"/>
      <c r="E439" s="53"/>
      <c r="F439" s="53"/>
      <c r="I439" s="4"/>
      <c r="J439" s="4"/>
      <c r="K439" s="4"/>
      <c r="O439" s="4"/>
    </row>
    <row r="440" spans="1:15" ht="21" customHeight="1" x14ac:dyDescent="0.2">
      <c r="A440" s="4"/>
      <c r="B440" s="4"/>
      <c r="C440" s="53"/>
      <c r="D440" s="53"/>
      <c r="E440" s="53"/>
      <c r="F440" s="53"/>
      <c r="I440" s="4"/>
      <c r="J440" s="4"/>
      <c r="K440" s="4"/>
      <c r="O440" s="4"/>
    </row>
    <row r="441" spans="1:15" ht="21" customHeight="1" x14ac:dyDescent="0.2">
      <c r="A441" s="4"/>
      <c r="B441" s="4"/>
      <c r="C441" s="53"/>
      <c r="D441" s="53"/>
      <c r="E441" s="53"/>
      <c r="F441" s="53"/>
      <c r="I441" s="4"/>
      <c r="J441" s="4"/>
      <c r="K441" s="4"/>
      <c r="O441" s="4"/>
    </row>
    <row r="442" spans="1:15" ht="21" customHeight="1" x14ac:dyDescent="0.2">
      <c r="A442" s="4"/>
      <c r="B442" s="4"/>
      <c r="C442" s="53"/>
      <c r="D442" s="53"/>
      <c r="E442" s="53"/>
      <c r="F442" s="53"/>
      <c r="I442" s="4"/>
      <c r="J442" s="4"/>
      <c r="K442" s="4"/>
      <c r="O442" s="4"/>
    </row>
    <row r="443" spans="1:15" ht="21" customHeight="1" x14ac:dyDescent="0.2">
      <c r="A443" s="4"/>
      <c r="B443" s="4"/>
      <c r="C443" s="53"/>
      <c r="D443" s="53"/>
      <c r="E443" s="53"/>
      <c r="F443" s="53"/>
      <c r="I443" s="4"/>
      <c r="J443" s="4"/>
      <c r="K443" s="4"/>
      <c r="O443" s="4"/>
    </row>
    <row r="444" spans="1:15" ht="21" customHeight="1" x14ac:dyDescent="0.2">
      <c r="A444" s="4"/>
      <c r="B444" s="4"/>
      <c r="C444" s="53"/>
      <c r="D444" s="53"/>
      <c r="E444" s="53"/>
      <c r="F444" s="53"/>
      <c r="I444" s="4"/>
      <c r="J444" s="4"/>
      <c r="K444" s="4"/>
      <c r="O444" s="4"/>
    </row>
    <row r="445" spans="1:15" ht="21" customHeight="1" x14ac:dyDescent="0.2">
      <c r="A445" s="4"/>
      <c r="B445" s="4"/>
      <c r="C445" s="53"/>
      <c r="D445" s="53"/>
      <c r="E445" s="53"/>
      <c r="F445" s="53"/>
      <c r="I445" s="4"/>
      <c r="J445" s="4"/>
      <c r="K445" s="4"/>
      <c r="O445" s="4"/>
    </row>
    <row r="446" spans="1:15" ht="21" customHeight="1" x14ac:dyDescent="0.2">
      <c r="A446" s="4"/>
      <c r="B446" s="4"/>
      <c r="C446" s="53"/>
      <c r="D446" s="53"/>
      <c r="E446" s="53"/>
      <c r="F446" s="53"/>
      <c r="I446" s="4"/>
      <c r="J446" s="4"/>
      <c r="K446" s="4"/>
      <c r="O446" s="4"/>
    </row>
    <row r="447" spans="1:15" ht="21" customHeight="1" x14ac:dyDescent="0.2">
      <c r="A447" s="4"/>
      <c r="B447" s="4"/>
      <c r="C447" s="53"/>
      <c r="D447" s="53"/>
      <c r="E447" s="53"/>
      <c r="F447" s="53"/>
      <c r="I447" s="4"/>
      <c r="J447" s="4"/>
      <c r="K447" s="4"/>
      <c r="O447" s="4"/>
    </row>
    <row r="448" spans="1:15" ht="21" customHeight="1" x14ac:dyDescent="0.2">
      <c r="A448" s="4"/>
      <c r="B448" s="4"/>
      <c r="C448" s="53"/>
      <c r="D448" s="53"/>
      <c r="E448" s="53"/>
      <c r="F448" s="53"/>
      <c r="I448" s="4"/>
      <c r="J448" s="4"/>
      <c r="K448" s="4"/>
      <c r="O448" s="4"/>
    </row>
    <row r="449" spans="1:15" ht="21" customHeight="1" x14ac:dyDescent="0.2">
      <c r="A449" s="4"/>
      <c r="B449" s="4"/>
      <c r="C449" s="53"/>
      <c r="D449" s="53"/>
      <c r="E449" s="53"/>
      <c r="F449" s="53"/>
      <c r="I449" s="4"/>
      <c r="J449" s="4"/>
      <c r="K449" s="4"/>
      <c r="O449" s="4"/>
    </row>
    <row r="450" spans="1:15" ht="21" customHeight="1" x14ac:dyDescent="0.2">
      <c r="A450" s="4"/>
      <c r="B450" s="4"/>
      <c r="C450" s="53"/>
      <c r="D450" s="53"/>
      <c r="E450" s="53"/>
      <c r="F450" s="53"/>
      <c r="I450" s="4"/>
      <c r="J450" s="4"/>
      <c r="K450" s="4"/>
      <c r="O450" s="4"/>
    </row>
    <row r="451" spans="1:15" ht="21" customHeight="1" x14ac:dyDescent="0.2">
      <c r="A451" s="4"/>
      <c r="B451" s="4"/>
      <c r="C451" s="53"/>
      <c r="D451" s="53"/>
      <c r="E451" s="53"/>
      <c r="F451" s="53"/>
      <c r="I451" s="4"/>
      <c r="J451" s="4"/>
      <c r="K451" s="4"/>
      <c r="O451" s="4"/>
    </row>
    <row r="452" spans="1:15" ht="21" customHeight="1" x14ac:dyDescent="0.2">
      <c r="A452" s="4"/>
      <c r="B452" s="4"/>
      <c r="C452" s="53"/>
      <c r="D452" s="53"/>
      <c r="E452" s="53"/>
      <c r="F452" s="53"/>
      <c r="I452" s="4"/>
      <c r="J452" s="4"/>
      <c r="K452" s="4"/>
      <c r="O452" s="4"/>
    </row>
    <row r="453" spans="1:15" ht="21" customHeight="1" x14ac:dyDescent="0.2">
      <c r="A453" s="4"/>
      <c r="B453" s="4"/>
      <c r="C453" s="53"/>
      <c r="D453" s="53"/>
      <c r="E453" s="53"/>
      <c r="F453" s="53"/>
      <c r="I453" s="4"/>
      <c r="J453" s="4"/>
      <c r="K453" s="4"/>
      <c r="O453" s="4"/>
    </row>
    <row r="454" spans="1:15" ht="21" customHeight="1" x14ac:dyDescent="0.2">
      <c r="A454" s="4"/>
      <c r="B454" s="4"/>
      <c r="C454" s="53"/>
      <c r="D454" s="53"/>
      <c r="E454" s="53"/>
      <c r="F454" s="53"/>
      <c r="I454" s="4"/>
      <c r="J454" s="4"/>
      <c r="K454" s="4"/>
      <c r="O454" s="4"/>
    </row>
    <row r="455" spans="1:15" ht="21" customHeight="1" x14ac:dyDescent="0.2">
      <c r="A455" s="4"/>
      <c r="B455" s="4"/>
      <c r="C455" s="53"/>
      <c r="D455" s="53"/>
      <c r="E455" s="53"/>
      <c r="F455" s="53"/>
      <c r="I455" s="4"/>
      <c r="J455" s="4"/>
      <c r="K455" s="4"/>
      <c r="O455" s="4"/>
    </row>
    <row r="456" spans="1:15" ht="21" customHeight="1" x14ac:dyDescent="0.2">
      <c r="A456" s="4"/>
      <c r="B456" s="4"/>
      <c r="C456" s="53"/>
      <c r="D456" s="53"/>
      <c r="E456" s="53"/>
      <c r="F456" s="53"/>
      <c r="I456" s="4"/>
      <c r="J456" s="4"/>
      <c r="K456" s="4"/>
      <c r="O456" s="4"/>
    </row>
    <row r="457" spans="1:15" ht="21" customHeight="1" x14ac:dyDescent="0.2">
      <c r="A457" s="4"/>
      <c r="B457" s="4"/>
      <c r="C457" s="53"/>
      <c r="D457" s="53"/>
      <c r="E457" s="53"/>
      <c r="F457" s="53"/>
      <c r="I457" s="4"/>
      <c r="J457" s="4"/>
      <c r="K457" s="4"/>
      <c r="O457" s="4"/>
    </row>
    <row r="458" spans="1:15" ht="21" customHeight="1" x14ac:dyDescent="0.2">
      <c r="A458" s="4"/>
      <c r="B458" s="4"/>
      <c r="C458" s="53"/>
      <c r="D458" s="53"/>
      <c r="E458" s="53"/>
      <c r="F458" s="53"/>
      <c r="I458" s="4"/>
      <c r="J458" s="4"/>
      <c r="K458" s="4"/>
      <c r="O458" s="4"/>
    </row>
    <row r="459" spans="1:15" ht="21" customHeight="1" x14ac:dyDescent="0.2">
      <c r="A459" s="4"/>
      <c r="B459" s="4"/>
      <c r="C459" s="53"/>
      <c r="D459" s="53"/>
      <c r="E459" s="53"/>
      <c r="F459" s="53"/>
      <c r="I459" s="4"/>
      <c r="J459" s="4"/>
      <c r="K459" s="4"/>
      <c r="O459" s="4"/>
    </row>
    <row r="460" spans="1:15" ht="21" customHeight="1" x14ac:dyDescent="0.2">
      <c r="A460" s="4"/>
      <c r="B460" s="4"/>
      <c r="C460" s="53"/>
      <c r="D460" s="53"/>
      <c r="E460" s="53"/>
      <c r="F460" s="53"/>
      <c r="I460" s="4"/>
      <c r="J460" s="4"/>
      <c r="K460" s="4"/>
      <c r="O460" s="4"/>
    </row>
    <row r="461" spans="1:15" ht="21" customHeight="1" x14ac:dyDescent="0.2">
      <c r="A461" s="4"/>
      <c r="B461" s="4"/>
      <c r="C461" s="53"/>
      <c r="D461" s="53"/>
      <c r="E461" s="53"/>
      <c r="F461" s="53"/>
      <c r="I461" s="4"/>
      <c r="J461" s="4"/>
      <c r="K461" s="4"/>
      <c r="O461" s="4"/>
    </row>
    <row r="462" spans="1:15" ht="21" customHeight="1" x14ac:dyDescent="0.2">
      <c r="A462" s="4"/>
      <c r="B462" s="4"/>
      <c r="C462" s="53"/>
      <c r="D462" s="53"/>
      <c r="E462" s="53"/>
      <c r="F462" s="53"/>
      <c r="I462" s="4"/>
      <c r="J462" s="4"/>
      <c r="K462" s="4"/>
      <c r="O462" s="4"/>
    </row>
    <row r="463" spans="1:15" ht="21" customHeight="1" x14ac:dyDescent="0.2">
      <c r="A463" s="4"/>
      <c r="B463" s="4"/>
      <c r="C463" s="53"/>
      <c r="D463" s="53"/>
      <c r="E463" s="53"/>
      <c r="F463" s="53"/>
      <c r="I463" s="4"/>
      <c r="J463" s="4"/>
      <c r="K463" s="4"/>
      <c r="O463" s="4"/>
    </row>
    <row r="464" spans="1:15" ht="21" customHeight="1" x14ac:dyDescent="0.2">
      <c r="A464" s="4"/>
      <c r="B464" s="4"/>
      <c r="C464" s="53"/>
      <c r="D464" s="53"/>
      <c r="E464" s="53"/>
      <c r="F464" s="53"/>
      <c r="I464" s="4"/>
      <c r="J464" s="4"/>
      <c r="K464" s="4"/>
      <c r="O464" s="4"/>
    </row>
    <row r="465" spans="1:15" ht="21" customHeight="1" x14ac:dyDescent="0.2">
      <c r="A465" s="4"/>
      <c r="B465" s="4"/>
      <c r="C465" s="53"/>
      <c r="D465" s="53"/>
      <c r="E465" s="53"/>
      <c r="F465" s="53"/>
      <c r="I465" s="4"/>
      <c r="J465" s="4"/>
      <c r="K465" s="4"/>
      <c r="O465" s="4"/>
    </row>
    <row r="466" spans="1:15" ht="21" customHeight="1" x14ac:dyDescent="0.2">
      <c r="A466" s="4"/>
      <c r="B466" s="4"/>
      <c r="C466" s="53"/>
      <c r="D466" s="53"/>
      <c r="E466" s="53"/>
      <c r="F466" s="53"/>
      <c r="I466" s="4"/>
      <c r="J466" s="4"/>
      <c r="K466" s="4"/>
      <c r="O466" s="4"/>
    </row>
    <row r="467" spans="1:15" ht="21" customHeight="1" x14ac:dyDescent="0.2">
      <c r="A467" s="4"/>
      <c r="B467" s="4"/>
      <c r="C467" s="53"/>
      <c r="D467" s="53"/>
      <c r="E467" s="53"/>
      <c r="F467" s="53"/>
      <c r="I467" s="4"/>
      <c r="J467" s="4"/>
      <c r="K467" s="4"/>
      <c r="O467" s="4"/>
    </row>
    <row r="468" spans="1:15" ht="21" customHeight="1" x14ac:dyDescent="0.2">
      <c r="A468" s="4"/>
      <c r="B468" s="4"/>
      <c r="C468" s="53"/>
      <c r="D468" s="53"/>
      <c r="E468" s="53"/>
      <c r="F468" s="53"/>
      <c r="I468" s="4"/>
      <c r="J468" s="4"/>
      <c r="K468" s="4"/>
      <c r="O468" s="4"/>
    </row>
    <row r="469" spans="1:15" ht="21" customHeight="1" x14ac:dyDescent="0.2">
      <c r="A469" s="4"/>
      <c r="B469" s="4"/>
      <c r="C469" s="53"/>
      <c r="D469" s="53"/>
      <c r="E469" s="53"/>
      <c r="F469" s="53"/>
      <c r="I469" s="4"/>
      <c r="J469" s="4"/>
      <c r="K469" s="4"/>
      <c r="O469" s="4"/>
    </row>
    <row r="470" spans="1:15" ht="21" customHeight="1" x14ac:dyDescent="0.2">
      <c r="A470" s="4"/>
      <c r="B470" s="4"/>
      <c r="C470" s="53"/>
      <c r="D470" s="53"/>
      <c r="E470" s="53"/>
      <c r="F470" s="53"/>
      <c r="I470" s="4"/>
      <c r="J470" s="4"/>
      <c r="K470" s="4"/>
      <c r="O470" s="4"/>
    </row>
    <row r="471" spans="1:15" ht="21" customHeight="1" x14ac:dyDescent="0.2">
      <c r="A471" s="4"/>
      <c r="B471" s="4"/>
      <c r="C471" s="53"/>
      <c r="D471" s="53"/>
      <c r="E471" s="53"/>
      <c r="F471" s="53"/>
      <c r="I471" s="4"/>
      <c r="J471" s="4"/>
      <c r="K471" s="4"/>
      <c r="O471" s="4"/>
    </row>
    <row r="472" spans="1:15" ht="21" customHeight="1" x14ac:dyDescent="0.2">
      <c r="A472" s="4"/>
      <c r="B472" s="4"/>
      <c r="C472" s="53"/>
      <c r="D472" s="53"/>
      <c r="E472" s="53"/>
      <c r="F472" s="53"/>
      <c r="I472" s="4"/>
      <c r="J472" s="4"/>
      <c r="K472" s="4"/>
      <c r="O472" s="4"/>
    </row>
    <row r="473" spans="1:15" ht="21" customHeight="1" x14ac:dyDescent="0.2">
      <c r="A473" s="4"/>
      <c r="B473" s="4"/>
      <c r="C473" s="53"/>
      <c r="D473" s="53"/>
      <c r="E473" s="53"/>
      <c r="F473" s="53"/>
      <c r="I473" s="4"/>
      <c r="J473" s="4"/>
      <c r="K473" s="4"/>
      <c r="O473" s="4"/>
    </row>
    <row r="474" spans="1:15" ht="21" customHeight="1" x14ac:dyDescent="0.2">
      <c r="A474" s="4"/>
      <c r="B474" s="4"/>
      <c r="C474" s="53"/>
      <c r="D474" s="53"/>
      <c r="E474" s="53"/>
      <c r="F474" s="53"/>
      <c r="I474" s="4"/>
      <c r="J474" s="4"/>
      <c r="K474" s="4"/>
      <c r="O474" s="4"/>
    </row>
    <row r="475" spans="1:15" ht="21" customHeight="1" x14ac:dyDescent="0.2">
      <c r="A475" s="4"/>
      <c r="B475" s="4"/>
      <c r="C475" s="53"/>
      <c r="D475" s="53"/>
      <c r="E475" s="53"/>
      <c r="F475" s="53"/>
      <c r="I475" s="4"/>
      <c r="J475" s="4"/>
      <c r="K475" s="4"/>
      <c r="O475" s="4"/>
    </row>
    <row r="476" spans="1:15" ht="21" customHeight="1" x14ac:dyDescent="0.2">
      <c r="A476" s="4"/>
      <c r="B476" s="4"/>
      <c r="C476" s="53"/>
      <c r="D476" s="53"/>
      <c r="E476" s="53"/>
      <c r="F476" s="53"/>
      <c r="I476" s="4"/>
      <c r="J476" s="4"/>
      <c r="K476" s="4"/>
      <c r="O476" s="4"/>
    </row>
    <row r="477" spans="1:15" ht="21" customHeight="1" x14ac:dyDescent="0.2">
      <c r="A477" s="4"/>
      <c r="B477" s="4"/>
      <c r="C477" s="53"/>
      <c r="D477" s="53"/>
      <c r="E477" s="53"/>
      <c r="F477" s="53"/>
      <c r="I477" s="4"/>
      <c r="J477" s="4"/>
      <c r="K477" s="4"/>
      <c r="O477" s="4"/>
    </row>
    <row r="478" spans="1:15" ht="21" customHeight="1" x14ac:dyDescent="0.2">
      <c r="A478" s="4"/>
      <c r="B478" s="4"/>
      <c r="C478" s="53"/>
      <c r="D478" s="53"/>
      <c r="E478" s="53"/>
      <c r="F478" s="53"/>
      <c r="I478" s="4"/>
      <c r="J478" s="4"/>
      <c r="K478" s="4"/>
      <c r="O478" s="4"/>
    </row>
    <row r="479" spans="1:15" ht="21" customHeight="1" x14ac:dyDescent="0.2">
      <c r="A479" s="4"/>
      <c r="B479" s="4"/>
      <c r="C479" s="53"/>
      <c r="D479" s="53"/>
      <c r="E479" s="53"/>
      <c r="F479" s="53"/>
      <c r="I479" s="4"/>
      <c r="J479" s="4"/>
      <c r="K479" s="4"/>
      <c r="O479" s="4"/>
    </row>
    <row r="480" spans="1:15" ht="21" customHeight="1" x14ac:dyDescent="0.2">
      <c r="A480" s="4"/>
      <c r="B480" s="4"/>
      <c r="C480" s="53"/>
      <c r="D480" s="53"/>
      <c r="E480" s="53"/>
      <c r="F480" s="53"/>
      <c r="I480" s="4"/>
      <c r="J480" s="4"/>
      <c r="K480" s="4"/>
      <c r="O480" s="4"/>
    </row>
    <row r="481" spans="1:15" ht="21" customHeight="1" x14ac:dyDescent="0.2">
      <c r="A481" s="4"/>
      <c r="B481" s="4"/>
      <c r="C481" s="53"/>
      <c r="D481" s="53"/>
      <c r="E481" s="53"/>
      <c r="F481" s="53"/>
      <c r="I481" s="4"/>
      <c r="J481" s="4"/>
      <c r="K481" s="4"/>
      <c r="O481" s="4"/>
    </row>
    <row r="482" spans="1:15" ht="21" customHeight="1" x14ac:dyDescent="0.2">
      <c r="A482" s="4"/>
      <c r="B482" s="4"/>
      <c r="C482" s="53"/>
      <c r="D482" s="53"/>
      <c r="E482" s="53"/>
      <c r="F482" s="53"/>
      <c r="I482" s="4"/>
      <c r="J482" s="4"/>
      <c r="K482" s="4"/>
      <c r="O482" s="4"/>
    </row>
    <row r="483" spans="1:15" ht="21" customHeight="1" x14ac:dyDescent="0.2">
      <c r="A483" s="4"/>
      <c r="B483" s="4"/>
      <c r="C483" s="53"/>
      <c r="D483" s="53"/>
      <c r="E483" s="53"/>
      <c r="F483" s="53"/>
      <c r="I483" s="4"/>
      <c r="J483" s="4"/>
      <c r="K483" s="4"/>
      <c r="O483" s="4"/>
    </row>
    <row r="484" spans="1:15" ht="21" customHeight="1" x14ac:dyDescent="0.2">
      <c r="A484" s="4"/>
      <c r="B484" s="4"/>
      <c r="C484" s="53"/>
      <c r="D484" s="53"/>
      <c r="E484" s="53"/>
      <c r="F484" s="53"/>
      <c r="I484" s="4"/>
      <c r="J484" s="4"/>
      <c r="K484" s="4"/>
      <c r="O484" s="4"/>
    </row>
    <row r="485" spans="1:15" ht="21" customHeight="1" x14ac:dyDescent="0.2">
      <c r="A485" s="4"/>
      <c r="B485" s="4"/>
      <c r="C485" s="53"/>
      <c r="D485" s="53"/>
      <c r="E485" s="53"/>
      <c r="F485" s="53"/>
      <c r="I485" s="4"/>
      <c r="J485" s="4"/>
      <c r="K485" s="4"/>
      <c r="O485" s="4"/>
    </row>
    <row r="486" spans="1:15" ht="21" customHeight="1" x14ac:dyDescent="0.2">
      <c r="A486" s="4"/>
      <c r="B486" s="4"/>
      <c r="C486" s="53"/>
      <c r="D486" s="53"/>
      <c r="E486" s="53"/>
      <c r="F486" s="53"/>
      <c r="I486" s="4"/>
      <c r="J486" s="4"/>
      <c r="K486" s="4"/>
      <c r="O486" s="4"/>
    </row>
    <row r="487" spans="1:15" ht="21" customHeight="1" x14ac:dyDescent="0.2">
      <c r="A487" s="4"/>
      <c r="B487" s="4"/>
      <c r="C487" s="53"/>
      <c r="D487" s="53"/>
      <c r="E487" s="53"/>
      <c r="F487" s="53"/>
      <c r="I487" s="4"/>
      <c r="J487" s="4"/>
      <c r="K487" s="4"/>
      <c r="O487" s="4"/>
    </row>
    <row r="488" spans="1:15" ht="21" customHeight="1" x14ac:dyDescent="0.2">
      <c r="A488" s="4"/>
      <c r="B488" s="4"/>
      <c r="C488" s="53"/>
      <c r="D488" s="53"/>
      <c r="E488" s="53"/>
      <c r="F488" s="53"/>
      <c r="I488" s="4"/>
      <c r="J488" s="4"/>
      <c r="K488" s="4"/>
      <c r="O488" s="4"/>
    </row>
    <row r="489" spans="1:15" ht="21" customHeight="1" x14ac:dyDescent="0.2">
      <c r="A489" s="4"/>
      <c r="B489" s="4"/>
      <c r="C489" s="53"/>
      <c r="D489" s="53"/>
      <c r="E489" s="53"/>
      <c r="F489" s="53"/>
      <c r="I489" s="4"/>
      <c r="J489" s="4"/>
      <c r="K489" s="4"/>
      <c r="O489" s="4"/>
    </row>
    <row r="490" spans="1:15" ht="21" customHeight="1" x14ac:dyDescent="0.2">
      <c r="A490" s="4"/>
      <c r="B490" s="4"/>
      <c r="C490" s="53"/>
      <c r="D490" s="53"/>
      <c r="E490" s="53"/>
      <c r="F490" s="53"/>
      <c r="I490" s="4"/>
      <c r="J490" s="4"/>
      <c r="K490" s="4"/>
      <c r="O490" s="4"/>
    </row>
    <row r="491" spans="1:15" ht="21" customHeight="1" x14ac:dyDescent="0.2">
      <c r="A491" s="4"/>
      <c r="B491" s="4"/>
      <c r="C491" s="53"/>
      <c r="D491" s="53"/>
      <c r="E491" s="53"/>
      <c r="F491" s="53"/>
      <c r="I491" s="4"/>
      <c r="J491" s="4"/>
      <c r="K491" s="4"/>
      <c r="O491" s="4"/>
    </row>
    <row r="492" spans="1:15" ht="21" customHeight="1" x14ac:dyDescent="0.2">
      <c r="A492" s="4"/>
      <c r="B492" s="4"/>
      <c r="C492" s="53"/>
      <c r="D492" s="53"/>
      <c r="E492" s="53"/>
      <c r="F492" s="53"/>
      <c r="I492" s="4"/>
      <c r="J492" s="4"/>
      <c r="K492" s="4"/>
      <c r="O492" s="4"/>
    </row>
    <row r="493" spans="1:15" ht="21" customHeight="1" x14ac:dyDescent="0.2">
      <c r="A493" s="4"/>
      <c r="B493" s="4"/>
      <c r="C493" s="53"/>
      <c r="D493" s="53"/>
      <c r="E493" s="53"/>
      <c r="F493" s="53"/>
      <c r="I493" s="4"/>
      <c r="J493" s="4"/>
      <c r="K493" s="4"/>
      <c r="O493" s="4"/>
    </row>
    <row r="494" spans="1:15" ht="21" customHeight="1" x14ac:dyDescent="0.2">
      <c r="A494" s="4"/>
      <c r="B494" s="4"/>
      <c r="C494" s="53"/>
      <c r="D494" s="53"/>
      <c r="E494" s="53"/>
      <c r="F494" s="53"/>
      <c r="I494" s="4"/>
      <c r="J494" s="4"/>
      <c r="K494" s="4"/>
      <c r="O494" s="4"/>
    </row>
    <row r="495" spans="1:15" ht="21" customHeight="1" x14ac:dyDescent="0.2">
      <c r="A495" s="4"/>
      <c r="B495" s="4"/>
      <c r="C495" s="53"/>
      <c r="D495" s="53"/>
      <c r="E495" s="53"/>
      <c r="F495" s="53"/>
      <c r="I495" s="4"/>
      <c r="J495" s="4"/>
      <c r="K495" s="4"/>
      <c r="O495" s="4"/>
    </row>
    <row r="496" spans="1:15" ht="21" customHeight="1" x14ac:dyDescent="0.2">
      <c r="A496" s="4"/>
      <c r="B496" s="4"/>
      <c r="C496" s="53"/>
      <c r="D496" s="53"/>
      <c r="E496" s="53"/>
      <c r="F496" s="53"/>
      <c r="I496" s="4"/>
      <c r="J496" s="4"/>
      <c r="K496" s="4"/>
      <c r="O496" s="4"/>
    </row>
    <row r="497" spans="1:15" ht="21" customHeight="1" x14ac:dyDescent="0.2">
      <c r="A497" s="4"/>
      <c r="B497" s="4"/>
      <c r="C497" s="53"/>
      <c r="D497" s="53"/>
      <c r="E497" s="53"/>
      <c r="F497" s="53"/>
      <c r="I497" s="4"/>
      <c r="J497" s="4"/>
      <c r="K497" s="4"/>
      <c r="O497" s="4"/>
    </row>
    <row r="498" spans="1:15" ht="21" customHeight="1" x14ac:dyDescent="0.2">
      <c r="A498" s="4"/>
      <c r="B498" s="4"/>
      <c r="C498" s="53"/>
      <c r="D498" s="53"/>
      <c r="E498" s="53"/>
      <c r="F498" s="53"/>
      <c r="I498" s="4"/>
      <c r="J498" s="4"/>
      <c r="K498" s="4"/>
      <c r="O498" s="4"/>
    </row>
    <row r="499" spans="1:15" ht="21" customHeight="1" x14ac:dyDescent="0.2">
      <c r="A499" s="4"/>
      <c r="B499" s="4"/>
      <c r="C499" s="53"/>
      <c r="D499" s="53"/>
      <c r="E499" s="53"/>
      <c r="F499" s="53"/>
      <c r="I499" s="4"/>
      <c r="J499" s="4"/>
      <c r="K499" s="4"/>
      <c r="O499" s="4"/>
    </row>
    <row r="500" spans="1:15" ht="21" customHeight="1" x14ac:dyDescent="0.2">
      <c r="A500" s="4"/>
      <c r="B500" s="4"/>
      <c r="C500" s="53"/>
      <c r="D500" s="53"/>
      <c r="E500" s="53"/>
      <c r="F500" s="53"/>
      <c r="I500" s="4"/>
      <c r="J500" s="4"/>
      <c r="K500" s="4"/>
      <c r="O500" s="4"/>
    </row>
    <row r="501" spans="1:15" ht="21" customHeight="1" x14ac:dyDescent="0.2">
      <c r="A501" s="4"/>
      <c r="B501" s="4"/>
      <c r="C501" s="53"/>
      <c r="D501" s="53"/>
      <c r="E501" s="53"/>
      <c r="F501" s="53"/>
      <c r="I501" s="4"/>
      <c r="J501" s="4"/>
      <c r="K501" s="4"/>
      <c r="O501" s="4"/>
    </row>
    <row r="502" spans="1:15" ht="21" customHeight="1" x14ac:dyDescent="0.2">
      <c r="A502" s="4"/>
      <c r="B502" s="4"/>
      <c r="C502" s="53"/>
      <c r="D502" s="53"/>
      <c r="E502" s="53"/>
      <c r="F502" s="53"/>
      <c r="I502" s="4"/>
      <c r="J502" s="4"/>
      <c r="K502" s="4"/>
      <c r="O502" s="4"/>
    </row>
    <row r="503" spans="1:15" ht="21" customHeight="1" x14ac:dyDescent="0.2">
      <c r="A503" s="4"/>
      <c r="B503" s="4"/>
      <c r="C503" s="53"/>
      <c r="D503" s="53"/>
      <c r="E503" s="53"/>
      <c r="F503" s="53"/>
      <c r="I503" s="4"/>
      <c r="J503" s="4"/>
      <c r="K503" s="4"/>
      <c r="O503" s="4"/>
    </row>
    <row r="504" spans="1:15" ht="21" customHeight="1" x14ac:dyDescent="0.2">
      <c r="A504" s="4"/>
      <c r="B504" s="4"/>
      <c r="C504" s="53"/>
      <c r="D504" s="53"/>
      <c r="E504" s="53"/>
      <c r="F504" s="53"/>
      <c r="I504" s="4"/>
      <c r="J504" s="4"/>
      <c r="K504" s="4"/>
      <c r="O504" s="4"/>
    </row>
    <row r="505" spans="1:15" ht="21" customHeight="1" x14ac:dyDescent="0.2">
      <c r="A505" s="4"/>
      <c r="B505" s="4"/>
      <c r="C505" s="53"/>
      <c r="D505" s="53"/>
      <c r="E505" s="53"/>
      <c r="F505" s="53"/>
      <c r="I505" s="4"/>
      <c r="J505" s="4"/>
      <c r="K505" s="4"/>
      <c r="O505" s="4"/>
    </row>
    <row r="506" spans="1:15" ht="21" customHeight="1" x14ac:dyDescent="0.2">
      <c r="A506" s="4"/>
      <c r="B506" s="4"/>
      <c r="C506" s="53"/>
      <c r="D506" s="53"/>
      <c r="E506" s="53"/>
      <c r="F506" s="53"/>
      <c r="I506" s="4"/>
      <c r="J506" s="4"/>
      <c r="K506" s="4"/>
      <c r="O506" s="4"/>
    </row>
    <row r="507" spans="1:15" ht="21" customHeight="1" x14ac:dyDescent="0.2">
      <c r="A507" s="4"/>
      <c r="B507" s="4"/>
      <c r="C507" s="53"/>
      <c r="D507" s="53"/>
      <c r="E507" s="53"/>
      <c r="F507" s="53"/>
      <c r="I507" s="4"/>
      <c r="J507" s="4"/>
      <c r="K507" s="4"/>
      <c r="O507" s="4"/>
    </row>
    <row r="508" spans="1:15" ht="21" customHeight="1" x14ac:dyDescent="0.2">
      <c r="A508" s="4"/>
      <c r="B508" s="4"/>
      <c r="C508" s="53"/>
      <c r="D508" s="53"/>
      <c r="E508" s="53"/>
      <c r="F508" s="53"/>
      <c r="I508" s="4"/>
      <c r="J508" s="4"/>
      <c r="K508" s="4"/>
      <c r="O508" s="4"/>
    </row>
    <row r="509" spans="1:15" ht="21" customHeight="1" x14ac:dyDescent="0.2">
      <c r="A509" s="4"/>
      <c r="B509" s="4"/>
      <c r="C509" s="53"/>
      <c r="D509" s="53"/>
      <c r="E509" s="53"/>
      <c r="F509" s="53"/>
      <c r="I509" s="4"/>
      <c r="J509" s="4"/>
      <c r="K509" s="4"/>
      <c r="O509" s="4"/>
    </row>
    <row r="510" spans="1:15" ht="21" customHeight="1" x14ac:dyDescent="0.2">
      <c r="A510" s="4"/>
      <c r="B510" s="4"/>
      <c r="C510" s="53"/>
      <c r="D510" s="53"/>
      <c r="E510" s="53"/>
      <c r="F510" s="53"/>
      <c r="I510" s="4"/>
      <c r="J510" s="4"/>
      <c r="K510" s="4"/>
      <c r="O510" s="4"/>
    </row>
    <row r="511" spans="1:15" ht="21" customHeight="1" x14ac:dyDescent="0.2">
      <c r="A511" s="4"/>
      <c r="B511" s="4"/>
      <c r="C511" s="53"/>
      <c r="D511" s="53"/>
      <c r="E511" s="53"/>
      <c r="F511" s="53"/>
      <c r="I511" s="4"/>
      <c r="J511" s="4"/>
      <c r="K511" s="4"/>
      <c r="O511" s="4"/>
    </row>
    <row r="512" spans="1:15" ht="21" customHeight="1" x14ac:dyDescent="0.2">
      <c r="A512" s="4"/>
      <c r="B512" s="4"/>
      <c r="C512" s="53"/>
      <c r="D512" s="53"/>
      <c r="E512" s="53"/>
      <c r="F512" s="53"/>
      <c r="I512" s="4"/>
      <c r="J512" s="4"/>
      <c r="K512" s="4"/>
      <c r="O512" s="4"/>
    </row>
    <row r="513" spans="1:15" ht="21" customHeight="1" x14ac:dyDescent="0.2">
      <c r="A513" s="4"/>
      <c r="B513" s="4"/>
      <c r="C513" s="53"/>
      <c r="D513" s="53"/>
      <c r="E513" s="53"/>
      <c r="F513" s="53"/>
      <c r="I513" s="4"/>
      <c r="J513" s="4"/>
      <c r="K513" s="4"/>
      <c r="O513" s="4"/>
    </row>
    <row r="514" spans="1:15" ht="21" customHeight="1" x14ac:dyDescent="0.2">
      <c r="A514" s="4"/>
      <c r="B514" s="4"/>
      <c r="C514" s="53"/>
      <c r="D514" s="53"/>
      <c r="E514" s="53"/>
      <c r="F514" s="53"/>
      <c r="I514" s="4"/>
      <c r="J514" s="4"/>
      <c r="K514" s="4"/>
      <c r="O514" s="4"/>
    </row>
    <row r="515" spans="1:15" ht="21" customHeight="1" x14ac:dyDescent="0.2">
      <c r="A515" s="4"/>
      <c r="B515" s="4"/>
      <c r="C515" s="53"/>
      <c r="D515" s="53"/>
      <c r="E515" s="53"/>
      <c r="F515" s="53"/>
      <c r="I515" s="4"/>
      <c r="J515" s="4"/>
      <c r="K515" s="4"/>
      <c r="O515" s="4"/>
    </row>
    <row r="516" spans="1:15" ht="21" customHeight="1" x14ac:dyDescent="0.2">
      <c r="A516" s="4"/>
      <c r="B516" s="4"/>
      <c r="C516" s="53"/>
      <c r="D516" s="53"/>
      <c r="E516" s="53"/>
      <c r="F516" s="53"/>
      <c r="I516" s="4"/>
      <c r="J516" s="4"/>
      <c r="K516" s="4"/>
      <c r="O516" s="4"/>
    </row>
    <row r="517" spans="1:15" ht="21" customHeight="1" x14ac:dyDescent="0.2">
      <c r="A517" s="4"/>
      <c r="B517" s="4"/>
      <c r="C517" s="53"/>
      <c r="D517" s="53"/>
      <c r="E517" s="53"/>
      <c r="F517" s="53"/>
      <c r="I517" s="4"/>
      <c r="J517" s="4"/>
      <c r="K517" s="4"/>
      <c r="O517" s="4"/>
    </row>
    <row r="518" spans="1:15" ht="21" customHeight="1" x14ac:dyDescent="0.2">
      <c r="A518" s="4"/>
      <c r="B518" s="4"/>
      <c r="C518" s="53"/>
      <c r="D518" s="53"/>
      <c r="E518" s="53"/>
      <c r="F518" s="53"/>
      <c r="I518" s="4"/>
      <c r="J518" s="4"/>
      <c r="K518" s="4"/>
      <c r="O518" s="4"/>
    </row>
    <row r="519" spans="1:15" ht="21" customHeight="1" x14ac:dyDescent="0.2">
      <c r="A519" s="4"/>
      <c r="B519" s="4"/>
      <c r="C519" s="53"/>
      <c r="D519" s="53"/>
      <c r="E519" s="53"/>
      <c r="F519" s="53"/>
      <c r="I519" s="4"/>
      <c r="J519" s="4"/>
      <c r="K519" s="4"/>
      <c r="O519" s="4"/>
    </row>
    <row r="520" spans="1:15" ht="21" customHeight="1" x14ac:dyDescent="0.2">
      <c r="A520" s="4"/>
      <c r="B520" s="4"/>
      <c r="C520" s="53"/>
      <c r="D520" s="53"/>
      <c r="E520" s="53"/>
      <c r="F520" s="53"/>
      <c r="I520" s="4"/>
      <c r="J520" s="4"/>
      <c r="K520" s="4"/>
      <c r="O520" s="4"/>
    </row>
    <row r="521" spans="1:15" ht="21" customHeight="1" x14ac:dyDescent="0.2">
      <c r="A521" s="4"/>
      <c r="B521" s="4"/>
      <c r="C521" s="53"/>
      <c r="D521" s="53"/>
      <c r="E521" s="53"/>
      <c r="F521" s="53"/>
      <c r="I521" s="4"/>
      <c r="J521" s="4"/>
      <c r="K521" s="4"/>
      <c r="O521" s="4"/>
    </row>
    <row r="522" spans="1:15" ht="21" customHeight="1" x14ac:dyDescent="0.2">
      <c r="A522" s="4"/>
      <c r="B522" s="4"/>
      <c r="C522" s="53"/>
      <c r="D522" s="53"/>
      <c r="E522" s="53"/>
      <c r="F522" s="53"/>
      <c r="I522" s="4"/>
      <c r="J522" s="4"/>
      <c r="K522" s="4"/>
      <c r="O522" s="4"/>
    </row>
    <row r="523" spans="1:15" ht="21" customHeight="1" x14ac:dyDescent="0.2">
      <c r="A523" s="4"/>
      <c r="B523" s="4"/>
      <c r="C523" s="53"/>
      <c r="D523" s="53"/>
      <c r="E523" s="53"/>
      <c r="F523" s="53"/>
      <c r="I523" s="4"/>
      <c r="J523" s="4"/>
      <c r="K523" s="4"/>
      <c r="O523" s="4"/>
    </row>
    <row r="524" spans="1:15" ht="21" customHeight="1" x14ac:dyDescent="0.2">
      <c r="A524" s="4"/>
      <c r="B524" s="4"/>
      <c r="C524" s="53"/>
      <c r="D524" s="53"/>
      <c r="E524" s="53"/>
      <c r="F524" s="53"/>
      <c r="I524" s="4"/>
      <c r="J524" s="4"/>
      <c r="K524" s="4"/>
      <c r="O524" s="4"/>
    </row>
    <row r="525" spans="1:15" ht="21" customHeight="1" x14ac:dyDescent="0.2">
      <c r="A525" s="4"/>
      <c r="B525" s="4"/>
      <c r="C525" s="53"/>
      <c r="D525" s="53"/>
      <c r="E525" s="53"/>
      <c r="F525" s="53"/>
      <c r="I525" s="4"/>
      <c r="J525" s="4"/>
      <c r="K525" s="4"/>
      <c r="O525" s="4"/>
    </row>
    <row r="526" spans="1:15" ht="21" customHeight="1" x14ac:dyDescent="0.2">
      <c r="A526" s="4"/>
      <c r="B526" s="4"/>
      <c r="C526" s="53"/>
      <c r="D526" s="53"/>
      <c r="E526" s="53"/>
      <c r="F526" s="53"/>
      <c r="I526" s="4"/>
      <c r="J526" s="4"/>
      <c r="K526" s="4"/>
      <c r="O526" s="4"/>
    </row>
    <row r="527" spans="1:15" ht="21" customHeight="1" x14ac:dyDescent="0.2">
      <c r="A527" s="4"/>
      <c r="B527" s="4"/>
      <c r="C527" s="53"/>
      <c r="D527" s="53"/>
      <c r="E527" s="53"/>
      <c r="F527" s="53"/>
      <c r="I527" s="4"/>
      <c r="J527" s="4"/>
      <c r="K527" s="4"/>
      <c r="O527" s="4"/>
    </row>
    <row r="528" spans="1:15" ht="21" customHeight="1" x14ac:dyDescent="0.2">
      <c r="A528" s="4"/>
      <c r="B528" s="4"/>
      <c r="C528" s="53"/>
      <c r="D528" s="53"/>
      <c r="E528" s="53"/>
      <c r="F528" s="53"/>
      <c r="I528" s="4"/>
      <c r="J528" s="4"/>
      <c r="K528" s="4"/>
      <c r="O528" s="4"/>
    </row>
    <row r="529" spans="1:15" ht="21" customHeight="1" x14ac:dyDescent="0.2">
      <c r="A529" s="4"/>
      <c r="B529" s="4"/>
      <c r="C529" s="53"/>
      <c r="D529" s="53"/>
      <c r="E529" s="53"/>
      <c r="F529" s="53"/>
      <c r="I529" s="4"/>
      <c r="J529" s="4"/>
      <c r="K529" s="4"/>
      <c r="O529" s="4"/>
    </row>
    <row r="530" spans="1:15" ht="21" customHeight="1" x14ac:dyDescent="0.2">
      <c r="A530" s="4"/>
      <c r="B530" s="4"/>
      <c r="C530" s="53"/>
      <c r="D530" s="53"/>
      <c r="E530" s="53"/>
      <c r="F530" s="53"/>
      <c r="I530" s="4"/>
      <c r="J530" s="4"/>
      <c r="K530" s="4"/>
      <c r="O530" s="4"/>
    </row>
    <row r="531" spans="1:15" ht="21" customHeight="1" x14ac:dyDescent="0.2">
      <c r="A531" s="4"/>
      <c r="B531" s="4"/>
      <c r="C531" s="53"/>
      <c r="D531" s="53"/>
      <c r="E531" s="53"/>
      <c r="F531" s="53"/>
      <c r="I531" s="4"/>
      <c r="J531" s="4"/>
      <c r="K531" s="4"/>
      <c r="O531" s="4"/>
    </row>
    <row r="532" spans="1:15" ht="21" customHeight="1" x14ac:dyDescent="0.2">
      <c r="A532" s="4"/>
      <c r="B532" s="4"/>
      <c r="C532" s="53"/>
      <c r="D532" s="53"/>
      <c r="E532" s="53"/>
      <c r="F532" s="53"/>
      <c r="I532" s="4"/>
      <c r="J532" s="4"/>
      <c r="K532" s="4"/>
      <c r="O532" s="4"/>
    </row>
    <row r="533" spans="1:15" ht="21" customHeight="1" x14ac:dyDescent="0.2">
      <c r="A533" s="4"/>
      <c r="B533" s="4"/>
      <c r="C533" s="53"/>
      <c r="D533" s="53"/>
      <c r="E533" s="53"/>
      <c r="F533" s="53"/>
      <c r="I533" s="4"/>
      <c r="J533" s="4"/>
      <c r="K533" s="4"/>
      <c r="O533" s="4"/>
    </row>
    <row r="534" spans="1:15" ht="21" customHeight="1" x14ac:dyDescent="0.2">
      <c r="A534" s="4"/>
      <c r="B534" s="4"/>
      <c r="C534" s="53"/>
      <c r="D534" s="53"/>
      <c r="E534" s="53"/>
      <c r="F534" s="53"/>
      <c r="I534" s="4"/>
      <c r="J534" s="4"/>
      <c r="K534" s="4"/>
      <c r="O534" s="4"/>
    </row>
    <row r="535" spans="1:15" ht="21" customHeight="1" x14ac:dyDescent="0.2">
      <c r="A535" s="4"/>
      <c r="B535" s="4"/>
      <c r="C535" s="53"/>
      <c r="D535" s="53"/>
      <c r="E535" s="53"/>
      <c r="F535" s="53"/>
      <c r="I535" s="4"/>
      <c r="J535" s="4"/>
      <c r="K535" s="4"/>
      <c r="O535" s="4"/>
    </row>
    <row r="536" spans="1:15" ht="21" customHeight="1" x14ac:dyDescent="0.2">
      <c r="A536" s="4"/>
      <c r="B536" s="4"/>
      <c r="C536" s="53"/>
      <c r="D536" s="53"/>
      <c r="E536" s="53"/>
      <c r="F536" s="53"/>
      <c r="I536" s="4"/>
      <c r="J536" s="4"/>
      <c r="K536" s="4"/>
      <c r="O536" s="4"/>
    </row>
    <row r="537" spans="1:15" ht="21" customHeight="1" x14ac:dyDescent="0.2">
      <c r="A537" s="4"/>
      <c r="B537" s="4"/>
      <c r="C537" s="53"/>
      <c r="D537" s="53"/>
      <c r="E537" s="53"/>
      <c r="F537" s="53"/>
      <c r="I537" s="4"/>
      <c r="J537" s="4"/>
      <c r="K537" s="4"/>
      <c r="O537" s="4"/>
    </row>
    <row r="538" spans="1:15" ht="21" customHeight="1" x14ac:dyDescent="0.2">
      <c r="A538" s="4"/>
      <c r="B538" s="4"/>
      <c r="C538" s="53"/>
      <c r="D538" s="53"/>
      <c r="E538" s="53"/>
      <c r="F538" s="53"/>
      <c r="I538" s="4"/>
      <c r="J538" s="4"/>
      <c r="K538" s="4"/>
      <c r="O538" s="4"/>
    </row>
    <row r="539" spans="1:15" ht="21" customHeight="1" x14ac:dyDescent="0.2">
      <c r="A539" s="4"/>
      <c r="B539" s="4"/>
      <c r="C539" s="53"/>
      <c r="D539" s="53"/>
      <c r="E539" s="53"/>
      <c r="F539" s="53"/>
      <c r="I539" s="4"/>
      <c r="J539" s="4"/>
      <c r="K539" s="4"/>
      <c r="O539" s="4"/>
    </row>
    <row r="540" spans="1:15" ht="21" customHeight="1" x14ac:dyDescent="0.2">
      <c r="A540" s="4"/>
      <c r="B540" s="4"/>
      <c r="C540" s="53"/>
      <c r="D540" s="53"/>
      <c r="E540" s="53"/>
      <c r="F540" s="53"/>
      <c r="I540" s="4"/>
      <c r="J540" s="4"/>
      <c r="K540" s="4"/>
      <c r="O540" s="4"/>
    </row>
    <row r="541" spans="1:15" ht="21" customHeight="1" x14ac:dyDescent="0.2">
      <c r="A541" s="4"/>
      <c r="B541" s="4"/>
      <c r="C541" s="53"/>
      <c r="D541" s="53"/>
      <c r="E541" s="53"/>
      <c r="F541" s="53"/>
      <c r="I541" s="4"/>
      <c r="J541" s="4"/>
      <c r="K541" s="4"/>
      <c r="O541" s="4"/>
    </row>
    <row r="542" spans="1:15" ht="21" customHeight="1" x14ac:dyDescent="0.2">
      <c r="A542" s="4"/>
      <c r="B542" s="4"/>
      <c r="C542" s="53"/>
      <c r="D542" s="53"/>
      <c r="E542" s="53"/>
      <c r="F542" s="53"/>
      <c r="I542" s="4"/>
      <c r="J542" s="4"/>
      <c r="K542" s="4"/>
      <c r="O542" s="4"/>
    </row>
    <row r="543" spans="1:15" ht="21" customHeight="1" x14ac:dyDescent="0.2">
      <c r="A543" s="4"/>
      <c r="B543" s="4"/>
      <c r="C543" s="53"/>
      <c r="D543" s="53"/>
      <c r="E543" s="53"/>
      <c r="F543" s="53"/>
      <c r="I543" s="4"/>
      <c r="J543" s="4"/>
      <c r="K543" s="4"/>
      <c r="O543" s="4"/>
    </row>
    <row r="544" spans="1:15" ht="21" customHeight="1" x14ac:dyDescent="0.2">
      <c r="A544" s="4"/>
      <c r="B544" s="4"/>
      <c r="C544" s="53"/>
      <c r="D544" s="53"/>
      <c r="E544" s="53"/>
      <c r="F544" s="53"/>
      <c r="I544" s="4"/>
      <c r="J544" s="4"/>
      <c r="K544" s="4"/>
      <c r="O544" s="4"/>
    </row>
    <row r="545" spans="1:15" ht="21" customHeight="1" x14ac:dyDescent="0.2">
      <c r="A545" s="4"/>
      <c r="B545" s="4"/>
      <c r="C545" s="53"/>
      <c r="D545" s="53"/>
      <c r="E545" s="53"/>
      <c r="F545" s="53"/>
      <c r="I545" s="4"/>
      <c r="J545" s="4"/>
      <c r="K545" s="4"/>
      <c r="O545" s="4"/>
    </row>
    <row r="546" spans="1:15" ht="21" customHeight="1" x14ac:dyDescent="0.2">
      <c r="A546" s="4"/>
      <c r="B546" s="4"/>
      <c r="C546" s="53"/>
      <c r="D546" s="53"/>
      <c r="E546" s="53"/>
      <c r="F546" s="53"/>
      <c r="I546" s="4"/>
      <c r="J546" s="4"/>
      <c r="K546" s="4"/>
      <c r="O546" s="4"/>
    </row>
    <row r="547" spans="1:15" ht="21" customHeight="1" x14ac:dyDescent="0.2">
      <c r="A547" s="4"/>
      <c r="B547" s="4"/>
      <c r="C547" s="53"/>
      <c r="D547" s="53"/>
      <c r="E547" s="53"/>
      <c r="F547" s="53"/>
      <c r="I547" s="4"/>
      <c r="J547" s="4"/>
      <c r="K547" s="4"/>
      <c r="O547" s="4"/>
    </row>
    <row r="548" spans="1:15" ht="21" customHeight="1" x14ac:dyDescent="0.2">
      <c r="A548" s="4"/>
      <c r="B548" s="4"/>
      <c r="C548" s="53"/>
      <c r="D548" s="53"/>
      <c r="E548" s="53"/>
      <c r="F548" s="53"/>
      <c r="I548" s="4"/>
      <c r="J548" s="4"/>
      <c r="K548" s="4"/>
      <c r="O548" s="4"/>
    </row>
    <row r="549" spans="1:15" ht="21" customHeight="1" x14ac:dyDescent="0.2">
      <c r="A549" s="4"/>
      <c r="B549" s="4"/>
      <c r="C549" s="53"/>
      <c r="D549" s="53"/>
      <c r="E549" s="53"/>
      <c r="F549" s="53"/>
      <c r="I549" s="4"/>
      <c r="J549" s="4"/>
      <c r="K549" s="4"/>
      <c r="O549" s="4"/>
    </row>
    <row r="550" spans="1:15" ht="21" customHeight="1" x14ac:dyDescent="0.2">
      <c r="A550" s="4"/>
      <c r="B550" s="4"/>
      <c r="C550" s="53"/>
      <c r="D550" s="53"/>
      <c r="E550" s="53"/>
      <c r="F550" s="53"/>
      <c r="I550" s="4"/>
      <c r="J550" s="4"/>
      <c r="K550" s="4"/>
      <c r="O550" s="4"/>
    </row>
    <row r="551" spans="1:15" ht="21" customHeight="1" x14ac:dyDescent="0.2">
      <c r="A551" s="4"/>
      <c r="B551" s="4"/>
      <c r="C551" s="53"/>
      <c r="D551" s="53"/>
      <c r="E551" s="53"/>
      <c r="F551" s="53"/>
      <c r="I551" s="4"/>
      <c r="J551" s="4"/>
      <c r="K551" s="4"/>
      <c r="O551" s="4"/>
    </row>
    <row r="552" spans="1:15" ht="21" customHeight="1" x14ac:dyDescent="0.2">
      <c r="A552" s="4"/>
      <c r="B552" s="4"/>
      <c r="C552" s="53"/>
      <c r="D552" s="53"/>
      <c r="E552" s="53"/>
      <c r="F552" s="53"/>
      <c r="I552" s="4"/>
      <c r="J552" s="4"/>
      <c r="K552" s="4"/>
      <c r="O552" s="4"/>
    </row>
    <row r="553" spans="1:15" ht="21" customHeight="1" x14ac:dyDescent="0.2">
      <c r="A553" s="4"/>
      <c r="B553" s="4"/>
      <c r="C553" s="53"/>
      <c r="D553" s="53"/>
      <c r="E553" s="53"/>
      <c r="F553" s="53"/>
      <c r="I553" s="4"/>
      <c r="J553" s="4"/>
      <c r="K553" s="4"/>
      <c r="O553" s="4"/>
    </row>
    <row r="554" spans="1:15" ht="21" customHeight="1" x14ac:dyDescent="0.2">
      <c r="A554" s="4"/>
      <c r="B554" s="4"/>
      <c r="C554" s="53"/>
      <c r="D554" s="53"/>
      <c r="E554" s="53"/>
      <c r="F554" s="53"/>
      <c r="I554" s="4"/>
      <c r="J554" s="4"/>
      <c r="K554" s="4"/>
      <c r="O554" s="4"/>
    </row>
    <row r="555" spans="1:15" ht="21" customHeight="1" x14ac:dyDescent="0.2">
      <c r="A555" s="4"/>
      <c r="B555" s="4"/>
      <c r="C555" s="53"/>
      <c r="D555" s="53"/>
      <c r="E555" s="53"/>
      <c r="F555" s="53"/>
      <c r="I555" s="4"/>
      <c r="J555" s="4"/>
      <c r="K555" s="4"/>
      <c r="O555" s="4"/>
    </row>
    <row r="556" spans="1:15" ht="21" customHeight="1" x14ac:dyDescent="0.2">
      <c r="A556" s="4"/>
      <c r="B556" s="4"/>
      <c r="C556" s="53"/>
      <c r="D556" s="53"/>
      <c r="E556" s="53"/>
      <c r="F556" s="53"/>
      <c r="I556" s="4"/>
      <c r="J556" s="4"/>
      <c r="K556" s="4"/>
      <c r="O556" s="4"/>
    </row>
    <row r="557" spans="1:15" ht="21" customHeight="1" x14ac:dyDescent="0.2">
      <c r="A557" s="4"/>
      <c r="B557" s="4"/>
      <c r="C557" s="53"/>
      <c r="D557" s="53"/>
      <c r="E557" s="53"/>
      <c r="F557" s="53"/>
      <c r="I557" s="4"/>
      <c r="J557" s="4"/>
      <c r="K557" s="4"/>
      <c r="O557" s="4"/>
    </row>
    <row r="558" spans="1:15" ht="21" customHeight="1" x14ac:dyDescent="0.2">
      <c r="A558" s="4"/>
      <c r="B558" s="4"/>
      <c r="C558" s="53"/>
      <c r="D558" s="53"/>
      <c r="E558" s="53"/>
      <c r="F558" s="53"/>
      <c r="I558" s="4"/>
      <c r="J558" s="4"/>
      <c r="K558" s="4"/>
      <c r="O558" s="4"/>
    </row>
    <row r="559" spans="1:15" ht="21" customHeight="1" x14ac:dyDescent="0.2">
      <c r="A559" s="4"/>
      <c r="B559" s="4"/>
      <c r="C559" s="53"/>
      <c r="D559" s="53"/>
      <c r="E559" s="53"/>
      <c r="F559" s="53"/>
      <c r="I559" s="4"/>
      <c r="J559" s="4"/>
      <c r="K559" s="4"/>
      <c r="O559" s="4"/>
    </row>
    <row r="560" spans="1:15" ht="21" customHeight="1" x14ac:dyDescent="0.2">
      <c r="A560" s="4"/>
      <c r="B560" s="4"/>
      <c r="C560" s="53"/>
      <c r="D560" s="53"/>
      <c r="E560" s="53"/>
      <c r="F560" s="53"/>
      <c r="I560" s="4"/>
      <c r="J560" s="4"/>
      <c r="K560" s="4"/>
      <c r="O560" s="4"/>
    </row>
    <row r="561" spans="1:15" ht="21" customHeight="1" x14ac:dyDescent="0.2">
      <c r="A561" s="4"/>
      <c r="B561" s="4"/>
      <c r="C561" s="53"/>
      <c r="D561" s="53"/>
      <c r="E561" s="53"/>
      <c r="F561" s="53"/>
      <c r="I561" s="4"/>
      <c r="J561" s="4"/>
      <c r="K561" s="4"/>
      <c r="O561" s="4"/>
    </row>
    <row r="562" spans="1:15" ht="21" customHeight="1" x14ac:dyDescent="0.2">
      <c r="A562" s="4"/>
      <c r="B562" s="4"/>
      <c r="C562" s="53"/>
      <c r="D562" s="53"/>
      <c r="E562" s="53"/>
      <c r="F562" s="53"/>
      <c r="I562" s="4"/>
      <c r="J562" s="4"/>
      <c r="K562" s="4"/>
      <c r="O562" s="4"/>
    </row>
    <row r="563" spans="1:15" ht="21" customHeight="1" x14ac:dyDescent="0.2">
      <c r="A563" s="4"/>
      <c r="B563" s="4"/>
      <c r="C563" s="53"/>
      <c r="D563" s="53"/>
      <c r="E563" s="53"/>
      <c r="F563" s="53"/>
      <c r="I563" s="4"/>
      <c r="J563" s="4"/>
      <c r="K563" s="4"/>
      <c r="O563" s="4"/>
    </row>
    <row r="564" spans="1:15" ht="21" customHeight="1" x14ac:dyDescent="0.2">
      <c r="A564" s="4"/>
      <c r="B564" s="4"/>
      <c r="C564" s="53"/>
      <c r="D564" s="53"/>
      <c r="E564" s="53"/>
      <c r="F564" s="53"/>
      <c r="I564" s="4"/>
      <c r="J564" s="4"/>
      <c r="K564" s="4"/>
      <c r="O564" s="4"/>
    </row>
    <row r="565" spans="1:15" ht="21" customHeight="1" x14ac:dyDescent="0.2">
      <c r="A565" s="4"/>
      <c r="B565" s="4"/>
      <c r="C565" s="53"/>
      <c r="D565" s="53"/>
      <c r="E565" s="53"/>
      <c r="F565" s="53"/>
      <c r="I565" s="4"/>
      <c r="J565" s="4"/>
      <c r="K565" s="4"/>
      <c r="O565" s="4"/>
    </row>
    <row r="566" spans="1:15" ht="21" customHeight="1" x14ac:dyDescent="0.2">
      <c r="A566" s="4"/>
      <c r="B566" s="4"/>
      <c r="C566" s="53"/>
      <c r="D566" s="53"/>
      <c r="E566" s="53"/>
      <c r="F566" s="53"/>
      <c r="I566" s="4"/>
      <c r="J566" s="4"/>
      <c r="K566" s="4"/>
      <c r="O566" s="4"/>
    </row>
    <row r="567" spans="1:15" ht="21" customHeight="1" x14ac:dyDescent="0.2">
      <c r="A567" s="4"/>
      <c r="B567" s="4"/>
      <c r="C567" s="53"/>
      <c r="D567" s="53"/>
      <c r="E567" s="53"/>
      <c r="F567" s="53"/>
      <c r="I567" s="4"/>
      <c r="J567" s="4"/>
      <c r="K567" s="4"/>
      <c r="O567" s="4"/>
    </row>
    <row r="568" spans="1:15" ht="21" customHeight="1" x14ac:dyDescent="0.2">
      <c r="A568" s="4"/>
      <c r="B568" s="4"/>
      <c r="C568" s="53"/>
      <c r="D568" s="53"/>
      <c r="E568" s="53"/>
      <c r="F568" s="53"/>
      <c r="I568" s="4"/>
      <c r="J568" s="4"/>
      <c r="K568" s="4"/>
      <c r="O568" s="4"/>
    </row>
    <row r="569" spans="1:15" ht="21" customHeight="1" x14ac:dyDescent="0.2">
      <c r="A569" s="4"/>
      <c r="B569" s="4"/>
      <c r="C569" s="53"/>
      <c r="D569" s="53"/>
      <c r="E569" s="53"/>
      <c r="F569" s="53"/>
      <c r="I569" s="4"/>
      <c r="J569" s="4"/>
      <c r="K569" s="4"/>
      <c r="O569" s="4"/>
    </row>
    <row r="570" spans="1:15" ht="21" customHeight="1" x14ac:dyDescent="0.2">
      <c r="A570" s="4"/>
      <c r="B570" s="4"/>
      <c r="C570" s="53"/>
      <c r="D570" s="53"/>
      <c r="E570" s="53"/>
      <c r="F570" s="53"/>
      <c r="I570" s="4"/>
      <c r="J570" s="4"/>
      <c r="K570" s="4"/>
      <c r="O570" s="4"/>
    </row>
    <row r="571" spans="1:15" ht="21" customHeight="1" x14ac:dyDescent="0.2">
      <c r="A571" s="4"/>
      <c r="B571" s="4"/>
      <c r="C571" s="53"/>
      <c r="D571" s="53"/>
      <c r="E571" s="53"/>
      <c r="F571" s="53"/>
      <c r="I571" s="4"/>
      <c r="J571" s="4"/>
      <c r="K571" s="4"/>
      <c r="O571" s="4"/>
    </row>
    <row r="572" spans="1:15" ht="21" customHeight="1" x14ac:dyDescent="0.2">
      <c r="A572" s="4"/>
      <c r="B572" s="4"/>
      <c r="C572" s="53"/>
      <c r="D572" s="53"/>
      <c r="E572" s="53"/>
      <c r="F572" s="53"/>
      <c r="I572" s="4"/>
      <c r="J572" s="4"/>
      <c r="K572" s="4"/>
      <c r="O572" s="4"/>
    </row>
    <row r="573" spans="1:15" ht="21" customHeight="1" x14ac:dyDescent="0.2">
      <c r="A573" s="4"/>
      <c r="B573" s="4"/>
      <c r="C573" s="53"/>
      <c r="D573" s="53"/>
      <c r="E573" s="53"/>
      <c r="F573" s="53"/>
      <c r="I573" s="4"/>
      <c r="J573" s="4"/>
      <c r="K573" s="4"/>
      <c r="O573" s="4"/>
    </row>
    <row r="574" spans="1:15" ht="21" customHeight="1" x14ac:dyDescent="0.2">
      <c r="A574" s="4"/>
      <c r="B574" s="4"/>
      <c r="C574" s="53"/>
      <c r="D574" s="53"/>
      <c r="E574" s="53"/>
      <c r="F574" s="53"/>
      <c r="I574" s="4"/>
      <c r="J574" s="4"/>
      <c r="K574" s="4"/>
      <c r="O574" s="4"/>
    </row>
    <row r="575" spans="1:15" ht="21" customHeight="1" x14ac:dyDescent="0.2">
      <c r="A575" s="4"/>
      <c r="B575" s="4"/>
      <c r="C575" s="53"/>
      <c r="D575" s="53"/>
      <c r="E575" s="53"/>
      <c r="F575" s="53"/>
      <c r="I575" s="4"/>
      <c r="J575" s="4"/>
      <c r="K575" s="4"/>
      <c r="O575" s="4"/>
    </row>
    <row r="576" spans="1:15" ht="21" customHeight="1" x14ac:dyDescent="0.2">
      <c r="A576" s="4"/>
      <c r="B576" s="4"/>
      <c r="C576" s="53"/>
      <c r="D576" s="53"/>
      <c r="E576" s="53"/>
      <c r="F576" s="53"/>
      <c r="I576" s="4"/>
      <c r="J576" s="4"/>
      <c r="K576" s="4"/>
      <c r="O576" s="4"/>
    </row>
    <row r="577" spans="1:15" ht="21" customHeight="1" x14ac:dyDescent="0.2">
      <c r="A577" s="4"/>
      <c r="B577" s="4"/>
      <c r="C577" s="53"/>
      <c r="D577" s="53"/>
      <c r="E577" s="53"/>
      <c r="F577" s="53"/>
      <c r="I577" s="4"/>
      <c r="J577" s="4"/>
      <c r="K577" s="4"/>
      <c r="O577" s="4"/>
    </row>
    <row r="578" spans="1:15" ht="21" customHeight="1" x14ac:dyDescent="0.2">
      <c r="A578" s="4"/>
      <c r="B578" s="4"/>
      <c r="C578" s="53"/>
      <c r="D578" s="53"/>
      <c r="E578" s="53"/>
      <c r="F578" s="53"/>
      <c r="I578" s="4"/>
      <c r="J578" s="4"/>
      <c r="K578" s="4"/>
      <c r="O578" s="4"/>
    </row>
    <row r="579" spans="1:15" ht="21" customHeight="1" x14ac:dyDescent="0.2">
      <c r="A579" s="4"/>
      <c r="B579" s="4"/>
      <c r="C579" s="53"/>
      <c r="D579" s="53"/>
      <c r="E579" s="53"/>
      <c r="F579" s="53"/>
      <c r="I579" s="4"/>
      <c r="J579" s="4"/>
      <c r="K579" s="4"/>
      <c r="O579" s="4"/>
    </row>
    <row r="580" spans="1:15" ht="21" customHeight="1" x14ac:dyDescent="0.2">
      <c r="A580" s="4"/>
      <c r="B580" s="4"/>
      <c r="C580" s="53"/>
      <c r="D580" s="53"/>
      <c r="E580" s="53"/>
      <c r="F580" s="53"/>
      <c r="I580" s="4"/>
      <c r="J580" s="4"/>
      <c r="K580" s="4"/>
      <c r="O580" s="4"/>
    </row>
    <row r="581" spans="1:15" ht="21" customHeight="1" x14ac:dyDescent="0.2">
      <c r="A581" s="4"/>
      <c r="B581" s="4"/>
      <c r="C581" s="53"/>
      <c r="D581" s="53"/>
      <c r="E581" s="53"/>
      <c r="F581" s="53"/>
      <c r="I581" s="4"/>
      <c r="J581" s="4"/>
      <c r="K581" s="4"/>
      <c r="O581" s="4"/>
    </row>
    <row r="582" spans="1:15" ht="21" customHeight="1" x14ac:dyDescent="0.2">
      <c r="A582" s="4"/>
      <c r="B582" s="4"/>
      <c r="C582" s="53"/>
      <c r="D582" s="53"/>
      <c r="E582" s="53"/>
      <c r="F582" s="53"/>
      <c r="I582" s="4"/>
      <c r="J582" s="4"/>
      <c r="K582" s="4"/>
      <c r="O582" s="4"/>
    </row>
    <row r="583" spans="1:15" ht="21" customHeight="1" x14ac:dyDescent="0.2">
      <c r="A583" s="4"/>
      <c r="B583" s="4"/>
      <c r="C583" s="53"/>
      <c r="D583" s="53"/>
      <c r="E583" s="53"/>
      <c r="F583" s="53"/>
      <c r="I583" s="4"/>
      <c r="J583" s="4"/>
      <c r="K583" s="4"/>
      <c r="O583" s="4"/>
    </row>
    <row r="584" spans="1:15" ht="21" customHeight="1" x14ac:dyDescent="0.2">
      <c r="A584" s="4"/>
      <c r="B584" s="4"/>
      <c r="C584" s="53"/>
      <c r="D584" s="53"/>
      <c r="E584" s="53"/>
      <c r="F584" s="53"/>
      <c r="I584" s="4"/>
      <c r="J584" s="4"/>
      <c r="K584" s="4"/>
      <c r="O584" s="4"/>
    </row>
    <row r="585" spans="1:15" ht="21" customHeight="1" x14ac:dyDescent="0.2">
      <c r="A585" s="4"/>
      <c r="B585" s="4"/>
      <c r="C585" s="53"/>
      <c r="D585" s="53"/>
      <c r="E585" s="53"/>
      <c r="F585" s="53"/>
      <c r="I585" s="4"/>
      <c r="J585" s="4"/>
      <c r="K585" s="4"/>
      <c r="O585" s="4"/>
    </row>
    <row r="586" spans="1:15" ht="21" customHeight="1" x14ac:dyDescent="0.2">
      <c r="A586" s="4"/>
      <c r="B586" s="4"/>
      <c r="C586" s="53"/>
      <c r="D586" s="53"/>
      <c r="E586" s="53"/>
      <c r="F586" s="53"/>
      <c r="I586" s="4"/>
      <c r="J586" s="4"/>
      <c r="K586" s="4"/>
      <c r="O586" s="4"/>
    </row>
    <row r="587" spans="1:15" ht="21" customHeight="1" x14ac:dyDescent="0.2">
      <c r="A587" s="4"/>
      <c r="B587" s="4"/>
      <c r="C587" s="53"/>
      <c r="D587" s="53"/>
      <c r="E587" s="53"/>
      <c r="F587" s="53"/>
      <c r="I587" s="4"/>
      <c r="J587" s="4"/>
      <c r="K587" s="4"/>
      <c r="O587" s="4"/>
    </row>
    <row r="588" spans="1:15" ht="21" customHeight="1" x14ac:dyDescent="0.2">
      <c r="A588" s="4"/>
      <c r="B588" s="4"/>
      <c r="C588" s="53"/>
      <c r="D588" s="53"/>
      <c r="E588" s="53"/>
      <c r="F588" s="53"/>
      <c r="I588" s="4"/>
      <c r="J588" s="4"/>
      <c r="K588" s="4"/>
      <c r="O588" s="4"/>
    </row>
    <row r="589" spans="1:15" ht="21" customHeight="1" x14ac:dyDescent="0.2">
      <c r="A589" s="4"/>
      <c r="B589" s="4"/>
      <c r="C589" s="53"/>
      <c r="D589" s="53"/>
      <c r="E589" s="53"/>
      <c r="F589" s="53"/>
      <c r="I589" s="4"/>
      <c r="J589" s="4"/>
      <c r="K589" s="4"/>
      <c r="O589" s="4"/>
    </row>
    <row r="590" spans="1:15" ht="21" customHeight="1" x14ac:dyDescent="0.2">
      <c r="A590" s="4"/>
      <c r="B590" s="4"/>
      <c r="C590" s="53"/>
      <c r="D590" s="53"/>
      <c r="E590" s="53"/>
      <c r="F590" s="53"/>
      <c r="I590" s="4"/>
      <c r="J590" s="4"/>
      <c r="K590" s="4"/>
      <c r="O590" s="4"/>
    </row>
    <row r="591" spans="1:15" ht="21" customHeight="1" x14ac:dyDescent="0.2">
      <c r="A591" s="4"/>
      <c r="B591" s="4"/>
      <c r="C591" s="53"/>
      <c r="D591" s="53"/>
      <c r="E591" s="53"/>
      <c r="F591" s="53"/>
      <c r="I591" s="4"/>
      <c r="J591" s="4"/>
      <c r="K591" s="4"/>
      <c r="O591" s="4"/>
    </row>
    <row r="592" spans="1:15" ht="21" customHeight="1" x14ac:dyDescent="0.2">
      <c r="A592" s="4"/>
      <c r="B592" s="4"/>
      <c r="C592" s="53"/>
      <c r="D592" s="53"/>
      <c r="E592" s="53"/>
      <c r="F592" s="53"/>
      <c r="I592" s="4"/>
      <c r="J592" s="4"/>
      <c r="K592" s="4"/>
      <c r="O592" s="4"/>
    </row>
    <row r="593" spans="1:15" ht="21" customHeight="1" x14ac:dyDescent="0.2">
      <c r="A593" s="4"/>
      <c r="B593" s="4"/>
      <c r="C593" s="53"/>
      <c r="D593" s="53"/>
      <c r="E593" s="53"/>
      <c r="F593" s="53"/>
      <c r="I593" s="4"/>
      <c r="J593" s="4"/>
      <c r="K593" s="4"/>
      <c r="O593" s="4"/>
    </row>
    <row r="594" spans="1:15" ht="21" customHeight="1" x14ac:dyDescent="0.2">
      <c r="A594" s="4"/>
      <c r="B594" s="4"/>
      <c r="C594" s="53"/>
      <c r="D594" s="53"/>
      <c r="E594" s="53"/>
      <c r="F594" s="53"/>
      <c r="I594" s="4"/>
      <c r="J594" s="4"/>
      <c r="K594" s="4"/>
      <c r="O594" s="4"/>
    </row>
    <row r="595" spans="1:15" ht="21" customHeight="1" x14ac:dyDescent="0.2">
      <c r="A595" s="4"/>
      <c r="B595" s="4"/>
      <c r="C595" s="53"/>
      <c r="D595" s="53"/>
      <c r="E595" s="53"/>
      <c r="F595" s="53"/>
      <c r="I595" s="4"/>
      <c r="J595" s="4"/>
      <c r="K595" s="4"/>
      <c r="O595" s="4"/>
    </row>
    <row r="596" spans="1:15" ht="21" customHeight="1" x14ac:dyDescent="0.2">
      <c r="A596" s="4"/>
      <c r="B596" s="4"/>
      <c r="C596" s="53"/>
      <c r="D596" s="53"/>
      <c r="E596" s="53"/>
      <c r="F596" s="53"/>
      <c r="I596" s="4"/>
      <c r="J596" s="4"/>
      <c r="K596" s="4"/>
      <c r="O596" s="4"/>
    </row>
    <row r="597" spans="1:15" ht="21" customHeight="1" x14ac:dyDescent="0.2">
      <c r="A597" s="4"/>
      <c r="B597" s="4"/>
      <c r="C597" s="53"/>
      <c r="D597" s="53"/>
      <c r="E597" s="53"/>
      <c r="F597" s="53"/>
      <c r="I597" s="4"/>
      <c r="J597" s="4"/>
      <c r="K597" s="4"/>
      <c r="O597" s="4"/>
    </row>
    <row r="598" spans="1:15" ht="21" customHeight="1" x14ac:dyDescent="0.2">
      <c r="A598" s="4"/>
      <c r="B598" s="4"/>
      <c r="C598" s="53"/>
      <c r="D598" s="53"/>
      <c r="E598" s="53"/>
      <c r="F598" s="53"/>
      <c r="I598" s="4"/>
      <c r="J598" s="4"/>
      <c r="K598" s="4"/>
      <c r="O598" s="4"/>
    </row>
    <row r="599" spans="1:15" ht="21" customHeight="1" x14ac:dyDescent="0.2">
      <c r="A599" s="4"/>
      <c r="B599" s="4"/>
      <c r="C599" s="53"/>
      <c r="D599" s="53"/>
      <c r="E599" s="53"/>
      <c r="F599" s="53"/>
      <c r="I599" s="4"/>
      <c r="J599" s="4"/>
      <c r="K599" s="4"/>
      <c r="O599" s="4"/>
    </row>
    <row r="600" spans="1:15" ht="21" customHeight="1" x14ac:dyDescent="0.2">
      <c r="A600" s="4"/>
      <c r="B600" s="4"/>
      <c r="C600" s="53"/>
      <c r="D600" s="53"/>
      <c r="E600" s="53"/>
      <c r="F600" s="53"/>
      <c r="I600" s="4"/>
      <c r="J600" s="4"/>
      <c r="K600" s="4"/>
      <c r="O600" s="4"/>
    </row>
    <row r="601" spans="1:15" ht="21" customHeight="1" x14ac:dyDescent="0.2">
      <c r="A601" s="4"/>
      <c r="B601" s="4"/>
      <c r="C601" s="53"/>
      <c r="D601" s="53"/>
      <c r="E601" s="53"/>
      <c r="F601" s="53"/>
      <c r="I601" s="4"/>
      <c r="J601" s="4"/>
      <c r="K601" s="4"/>
      <c r="O601" s="4"/>
    </row>
    <row r="602" spans="1:15" ht="21" customHeight="1" x14ac:dyDescent="0.2">
      <c r="A602" s="4"/>
      <c r="B602" s="4"/>
      <c r="C602" s="53"/>
      <c r="D602" s="53"/>
      <c r="E602" s="53"/>
      <c r="F602" s="53"/>
      <c r="I602" s="4"/>
      <c r="J602" s="4"/>
      <c r="K602" s="4"/>
      <c r="O602" s="4"/>
    </row>
    <row r="603" spans="1:15" ht="21" customHeight="1" x14ac:dyDescent="0.2">
      <c r="A603" s="4"/>
      <c r="B603" s="4"/>
      <c r="C603" s="53"/>
      <c r="D603" s="53"/>
      <c r="E603" s="53"/>
      <c r="F603" s="53"/>
      <c r="I603" s="4"/>
      <c r="J603" s="4"/>
      <c r="K603" s="4"/>
      <c r="O603" s="4"/>
    </row>
    <row r="604" spans="1:15" ht="21" customHeight="1" x14ac:dyDescent="0.2">
      <c r="A604" s="4"/>
      <c r="B604" s="4"/>
      <c r="C604" s="53"/>
      <c r="D604" s="53"/>
      <c r="E604" s="53"/>
      <c r="F604" s="53"/>
      <c r="I604" s="4"/>
      <c r="J604" s="4"/>
      <c r="K604" s="4"/>
      <c r="O604" s="4"/>
    </row>
    <row r="605" spans="1:15" ht="21" customHeight="1" x14ac:dyDescent="0.2">
      <c r="A605" s="4"/>
      <c r="B605" s="4"/>
      <c r="C605" s="53"/>
      <c r="D605" s="53"/>
      <c r="E605" s="53"/>
      <c r="F605" s="53"/>
      <c r="I605" s="4"/>
      <c r="J605" s="4"/>
      <c r="K605" s="4"/>
      <c r="O605" s="4"/>
    </row>
    <row r="606" spans="1:15" ht="21" customHeight="1" x14ac:dyDescent="0.2">
      <c r="A606" s="4"/>
      <c r="B606" s="4"/>
      <c r="C606" s="53"/>
      <c r="D606" s="53"/>
      <c r="E606" s="53"/>
      <c r="F606" s="53"/>
      <c r="I606" s="4"/>
      <c r="J606" s="4"/>
      <c r="K606" s="4"/>
      <c r="O606" s="4"/>
    </row>
    <row r="607" spans="1:15" ht="21" customHeight="1" x14ac:dyDescent="0.2">
      <c r="A607" s="4"/>
      <c r="B607" s="4"/>
      <c r="C607" s="53"/>
      <c r="D607" s="53"/>
      <c r="E607" s="53"/>
      <c r="F607" s="53"/>
      <c r="I607" s="4"/>
      <c r="J607" s="4"/>
      <c r="K607" s="4"/>
      <c r="O607" s="4"/>
    </row>
    <row r="608" spans="1:15" ht="21" customHeight="1" x14ac:dyDescent="0.2">
      <c r="A608" s="4"/>
      <c r="B608" s="4"/>
      <c r="C608" s="53"/>
      <c r="D608" s="53"/>
      <c r="E608" s="53"/>
      <c r="F608" s="53"/>
      <c r="I608" s="4"/>
      <c r="J608" s="4"/>
      <c r="K608" s="4"/>
      <c r="O608" s="4"/>
    </row>
    <row r="609" spans="1:15" ht="21" customHeight="1" x14ac:dyDescent="0.2">
      <c r="A609" s="4"/>
      <c r="B609" s="4"/>
      <c r="C609" s="53"/>
      <c r="D609" s="53"/>
      <c r="E609" s="53"/>
      <c r="F609" s="53"/>
      <c r="I609" s="4"/>
      <c r="J609" s="4"/>
      <c r="K609" s="4"/>
      <c r="O609" s="4"/>
    </row>
    <row r="610" spans="1:15" ht="21" customHeight="1" x14ac:dyDescent="0.2">
      <c r="A610" s="4"/>
      <c r="B610" s="4"/>
      <c r="C610" s="53"/>
      <c r="D610" s="53"/>
      <c r="E610" s="53"/>
      <c r="F610" s="53"/>
      <c r="I610" s="4"/>
      <c r="J610" s="4"/>
      <c r="K610" s="4"/>
      <c r="O610" s="4"/>
    </row>
    <row r="611" spans="1:15" ht="21" customHeight="1" x14ac:dyDescent="0.2">
      <c r="A611" s="4"/>
      <c r="B611" s="4"/>
      <c r="C611" s="53"/>
      <c r="D611" s="53"/>
      <c r="E611" s="53"/>
      <c r="F611" s="53"/>
      <c r="I611" s="4"/>
      <c r="J611" s="4"/>
      <c r="K611" s="4"/>
      <c r="O611" s="4"/>
    </row>
    <row r="612" spans="1:15" ht="21" customHeight="1" x14ac:dyDescent="0.2">
      <c r="A612" s="4"/>
      <c r="B612" s="4"/>
      <c r="C612" s="53"/>
      <c r="D612" s="53"/>
      <c r="E612" s="53"/>
      <c r="F612" s="53"/>
      <c r="I612" s="4"/>
      <c r="J612" s="4"/>
      <c r="K612" s="4"/>
      <c r="O612" s="4"/>
    </row>
    <row r="613" spans="1:15" ht="21" customHeight="1" x14ac:dyDescent="0.2">
      <c r="A613" s="4"/>
      <c r="B613" s="4"/>
      <c r="C613" s="53"/>
      <c r="D613" s="53"/>
      <c r="E613" s="53"/>
      <c r="F613" s="53"/>
      <c r="I613" s="4"/>
      <c r="J613" s="4"/>
      <c r="K613" s="4"/>
      <c r="O613" s="4"/>
    </row>
    <row r="614" spans="1:15" ht="21" customHeight="1" x14ac:dyDescent="0.2">
      <c r="A614" s="4"/>
      <c r="B614" s="4"/>
      <c r="C614" s="53"/>
      <c r="D614" s="53"/>
      <c r="E614" s="53"/>
      <c r="F614" s="53"/>
      <c r="I614" s="4"/>
      <c r="J614" s="4"/>
      <c r="K614" s="4"/>
      <c r="O614" s="4"/>
    </row>
    <row r="615" spans="1:15" ht="21" customHeight="1" x14ac:dyDescent="0.2">
      <c r="A615" s="4"/>
      <c r="B615" s="4"/>
      <c r="C615" s="53"/>
      <c r="D615" s="53"/>
      <c r="E615" s="53"/>
      <c r="F615" s="53"/>
      <c r="I615" s="4"/>
      <c r="J615" s="4"/>
      <c r="K615" s="4"/>
      <c r="O615" s="4"/>
    </row>
    <row r="616" spans="1:15" ht="21" customHeight="1" x14ac:dyDescent="0.2">
      <c r="A616" s="4"/>
      <c r="B616" s="4"/>
      <c r="C616" s="53"/>
      <c r="D616" s="53"/>
      <c r="E616" s="53"/>
      <c r="F616" s="53"/>
      <c r="I616" s="4"/>
      <c r="J616" s="4"/>
      <c r="K616" s="4"/>
      <c r="O616" s="4"/>
    </row>
    <row r="617" spans="1:15" ht="21" customHeight="1" x14ac:dyDescent="0.2">
      <c r="A617" s="4"/>
      <c r="B617" s="4"/>
      <c r="C617" s="53"/>
      <c r="D617" s="53"/>
      <c r="E617" s="53"/>
      <c r="F617" s="53"/>
      <c r="I617" s="4"/>
      <c r="J617" s="4"/>
      <c r="K617" s="4"/>
      <c r="O617" s="4"/>
    </row>
    <row r="618" spans="1:15" ht="21" customHeight="1" x14ac:dyDescent="0.2">
      <c r="A618" s="4"/>
      <c r="B618" s="4"/>
      <c r="C618" s="53"/>
      <c r="D618" s="53"/>
      <c r="E618" s="53"/>
      <c r="F618" s="53"/>
      <c r="I618" s="4"/>
      <c r="J618" s="4"/>
      <c r="K618" s="4"/>
      <c r="O618" s="4"/>
    </row>
    <row r="619" spans="1:15" ht="21" customHeight="1" x14ac:dyDescent="0.2">
      <c r="A619" s="4"/>
      <c r="B619" s="4"/>
      <c r="C619" s="53"/>
      <c r="D619" s="53"/>
      <c r="E619" s="53"/>
      <c r="F619" s="53"/>
      <c r="I619" s="4"/>
      <c r="J619" s="4"/>
      <c r="K619" s="4"/>
      <c r="O619" s="4"/>
    </row>
    <row r="620" spans="1:15" ht="21" customHeight="1" x14ac:dyDescent="0.2">
      <c r="A620" s="4"/>
      <c r="B620" s="4"/>
      <c r="C620" s="53"/>
      <c r="D620" s="53"/>
      <c r="E620" s="53"/>
      <c r="F620" s="53"/>
      <c r="I620" s="4"/>
      <c r="J620" s="4"/>
      <c r="K620" s="4"/>
      <c r="O620" s="4"/>
    </row>
    <row r="621" spans="1:15" ht="21" customHeight="1" x14ac:dyDescent="0.2">
      <c r="A621" s="4"/>
      <c r="B621" s="4"/>
      <c r="C621" s="53"/>
      <c r="D621" s="53"/>
      <c r="E621" s="53"/>
      <c r="F621" s="53"/>
      <c r="I621" s="4"/>
      <c r="J621" s="4"/>
      <c r="K621" s="4"/>
      <c r="O621" s="4"/>
    </row>
    <row r="622" spans="1:15" ht="21" customHeight="1" x14ac:dyDescent="0.2">
      <c r="A622" s="4"/>
      <c r="B622" s="4"/>
      <c r="C622" s="53"/>
      <c r="D622" s="53"/>
      <c r="E622" s="53"/>
      <c r="F622" s="53"/>
      <c r="I622" s="4"/>
      <c r="J622" s="4"/>
      <c r="K622" s="4"/>
      <c r="O622" s="4"/>
    </row>
    <row r="623" spans="1:15" ht="21" customHeight="1" x14ac:dyDescent="0.2">
      <c r="A623" s="4"/>
      <c r="B623" s="4"/>
      <c r="C623" s="53"/>
      <c r="D623" s="53"/>
      <c r="E623" s="53"/>
      <c r="F623" s="53"/>
      <c r="I623" s="4"/>
      <c r="J623" s="4"/>
      <c r="K623" s="4"/>
      <c r="O623" s="4"/>
    </row>
    <row r="624" spans="1:15" ht="21" customHeight="1" x14ac:dyDescent="0.2">
      <c r="A624" s="4"/>
      <c r="B624" s="4"/>
      <c r="C624" s="53"/>
      <c r="D624" s="53"/>
      <c r="E624" s="53"/>
      <c r="F624" s="53"/>
      <c r="I624" s="4"/>
      <c r="J624" s="4"/>
      <c r="K624" s="4"/>
      <c r="O624" s="4"/>
    </row>
    <row r="625" spans="1:15" ht="21" customHeight="1" x14ac:dyDescent="0.2">
      <c r="A625" s="4"/>
      <c r="B625" s="4"/>
      <c r="C625" s="53"/>
      <c r="D625" s="53"/>
      <c r="E625" s="53"/>
      <c r="F625" s="53"/>
      <c r="I625" s="4"/>
      <c r="J625" s="4"/>
      <c r="K625" s="4"/>
      <c r="O625" s="4"/>
    </row>
    <row r="626" spans="1:15" ht="21" customHeight="1" x14ac:dyDescent="0.2">
      <c r="A626" s="4"/>
      <c r="B626" s="4"/>
      <c r="C626" s="53"/>
      <c r="D626" s="53"/>
      <c r="E626" s="53"/>
      <c r="F626" s="53"/>
      <c r="I626" s="4"/>
      <c r="J626" s="4"/>
      <c r="K626" s="4"/>
      <c r="O626" s="4"/>
    </row>
    <row r="627" spans="1:15" ht="21" customHeight="1" x14ac:dyDescent="0.2">
      <c r="A627" s="4"/>
      <c r="B627" s="4"/>
      <c r="C627" s="53"/>
      <c r="D627" s="53"/>
      <c r="E627" s="53"/>
      <c r="F627" s="53"/>
      <c r="I627" s="4"/>
      <c r="J627" s="4"/>
      <c r="K627" s="4"/>
      <c r="O627" s="4"/>
    </row>
    <row r="628" spans="1:15" ht="21" customHeight="1" x14ac:dyDescent="0.2">
      <c r="A628" s="4"/>
      <c r="B628" s="4"/>
      <c r="C628" s="53"/>
      <c r="D628" s="53"/>
      <c r="E628" s="53"/>
      <c r="F628" s="53"/>
      <c r="I628" s="4"/>
      <c r="J628" s="4"/>
      <c r="K628" s="4"/>
      <c r="O628" s="4"/>
    </row>
    <row r="629" spans="1:15" ht="21" customHeight="1" x14ac:dyDescent="0.2">
      <c r="A629" s="4"/>
      <c r="B629" s="4"/>
      <c r="C629" s="53"/>
      <c r="D629" s="53"/>
      <c r="E629" s="53"/>
      <c r="F629" s="53"/>
      <c r="I629" s="4"/>
      <c r="J629" s="4"/>
      <c r="K629" s="4"/>
      <c r="O629" s="4"/>
    </row>
    <row r="630" spans="1:15" ht="21" customHeight="1" x14ac:dyDescent="0.2">
      <c r="A630" s="4"/>
      <c r="B630" s="4"/>
      <c r="C630" s="53"/>
      <c r="D630" s="53"/>
      <c r="E630" s="53"/>
      <c r="F630" s="53"/>
      <c r="I630" s="4"/>
      <c r="J630" s="4"/>
      <c r="K630" s="4"/>
      <c r="O630" s="4"/>
    </row>
    <row r="631" spans="1:15" ht="21" customHeight="1" x14ac:dyDescent="0.2">
      <c r="A631" s="4"/>
      <c r="B631" s="4"/>
      <c r="C631" s="53"/>
      <c r="D631" s="53"/>
      <c r="E631" s="53"/>
      <c r="F631" s="53"/>
      <c r="I631" s="4"/>
      <c r="J631" s="4"/>
      <c r="K631" s="4"/>
      <c r="O631" s="4"/>
    </row>
    <row r="632" spans="1:15" ht="21" customHeight="1" x14ac:dyDescent="0.2">
      <c r="A632" s="4"/>
      <c r="B632" s="4"/>
      <c r="C632" s="53"/>
      <c r="D632" s="53"/>
      <c r="E632" s="53"/>
      <c r="F632" s="53"/>
      <c r="I632" s="4"/>
      <c r="J632" s="4"/>
      <c r="K632" s="4"/>
      <c r="O632" s="4"/>
    </row>
    <row r="633" spans="1:15" ht="21" customHeight="1" x14ac:dyDescent="0.2">
      <c r="A633" s="4"/>
      <c r="B633" s="4"/>
      <c r="C633" s="53"/>
      <c r="D633" s="53"/>
      <c r="E633" s="53"/>
      <c r="F633" s="53"/>
      <c r="I633" s="4"/>
      <c r="J633" s="4"/>
      <c r="K633" s="4"/>
      <c r="O633" s="4"/>
    </row>
    <row r="634" spans="1:15" ht="21" customHeight="1" x14ac:dyDescent="0.2">
      <c r="A634" s="4"/>
      <c r="B634" s="4"/>
      <c r="C634" s="53"/>
      <c r="D634" s="53"/>
      <c r="E634" s="53"/>
      <c r="F634" s="53"/>
      <c r="I634" s="4"/>
      <c r="J634" s="4"/>
      <c r="K634" s="4"/>
      <c r="O634" s="4"/>
    </row>
    <row r="635" spans="1:15" ht="21" customHeight="1" x14ac:dyDescent="0.2">
      <c r="A635" s="4"/>
      <c r="B635" s="4"/>
      <c r="C635" s="53"/>
      <c r="D635" s="53"/>
      <c r="E635" s="53"/>
      <c r="F635" s="53"/>
      <c r="I635" s="4"/>
      <c r="J635" s="4"/>
      <c r="K635" s="4"/>
      <c r="O635" s="4"/>
    </row>
    <row r="636" spans="1:15" ht="21" customHeight="1" x14ac:dyDescent="0.2">
      <c r="A636" s="4"/>
      <c r="B636" s="4"/>
      <c r="C636" s="53"/>
      <c r="D636" s="53"/>
      <c r="E636" s="53"/>
      <c r="F636" s="53"/>
      <c r="I636" s="4"/>
      <c r="J636" s="4"/>
      <c r="K636" s="4"/>
      <c r="O636" s="4"/>
    </row>
    <row r="637" spans="1:15" ht="21" customHeight="1" x14ac:dyDescent="0.2">
      <c r="A637" s="4"/>
      <c r="B637" s="4"/>
      <c r="C637" s="53"/>
      <c r="D637" s="53"/>
      <c r="E637" s="53"/>
      <c r="F637" s="53"/>
      <c r="I637" s="4"/>
      <c r="J637" s="4"/>
      <c r="K637" s="4"/>
      <c r="O637" s="4"/>
    </row>
    <row r="638" spans="1:15" ht="21" customHeight="1" x14ac:dyDescent="0.2">
      <c r="A638" s="4"/>
      <c r="B638" s="4"/>
      <c r="C638" s="53"/>
      <c r="D638" s="53"/>
      <c r="E638" s="53"/>
      <c r="F638" s="53"/>
      <c r="I638" s="4"/>
      <c r="J638" s="4"/>
      <c r="K638" s="4"/>
      <c r="O638" s="4"/>
    </row>
    <row r="639" spans="1:15" ht="21" customHeight="1" x14ac:dyDescent="0.2">
      <c r="A639" s="4"/>
      <c r="B639" s="4"/>
      <c r="C639" s="53"/>
      <c r="D639" s="53"/>
      <c r="E639" s="53"/>
      <c r="F639" s="53"/>
      <c r="I639" s="4"/>
      <c r="J639" s="4"/>
      <c r="K639" s="4"/>
      <c r="O639" s="4"/>
    </row>
    <row r="640" spans="1:15" ht="21" customHeight="1" x14ac:dyDescent="0.2">
      <c r="A640" s="4"/>
      <c r="B640" s="4"/>
      <c r="C640" s="53"/>
      <c r="D640" s="53"/>
      <c r="E640" s="53"/>
      <c r="F640" s="53"/>
      <c r="I640" s="4"/>
      <c r="J640" s="4"/>
      <c r="K640" s="4"/>
      <c r="O640" s="4"/>
    </row>
    <row r="641" spans="1:15" ht="21" customHeight="1" x14ac:dyDescent="0.2">
      <c r="A641" s="4"/>
      <c r="B641" s="4"/>
      <c r="C641" s="53"/>
      <c r="D641" s="53"/>
      <c r="E641" s="53"/>
      <c r="F641" s="53"/>
      <c r="I641" s="4"/>
      <c r="J641" s="4"/>
      <c r="K641" s="4"/>
      <c r="O641" s="4"/>
    </row>
    <row r="642" spans="1:15" ht="21" customHeight="1" x14ac:dyDescent="0.2">
      <c r="A642" s="4"/>
      <c r="B642" s="4"/>
      <c r="C642" s="53"/>
      <c r="D642" s="53"/>
      <c r="E642" s="53"/>
      <c r="F642" s="53"/>
      <c r="I642" s="4"/>
      <c r="J642" s="4"/>
      <c r="K642" s="4"/>
      <c r="O642" s="4"/>
    </row>
    <row r="643" spans="1:15" ht="21" customHeight="1" x14ac:dyDescent="0.2">
      <c r="A643" s="4"/>
      <c r="B643" s="4"/>
      <c r="C643" s="53"/>
      <c r="D643" s="53"/>
      <c r="E643" s="53"/>
      <c r="F643" s="53"/>
      <c r="I643" s="4"/>
      <c r="J643" s="4"/>
      <c r="K643" s="4"/>
      <c r="O643" s="4"/>
    </row>
    <row r="644" spans="1:15" ht="21" customHeight="1" x14ac:dyDescent="0.2">
      <c r="A644" s="4"/>
      <c r="B644" s="4"/>
      <c r="C644" s="53"/>
      <c r="D644" s="53"/>
      <c r="E644" s="53"/>
      <c r="F644" s="53"/>
      <c r="I644" s="4"/>
      <c r="J644" s="4"/>
      <c r="K644" s="4"/>
      <c r="O644" s="4"/>
    </row>
    <row r="645" spans="1:15" ht="21" customHeight="1" x14ac:dyDescent="0.2">
      <c r="A645" s="4"/>
      <c r="B645" s="4"/>
      <c r="C645" s="53"/>
      <c r="D645" s="53"/>
      <c r="E645" s="53"/>
      <c r="F645" s="53"/>
      <c r="I645" s="4"/>
      <c r="J645" s="4"/>
      <c r="K645" s="4"/>
      <c r="O645" s="4"/>
    </row>
    <row r="646" spans="1:15" ht="21" customHeight="1" x14ac:dyDescent="0.2">
      <c r="A646" s="4"/>
      <c r="B646" s="4"/>
      <c r="C646" s="53"/>
      <c r="D646" s="53"/>
      <c r="E646" s="53"/>
      <c r="F646" s="53"/>
      <c r="I646" s="4"/>
      <c r="J646" s="4"/>
      <c r="K646" s="4"/>
      <c r="O646" s="4"/>
    </row>
    <row r="647" spans="1:15" ht="21" customHeight="1" x14ac:dyDescent="0.2">
      <c r="A647" s="4"/>
      <c r="B647" s="4"/>
      <c r="C647" s="53"/>
      <c r="D647" s="53"/>
      <c r="E647" s="53"/>
      <c r="F647" s="53"/>
      <c r="I647" s="4"/>
      <c r="J647" s="4"/>
      <c r="K647" s="4"/>
      <c r="O647" s="4"/>
    </row>
    <row r="648" spans="1:15" ht="21" customHeight="1" x14ac:dyDescent="0.2">
      <c r="A648" s="4"/>
      <c r="B648" s="4"/>
      <c r="C648" s="53"/>
      <c r="D648" s="53"/>
      <c r="E648" s="53"/>
      <c r="F648" s="53"/>
      <c r="I648" s="4"/>
      <c r="J648" s="4"/>
      <c r="K648" s="4"/>
      <c r="O648" s="4"/>
    </row>
    <row r="649" spans="1:15" ht="21" customHeight="1" x14ac:dyDescent="0.2">
      <c r="A649" s="4"/>
      <c r="B649" s="4"/>
      <c r="C649" s="53"/>
      <c r="D649" s="53"/>
      <c r="E649" s="53"/>
      <c r="F649" s="53"/>
      <c r="I649" s="4"/>
      <c r="J649" s="4"/>
      <c r="K649" s="4"/>
      <c r="O649" s="4"/>
    </row>
    <row r="650" spans="1:15" ht="21" customHeight="1" x14ac:dyDescent="0.2">
      <c r="A650" s="4"/>
      <c r="B650" s="4"/>
      <c r="C650" s="53"/>
      <c r="D650" s="53"/>
      <c r="E650" s="53"/>
      <c r="F650" s="53"/>
      <c r="I650" s="4"/>
      <c r="J650" s="4"/>
      <c r="K650" s="4"/>
      <c r="O650" s="4"/>
    </row>
    <row r="651" spans="1:15" ht="21" customHeight="1" x14ac:dyDescent="0.2">
      <c r="A651" s="4"/>
      <c r="B651" s="4"/>
      <c r="C651" s="53"/>
      <c r="D651" s="53"/>
      <c r="E651" s="53"/>
      <c r="F651" s="53"/>
      <c r="I651" s="4"/>
      <c r="J651" s="4"/>
      <c r="K651" s="4"/>
      <c r="O651" s="4"/>
    </row>
    <row r="652" spans="1:15" ht="21" customHeight="1" x14ac:dyDescent="0.2">
      <c r="A652" s="4"/>
      <c r="B652" s="4"/>
      <c r="C652" s="53"/>
      <c r="D652" s="53"/>
      <c r="E652" s="53"/>
      <c r="F652" s="53"/>
      <c r="I652" s="4"/>
      <c r="J652" s="4"/>
      <c r="K652" s="4"/>
      <c r="O652" s="4"/>
    </row>
    <row r="653" spans="1:15" ht="21" customHeight="1" x14ac:dyDescent="0.2">
      <c r="A653" s="4"/>
      <c r="B653" s="4"/>
      <c r="C653" s="53"/>
      <c r="D653" s="53"/>
      <c r="E653" s="53"/>
      <c r="F653" s="53"/>
      <c r="I653" s="4"/>
      <c r="J653" s="4"/>
      <c r="K653" s="4"/>
      <c r="O653" s="4"/>
    </row>
    <row r="654" spans="1:15" ht="21" customHeight="1" x14ac:dyDescent="0.2">
      <c r="A654" s="4"/>
      <c r="B654" s="4"/>
      <c r="C654" s="53"/>
      <c r="D654" s="53"/>
      <c r="E654" s="53"/>
      <c r="F654" s="53"/>
      <c r="I654" s="4"/>
      <c r="J654" s="4"/>
      <c r="K654" s="4"/>
      <c r="O654" s="4"/>
    </row>
    <row r="655" spans="1:15" ht="21" customHeight="1" x14ac:dyDescent="0.2">
      <c r="A655" s="4"/>
      <c r="B655" s="4"/>
      <c r="C655" s="53"/>
      <c r="D655" s="53"/>
      <c r="E655" s="53"/>
      <c r="F655" s="53"/>
      <c r="I655" s="4"/>
      <c r="J655" s="4"/>
      <c r="K655" s="4"/>
      <c r="O655" s="4"/>
    </row>
    <row r="656" spans="1:15" ht="21" customHeight="1" x14ac:dyDescent="0.2">
      <c r="A656" s="4"/>
      <c r="B656" s="4"/>
      <c r="C656" s="53"/>
      <c r="D656" s="53"/>
      <c r="E656" s="53"/>
      <c r="F656" s="53"/>
      <c r="I656" s="4"/>
      <c r="J656" s="4"/>
      <c r="K656" s="4"/>
      <c r="O656" s="4"/>
    </row>
    <row r="657" spans="1:15" ht="21" customHeight="1" x14ac:dyDescent="0.2">
      <c r="A657" s="4"/>
      <c r="B657" s="4"/>
      <c r="C657" s="53"/>
      <c r="D657" s="53"/>
      <c r="E657" s="53"/>
      <c r="F657" s="53"/>
      <c r="I657" s="4"/>
      <c r="J657" s="4"/>
      <c r="K657" s="4"/>
      <c r="O657" s="4"/>
    </row>
    <row r="658" spans="1:15" ht="21" customHeight="1" x14ac:dyDescent="0.2">
      <c r="A658" s="4"/>
      <c r="B658" s="4"/>
      <c r="C658" s="53"/>
      <c r="D658" s="53"/>
      <c r="E658" s="53"/>
      <c r="F658" s="53"/>
      <c r="I658" s="4"/>
      <c r="J658" s="4"/>
      <c r="K658" s="4"/>
      <c r="O658" s="4"/>
    </row>
    <row r="659" spans="1:15" ht="21" customHeight="1" x14ac:dyDescent="0.2">
      <c r="A659" s="4"/>
      <c r="B659" s="4"/>
      <c r="C659" s="53"/>
      <c r="D659" s="53"/>
      <c r="E659" s="53"/>
      <c r="F659" s="53"/>
      <c r="I659" s="4"/>
      <c r="J659" s="4"/>
      <c r="K659" s="4"/>
      <c r="O659" s="4"/>
    </row>
    <row r="660" spans="1:15" ht="21" customHeight="1" x14ac:dyDescent="0.2">
      <c r="A660" s="4"/>
      <c r="B660" s="4"/>
      <c r="C660" s="53"/>
      <c r="D660" s="53"/>
      <c r="E660" s="53"/>
      <c r="F660" s="53"/>
      <c r="I660" s="4"/>
      <c r="J660" s="4"/>
      <c r="K660" s="4"/>
      <c r="O660" s="4"/>
    </row>
    <row r="661" spans="1:15" ht="21" customHeight="1" x14ac:dyDescent="0.2">
      <c r="A661" s="4"/>
      <c r="B661" s="4"/>
      <c r="C661" s="53"/>
      <c r="D661" s="53"/>
      <c r="E661" s="53"/>
      <c r="F661" s="53"/>
      <c r="I661" s="4"/>
      <c r="J661" s="4"/>
      <c r="K661" s="4"/>
      <c r="O661" s="4"/>
    </row>
    <row r="662" spans="1:15" ht="21" customHeight="1" x14ac:dyDescent="0.2">
      <c r="A662" s="4"/>
      <c r="B662" s="4"/>
      <c r="C662" s="53"/>
      <c r="D662" s="53"/>
      <c r="E662" s="53"/>
      <c r="F662" s="53"/>
      <c r="I662" s="4"/>
      <c r="J662" s="4"/>
      <c r="K662" s="4"/>
      <c r="O662" s="4"/>
    </row>
    <row r="663" spans="1:15" ht="21" customHeight="1" x14ac:dyDescent="0.2">
      <c r="A663" s="4"/>
      <c r="B663" s="4"/>
      <c r="C663" s="53"/>
      <c r="D663" s="53"/>
      <c r="E663" s="53"/>
      <c r="F663" s="53"/>
      <c r="I663" s="4"/>
      <c r="J663" s="4"/>
      <c r="K663" s="4"/>
      <c r="O663" s="4"/>
    </row>
    <row r="664" spans="1:15" ht="21" customHeight="1" x14ac:dyDescent="0.2">
      <c r="A664" s="4"/>
      <c r="B664" s="4"/>
      <c r="C664" s="53"/>
      <c r="D664" s="53"/>
      <c r="E664" s="53"/>
      <c r="F664" s="53"/>
      <c r="I664" s="4"/>
      <c r="J664" s="4"/>
      <c r="K664" s="4"/>
      <c r="O664" s="4"/>
    </row>
    <row r="665" spans="1:15" ht="21" customHeight="1" x14ac:dyDescent="0.2">
      <c r="A665" s="4"/>
      <c r="B665" s="4"/>
      <c r="C665" s="53"/>
      <c r="D665" s="53"/>
      <c r="E665" s="53"/>
      <c r="F665" s="53"/>
      <c r="I665" s="4"/>
      <c r="J665" s="4"/>
      <c r="K665" s="4"/>
      <c r="O665" s="4"/>
    </row>
    <row r="666" spans="1:15" ht="21" customHeight="1" x14ac:dyDescent="0.2">
      <c r="A666" s="4"/>
      <c r="B666" s="4"/>
      <c r="C666" s="53"/>
      <c r="D666" s="53"/>
      <c r="E666" s="53"/>
      <c r="F666" s="53"/>
      <c r="I666" s="4"/>
      <c r="J666" s="4"/>
      <c r="K666" s="4"/>
      <c r="O666" s="4"/>
    </row>
    <row r="667" spans="1:15" ht="21" customHeight="1" x14ac:dyDescent="0.2">
      <c r="A667" s="4"/>
      <c r="B667" s="4"/>
      <c r="C667" s="53"/>
      <c r="D667" s="53"/>
      <c r="E667" s="53"/>
      <c r="F667" s="53"/>
      <c r="I667" s="4"/>
      <c r="J667" s="4"/>
      <c r="K667" s="4"/>
      <c r="O667" s="4"/>
    </row>
    <row r="668" spans="1:15" ht="21" customHeight="1" x14ac:dyDescent="0.2">
      <c r="A668" s="4"/>
      <c r="B668" s="4"/>
      <c r="C668" s="53"/>
      <c r="D668" s="53"/>
      <c r="E668" s="53"/>
      <c r="F668" s="53"/>
      <c r="I668" s="4"/>
      <c r="J668" s="4"/>
      <c r="K668" s="4"/>
      <c r="O668" s="4"/>
    </row>
    <row r="669" spans="1:15" ht="21" customHeight="1" x14ac:dyDescent="0.2">
      <c r="A669" s="4"/>
      <c r="B669" s="4"/>
      <c r="C669" s="53"/>
      <c r="D669" s="53"/>
      <c r="E669" s="53"/>
      <c r="F669" s="53"/>
      <c r="I669" s="4"/>
      <c r="J669" s="4"/>
      <c r="K669" s="4"/>
      <c r="O669" s="4"/>
    </row>
    <row r="670" spans="1:15" ht="21" customHeight="1" x14ac:dyDescent="0.2">
      <c r="A670" s="4"/>
      <c r="B670" s="4"/>
      <c r="C670" s="53"/>
      <c r="D670" s="53"/>
      <c r="E670" s="53"/>
      <c r="F670" s="53"/>
      <c r="I670" s="4"/>
      <c r="J670" s="4"/>
      <c r="K670" s="4"/>
      <c r="O670" s="4"/>
    </row>
    <row r="671" spans="1:15" ht="21" customHeight="1" x14ac:dyDescent="0.2">
      <c r="A671" s="4"/>
      <c r="B671" s="4"/>
      <c r="C671" s="53"/>
      <c r="D671" s="53"/>
      <c r="E671" s="53"/>
      <c r="F671" s="53"/>
      <c r="I671" s="4"/>
      <c r="J671" s="4"/>
      <c r="K671" s="4"/>
      <c r="O671" s="4"/>
    </row>
    <row r="672" spans="1:15" ht="21" customHeight="1" x14ac:dyDescent="0.2">
      <c r="A672" s="4"/>
      <c r="B672" s="4"/>
      <c r="C672" s="53"/>
      <c r="D672" s="53"/>
      <c r="E672" s="53"/>
      <c r="F672" s="53"/>
      <c r="I672" s="4"/>
      <c r="J672" s="4"/>
      <c r="K672" s="4"/>
      <c r="O672" s="4"/>
    </row>
    <row r="673" spans="1:15" ht="21" customHeight="1" x14ac:dyDescent="0.2">
      <c r="A673" s="4"/>
      <c r="B673" s="4"/>
      <c r="C673" s="53"/>
      <c r="D673" s="53"/>
      <c r="E673" s="53"/>
      <c r="F673" s="53"/>
      <c r="I673" s="4"/>
      <c r="J673" s="4"/>
      <c r="K673" s="4"/>
      <c r="O673" s="4"/>
    </row>
    <row r="674" spans="1:15" ht="21" customHeight="1" x14ac:dyDescent="0.2">
      <c r="A674" s="4"/>
      <c r="B674" s="4"/>
      <c r="C674" s="53"/>
      <c r="D674" s="53"/>
      <c r="E674" s="53"/>
      <c r="F674" s="53"/>
      <c r="I674" s="4"/>
      <c r="J674" s="4"/>
      <c r="K674" s="4"/>
      <c r="O674" s="4"/>
    </row>
    <row r="675" spans="1:15" ht="21" customHeight="1" x14ac:dyDescent="0.2">
      <c r="A675" s="4"/>
      <c r="B675" s="4"/>
      <c r="C675" s="53"/>
      <c r="D675" s="53"/>
      <c r="E675" s="53"/>
      <c r="F675" s="53"/>
      <c r="I675" s="4"/>
      <c r="J675" s="4"/>
      <c r="K675" s="4"/>
      <c r="O675" s="4"/>
    </row>
    <row r="676" spans="1:15" ht="21" customHeight="1" x14ac:dyDescent="0.2">
      <c r="A676" s="4"/>
      <c r="B676" s="4"/>
      <c r="C676" s="53"/>
      <c r="D676" s="53"/>
      <c r="E676" s="53"/>
      <c r="F676" s="53"/>
      <c r="I676" s="4"/>
      <c r="J676" s="4"/>
      <c r="K676" s="4"/>
      <c r="O676" s="4"/>
    </row>
    <row r="677" spans="1:15" ht="21" customHeight="1" x14ac:dyDescent="0.2">
      <c r="A677" s="4"/>
      <c r="B677" s="4"/>
      <c r="C677" s="53"/>
      <c r="D677" s="53"/>
      <c r="E677" s="53"/>
      <c r="F677" s="53"/>
      <c r="I677" s="4"/>
      <c r="J677" s="4"/>
      <c r="K677" s="4"/>
      <c r="O677" s="4"/>
    </row>
    <row r="678" spans="1:15" ht="21" customHeight="1" x14ac:dyDescent="0.2">
      <c r="A678" s="4"/>
      <c r="B678" s="4"/>
      <c r="C678" s="53"/>
      <c r="D678" s="53"/>
      <c r="E678" s="53"/>
      <c r="F678" s="53"/>
      <c r="I678" s="4"/>
      <c r="J678" s="4"/>
      <c r="K678" s="4"/>
      <c r="O678" s="4"/>
    </row>
    <row r="679" spans="1:15" ht="21" customHeight="1" x14ac:dyDescent="0.2">
      <c r="A679" s="4"/>
      <c r="B679" s="4"/>
      <c r="C679" s="53"/>
      <c r="D679" s="53"/>
      <c r="E679" s="53"/>
      <c r="F679" s="53"/>
      <c r="I679" s="4"/>
      <c r="J679" s="4"/>
      <c r="K679" s="4"/>
      <c r="O679" s="4"/>
    </row>
    <row r="680" spans="1:15" ht="21" customHeight="1" x14ac:dyDescent="0.2">
      <c r="A680" s="4"/>
      <c r="B680" s="4"/>
      <c r="C680" s="53"/>
      <c r="D680" s="53"/>
      <c r="E680" s="53"/>
      <c r="F680" s="53"/>
      <c r="I680" s="4"/>
      <c r="J680" s="4"/>
      <c r="K680" s="4"/>
      <c r="O680" s="4"/>
    </row>
    <row r="681" spans="1:15" ht="21" customHeight="1" x14ac:dyDescent="0.2">
      <c r="A681" s="4"/>
      <c r="B681" s="4"/>
      <c r="C681" s="53"/>
      <c r="D681" s="53"/>
      <c r="E681" s="53"/>
      <c r="F681" s="53"/>
      <c r="I681" s="4"/>
      <c r="J681" s="4"/>
      <c r="K681" s="4"/>
      <c r="O681" s="4"/>
    </row>
    <row r="682" spans="1:15" ht="21" customHeight="1" x14ac:dyDescent="0.2">
      <c r="A682" s="4"/>
      <c r="B682" s="4"/>
      <c r="C682" s="53"/>
      <c r="D682" s="53"/>
      <c r="E682" s="53"/>
      <c r="F682" s="53"/>
      <c r="I682" s="4"/>
      <c r="J682" s="4"/>
      <c r="K682" s="4"/>
      <c r="O682" s="4"/>
    </row>
    <row r="683" spans="1:15" ht="21" customHeight="1" x14ac:dyDescent="0.2">
      <c r="A683" s="4"/>
      <c r="B683" s="4"/>
      <c r="C683" s="53"/>
      <c r="D683" s="53"/>
      <c r="E683" s="53"/>
      <c r="F683" s="53"/>
      <c r="I683" s="4"/>
      <c r="J683" s="4"/>
      <c r="K683" s="4"/>
      <c r="O683" s="4"/>
    </row>
    <row r="684" spans="1:15" ht="21" customHeight="1" x14ac:dyDescent="0.2">
      <c r="A684" s="4"/>
      <c r="B684" s="4"/>
      <c r="C684" s="53"/>
      <c r="D684" s="53"/>
      <c r="E684" s="53"/>
      <c r="F684" s="53"/>
      <c r="I684" s="4"/>
      <c r="J684" s="4"/>
      <c r="K684" s="4"/>
      <c r="O684" s="4"/>
    </row>
    <row r="685" spans="1:15" ht="21" customHeight="1" x14ac:dyDescent="0.2">
      <c r="A685" s="4"/>
      <c r="B685" s="4"/>
      <c r="C685" s="53"/>
      <c r="D685" s="53"/>
      <c r="E685" s="53"/>
      <c r="F685" s="53"/>
      <c r="I685" s="4"/>
      <c r="J685" s="4"/>
      <c r="K685" s="4"/>
      <c r="O685" s="4"/>
    </row>
    <row r="686" spans="1:15" ht="21" customHeight="1" x14ac:dyDescent="0.2">
      <c r="A686" s="4"/>
      <c r="B686" s="4"/>
      <c r="C686" s="53"/>
      <c r="D686" s="53"/>
      <c r="E686" s="53"/>
      <c r="F686" s="53"/>
      <c r="I686" s="4"/>
      <c r="J686" s="4"/>
      <c r="K686" s="4"/>
      <c r="O686" s="4"/>
    </row>
    <row r="687" spans="1:15" ht="21" customHeight="1" x14ac:dyDescent="0.2">
      <c r="A687" s="4"/>
      <c r="B687" s="4"/>
      <c r="C687" s="53"/>
      <c r="D687" s="53"/>
      <c r="E687" s="53"/>
      <c r="F687" s="53"/>
      <c r="I687" s="4"/>
      <c r="J687" s="4"/>
      <c r="K687" s="4"/>
      <c r="O687" s="4"/>
    </row>
    <row r="688" spans="1:15" ht="21" customHeight="1" x14ac:dyDescent="0.2">
      <c r="A688" s="4"/>
      <c r="B688" s="4"/>
      <c r="C688" s="53"/>
      <c r="D688" s="53"/>
      <c r="E688" s="53"/>
      <c r="F688" s="53"/>
      <c r="I688" s="4"/>
      <c r="J688" s="4"/>
      <c r="K688" s="4"/>
      <c r="O688" s="4"/>
    </row>
    <row r="689" spans="1:15" ht="21" customHeight="1" x14ac:dyDescent="0.2">
      <c r="A689" s="4"/>
      <c r="B689" s="4"/>
      <c r="C689" s="53"/>
      <c r="D689" s="53"/>
      <c r="E689" s="53"/>
      <c r="F689" s="53"/>
      <c r="I689" s="4"/>
      <c r="J689" s="4"/>
      <c r="K689" s="4"/>
      <c r="O689" s="4"/>
    </row>
    <row r="690" spans="1:15" ht="21" customHeight="1" x14ac:dyDescent="0.2">
      <c r="A690" s="4"/>
      <c r="B690" s="4"/>
      <c r="C690" s="53"/>
      <c r="D690" s="53"/>
      <c r="E690" s="53"/>
      <c r="F690" s="53"/>
      <c r="I690" s="4"/>
      <c r="J690" s="4"/>
      <c r="K690" s="4"/>
      <c r="O690" s="4"/>
    </row>
    <row r="691" spans="1:15" ht="21" customHeight="1" x14ac:dyDescent="0.2">
      <c r="A691" s="4"/>
      <c r="B691" s="4"/>
      <c r="C691" s="53"/>
      <c r="D691" s="53"/>
      <c r="E691" s="53"/>
      <c r="F691" s="53"/>
      <c r="I691" s="4"/>
      <c r="J691" s="4"/>
      <c r="K691" s="4"/>
      <c r="O691" s="4"/>
    </row>
    <row r="692" spans="1:15" ht="21" customHeight="1" x14ac:dyDescent="0.2">
      <c r="A692" s="4"/>
      <c r="B692" s="4"/>
      <c r="C692" s="53"/>
      <c r="D692" s="53"/>
      <c r="E692" s="53"/>
      <c r="F692" s="53"/>
      <c r="I692" s="4"/>
      <c r="J692" s="4"/>
      <c r="K692" s="4"/>
      <c r="O692" s="4"/>
    </row>
    <row r="693" spans="1:15" ht="21" customHeight="1" x14ac:dyDescent="0.2">
      <c r="A693" s="4"/>
      <c r="B693" s="4"/>
      <c r="C693" s="53"/>
      <c r="D693" s="53"/>
      <c r="E693" s="53"/>
      <c r="F693" s="53"/>
      <c r="I693" s="4"/>
      <c r="J693" s="4"/>
      <c r="K693" s="4"/>
      <c r="O693" s="4"/>
    </row>
    <row r="694" spans="1:15" ht="21" customHeight="1" x14ac:dyDescent="0.2">
      <c r="A694" s="4"/>
      <c r="B694" s="4"/>
      <c r="C694" s="53"/>
      <c r="D694" s="53"/>
      <c r="E694" s="53"/>
      <c r="F694" s="53"/>
      <c r="I694" s="4"/>
      <c r="J694" s="4"/>
      <c r="K694" s="4"/>
      <c r="O694" s="4"/>
    </row>
    <row r="695" spans="1:15" ht="21" customHeight="1" x14ac:dyDescent="0.2">
      <c r="A695" s="4"/>
      <c r="B695" s="4"/>
      <c r="C695" s="53"/>
      <c r="D695" s="53"/>
      <c r="E695" s="53"/>
      <c r="F695" s="53"/>
      <c r="I695" s="4"/>
      <c r="J695" s="4"/>
      <c r="K695" s="4"/>
      <c r="O695" s="4"/>
    </row>
    <row r="696" spans="1:15" ht="21" customHeight="1" x14ac:dyDescent="0.2">
      <c r="A696" s="4"/>
      <c r="B696" s="4"/>
      <c r="C696" s="53"/>
      <c r="D696" s="53"/>
      <c r="E696" s="53"/>
      <c r="F696" s="53"/>
      <c r="I696" s="4"/>
      <c r="J696" s="4"/>
      <c r="K696" s="4"/>
      <c r="O696" s="4"/>
    </row>
    <row r="697" spans="1:15" ht="21" customHeight="1" x14ac:dyDescent="0.2">
      <c r="A697" s="4"/>
      <c r="B697" s="4"/>
      <c r="C697" s="53"/>
      <c r="D697" s="53"/>
      <c r="E697" s="53"/>
      <c r="F697" s="53"/>
      <c r="I697" s="4"/>
      <c r="J697" s="4"/>
      <c r="K697" s="4"/>
      <c r="O697" s="4"/>
    </row>
    <row r="698" spans="1:15" ht="21" customHeight="1" x14ac:dyDescent="0.2">
      <c r="A698" s="4"/>
      <c r="B698" s="4"/>
      <c r="C698" s="53"/>
      <c r="D698" s="53"/>
      <c r="E698" s="53"/>
      <c r="F698" s="53"/>
      <c r="I698" s="4"/>
      <c r="J698" s="4"/>
      <c r="K698" s="4"/>
      <c r="O698" s="4"/>
    </row>
    <row r="699" spans="1:15" ht="21" customHeight="1" x14ac:dyDescent="0.2">
      <c r="A699" s="4"/>
      <c r="B699" s="4"/>
      <c r="C699" s="53"/>
      <c r="D699" s="53"/>
      <c r="E699" s="53"/>
      <c r="F699" s="53"/>
      <c r="I699" s="4"/>
      <c r="J699" s="4"/>
      <c r="K699" s="4"/>
      <c r="O699" s="4"/>
    </row>
    <row r="700" spans="1:15" ht="21" customHeight="1" x14ac:dyDescent="0.2">
      <c r="A700" s="4"/>
      <c r="B700" s="4"/>
      <c r="C700" s="53"/>
      <c r="D700" s="53"/>
      <c r="E700" s="53"/>
      <c r="F700" s="53"/>
      <c r="I700" s="4"/>
      <c r="J700" s="4"/>
      <c r="K700" s="4"/>
      <c r="O700" s="4"/>
    </row>
    <row r="701" spans="1:15" ht="21" customHeight="1" x14ac:dyDescent="0.2">
      <c r="A701" s="4"/>
      <c r="B701" s="4"/>
      <c r="C701" s="53"/>
      <c r="D701" s="53"/>
      <c r="E701" s="53"/>
      <c r="F701" s="53"/>
      <c r="I701" s="4"/>
      <c r="J701" s="4"/>
      <c r="K701" s="4"/>
      <c r="O701" s="4"/>
    </row>
    <row r="702" spans="1:15" ht="21" customHeight="1" x14ac:dyDescent="0.2">
      <c r="A702" s="4"/>
      <c r="B702" s="4"/>
      <c r="C702" s="53"/>
      <c r="D702" s="53"/>
      <c r="E702" s="53"/>
      <c r="F702" s="53"/>
      <c r="I702" s="4"/>
      <c r="J702" s="4"/>
      <c r="K702" s="4"/>
      <c r="O702" s="4"/>
    </row>
    <row r="703" spans="1:15" ht="21" customHeight="1" x14ac:dyDescent="0.2">
      <c r="A703" s="4"/>
      <c r="B703" s="4"/>
      <c r="C703" s="53"/>
      <c r="D703" s="53"/>
      <c r="E703" s="53"/>
      <c r="F703" s="53"/>
      <c r="I703" s="4"/>
      <c r="J703" s="4"/>
      <c r="K703" s="4"/>
      <c r="O703" s="4"/>
    </row>
    <row r="704" spans="1:15" ht="21" customHeight="1" x14ac:dyDescent="0.2">
      <c r="A704" s="4"/>
      <c r="B704" s="4"/>
      <c r="C704" s="53"/>
      <c r="D704" s="53"/>
      <c r="E704" s="53"/>
      <c r="F704" s="53"/>
      <c r="I704" s="4"/>
      <c r="J704" s="4"/>
      <c r="K704" s="4"/>
      <c r="O704" s="4"/>
    </row>
    <row r="705" spans="1:15" ht="21" customHeight="1" x14ac:dyDescent="0.2">
      <c r="A705" s="4"/>
      <c r="B705" s="4"/>
      <c r="C705" s="53"/>
      <c r="D705" s="53"/>
      <c r="E705" s="53"/>
      <c r="F705" s="53"/>
      <c r="I705" s="4"/>
      <c r="J705" s="4"/>
      <c r="K705" s="4"/>
      <c r="O705" s="4"/>
    </row>
    <row r="706" spans="1:15" ht="21" customHeight="1" x14ac:dyDescent="0.2">
      <c r="A706" s="4"/>
      <c r="B706" s="4"/>
      <c r="C706" s="53"/>
      <c r="D706" s="53"/>
      <c r="E706" s="53"/>
      <c r="F706" s="53"/>
      <c r="I706" s="4"/>
      <c r="J706" s="4"/>
      <c r="K706" s="4"/>
      <c r="O706" s="4"/>
    </row>
    <row r="707" spans="1:15" ht="21" customHeight="1" x14ac:dyDescent="0.2">
      <c r="A707" s="4"/>
      <c r="B707" s="4"/>
      <c r="C707" s="53"/>
      <c r="D707" s="53"/>
      <c r="E707" s="53"/>
      <c r="F707" s="53"/>
      <c r="I707" s="4"/>
      <c r="J707" s="4"/>
      <c r="K707" s="4"/>
      <c r="O707" s="4"/>
    </row>
    <row r="708" spans="1:15" ht="21" customHeight="1" x14ac:dyDescent="0.2">
      <c r="A708" s="4"/>
      <c r="B708" s="4"/>
      <c r="C708" s="53"/>
      <c r="D708" s="53"/>
      <c r="E708" s="53"/>
      <c r="F708" s="53"/>
      <c r="I708" s="4"/>
      <c r="J708" s="4"/>
      <c r="K708" s="4"/>
      <c r="O708" s="4"/>
    </row>
    <row r="709" spans="1:15" ht="21" customHeight="1" x14ac:dyDescent="0.2">
      <c r="A709" s="4"/>
      <c r="B709" s="4"/>
      <c r="C709" s="53"/>
      <c r="D709" s="53"/>
      <c r="E709" s="53"/>
      <c r="F709" s="53"/>
      <c r="I709" s="4"/>
      <c r="J709" s="4"/>
      <c r="K709" s="4"/>
      <c r="O709" s="4"/>
    </row>
    <row r="710" spans="1:15" ht="21" customHeight="1" x14ac:dyDescent="0.2">
      <c r="A710" s="4"/>
      <c r="B710" s="4"/>
      <c r="C710" s="53"/>
      <c r="D710" s="53"/>
      <c r="E710" s="53"/>
      <c r="F710" s="53"/>
      <c r="I710" s="4"/>
      <c r="J710" s="4"/>
      <c r="K710" s="4"/>
      <c r="O710" s="4"/>
    </row>
    <row r="711" spans="1:15" ht="21" customHeight="1" x14ac:dyDescent="0.2">
      <c r="A711" s="4"/>
      <c r="B711" s="4"/>
      <c r="C711" s="53"/>
      <c r="D711" s="53"/>
      <c r="E711" s="53"/>
      <c r="F711" s="53"/>
      <c r="I711" s="4"/>
      <c r="J711" s="4"/>
      <c r="K711" s="4"/>
      <c r="O711" s="4"/>
    </row>
    <row r="712" spans="1:15" ht="21" customHeight="1" x14ac:dyDescent="0.2">
      <c r="A712" s="4"/>
      <c r="B712" s="4"/>
      <c r="C712" s="53"/>
      <c r="D712" s="53"/>
      <c r="E712" s="53"/>
      <c r="F712" s="53"/>
      <c r="I712" s="4"/>
      <c r="J712" s="4"/>
      <c r="K712" s="4"/>
      <c r="O712" s="4"/>
    </row>
    <row r="713" spans="1:15" ht="21" customHeight="1" x14ac:dyDescent="0.2">
      <c r="A713" s="4"/>
      <c r="B713" s="4"/>
      <c r="C713" s="53"/>
      <c r="D713" s="53"/>
      <c r="E713" s="53"/>
      <c r="F713" s="53"/>
      <c r="I713" s="4"/>
      <c r="J713" s="4"/>
      <c r="K713" s="4"/>
      <c r="O713" s="4"/>
    </row>
    <row r="714" spans="1:15" ht="21" customHeight="1" x14ac:dyDescent="0.2">
      <c r="A714" s="4"/>
      <c r="B714" s="4"/>
      <c r="C714" s="53"/>
      <c r="D714" s="53"/>
      <c r="E714" s="53"/>
      <c r="F714" s="53"/>
      <c r="I714" s="4"/>
      <c r="J714" s="4"/>
      <c r="K714" s="4"/>
      <c r="O714" s="4"/>
    </row>
    <row r="715" spans="1:15" ht="21" customHeight="1" x14ac:dyDescent="0.2">
      <c r="A715" s="4"/>
      <c r="B715" s="4"/>
      <c r="C715" s="53"/>
      <c r="D715" s="53"/>
      <c r="E715" s="53"/>
      <c r="F715" s="53"/>
      <c r="I715" s="4"/>
      <c r="J715" s="4"/>
      <c r="K715" s="4"/>
      <c r="O715" s="4"/>
    </row>
    <row r="716" spans="1:15" ht="21" customHeight="1" x14ac:dyDescent="0.2">
      <c r="A716" s="4"/>
      <c r="B716" s="4"/>
      <c r="C716" s="53"/>
      <c r="D716" s="53"/>
      <c r="E716" s="53"/>
      <c r="F716" s="53"/>
      <c r="I716" s="4"/>
      <c r="J716" s="4"/>
      <c r="K716" s="4"/>
      <c r="O716" s="4"/>
    </row>
    <row r="717" spans="1:15" ht="21" customHeight="1" x14ac:dyDescent="0.2">
      <c r="A717" s="4"/>
      <c r="B717" s="4"/>
      <c r="C717" s="53"/>
      <c r="D717" s="53"/>
      <c r="E717" s="53"/>
      <c r="F717" s="53"/>
      <c r="I717" s="4"/>
      <c r="J717" s="4"/>
      <c r="K717" s="4"/>
      <c r="O717" s="4"/>
    </row>
    <row r="718" spans="1:15" ht="21" customHeight="1" x14ac:dyDescent="0.2">
      <c r="A718" s="4"/>
      <c r="B718" s="4"/>
      <c r="C718" s="53"/>
      <c r="D718" s="53"/>
      <c r="E718" s="53"/>
      <c r="F718" s="53"/>
      <c r="I718" s="4"/>
      <c r="J718" s="4"/>
      <c r="K718" s="4"/>
      <c r="O718" s="4"/>
    </row>
    <row r="719" spans="1:15" ht="21" customHeight="1" x14ac:dyDescent="0.2">
      <c r="A719" s="4"/>
      <c r="B719" s="4"/>
      <c r="C719" s="53"/>
      <c r="D719" s="53"/>
      <c r="E719" s="53"/>
      <c r="F719" s="53"/>
      <c r="I719" s="4"/>
      <c r="J719" s="4"/>
      <c r="K719" s="4"/>
      <c r="O719" s="4"/>
    </row>
    <row r="720" spans="1:15" ht="21" customHeight="1" x14ac:dyDescent="0.2">
      <c r="A720" s="4"/>
      <c r="B720" s="4"/>
      <c r="C720" s="53"/>
      <c r="D720" s="53"/>
      <c r="E720" s="53"/>
      <c r="F720" s="53"/>
      <c r="I720" s="4"/>
      <c r="J720" s="4"/>
      <c r="K720" s="4"/>
      <c r="O720" s="4"/>
    </row>
    <row r="721" spans="1:15" ht="21" customHeight="1" x14ac:dyDescent="0.2">
      <c r="A721" s="4"/>
      <c r="B721" s="4"/>
      <c r="C721" s="53"/>
      <c r="D721" s="53"/>
      <c r="E721" s="53"/>
      <c r="F721" s="53"/>
      <c r="I721" s="4"/>
      <c r="J721" s="4"/>
      <c r="K721" s="4"/>
      <c r="O721" s="4"/>
    </row>
    <row r="722" spans="1:15" ht="21" customHeight="1" x14ac:dyDescent="0.2">
      <c r="A722" s="4"/>
      <c r="B722" s="4"/>
      <c r="C722" s="53"/>
      <c r="D722" s="53"/>
      <c r="E722" s="53"/>
      <c r="F722" s="53"/>
      <c r="I722" s="4"/>
      <c r="J722" s="4"/>
      <c r="K722" s="4"/>
      <c r="O722" s="4"/>
    </row>
    <row r="723" spans="1:15" ht="21" customHeight="1" x14ac:dyDescent="0.2">
      <c r="A723" s="4"/>
      <c r="B723" s="4"/>
      <c r="C723" s="53"/>
      <c r="D723" s="53"/>
      <c r="E723" s="53"/>
      <c r="F723" s="53"/>
      <c r="I723" s="4"/>
      <c r="J723" s="4"/>
      <c r="K723" s="4"/>
      <c r="O723" s="4"/>
    </row>
    <row r="724" spans="1:15" ht="21" customHeight="1" x14ac:dyDescent="0.2">
      <c r="A724" s="4"/>
      <c r="B724" s="4"/>
      <c r="C724" s="53"/>
      <c r="D724" s="53"/>
      <c r="E724" s="53"/>
      <c r="F724" s="53"/>
      <c r="I724" s="4"/>
      <c r="J724" s="4"/>
      <c r="K724" s="4"/>
      <c r="O724" s="4"/>
    </row>
    <row r="725" spans="1:15" ht="21" customHeight="1" x14ac:dyDescent="0.2">
      <c r="A725" s="4"/>
      <c r="B725" s="4"/>
      <c r="C725" s="53"/>
      <c r="D725" s="53"/>
      <c r="E725" s="53"/>
      <c r="F725" s="53"/>
      <c r="I725" s="4"/>
      <c r="J725" s="4"/>
      <c r="K725" s="4"/>
      <c r="O725" s="4"/>
    </row>
    <row r="726" spans="1:15" ht="21" customHeight="1" x14ac:dyDescent="0.2">
      <c r="A726" s="4"/>
      <c r="B726" s="4"/>
      <c r="C726" s="53"/>
      <c r="D726" s="53"/>
      <c r="E726" s="53"/>
      <c r="F726" s="53"/>
      <c r="I726" s="4"/>
      <c r="J726" s="4"/>
      <c r="K726" s="4"/>
      <c r="O726" s="4"/>
    </row>
    <row r="727" spans="1:15" ht="21" customHeight="1" x14ac:dyDescent="0.2">
      <c r="A727" s="4"/>
      <c r="B727" s="4"/>
      <c r="C727" s="53"/>
      <c r="D727" s="53"/>
      <c r="E727" s="53"/>
      <c r="F727" s="53"/>
      <c r="I727" s="4"/>
      <c r="J727" s="4"/>
      <c r="K727" s="4"/>
      <c r="O727" s="4"/>
    </row>
    <row r="728" spans="1:15" ht="21" customHeight="1" x14ac:dyDescent="0.2">
      <c r="A728" s="4"/>
      <c r="B728" s="4"/>
      <c r="C728" s="53"/>
      <c r="D728" s="53"/>
      <c r="E728" s="53"/>
      <c r="F728" s="53"/>
      <c r="I728" s="4"/>
      <c r="J728" s="4"/>
      <c r="K728" s="4"/>
      <c r="O728" s="4"/>
    </row>
    <row r="729" spans="1:15" ht="21" customHeight="1" x14ac:dyDescent="0.2">
      <c r="A729" s="4"/>
      <c r="B729" s="4"/>
      <c r="C729" s="53"/>
      <c r="D729" s="53"/>
      <c r="E729" s="53"/>
      <c r="F729" s="53"/>
      <c r="I729" s="4"/>
      <c r="J729" s="4"/>
      <c r="K729" s="4"/>
      <c r="O729" s="4"/>
    </row>
    <row r="730" spans="1:15" ht="21" customHeight="1" x14ac:dyDescent="0.2">
      <c r="A730" s="4"/>
      <c r="B730" s="4"/>
      <c r="C730" s="53"/>
      <c r="D730" s="53"/>
      <c r="E730" s="53"/>
      <c r="F730" s="53"/>
      <c r="I730" s="4"/>
      <c r="J730" s="4"/>
      <c r="K730" s="4"/>
      <c r="O730" s="4"/>
    </row>
    <row r="731" spans="1:15" ht="21" customHeight="1" x14ac:dyDescent="0.2">
      <c r="A731" s="4"/>
      <c r="B731" s="4"/>
      <c r="C731" s="53"/>
      <c r="D731" s="53"/>
      <c r="E731" s="53"/>
      <c r="F731" s="53"/>
      <c r="I731" s="4"/>
      <c r="J731" s="4"/>
      <c r="K731" s="4"/>
      <c r="O731" s="4"/>
    </row>
    <row r="732" spans="1:15" ht="21" customHeight="1" x14ac:dyDescent="0.2">
      <c r="A732" s="4"/>
      <c r="B732" s="4"/>
      <c r="C732" s="53"/>
      <c r="D732" s="53"/>
      <c r="E732" s="53"/>
      <c r="F732" s="53"/>
      <c r="I732" s="4"/>
      <c r="J732" s="4"/>
      <c r="K732" s="4"/>
      <c r="O732" s="4"/>
    </row>
    <row r="733" spans="1:15" ht="21" customHeight="1" x14ac:dyDescent="0.2">
      <c r="A733" s="4"/>
      <c r="B733" s="4"/>
      <c r="C733" s="53"/>
      <c r="D733" s="53"/>
      <c r="E733" s="53"/>
      <c r="F733" s="53"/>
      <c r="I733" s="4"/>
      <c r="J733" s="4"/>
      <c r="K733" s="4"/>
      <c r="O733" s="4"/>
    </row>
    <row r="734" spans="1:15" ht="21" customHeight="1" x14ac:dyDescent="0.2">
      <c r="A734" s="4"/>
      <c r="B734" s="4"/>
      <c r="C734" s="53"/>
      <c r="D734" s="53"/>
      <c r="E734" s="53"/>
      <c r="F734" s="53"/>
      <c r="I734" s="4"/>
      <c r="J734" s="4"/>
      <c r="K734" s="4"/>
      <c r="O734" s="4"/>
    </row>
    <row r="735" spans="1:15" ht="21" customHeight="1" x14ac:dyDescent="0.2">
      <c r="A735" s="4"/>
      <c r="B735" s="4"/>
      <c r="C735" s="53"/>
      <c r="D735" s="53"/>
      <c r="E735" s="53"/>
      <c r="F735" s="53"/>
      <c r="I735" s="4"/>
      <c r="J735" s="4"/>
      <c r="K735" s="4"/>
      <c r="O735" s="4"/>
    </row>
    <row r="736" spans="1:15" ht="21" customHeight="1" x14ac:dyDescent="0.2">
      <c r="A736" s="4"/>
      <c r="B736" s="4"/>
      <c r="C736" s="53"/>
      <c r="D736" s="53"/>
      <c r="E736" s="53"/>
      <c r="F736" s="53"/>
      <c r="I736" s="4"/>
      <c r="J736" s="4"/>
      <c r="K736" s="4"/>
      <c r="O736" s="4"/>
    </row>
    <row r="737" spans="1:15" ht="21" customHeight="1" x14ac:dyDescent="0.2">
      <c r="A737" s="4"/>
      <c r="B737" s="4"/>
      <c r="C737" s="53"/>
      <c r="D737" s="53"/>
      <c r="E737" s="53"/>
      <c r="F737" s="53"/>
      <c r="I737" s="4"/>
      <c r="J737" s="4"/>
      <c r="K737" s="4"/>
      <c r="O737" s="4"/>
    </row>
    <row r="738" spans="1:15" ht="21" customHeight="1" x14ac:dyDescent="0.2">
      <c r="A738" s="4"/>
      <c r="B738" s="4"/>
      <c r="C738" s="53"/>
      <c r="D738" s="53"/>
      <c r="E738" s="53"/>
      <c r="F738" s="53"/>
      <c r="I738" s="4"/>
      <c r="J738" s="4"/>
      <c r="K738" s="4"/>
      <c r="O738" s="4"/>
    </row>
    <row r="739" spans="1:15" ht="21" customHeight="1" x14ac:dyDescent="0.2">
      <c r="A739" s="4"/>
      <c r="B739" s="4"/>
      <c r="C739" s="53"/>
      <c r="D739" s="53"/>
      <c r="E739" s="53"/>
      <c r="F739" s="53"/>
      <c r="I739" s="4"/>
      <c r="J739" s="4"/>
      <c r="K739" s="4"/>
      <c r="O739" s="4"/>
    </row>
    <row r="740" spans="1:15" ht="21" customHeight="1" x14ac:dyDescent="0.2">
      <c r="A740" s="4"/>
      <c r="B740" s="4"/>
      <c r="C740" s="53"/>
      <c r="D740" s="53"/>
      <c r="E740" s="53"/>
      <c r="F740" s="53"/>
      <c r="I740" s="4"/>
      <c r="J740" s="4"/>
      <c r="K740" s="4"/>
      <c r="O740" s="4"/>
    </row>
    <row r="741" spans="1:15" ht="21" customHeight="1" x14ac:dyDescent="0.2">
      <c r="A741" s="4"/>
      <c r="B741" s="4"/>
      <c r="C741" s="53"/>
      <c r="D741" s="53"/>
      <c r="E741" s="53"/>
      <c r="F741" s="53"/>
      <c r="I741" s="4"/>
      <c r="J741" s="4"/>
      <c r="K741" s="4"/>
      <c r="O741" s="4"/>
    </row>
    <row r="742" spans="1:15" ht="21" customHeight="1" x14ac:dyDescent="0.2">
      <c r="A742" s="4"/>
      <c r="B742" s="4"/>
      <c r="C742" s="53"/>
      <c r="D742" s="53"/>
      <c r="E742" s="53"/>
      <c r="F742" s="53"/>
      <c r="I742" s="4"/>
      <c r="J742" s="4"/>
      <c r="K742" s="4"/>
      <c r="O742" s="4"/>
    </row>
    <row r="743" spans="1:15" ht="21" customHeight="1" x14ac:dyDescent="0.2">
      <c r="A743" s="4"/>
      <c r="B743" s="4"/>
      <c r="C743" s="53"/>
      <c r="D743" s="53"/>
      <c r="E743" s="53"/>
      <c r="F743" s="53"/>
      <c r="I743" s="4"/>
      <c r="J743" s="4"/>
      <c r="K743" s="4"/>
      <c r="O743" s="4"/>
    </row>
    <row r="744" spans="1:15" ht="21" customHeight="1" x14ac:dyDescent="0.2">
      <c r="A744" s="4"/>
      <c r="B744" s="4"/>
      <c r="C744" s="53"/>
      <c r="D744" s="53"/>
      <c r="E744" s="53"/>
      <c r="F744" s="53"/>
      <c r="I744" s="4"/>
      <c r="J744" s="4"/>
      <c r="K744" s="4"/>
      <c r="O744" s="4"/>
    </row>
    <row r="745" spans="1:15" ht="21" customHeight="1" x14ac:dyDescent="0.2">
      <c r="A745" s="4"/>
      <c r="B745" s="4"/>
      <c r="C745" s="53"/>
      <c r="D745" s="53"/>
      <c r="E745" s="53"/>
      <c r="F745" s="53"/>
      <c r="I745" s="4"/>
      <c r="J745" s="4"/>
      <c r="K745" s="4"/>
      <c r="O745" s="4"/>
    </row>
    <row r="746" spans="1:15" ht="21" customHeight="1" x14ac:dyDescent="0.2">
      <c r="A746" s="4"/>
      <c r="B746" s="4"/>
      <c r="C746" s="53"/>
      <c r="D746" s="53"/>
      <c r="E746" s="53"/>
      <c r="F746" s="53"/>
      <c r="I746" s="4"/>
      <c r="J746" s="4"/>
      <c r="K746" s="4"/>
      <c r="O746" s="4"/>
    </row>
    <row r="747" spans="1:15" ht="21" customHeight="1" x14ac:dyDescent="0.2">
      <c r="A747" s="4"/>
      <c r="B747" s="4"/>
      <c r="C747" s="53"/>
      <c r="D747" s="53"/>
      <c r="E747" s="53"/>
      <c r="F747" s="53"/>
      <c r="I747" s="4"/>
      <c r="J747" s="4"/>
      <c r="K747" s="4"/>
      <c r="O747" s="4"/>
    </row>
    <row r="748" spans="1:15" ht="21" customHeight="1" x14ac:dyDescent="0.2">
      <c r="A748" s="4"/>
      <c r="B748" s="4"/>
      <c r="C748" s="53"/>
      <c r="D748" s="53"/>
      <c r="E748" s="53"/>
      <c r="F748" s="53"/>
      <c r="I748" s="4"/>
      <c r="J748" s="4"/>
      <c r="K748" s="4"/>
      <c r="O748" s="4"/>
    </row>
    <row r="749" spans="1:15" ht="21" customHeight="1" x14ac:dyDescent="0.2">
      <c r="A749" s="4"/>
      <c r="B749" s="4"/>
      <c r="C749" s="53"/>
      <c r="D749" s="53"/>
      <c r="E749" s="53"/>
      <c r="F749" s="53"/>
      <c r="I749" s="4"/>
      <c r="J749" s="4"/>
      <c r="K749" s="4"/>
      <c r="O749" s="4"/>
    </row>
    <row r="750" spans="1:15" ht="21" customHeight="1" x14ac:dyDescent="0.2">
      <c r="A750" s="4"/>
      <c r="B750" s="4"/>
      <c r="C750" s="53"/>
      <c r="D750" s="53"/>
      <c r="E750" s="53"/>
      <c r="F750" s="53"/>
      <c r="I750" s="4"/>
      <c r="J750" s="4"/>
      <c r="K750" s="4"/>
      <c r="O750" s="4"/>
    </row>
    <row r="751" spans="1:15" ht="21" customHeight="1" x14ac:dyDescent="0.2">
      <c r="A751" s="4"/>
      <c r="B751" s="4"/>
      <c r="C751" s="53"/>
      <c r="D751" s="53"/>
      <c r="E751" s="53"/>
      <c r="F751" s="53"/>
      <c r="I751" s="4"/>
      <c r="J751" s="4"/>
      <c r="K751" s="4"/>
      <c r="O751" s="4"/>
    </row>
    <row r="752" spans="1:15" ht="21" customHeight="1" x14ac:dyDescent="0.2">
      <c r="A752" s="4"/>
      <c r="B752" s="4"/>
      <c r="C752" s="53"/>
      <c r="D752" s="53"/>
      <c r="E752" s="53"/>
      <c r="F752" s="53"/>
      <c r="I752" s="4"/>
      <c r="J752" s="4"/>
      <c r="K752" s="4"/>
      <c r="O752" s="4"/>
    </row>
    <row r="753" spans="1:15" ht="21" customHeight="1" x14ac:dyDescent="0.2">
      <c r="A753" s="4"/>
      <c r="B753" s="4"/>
      <c r="C753" s="53"/>
      <c r="D753" s="53"/>
      <c r="E753" s="53"/>
      <c r="F753" s="53"/>
      <c r="I753" s="4"/>
      <c r="J753" s="4"/>
      <c r="K753" s="4"/>
      <c r="O753" s="4"/>
    </row>
    <row r="754" spans="1:15" ht="21" customHeight="1" x14ac:dyDescent="0.2">
      <c r="A754" s="4"/>
      <c r="B754" s="4"/>
      <c r="C754" s="53"/>
      <c r="D754" s="53"/>
      <c r="E754" s="53"/>
      <c r="F754" s="53"/>
      <c r="I754" s="4"/>
      <c r="J754" s="4"/>
      <c r="K754" s="4"/>
      <c r="O754" s="4"/>
    </row>
    <row r="755" spans="1:15" ht="21" customHeight="1" x14ac:dyDescent="0.2">
      <c r="A755" s="4"/>
      <c r="B755" s="4"/>
      <c r="C755" s="53"/>
      <c r="D755" s="53"/>
      <c r="E755" s="53"/>
      <c r="F755" s="53"/>
      <c r="I755" s="4"/>
      <c r="J755" s="4"/>
      <c r="K755" s="4"/>
      <c r="O755" s="4"/>
    </row>
    <row r="756" spans="1:15" ht="21" customHeight="1" x14ac:dyDescent="0.2">
      <c r="A756" s="4"/>
      <c r="B756" s="4"/>
      <c r="C756" s="53"/>
      <c r="D756" s="53"/>
      <c r="E756" s="53"/>
      <c r="F756" s="53"/>
      <c r="I756" s="4"/>
      <c r="J756" s="4"/>
      <c r="K756" s="4"/>
      <c r="O756" s="4"/>
    </row>
    <row r="757" spans="1:15" ht="21" customHeight="1" x14ac:dyDescent="0.2">
      <c r="A757" s="4"/>
      <c r="B757" s="4"/>
      <c r="C757" s="53"/>
      <c r="D757" s="53"/>
      <c r="E757" s="53"/>
      <c r="F757" s="53"/>
      <c r="I757" s="4"/>
      <c r="J757" s="4"/>
      <c r="K757" s="4"/>
      <c r="O757" s="4"/>
    </row>
    <row r="758" spans="1:15" ht="21" customHeight="1" x14ac:dyDescent="0.2">
      <c r="A758" s="4"/>
      <c r="B758" s="4"/>
      <c r="C758" s="53"/>
      <c r="D758" s="53"/>
      <c r="E758" s="53"/>
      <c r="F758" s="53"/>
      <c r="I758" s="4"/>
      <c r="J758" s="4"/>
      <c r="K758" s="4"/>
      <c r="O758" s="4"/>
    </row>
    <row r="759" spans="1:15" ht="21" customHeight="1" x14ac:dyDescent="0.2">
      <c r="A759" s="4"/>
      <c r="B759" s="4"/>
      <c r="C759" s="53"/>
      <c r="D759" s="53"/>
      <c r="E759" s="53"/>
      <c r="F759" s="53"/>
      <c r="I759" s="4"/>
      <c r="J759" s="4"/>
      <c r="K759" s="4"/>
      <c r="O759" s="4"/>
    </row>
    <row r="760" spans="1:15" ht="21" customHeight="1" x14ac:dyDescent="0.2">
      <c r="A760" s="4"/>
      <c r="B760" s="4"/>
      <c r="C760" s="53"/>
      <c r="D760" s="53"/>
      <c r="E760" s="53"/>
      <c r="F760" s="53"/>
      <c r="I760" s="4"/>
      <c r="J760" s="4"/>
      <c r="K760" s="4"/>
      <c r="O760" s="4"/>
    </row>
    <row r="761" spans="1:15" ht="21" customHeight="1" x14ac:dyDescent="0.2">
      <c r="A761" s="4"/>
      <c r="B761" s="4"/>
      <c r="C761" s="53"/>
      <c r="D761" s="53"/>
      <c r="E761" s="53"/>
      <c r="F761" s="53"/>
      <c r="I761" s="4"/>
      <c r="J761" s="4"/>
      <c r="K761" s="4"/>
      <c r="O761" s="4"/>
    </row>
    <row r="762" spans="1:15" ht="21" customHeight="1" x14ac:dyDescent="0.2">
      <c r="A762" s="4"/>
      <c r="B762" s="4"/>
      <c r="C762" s="53"/>
      <c r="D762" s="53"/>
      <c r="E762" s="53"/>
      <c r="F762" s="53"/>
      <c r="I762" s="4"/>
      <c r="J762" s="4"/>
      <c r="K762" s="4"/>
      <c r="O762" s="4"/>
    </row>
    <row r="763" spans="1:15" ht="21" customHeight="1" x14ac:dyDescent="0.2">
      <c r="A763" s="4"/>
      <c r="B763" s="4"/>
      <c r="C763" s="53"/>
      <c r="D763" s="53"/>
      <c r="E763" s="53"/>
      <c r="F763" s="53"/>
      <c r="I763" s="4"/>
      <c r="J763" s="4"/>
      <c r="K763" s="4"/>
      <c r="O763" s="4"/>
    </row>
    <row r="764" spans="1:15" ht="21" customHeight="1" x14ac:dyDescent="0.2">
      <c r="A764" s="4"/>
      <c r="B764" s="4"/>
      <c r="C764" s="53"/>
      <c r="D764" s="53"/>
      <c r="E764" s="53"/>
      <c r="F764" s="53"/>
      <c r="I764" s="4"/>
      <c r="J764" s="4"/>
      <c r="K764" s="4"/>
      <c r="O764" s="4"/>
    </row>
    <row r="765" spans="1:15" ht="21" customHeight="1" x14ac:dyDescent="0.2">
      <c r="A765" s="4"/>
      <c r="B765" s="4"/>
      <c r="C765" s="53"/>
      <c r="D765" s="53"/>
      <c r="E765" s="53"/>
      <c r="F765" s="53"/>
      <c r="I765" s="4"/>
      <c r="J765" s="4"/>
      <c r="K765" s="4"/>
      <c r="O765" s="4"/>
    </row>
    <row r="766" spans="1:15" ht="21" customHeight="1" x14ac:dyDescent="0.2">
      <c r="A766" s="4"/>
      <c r="B766" s="4"/>
      <c r="C766" s="53"/>
      <c r="D766" s="53"/>
      <c r="E766" s="53"/>
      <c r="F766" s="53"/>
      <c r="I766" s="4"/>
      <c r="J766" s="4"/>
      <c r="K766" s="4"/>
      <c r="O766" s="4"/>
    </row>
    <row r="767" spans="1:15" ht="21" customHeight="1" x14ac:dyDescent="0.2">
      <c r="A767" s="4"/>
      <c r="B767" s="4"/>
      <c r="C767" s="53"/>
      <c r="D767" s="53"/>
      <c r="E767" s="53"/>
      <c r="F767" s="53"/>
      <c r="I767" s="4"/>
      <c r="J767" s="4"/>
      <c r="K767" s="4"/>
      <c r="O767" s="4"/>
    </row>
    <row r="768" spans="1:15" ht="21" customHeight="1" x14ac:dyDescent="0.2">
      <c r="A768" s="4"/>
      <c r="B768" s="4"/>
      <c r="C768" s="53"/>
      <c r="D768" s="53"/>
      <c r="E768" s="53"/>
      <c r="F768" s="53"/>
      <c r="I768" s="4"/>
      <c r="J768" s="4"/>
      <c r="K768" s="4"/>
      <c r="O768" s="4"/>
    </row>
    <row r="769" spans="1:15" ht="21" customHeight="1" x14ac:dyDescent="0.2">
      <c r="A769" s="4"/>
      <c r="B769" s="4"/>
      <c r="C769" s="53"/>
      <c r="D769" s="53"/>
      <c r="E769" s="53"/>
      <c r="F769" s="53"/>
      <c r="I769" s="4"/>
      <c r="J769" s="4"/>
      <c r="K769" s="4"/>
      <c r="O769" s="4"/>
    </row>
    <row r="770" spans="1:15" ht="21" customHeight="1" x14ac:dyDescent="0.2">
      <c r="A770" s="4"/>
      <c r="B770" s="4"/>
      <c r="C770" s="53"/>
      <c r="D770" s="53"/>
      <c r="E770" s="53"/>
      <c r="F770" s="53"/>
      <c r="I770" s="4"/>
      <c r="J770" s="4"/>
      <c r="K770" s="4"/>
      <c r="O770" s="4"/>
    </row>
    <row r="771" spans="1:15" ht="21" customHeight="1" x14ac:dyDescent="0.2">
      <c r="A771" s="4"/>
      <c r="B771" s="4"/>
      <c r="C771" s="53"/>
      <c r="D771" s="53"/>
      <c r="E771" s="53"/>
      <c r="F771" s="53"/>
      <c r="I771" s="4"/>
      <c r="J771" s="4"/>
      <c r="K771" s="4"/>
      <c r="O771" s="4"/>
    </row>
    <row r="772" spans="1:15" ht="21" customHeight="1" x14ac:dyDescent="0.2">
      <c r="A772" s="4"/>
      <c r="B772" s="4"/>
      <c r="C772" s="53"/>
      <c r="D772" s="53"/>
      <c r="E772" s="53"/>
      <c r="F772" s="53"/>
      <c r="I772" s="4"/>
      <c r="J772" s="4"/>
      <c r="K772" s="4"/>
      <c r="O772" s="4"/>
    </row>
    <row r="773" spans="1:15" ht="21" customHeight="1" x14ac:dyDescent="0.2">
      <c r="A773" s="4"/>
      <c r="B773" s="4"/>
      <c r="C773" s="53"/>
      <c r="D773" s="53"/>
      <c r="E773" s="53"/>
      <c r="F773" s="53"/>
      <c r="I773" s="4"/>
      <c r="J773" s="4"/>
      <c r="K773" s="4"/>
      <c r="O773" s="4"/>
    </row>
    <row r="774" spans="1:15" ht="21" customHeight="1" x14ac:dyDescent="0.2">
      <c r="A774" s="4"/>
      <c r="B774" s="4"/>
      <c r="C774" s="53"/>
      <c r="D774" s="53"/>
      <c r="E774" s="53"/>
      <c r="F774" s="53"/>
      <c r="I774" s="4"/>
      <c r="J774" s="4"/>
      <c r="K774" s="4"/>
      <c r="O774" s="4"/>
    </row>
    <row r="775" spans="1:15" ht="21" customHeight="1" x14ac:dyDescent="0.2">
      <c r="A775" s="4"/>
      <c r="B775" s="4"/>
      <c r="C775" s="53"/>
      <c r="D775" s="53"/>
      <c r="E775" s="53"/>
      <c r="F775" s="53"/>
      <c r="I775" s="4"/>
      <c r="J775" s="4"/>
      <c r="K775" s="4"/>
      <c r="O775" s="4"/>
    </row>
    <row r="776" spans="1:15" ht="21" customHeight="1" x14ac:dyDescent="0.2">
      <c r="A776" s="4"/>
      <c r="B776" s="4"/>
      <c r="C776" s="53"/>
      <c r="D776" s="53"/>
      <c r="E776" s="53"/>
      <c r="F776" s="53"/>
      <c r="I776" s="4"/>
      <c r="J776" s="4"/>
      <c r="K776" s="4"/>
      <c r="O776" s="4"/>
    </row>
    <row r="777" spans="1:15" ht="21" customHeight="1" x14ac:dyDescent="0.2">
      <c r="A777" s="4"/>
      <c r="B777" s="4"/>
      <c r="C777" s="53"/>
      <c r="D777" s="53"/>
      <c r="E777" s="53"/>
      <c r="F777" s="53"/>
      <c r="I777" s="4"/>
      <c r="J777" s="4"/>
      <c r="K777" s="4"/>
      <c r="O777" s="4"/>
    </row>
    <row r="778" spans="1:15" ht="21" customHeight="1" x14ac:dyDescent="0.2">
      <c r="A778" s="4"/>
      <c r="B778" s="4"/>
      <c r="C778" s="53"/>
      <c r="D778" s="53"/>
      <c r="E778" s="53"/>
      <c r="F778" s="53"/>
      <c r="I778" s="4"/>
      <c r="J778" s="4"/>
      <c r="K778" s="4"/>
      <c r="O778" s="4"/>
    </row>
    <row r="779" spans="1:15" ht="21" customHeight="1" x14ac:dyDescent="0.2">
      <c r="A779" s="4"/>
      <c r="B779" s="4"/>
      <c r="C779" s="53"/>
      <c r="D779" s="53"/>
      <c r="E779" s="53"/>
      <c r="F779" s="53"/>
      <c r="I779" s="4"/>
      <c r="J779" s="4"/>
      <c r="K779" s="4"/>
      <c r="O779" s="4"/>
    </row>
    <row r="780" spans="1:15" ht="21" customHeight="1" x14ac:dyDescent="0.2">
      <c r="A780" s="4"/>
      <c r="B780" s="4"/>
      <c r="C780" s="53"/>
      <c r="D780" s="53"/>
      <c r="E780" s="53"/>
      <c r="F780" s="53"/>
      <c r="I780" s="4"/>
      <c r="J780" s="4"/>
      <c r="K780" s="4"/>
      <c r="O780" s="4"/>
    </row>
    <row r="781" spans="1:15" ht="21" customHeight="1" x14ac:dyDescent="0.2">
      <c r="A781" s="4"/>
      <c r="B781" s="4"/>
      <c r="C781" s="53"/>
      <c r="D781" s="53"/>
      <c r="E781" s="53"/>
      <c r="F781" s="53"/>
      <c r="I781" s="4"/>
      <c r="J781" s="4"/>
      <c r="K781" s="4"/>
      <c r="O781" s="4"/>
    </row>
    <row r="782" spans="1:15" ht="21" customHeight="1" x14ac:dyDescent="0.2">
      <c r="A782" s="4"/>
      <c r="B782" s="4"/>
      <c r="C782" s="53"/>
      <c r="D782" s="53"/>
      <c r="E782" s="53"/>
      <c r="F782" s="53"/>
      <c r="I782" s="4"/>
      <c r="J782" s="4"/>
      <c r="K782" s="4"/>
      <c r="O782" s="4"/>
    </row>
    <row r="783" spans="1:15" ht="21" customHeight="1" x14ac:dyDescent="0.2">
      <c r="A783" s="4"/>
      <c r="B783" s="4"/>
      <c r="C783" s="53"/>
      <c r="D783" s="53"/>
      <c r="E783" s="53"/>
      <c r="F783" s="53"/>
      <c r="I783" s="4"/>
      <c r="J783" s="4"/>
      <c r="K783" s="4"/>
      <c r="O783" s="4"/>
    </row>
    <row r="784" spans="1:15" ht="21" customHeight="1" x14ac:dyDescent="0.2">
      <c r="A784" s="4"/>
      <c r="B784" s="4"/>
      <c r="C784" s="53"/>
      <c r="D784" s="53"/>
      <c r="E784" s="53"/>
      <c r="F784" s="53"/>
      <c r="I784" s="4"/>
      <c r="J784" s="4"/>
      <c r="K784" s="4"/>
      <c r="O784" s="4"/>
    </row>
    <row r="785" spans="1:15" ht="21" customHeight="1" x14ac:dyDescent="0.2">
      <c r="A785" s="4"/>
      <c r="B785" s="4"/>
      <c r="C785" s="53"/>
      <c r="D785" s="53"/>
      <c r="E785" s="53"/>
      <c r="F785" s="53"/>
      <c r="I785" s="4"/>
      <c r="J785" s="4"/>
      <c r="K785" s="4"/>
      <c r="O785" s="4"/>
    </row>
    <row r="786" spans="1:15" ht="21" customHeight="1" x14ac:dyDescent="0.2">
      <c r="A786" s="4"/>
      <c r="B786" s="4"/>
      <c r="C786" s="53"/>
      <c r="D786" s="53"/>
      <c r="E786" s="53"/>
      <c r="F786" s="53"/>
      <c r="I786" s="4"/>
      <c r="J786" s="4"/>
      <c r="K786" s="4"/>
      <c r="O786" s="4"/>
    </row>
    <row r="787" spans="1:15" ht="21" customHeight="1" x14ac:dyDescent="0.2">
      <c r="A787" s="4"/>
      <c r="B787" s="4"/>
      <c r="C787" s="53"/>
      <c r="D787" s="53"/>
      <c r="E787" s="53"/>
      <c r="F787" s="53"/>
      <c r="I787" s="4"/>
      <c r="J787" s="4"/>
      <c r="K787" s="4"/>
      <c r="O787" s="4"/>
    </row>
    <row r="788" spans="1:15" ht="21" customHeight="1" x14ac:dyDescent="0.2">
      <c r="A788" s="4"/>
      <c r="B788" s="4"/>
      <c r="C788" s="53"/>
      <c r="D788" s="53"/>
      <c r="E788" s="53"/>
      <c r="F788" s="53"/>
      <c r="I788" s="4"/>
      <c r="J788" s="4"/>
      <c r="K788" s="4"/>
      <c r="O788" s="4"/>
    </row>
    <row r="789" spans="1:15" ht="21" customHeight="1" x14ac:dyDescent="0.2">
      <c r="A789" s="4"/>
      <c r="B789" s="4"/>
      <c r="C789" s="53"/>
      <c r="D789" s="53"/>
      <c r="E789" s="53"/>
      <c r="F789" s="53"/>
      <c r="I789" s="4"/>
      <c r="J789" s="4"/>
      <c r="K789" s="4"/>
      <c r="O789" s="4"/>
    </row>
    <row r="790" spans="1:15" ht="21" customHeight="1" x14ac:dyDescent="0.2">
      <c r="A790" s="4"/>
      <c r="B790" s="4"/>
      <c r="C790" s="53"/>
      <c r="D790" s="53"/>
      <c r="E790" s="53"/>
      <c r="F790" s="53"/>
      <c r="I790" s="4"/>
      <c r="J790" s="4"/>
      <c r="K790" s="4"/>
      <c r="O790" s="4"/>
    </row>
    <row r="791" spans="1:15" ht="21" customHeight="1" x14ac:dyDescent="0.2">
      <c r="A791" s="4"/>
      <c r="B791" s="4"/>
      <c r="C791" s="53"/>
      <c r="D791" s="53"/>
      <c r="E791" s="53"/>
      <c r="F791" s="53"/>
      <c r="I791" s="4"/>
      <c r="J791" s="4"/>
      <c r="K791" s="4"/>
      <c r="O791" s="4"/>
    </row>
    <row r="792" spans="1:15" ht="21" customHeight="1" x14ac:dyDescent="0.2">
      <c r="A792" s="4"/>
      <c r="B792" s="4"/>
      <c r="C792" s="53"/>
      <c r="D792" s="53"/>
      <c r="E792" s="53"/>
      <c r="F792" s="53"/>
      <c r="I792" s="4"/>
      <c r="J792" s="4"/>
      <c r="K792" s="4"/>
      <c r="O792" s="4"/>
    </row>
    <row r="793" spans="1:15" ht="21" customHeight="1" x14ac:dyDescent="0.2">
      <c r="A793" s="4"/>
      <c r="B793" s="4"/>
      <c r="C793" s="53"/>
      <c r="D793" s="53"/>
      <c r="E793" s="53"/>
      <c r="F793" s="53"/>
      <c r="I793" s="4"/>
      <c r="J793" s="4"/>
      <c r="K793" s="4"/>
      <c r="O793" s="4"/>
    </row>
    <row r="794" spans="1:15" ht="21" customHeight="1" x14ac:dyDescent="0.2">
      <c r="A794" s="4"/>
      <c r="B794" s="4"/>
      <c r="C794" s="53"/>
      <c r="D794" s="53"/>
      <c r="E794" s="53"/>
      <c r="F794" s="53"/>
      <c r="I794" s="4"/>
      <c r="J794" s="4"/>
      <c r="K794" s="4"/>
      <c r="O794" s="4"/>
    </row>
    <row r="795" spans="1:15" ht="21" customHeight="1" x14ac:dyDescent="0.2">
      <c r="A795" s="4"/>
      <c r="B795" s="4"/>
      <c r="C795" s="53"/>
      <c r="D795" s="53"/>
      <c r="E795" s="53"/>
      <c r="F795" s="53"/>
      <c r="I795" s="4"/>
      <c r="J795" s="4"/>
      <c r="K795" s="4"/>
      <c r="O795" s="4"/>
    </row>
    <row r="796" spans="1:15" ht="21" customHeight="1" x14ac:dyDescent="0.2">
      <c r="A796" s="4"/>
      <c r="B796" s="4"/>
      <c r="C796" s="53"/>
      <c r="D796" s="53"/>
      <c r="E796" s="53"/>
      <c r="F796" s="53"/>
      <c r="I796" s="4"/>
      <c r="J796" s="4"/>
      <c r="K796" s="4"/>
      <c r="O796" s="4"/>
    </row>
    <row r="797" spans="1:15" ht="21" customHeight="1" x14ac:dyDescent="0.2">
      <c r="A797" s="4"/>
      <c r="B797" s="4"/>
      <c r="C797" s="53"/>
      <c r="D797" s="53"/>
      <c r="E797" s="53"/>
      <c r="F797" s="53"/>
      <c r="I797" s="4"/>
      <c r="J797" s="4"/>
      <c r="K797" s="4"/>
      <c r="O797" s="4"/>
    </row>
    <row r="798" spans="1:15" ht="21" customHeight="1" x14ac:dyDescent="0.2">
      <c r="A798" s="4"/>
      <c r="B798" s="4"/>
      <c r="C798" s="53"/>
      <c r="D798" s="53"/>
      <c r="E798" s="53"/>
      <c r="F798" s="53"/>
      <c r="I798" s="4"/>
      <c r="J798" s="4"/>
      <c r="K798" s="4"/>
      <c r="O798" s="4"/>
    </row>
    <row r="799" spans="1:15" ht="21" customHeight="1" x14ac:dyDescent="0.2">
      <c r="A799" s="4"/>
      <c r="B799" s="4"/>
      <c r="C799" s="53"/>
      <c r="D799" s="53"/>
      <c r="E799" s="53"/>
      <c r="F799" s="53"/>
      <c r="I799" s="4"/>
      <c r="J799" s="4"/>
      <c r="K799" s="4"/>
      <c r="O799" s="4"/>
    </row>
    <row r="800" spans="1:15" ht="21" customHeight="1" x14ac:dyDescent="0.2">
      <c r="A800" s="4"/>
      <c r="B800" s="4"/>
      <c r="C800" s="53"/>
      <c r="D800" s="53"/>
      <c r="E800" s="53"/>
      <c r="F800" s="53"/>
      <c r="I800" s="4"/>
      <c r="J800" s="4"/>
      <c r="K800" s="4"/>
      <c r="O800" s="4"/>
    </row>
    <row r="801" spans="1:15" ht="21" customHeight="1" x14ac:dyDescent="0.2">
      <c r="A801" s="4"/>
      <c r="B801" s="4"/>
      <c r="C801" s="53"/>
      <c r="D801" s="53"/>
      <c r="E801" s="53"/>
      <c r="F801" s="53"/>
      <c r="I801" s="4"/>
      <c r="J801" s="4"/>
      <c r="K801" s="4"/>
      <c r="O801" s="4"/>
    </row>
    <row r="802" spans="1:15" ht="21" customHeight="1" x14ac:dyDescent="0.2">
      <c r="A802" s="4"/>
      <c r="B802" s="4"/>
      <c r="C802" s="53"/>
      <c r="D802" s="53"/>
      <c r="E802" s="53"/>
      <c r="F802" s="53"/>
      <c r="I802" s="4"/>
      <c r="J802" s="4"/>
      <c r="K802" s="4"/>
      <c r="O802" s="4"/>
    </row>
    <row r="803" spans="1:15" ht="21" customHeight="1" x14ac:dyDescent="0.2">
      <c r="A803" s="4"/>
      <c r="B803" s="4"/>
      <c r="C803" s="53"/>
      <c r="D803" s="53"/>
      <c r="E803" s="53"/>
      <c r="F803" s="53"/>
      <c r="I803" s="4"/>
      <c r="J803" s="4"/>
      <c r="K803" s="4"/>
      <c r="O803" s="4"/>
    </row>
    <row r="804" spans="1:15" ht="21" customHeight="1" x14ac:dyDescent="0.2">
      <c r="A804" s="4"/>
      <c r="B804" s="4"/>
      <c r="C804" s="53"/>
      <c r="D804" s="53"/>
      <c r="E804" s="53"/>
      <c r="F804" s="53"/>
      <c r="I804" s="4"/>
      <c r="J804" s="4"/>
      <c r="K804" s="4"/>
      <c r="O804" s="4"/>
    </row>
    <row r="805" spans="1:15" ht="21" customHeight="1" x14ac:dyDescent="0.2">
      <c r="A805" s="4"/>
      <c r="B805" s="4"/>
      <c r="C805" s="53"/>
      <c r="D805" s="53"/>
      <c r="E805" s="53"/>
      <c r="F805" s="53"/>
      <c r="I805" s="4"/>
      <c r="J805" s="4"/>
      <c r="K805" s="4"/>
      <c r="O805" s="4"/>
    </row>
    <row r="806" spans="1:15" ht="21" customHeight="1" x14ac:dyDescent="0.2">
      <c r="A806" s="4"/>
      <c r="B806" s="4"/>
      <c r="C806" s="53"/>
      <c r="D806" s="53"/>
      <c r="E806" s="53"/>
      <c r="F806" s="53"/>
      <c r="I806" s="4"/>
      <c r="J806" s="4"/>
      <c r="K806" s="4"/>
      <c r="O806" s="4"/>
    </row>
    <row r="807" spans="1:15" ht="21" customHeight="1" x14ac:dyDescent="0.2">
      <c r="A807" s="4"/>
      <c r="B807" s="4"/>
      <c r="C807" s="53"/>
      <c r="D807" s="53"/>
      <c r="E807" s="53"/>
      <c r="F807" s="53"/>
      <c r="I807" s="4"/>
      <c r="J807" s="4"/>
      <c r="K807" s="4"/>
      <c r="O807" s="4"/>
    </row>
    <row r="808" spans="1:15" ht="21" customHeight="1" x14ac:dyDescent="0.2">
      <c r="A808" s="4"/>
      <c r="B808" s="4"/>
      <c r="C808" s="53"/>
      <c r="D808" s="53"/>
      <c r="E808" s="53"/>
      <c r="F808" s="53"/>
      <c r="I808" s="4"/>
      <c r="J808" s="4"/>
      <c r="K808" s="4"/>
      <c r="O808" s="4"/>
    </row>
    <row r="809" spans="1:15" ht="21" customHeight="1" x14ac:dyDescent="0.2">
      <c r="A809" s="4"/>
      <c r="B809" s="4"/>
      <c r="C809" s="53"/>
      <c r="D809" s="53"/>
      <c r="E809" s="53"/>
      <c r="F809" s="53"/>
      <c r="I809" s="4"/>
      <c r="J809" s="4"/>
      <c r="K809" s="4"/>
      <c r="O809" s="4"/>
    </row>
    <row r="810" spans="1:15" ht="21" customHeight="1" x14ac:dyDescent="0.2">
      <c r="A810" s="4"/>
      <c r="B810" s="4"/>
      <c r="C810" s="53"/>
      <c r="D810" s="53"/>
      <c r="E810" s="53"/>
      <c r="F810" s="53"/>
      <c r="I810" s="4"/>
      <c r="J810" s="4"/>
      <c r="K810" s="4"/>
      <c r="O810" s="4"/>
    </row>
    <row r="811" spans="1:15" ht="21" customHeight="1" x14ac:dyDescent="0.2">
      <c r="A811" s="4"/>
      <c r="B811" s="4"/>
      <c r="C811" s="53"/>
      <c r="D811" s="53"/>
      <c r="E811" s="53"/>
      <c r="F811" s="53"/>
      <c r="I811" s="4"/>
      <c r="J811" s="4"/>
      <c r="K811" s="4"/>
      <c r="O811" s="4"/>
    </row>
    <row r="812" spans="1:15" ht="21" customHeight="1" x14ac:dyDescent="0.2">
      <c r="A812" s="4"/>
      <c r="B812" s="4"/>
      <c r="C812" s="53"/>
      <c r="D812" s="53"/>
      <c r="E812" s="53"/>
      <c r="F812" s="53"/>
      <c r="I812" s="4"/>
      <c r="J812" s="4"/>
      <c r="K812" s="4"/>
      <c r="O812" s="4"/>
    </row>
    <row r="813" spans="1:15" ht="21" customHeight="1" x14ac:dyDescent="0.2">
      <c r="A813" s="4"/>
      <c r="B813" s="4"/>
      <c r="C813" s="53"/>
      <c r="D813" s="53"/>
      <c r="E813" s="53"/>
      <c r="F813" s="53"/>
      <c r="I813" s="4"/>
      <c r="J813" s="4"/>
      <c r="K813" s="4"/>
      <c r="O813" s="4"/>
    </row>
    <row r="814" spans="1:15" ht="21" customHeight="1" x14ac:dyDescent="0.2">
      <c r="A814" s="4"/>
      <c r="B814" s="4"/>
      <c r="C814" s="53"/>
      <c r="D814" s="53"/>
      <c r="E814" s="53"/>
      <c r="F814" s="53"/>
      <c r="I814" s="4"/>
      <c r="J814" s="4"/>
      <c r="K814" s="4"/>
      <c r="O814" s="4"/>
    </row>
    <row r="815" spans="1:15" ht="21" customHeight="1" x14ac:dyDescent="0.2">
      <c r="A815" s="4"/>
      <c r="B815" s="4"/>
      <c r="C815" s="53"/>
      <c r="D815" s="53"/>
      <c r="E815" s="53"/>
      <c r="F815" s="53"/>
      <c r="I815" s="4"/>
      <c r="J815" s="4"/>
      <c r="K815" s="4"/>
      <c r="O815" s="4"/>
    </row>
    <row r="816" spans="1:15" ht="21" customHeight="1" x14ac:dyDescent="0.2">
      <c r="A816" s="4"/>
      <c r="B816" s="4"/>
      <c r="C816" s="53"/>
      <c r="D816" s="53"/>
      <c r="E816" s="53"/>
      <c r="F816" s="53"/>
      <c r="I816" s="4"/>
      <c r="J816" s="4"/>
      <c r="K816" s="4"/>
      <c r="O816" s="4"/>
    </row>
    <row r="817" spans="1:15" ht="21" customHeight="1" x14ac:dyDescent="0.2">
      <c r="A817" s="4"/>
      <c r="B817" s="4"/>
      <c r="C817" s="53"/>
      <c r="D817" s="53"/>
      <c r="E817" s="53"/>
      <c r="F817" s="53"/>
      <c r="I817" s="4"/>
      <c r="J817" s="4"/>
      <c r="K817" s="4"/>
      <c r="O817" s="4"/>
    </row>
    <row r="818" spans="1:15" ht="21" customHeight="1" x14ac:dyDescent="0.2">
      <c r="A818" s="4"/>
      <c r="B818" s="4"/>
      <c r="C818" s="53"/>
      <c r="D818" s="53"/>
      <c r="E818" s="53"/>
      <c r="F818" s="53"/>
      <c r="I818" s="4"/>
      <c r="J818" s="4"/>
      <c r="K818" s="4"/>
      <c r="O818" s="4"/>
    </row>
    <row r="819" spans="1:15" ht="21" customHeight="1" x14ac:dyDescent="0.2">
      <c r="A819" s="4"/>
      <c r="B819" s="4"/>
      <c r="C819" s="53"/>
      <c r="D819" s="53"/>
      <c r="E819" s="53"/>
      <c r="F819" s="53"/>
      <c r="I819" s="4"/>
      <c r="J819" s="4"/>
      <c r="K819" s="4"/>
      <c r="O819" s="4"/>
    </row>
    <row r="820" spans="1:15" ht="21" customHeight="1" x14ac:dyDescent="0.2">
      <c r="A820" s="4"/>
      <c r="B820" s="4"/>
      <c r="C820" s="53"/>
      <c r="D820" s="53"/>
      <c r="E820" s="53"/>
      <c r="F820" s="53"/>
      <c r="I820" s="4"/>
      <c r="J820" s="4"/>
      <c r="K820" s="4"/>
      <c r="O820" s="4"/>
    </row>
    <row r="821" spans="1:15" ht="21" customHeight="1" x14ac:dyDescent="0.2">
      <c r="A821" s="4"/>
      <c r="B821" s="4"/>
      <c r="C821" s="53"/>
      <c r="D821" s="53"/>
      <c r="E821" s="53"/>
      <c r="F821" s="53"/>
      <c r="I821" s="4"/>
      <c r="J821" s="4"/>
      <c r="K821" s="4"/>
      <c r="O821" s="4"/>
    </row>
    <row r="822" spans="1:15" ht="21" customHeight="1" x14ac:dyDescent="0.2">
      <c r="A822" s="4"/>
      <c r="B822" s="4"/>
      <c r="C822" s="53"/>
      <c r="D822" s="53"/>
      <c r="E822" s="53"/>
      <c r="F822" s="53"/>
      <c r="I822" s="4"/>
      <c r="J822" s="4"/>
      <c r="K822" s="4"/>
      <c r="O822" s="4"/>
    </row>
    <row r="823" spans="1:15" ht="21" customHeight="1" x14ac:dyDescent="0.2">
      <c r="A823" s="4"/>
      <c r="B823" s="4"/>
      <c r="C823" s="53"/>
      <c r="D823" s="53"/>
      <c r="E823" s="53"/>
      <c r="F823" s="53"/>
      <c r="I823" s="4"/>
      <c r="J823" s="4"/>
      <c r="K823" s="4"/>
      <c r="O823" s="4"/>
    </row>
    <row r="824" spans="1:15" ht="21" customHeight="1" x14ac:dyDescent="0.2">
      <c r="A824" s="4"/>
      <c r="B824" s="4"/>
      <c r="C824" s="53"/>
      <c r="D824" s="53"/>
      <c r="E824" s="53"/>
      <c r="F824" s="53"/>
      <c r="I824" s="4"/>
      <c r="J824" s="4"/>
      <c r="K824" s="4"/>
      <c r="O824" s="4"/>
    </row>
    <row r="825" spans="1:15" ht="21" customHeight="1" x14ac:dyDescent="0.2">
      <c r="A825" s="4"/>
      <c r="B825" s="4"/>
      <c r="C825" s="53"/>
      <c r="D825" s="53"/>
      <c r="E825" s="53"/>
      <c r="F825" s="53"/>
      <c r="I825" s="4"/>
      <c r="J825" s="4"/>
      <c r="K825" s="4"/>
      <c r="O825" s="4"/>
    </row>
    <row r="826" spans="1:15" ht="21" customHeight="1" x14ac:dyDescent="0.2">
      <c r="A826" s="4"/>
      <c r="B826" s="4"/>
      <c r="C826" s="53"/>
      <c r="D826" s="53"/>
      <c r="E826" s="53"/>
      <c r="F826" s="53"/>
      <c r="I826" s="4"/>
      <c r="J826" s="4"/>
      <c r="K826" s="4"/>
      <c r="O826" s="4"/>
    </row>
    <row r="827" spans="1:15" ht="21" customHeight="1" x14ac:dyDescent="0.2">
      <c r="A827" s="4"/>
      <c r="B827" s="4"/>
      <c r="C827" s="53"/>
      <c r="D827" s="53"/>
      <c r="E827" s="53"/>
      <c r="F827" s="53"/>
      <c r="I827" s="4"/>
      <c r="J827" s="4"/>
      <c r="K827" s="4"/>
      <c r="O827" s="4"/>
    </row>
    <row r="828" spans="1:15" ht="21" customHeight="1" x14ac:dyDescent="0.2">
      <c r="A828" s="4"/>
      <c r="B828" s="4"/>
      <c r="C828" s="53"/>
      <c r="D828" s="53"/>
      <c r="E828" s="53"/>
      <c r="F828" s="53"/>
      <c r="I828" s="4"/>
      <c r="J828" s="4"/>
      <c r="K828" s="4"/>
      <c r="O828" s="4"/>
    </row>
    <row r="829" spans="1:15" ht="21" customHeight="1" x14ac:dyDescent="0.2">
      <c r="A829" s="4"/>
      <c r="B829" s="4"/>
      <c r="C829" s="53"/>
      <c r="D829" s="53"/>
      <c r="E829" s="53"/>
      <c r="F829" s="53"/>
      <c r="I829" s="4"/>
      <c r="J829" s="4"/>
      <c r="K829" s="4"/>
      <c r="O829" s="4"/>
    </row>
    <row r="830" spans="1:15" ht="21" customHeight="1" x14ac:dyDescent="0.2">
      <c r="A830" s="4"/>
      <c r="B830" s="4"/>
      <c r="C830" s="53"/>
      <c r="D830" s="53"/>
      <c r="E830" s="53"/>
      <c r="F830" s="53"/>
      <c r="I830" s="4"/>
      <c r="J830" s="4"/>
      <c r="K830" s="4"/>
      <c r="O830" s="4"/>
    </row>
    <row r="831" spans="1:15" ht="21" customHeight="1" x14ac:dyDescent="0.2">
      <c r="A831" s="4"/>
      <c r="B831" s="4"/>
      <c r="C831" s="53"/>
      <c r="D831" s="53"/>
      <c r="E831" s="53"/>
      <c r="F831" s="53"/>
      <c r="I831" s="4"/>
      <c r="J831" s="4"/>
      <c r="K831" s="4"/>
      <c r="O831" s="4"/>
    </row>
    <row r="832" spans="1:15" ht="21" customHeight="1" x14ac:dyDescent="0.2">
      <c r="A832" s="4"/>
      <c r="B832" s="4"/>
      <c r="C832" s="53"/>
      <c r="D832" s="53"/>
      <c r="E832" s="53"/>
      <c r="F832" s="53"/>
      <c r="I832" s="4"/>
      <c r="J832" s="4"/>
      <c r="K832" s="4"/>
      <c r="O832" s="4"/>
    </row>
    <row r="833" spans="1:15" ht="21" customHeight="1" x14ac:dyDescent="0.2">
      <c r="A833" s="4"/>
      <c r="B833" s="4"/>
      <c r="C833" s="53"/>
      <c r="D833" s="53"/>
      <c r="E833" s="53"/>
      <c r="F833" s="53"/>
      <c r="I833" s="4"/>
      <c r="J833" s="4"/>
      <c r="K833" s="4"/>
      <c r="O833" s="4"/>
    </row>
    <row r="834" spans="1:15" ht="21" customHeight="1" x14ac:dyDescent="0.2">
      <c r="A834" s="4"/>
      <c r="B834" s="4"/>
      <c r="C834" s="53"/>
      <c r="D834" s="53"/>
      <c r="E834" s="53"/>
      <c r="F834" s="53"/>
      <c r="I834" s="4"/>
      <c r="J834" s="4"/>
      <c r="K834" s="4"/>
      <c r="O834" s="4"/>
    </row>
    <row r="835" spans="1:15" ht="21" customHeight="1" x14ac:dyDescent="0.2">
      <c r="A835" s="4"/>
      <c r="B835" s="4"/>
      <c r="C835" s="53"/>
      <c r="D835" s="53"/>
      <c r="E835" s="53"/>
      <c r="F835" s="53"/>
      <c r="I835" s="4"/>
      <c r="J835" s="4"/>
      <c r="K835" s="4"/>
      <c r="O835" s="4"/>
    </row>
    <row r="836" spans="1:15" ht="21" customHeight="1" x14ac:dyDescent="0.2">
      <c r="A836" s="4"/>
      <c r="B836" s="4"/>
      <c r="C836" s="53"/>
      <c r="D836" s="53"/>
      <c r="E836" s="53"/>
      <c r="F836" s="53"/>
      <c r="I836" s="4"/>
      <c r="J836" s="4"/>
      <c r="K836" s="4"/>
      <c r="O836" s="4"/>
    </row>
    <row r="837" spans="1:15" ht="21" customHeight="1" x14ac:dyDescent="0.2">
      <c r="A837" s="4"/>
      <c r="B837" s="4"/>
      <c r="C837" s="53"/>
      <c r="D837" s="53"/>
      <c r="E837" s="53"/>
      <c r="F837" s="53"/>
      <c r="I837" s="4"/>
      <c r="J837" s="4"/>
      <c r="K837" s="4"/>
      <c r="O837" s="4"/>
    </row>
    <row r="838" spans="1:15" ht="21" customHeight="1" x14ac:dyDescent="0.2">
      <c r="A838" s="4"/>
      <c r="B838" s="4"/>
      <c r="C838" s="53"/>
      <c r="D838" s="53"/>
      <c r="E838" s="53"/>
      <c r="F838" s="53"/>
      <c r="I838" s="4"/>
      <c r="J838" s="4"/>
      <c r="K838" s="4"/>
      <c r="O838" s="4"/>
    </row>
    <row r="839" spans="1:15" ht="21" customHeight="1" x14ac:dyDescent="0.2">
      <c r="A839" s="4"/>
      <c r="B839" s="4"/>
      <c r="C839" s="53"/>
      <c r="D839" s="53"/>
      <c r="E839" s="53"/>
      <c r="F839" s="53"/>
      <c r="I839" s="4"/>
      <c r="J839" s="4"/>
      <c r="K839" s="4"/>
      <c r="O839" s="4"/>
    </row>
    <row r="840" spans="1:15" ht="21" customHeight="1" x14ac:dyDescent="0.2">
      <c r="A840" s="4"/>
      <c r="B840" s="4"/>
      <c r="C840" s="53"/>
      <c r="D840" s="53"/>
      <c r="E840" s="53"/>
      <c r="F840" s="53"/>
      <c r="I840" s="4"/>
      <c r="J840" s="4"/>
      <c r="K840" s="4"/>
      <c r="O840" s="4"/>
    </row>
    <row r="841" spans="1:15" ht="21" customHeight="1" x14ac:dyDescent="0.2">
      <c r="A841" s="4"/>
      <c r="B841" s="4"/>
      <c r="C841" s="53"/>
      <c r="D841" s="53"/>
      <c r="E841" s="53"/>
      <c r="F841" s="53"/>
      <c r="I841" s="4"/>
      <c r="J841" s="4"/>
      <c r="K841" s="4"/>
      <c r="O841" s="4"/>
    </row>
    <row r="842" spans="1:15" ht="21" customHeight="1" x14ac:dyDescent="0.2">
      <c r="A842" s="4"/>
      <c r="B842" s="4"/>
      <c r="C842" s="53"/>
      <c r="D842" s="53"/>
      <c r="E842" s="53"/>
      <c r="F842" s="53"/>
      <c r="I842" s="4"/>
      <c r="J842" s="4"/>
      <c r="K842" s="4"/>
      <c r="O842" s="4"/>
    </row>
    <row r="843" spans="1:15" ht="21" customHeight="1" x14ac:dyDescent="0.2">
      <c r="A843" s="4"/>
      <c r="B843" s="4"/>
      <c r="C843" s="53"/>
      <c r="D843" s="53"/>
      <c r="E843" s="53"/>
      <c r="F843" s="53"/>
      <c r="I843" s="4"/>
      <c r="J843" s="4"/>
      <c r="K843" s="4"/>
      <c r="O843" s="4"/>
    </row>
    <row r="844" spans="1:15" ht="21" customHeight="1" x14ac:dyDescent="0.2">
      <c r="A844" s="4"/>
      <c r="B844" s="4"/>
      <c r="C844" s="53"/>
      <c r="D844" s="53"/>
      <c r="E844" s="53"/>
      <c r="F844" s="53"/>
      <c r="I844" s="4"/>
      <c r="J844" s="4"/>
      <c r="K844" s="4"/>
      <c r="O844" s="4"/>
    </row>
    <row r="845" spans="1:15" ht="21" customHeight="1" x14ac:dyDescent="0.2">
      <c r="A845" s="4"/>
      <c r="B845" s="4"/>
      <c r="C845" s="53"/>
      <c r="D845" s="53"/>
      <c r="E845" s="53"/>
      <c r="F845" s="53"/>
      <c r="I845" s="4"/>
      <c r="J845" s="4"/>
      <c r="K845" s="4"/>
      <c r="O845" s="4"/>
    </row>
    <row r="846" spans="1:15" ht="21" customHeight="1" x14ac:dyDescent="0.2">
      <c r="A846" s="4"/>
      <c r="B846" s="4"/>
      <c r="C846" s="53"/>
      <c r="D846" s="53"/>
      <c r="E846" s="53"/>
      <c r="F846" s="53"/>
      <c r="I846" s="4"/>
      <c r="J846" s="4"/>
      <c r="K846" s="4"/>
      <c r="O846" s="4"/>
    </row>
    <row r="847" spans="1:15" ht="21" customHeight="1" x14ac:dyDescent="0.2">
      <c r="A847" s="4"/>
      <c r="B847" s="4"/>
      <c r="C847" s="53"/>
      <c r="D847" s="53"/>
      <c r="E847" s="53"/>
      <c r="F847" s="53"/>
      <c r="I847" s="4"/>
      <c r="J847" s="4"/>
      <c r="K847" s="4"/>
      <c r="O847" s="4"/>
    </row>
    <row r="848" spans="1:15" ht="21" customHeight="1" x14ac:dyDescent="0.2">
      <c r="A848" s="4"/>
      <c r="B848" s="4"/>
      <c r="C848" s="53"/>
      <c r="D848" s="53"/>
      <c r="E848" s="53"/>
      <c r="F848" s="53"/>
      <c r="I848" s="4"/>
      <c r="J848" s="4"/>
      <c r="K848" s="4"/>
      <c r="O848" s="4"/>
    </row>
    <row r="849" spans="1:15" ht="21" customHeight="1" x14ac:dyDescent="0.2">
      <c r="A849" s="4"/>
      <c r="B849" s="4"/>
      <c r="C849" s="53"/>
      <c r="D849" s="53"/>
      <c r="E849" s="53"/>
      <c r="F849" s="53"/>
      <c r="I849" s="4"/>
      <c r="J849" s="4"/>
      <c r="K849" s="4"/>
      <c r="O849" s="4"/>
    </row>
    <row r="850" spans="1:15" ht="21" customHeight="1" x14ac:dyDescent="0.2">
      <c r="A850" s="4"/>
      <c r="B850" s="4"/>
      <c r="C850" s="53"/>
      <c r="D850" s="53"/>
      <c r="E850" s="53"/>
      <c r="F850" s="53"/>
      <c r="I850" s="4"/>
      <c r="J850" s="4"/>
      <c r="K850" s="4"/>
      <c r="O850" s="4"/>
    </row>
    <row r="851" spans="1:15" ht="21" customHeight="1" x14ac:dyDescent="0.2">
      <c r="A851" s="4"/>
      <c r="B851" s="4"/>
      <c r="C851" s="53"/>
      <c r="D851" s="53"/>
      <c r="E851" s="53"/>
      <c r="F851" s="53"/>
      <c r="I851" s="4"/>
      <c r="J851" s="4"/>
      <c r="K851" s="4"/>
      <c r="O851" s="4"/>
    </row>
    <row r="852" spans="1:15" ht="21" customHeight="1" x14ac:dyDescent="0.2">
      <c r="A852" s="4"/>
      <c r="B852" s="4"/>
      <c r="C852" s="53"/>
      <c r="D852" s="53"/>
      <c r="E852" s="53"/>
      <c r="F852" s="53"/>
      <c r="I852" s="4"/>
      <c r="J852" s="4"/>
      <c r="K852" s="4"/>
      <c r="O852" s="4"/>
    </row>
    <row r="853" spans="1:15" ht="21" customHeight="1" x14ac:dyDescent="0.2">
      <c r="A853" s="4"/>
      <c r="B853" s="4"/>
      <c r="C853" s="53"/>
      <c r="D853" s="53"/>
      <c r="E853" s="53"/>
      <c r="F853" s="53"/>
      <c r="I853" s="4"/>
      <c r="J853" s="4"/>
      <c r="K853" s="4"/>
      <c r="O853" s="4"/>
    </row>
    <row r="854" spans="1:15" ht="21" customHeight="1" x14ac:dyDescent="0.2">
      <c r="A854" s="4"/>
      <c r="B854" s="4"/>
      <c r="C854" s="53"/>
      <c r="D854" s="53"/>
      <c r="E854" s="53"/>
      <c r="F854" s="53"/>
      <c r="I854" s="4"/>
      <c r="J854" s="4"/>
      <c r="K854" s="4"/>
      <c r="O854" s="4"/>
    </row>
    <row r="855" spans="1:15" ht="21" customHeight="1" x14ac:dyDescent="0.2">
      <c r="A855" s="4"/>
      <c r="B855" s="4"/>
      <c r="C855" s="53"/>
      <c r="D855" s="53"/>
      <c r="E855" s="53"/>
      <c r="F855" s="53"/>
      <c r="I855" s="4"/>
      <c r="J855" s="4"/>
      <c r="K855" s="4"/>
      <c r="O855" s="4"/>
    </row>
    <row r="856" spans="1:15" ht="21" customHeight="1" x14ac:dyDescent="0.2">
      <c r="A856" s="4"/>
      <c r="B856" s="4"/>
      <c r="C856" s="53"/>
      <c r="D856" s="53"/>
      <c r="E856" s="53"/>
      <c r="F856" s="53"/>
      <c r="I856" s="4"/>
      <c r="J856" s="4"/>
      <c r="K856" s="4"/>
      <c r="O856" s="4"/>
    </row>
    <row r="857" spans="1:15" ht="21" customHeight="1" x14ac:dyDescent="0.2">
      <c r="A857" s="4"/>
      <c r="B857" s="4"/>
      <c r="C857" s="53"/>
      <c r="D857" s="53"/>
      <c r="E857" s="53"/>
      <c r="F857" s="53"/>
      <c r="I857" s="4"/>
      <c r="J857" s="4"/>
      <c r="K857" s="4"/>
      <c r="O857" s="4"/>
    </row>
    <row r="858" spans="1:15" ht="21" customHeight="1" x14ac:dyDescent="0.2">
      <c r="A858" s="4"/>
      <c r="B858" s="4"/>
      <c r="C858" s="53"/>
      <c r="D858" s="53"/>
      <c r="E858" s="53"/>
      <c r="F858" s="53"/>
      <c r="I858" s="4"/>
      <c r="J858" s="4"/>
      <c r="K858" s="4"/>
      <c r="O858" s="4"/>
    </row>
    <row r="859" spans="1:15" ht="21" customHeight="1" x14ac:dyDescent="0.2">
      <c r="A859" s="4"/>
      <c r="B859" s="4"/>
      <c r="C859" s="53"/>
      <c r="D859" s="53"/>
      <c r="E859" s="53"/>
      <c r="F859" s="53"/>
      <c r="I859" s="4"/>
      <c r="J859" s="4"/>
      <c r="K859" s="4"/>
      <c r="O859" s="4"/>
    </row>
    <row r="860" spans="1:15" ht="21" customHeight="1" x14ac:dyDescent="0.2">
      <c r="A860" s="4"/>
      <c r="B860" s="4"/>
      <c r="C860" s="53"/>
      <c r="D860" s="53"/>
      <c r="E860" s="53"/>
      <c r="F860" s="53"/>
      <c r="I860" s="4"/>
      <c r="J860" s="4"/>
      <c r="K860" s="4"/>
      <c r="O860" s="4"/>
    </row>
    <row r="861" spans="1:15" ht="21" customHeight="1" x14ac:dyDescent="0.2">
      <c r="A861" s="4"/>
      <c r="B861" s="4"/>
      <c r="C861" s="53"/>
      <c r="D861" s="53"/>
      <c r="E861" s="53"/>
      <c r="F861" s="53"/>
      <c r="I861" s="4"/>
      <c r="J861" s="4"/>
      <c r="K861" s="4"/>
      <c r="O861" s="4"/>
    </row>
    <row r="862" spans="1:15" ht="21" customHeight="1" x14ac:dyDescent="0.2">
      <c r="A862" s="4"/>
      <c r="B862" s="4"/>
      <c r="C862" s="53"/>
      <c r="D862" s="53"/>
      <c r="E862" s="53"/>
      <c r="F862" s="53"/>
      <c r="I862" s="4"/>
      <c r="J862" s="4"/>
      <c r="K862" s="4"/>
      <c r="O862" s="4"/>
    </row>
    <row r="863" spans="1:15" ht="21" customHeight="1" x14ac:dyDescent="0.2">
      <c r="A863" s="4"/>
      <c r="B863" s="4"/>
      <c r="C863" s="53"/>
      <c r="D863" s="53"/>
      <c r="E863" s="53"/>
      <c r="F863" s="53"/>
      <c r="I863" s="4"/>
      <c r="J863" s="4"/>
      <c r="K863" s="4"/>
      <c r="O863" s="4"/>
    </row>
    <row r="864" spans="1:15" ht="21" customHeight="1" x14ac:dyDescent="0.2">
      <c r="A864" s="4"/>
      <c r="B864" s="4"/>
      <c r="C864" s="53"/>
      <c r="D864" s="53"/>
      <c r="E864" s="53"/>
      <c r="F864" s="53"/>
      <c r="I864" s="4"/>
      <c r="J864" s="4"/>
      <c r="K864" s="4"/>
      <c r="O864" s="4"/>
    </row>
    <row r="865" spans="1:15" ht="21" customHeight="1" x14ac:dyDescent="0.2">
      <c r="A865" s="4"/>
      <c r="B865" s="4"/>
      <c r="C865" s="53"/>
      <c r="D865" s="53"/>
      <c r="E865" s="53"/>
      <c r="F865" s="53"/>
      <c r="I865" s="4"/>
      <c r="J865" s="4"/>
      <c r="K865" s="4"/>
      <c r="O865" s="4"/>
    </row>
    <row r="866" spans="1:15" ht="21" customHeight="1" x14ac:dyDescent="0.2">
      <c r="A866" s="4"/>
      <c r="B866" s="4"/>
      <c r="C866" s="53"/>
      <c r="D866" s="53"/>
      <c r="E866" s="53"/>
      <c r="F866" s="53"/>
      <c r="I866" s="4"/>
      <c r="J866" s="4"/>
      <c r="K866" s="4"/>
      <c r="O866" s="4"/>
    </row>
    <row r="867" spans="1:15" ht="21" customHeight="1" x14ac:dyDescent="0.2">
      <c r="A867" s="4"/>
      <c r="B867" s="4"/>
      <c r="C867" s="53"/>
      <c r="D867" s="53"/>
      <c r="E867" s="53"/>
      <c r="F867" s="53"/>
      <c r="I867" s="4"/>
      <c r="J867" s="4"/>
      <c r="K867" s="4"/>
      <c r="O867" s="4"/>
    </row>
    <row r="868" spans="1:15" ht="21" customHeight="1" x14ac:dyDescent="0.2">
      <c r="A868" s="4"/>
      <c r="B868" s="4"/>
      <c r="C868" s="53"/>
      <c r="D868" s="53"/>
      <c r="E868" s="53"/>
      <c r="F868" s="53"/>
      <c r="I868" s="4"/>
      <c r="J868" s="4"/>
      <c r="K868" s="4"/>
      <c r="O868" s="4"/>
    </row>
    <row r="869" spans="1:15" ht="21" customHeight="1" x14ac:dyDescent="0.2">
      <c r="A869" s="4"/>
      <c r="B869" s="4"/>
      <c r="C869" s="53"/>
      <c r="D869" s="53"/>
      <c r="E869" s="53"/>
      <c r="F869" s="53"/>
      <c r="I869" s="4"/>
      <c r="J869" s="4"/>
      <c r="K869" s="4"/>
      <c r="O869" s="4"/>
    </row>
    <row r="870" spans="1:15" ht="21" customHeight="1" x14ac:dyDescent="0.2">
      <c r="A870" s="4"/>
      <c r="B870" s="4"/>
      <c r="C870" s="53"/>
      <c r="D870" s="53"/>
      <c r="E870" s="53"/>
      <c r="F870" s="53"/>
      <c r="I870" s="4"/>
      <c r="J870" s="4"/>
      <c r="K870" s="4"/>
      <c r="O870" s="4"/>
    </row>
    <row r="871" spans="1:15" ht="21" customHeight="1" x14ac:dyDescent="0.2">
      <c r="A871" s="4"/>
      <c r="B871" s="4"/>
      <c r="C871" s="53"/>
      <c r="D871" s="53"/>
      <c r="E871" s="53"/>
      <c r="F871" s="53"/>
      <c r="I871" s="4"/>
      <c r="J871" s="4"/>
      <c r="K871" s="4"/>
      <c r="O871" s="4"/>
    </row>
    <row r="872" spans="1:15" ht="21" customHeight="1" x14ac:dyDescent="0.2">
      <c r="A872" s="4"/>
      <c r="B872" s="4"/>
      <c r="C872" s="53"/>
      <c r="D872" s="53"/>
      <c r="E872" s="53"/>
      <c r="F872" s="53"/>
      <c r="I872" s="4"/>
      <c r="J872" s="4"/>
      <c r="K872" s="4"/>
      <c r="O872" s="4"/>
    </row>
    <row r="873" spans="1:15" ht="21" customHeight="1" x14ac:dyDescent="0.2">
      <c r="A873" s="4"/>
      <c r="B873" s="4"/>
      <c r="C873" s="53"/>
      <c r="D873" s="53"/>
      <c r="E873" s="53"/>
      <c r="F873" s="53"/>
      <c r="I873" s="4"/>
      <c r="J873" s="4"/>
      <c r="K873" s="4"/>
      <c r="O873" s="4"/>
    </row>
    <row r="874" spans="1:15" ht="21" customHeight="1" x14ac:dyDescent="0.2">
      <c r="A874" s="4"/>
      <c r="B874" s="4"/>
      <c r="C874" s="53"/>
      <c r="D874" s="53"/>
      <c r="E874" s="53"/>
      <c r="F874" s="53"/>
      <c r="I874" s="4"/>
      <c r="J874" s="4"/>
      <c r="K874" s="4"/>
      <c r="O874" s="4"/>
    </row>
    <row r="875" spans="1:15" ht="21" customHeight="1" x14ac:dyDescent="0.2">
      <c r="A875" s="4"/>
      <c r="B875" s="4"/>
      <c r="C875" s="53"/>
      <c r="D875" s="53"/>
      <c r="E875" s="53"/>
      <c r="F875" s="53"/>
      <c r="I875" s="4"/>
      <c r="J875" s="4"/>
      <c r="K875" s="4"/>
      <c r="O875" s="4"/>
    </row>
    <row r="876" spans="1:15" ht="21" customHeight="1" x14ac:dyDescent="0.2">
      <c r="A876" s="4"/>
      <c r="B876" s="4"/>
      <c r="C876" s="53"/>
      <c r="D876" s="53"/>
      <c r="E876" s="53"/>
      <c r="F876" s="53"/>
      <c r="I876" s="4"/>
      <c r="J876" s="4"/>
      <c r="K876" s="4"/>
      <c r="O876" s="4"/>
    </row>
    <row r="877" spans="1:15" ht="21" customHeight="1" x14ac:dyDescent="0.2">
      <c r="A877" s="4"/>
      <c r="B877" s="4"/>
      <c r="C877" s="53"/>
      <c r="D877" s="53"/>
      <c r="E877" s="53"/>
      <c r="F877" s="53"/>
      <c r="I877" s="4"/>
      <c r="J877" s="4"/>
      <c r="K877" s="4"/>
      <c r="O877" s="4"/>
    </row>
    <row r="878" spans="1:15" ht="21" customHeight="1" x14ac:dyDescent="0.2">
      <c r="A878" s="4"/>
      <c r="B878" s="4"/>
      <c r="C878" s="53"/>
      <c r="D878" s="53"/>
      <c r="E878" s="53"/>
      <c r="F878" s="53"/>
      <c r="I878" s="4"/>
      <c r="J878" s="4"/>
      <c r="K878" s="4"/>
      <c r="O878" s="4"/>
    </row>
    <row r="879" spans="1:15" ht="21" customHeight="1" x14ac:dyDescent="0.2">
      <c r="A879" s="4"/>
      <c r="B879" s="4"/>
      <c r="C879" s="53"/>
      <c r="D879" s="53"/>
      <c r="E879" s="53"/>
      <c r="F879" s="53"/>
      <c r="I879" s="4"/>
      <c r="J879" s="4"/>
      <c r="K879" s="4"/>
      <c r="O879" s="4"/>
    </row>
    <row r="880" spans="1:15" ht="21" customHeight="1" x14ac:dyDescent="0.2">
      <c r="A880" s="4"/>
      <c r="B880" s="4"/>
      <c r="C880" s="53"/>
      <c r="D880" s="53"/>
      <c r="E880" s="53"/>
      <c r="F880" s="53"/>
      <c r="I880" s="4"/>
      <c r="J880" s="4"/>
      <c r="K880" s="4"/>
      <c r="O880" s="4"/>
    </row>
    <row r="881" spans="1:15" ht="21" customHeight="1" x14ac:dyDescent="0.2">
      <c r="A881" s="4"/>
      <c r="B881" s="4"/>
      <c r="C881" s="53"/>
      <c r="D881" s="53"/>
      <c r="E881" s="53"/>
      <c r="F881" s="53"/>
      <c r="I881" s="4"/>
      <c r="J881" s="4"/>
      <c r="K881" s="4"/>
      <c r="O881" s="4"/>
    </row>
    <row r="882" spans="1:15" ht="21" customHeight="1" x14ac:dyDescent="0.2">
      <c r="A882" s="4"/>
      <c r="B882" s="4"/>
      <c r="C882" s="53"/>
      <c r="D882" s="53"/>
      <c r="E882" s="53"/>
      <c r="F882" s="53"/>
      <c r="I882" s="4"/>
      <c r="J882" s="4"/>
      <c r="K882" s="4"/>
      <c r="O882" s="4"/>
    </row>
    <row r="883" spans="1:15" ht="21" customHeight="1" x14ac:dyDescent="0.2">
      <c r="A883" s="4"/>
      <c r="B883" s="4"/>
      <c r="C883" s="53"/>
      <c r="D883" s="53"/>
      <c r="E883" s="53"/>
      <c r="F883" s="53"/>
      <c r="I883" s="4"/>
      <c r="J883" s="4"/>
      <c r="K883" s="4"/>
      <c r="O883" s="4"/>
    </row>
    <row r="884" spans="1:15" ht="21" customHeight="1" x14ac:dyDescent="0.2">
      <c r="A884" s="4"/>
      <c r="B884" s="4"/>
      <c r="C884" s="53"/>
      <c r="D884" s="53"/>
      <c r="E884" s="53"/>
      <c r="F884" s="53"/>
      <c r="I884" s="4"/>
      <c r="J884" s="4"/>
      <c r="K884" s="4"/>
      <c r="O884" s="4"/>
    </row>
    <row r="885" spans="1:15" ht="21" customHeight="1" x14ac:dyDescent="0.2">
      <c r="A885" s="4"/>
      <c r="B885" s="4"/>
      <c r="C885" s="53"/>
      <c r="D885" s="53"/>
      <c r="E885" s="53"/>
      <c r="F885" s="53"/>
      <c r="I885" s="4"/>
      <c r="J885" s="4"/>
      <c r="K885" s="4"/>
      <c r="O885" s="4"/>
    </row>
    <row r="886" spans="1:15" ht="21" customHeight="1" x14ac:dyDescent="0.2">
      <c r="A886" s="4"/>
      <c r="B886" s="4"/>
      <c r="C886" s="53"/>
      <c r="D886" s="53"/>
      <c r="E886" s="53"/>
      <c r="F886" s="53"/>
      <c r="I886" s="4"/>
      <c r="J886" s="4"/>
      <c r="K886" s="4"/>
      <c r="O886" s="4"/>
    </row>
    <row r="887" spans="1:15" ht="21" customHeight="1" x14ac:dyDescent="0.2">
      <c r="A887" s="4"/>
      <c r="B887" s="4"/>
      <c r="C887" s="53"/>
      <c r="D887" s="53"/>
      <c r="E887" s="53"/>
      <c r="F887" s="53"/>
      <c r="I887" s="4"/>
      <c r="J887" s="4"/>
      <c r="K887" s="4"/>
      <c r="O887" s="4"/>
    </row>
    <row r="888" spans="1:15" ht="21" customHeight="1" x14ac:dyDescent="0.2">
      <c r="A888" s="4"/>
      <c r="B888" s="4"/>
      <c r="C888" s="53"/>
      <c r="D888" s="53"/>
      <c r="E888" s="53"/>
      <c r="F888" s="53"/>
      <c r="I888" s="4"/>
      <c r="J888" s="4"/>
      <c r="K888" s="4"/>
      <c r="O888" s="4"/>
    </row>
    <row r="889" spans="1:15" ht="21" customHeight="1" x14ac:dyDescent="0.2">
      <c r="A889" s="4"/>
      <c r="B889" s="4"/>
      <c r="C889" s="53"/>
      <c r="D889" s="53"/>
      <c r="E889" s="53"/>
      <c r="F889" s="53"/>
      <c r="I889" s="4"/>
      <c r="J889" s="4"/>
      <c r="K889" s="4"/>
      <c r="O889" s="4"/>
    </row>
    <row r="890" spans="1:15" ht="21" customHeight="1" x14ac:dyDescent="0.2">
      <c r="A890" s="4"/>
      <c r="B890" s="4"/>
      <c r="C890" s="53"/>
      <c r="D890" s="53"/>
      <c r="E890" s="53"/>
      <c r="F890" s="53"/>
      <c r="I890" s="4"/>
      <c r="J890" s="4"/>
      <c r="K890" s="4"/>
      <c r="O890" s="4"/>
    </row>
    <row r="891" spans="1:15" ht="21" customHeight="1" x14ac:dyDescent="0.2">
      <c r="A891" s="4"/>
      <c r="B891" s="4"/>
      <c r="C891" s="53"/>
      <c r="D891" s="53"/>
      <c r="E891" s="53"/>
      <c r="F891" s="53"/>
      <c r="I891" s="4"/>
      <c r="J891" s="4"/>
      <c r="K891" s="4"/>
      <c r="O891" s="4"/>
    </row>
    <row r="892" spans="1:15" ht="21" customHeight="1" x14ac:dyDescent="0.2">
      <c r="A892" s="4"/>
      <c r="B892" s="4"/>
      <c r="C892" s="53"/>
      <c r="D892" s="53"/>
      <c r="E892" s="53"/>
      <c r="F892" s="53"/>
      <c r="I892" s="4"/>
      <c r="J892" s="4"/>
      <c r="K892" s="4"/>
      <c r="O892" s="4"/>
    </row>
    <row r="893" spans="1:15" ht="21" customHeight="1" x14ac:dyDescent="0.2">
      <c r="A893" s="4"/>
      <c r="B893" s="4"/>
      <c r="C893" s="53"/>
      <c r="D893" s="53"/>
      <c r="E893" s="53"/>
      <c r="F893" s="53"/>
      <c r="I893" s="4"/>
      <c r="J893" s="4"/>
      <c r="K893" s="4"/>
      <c r="O893" s="4"/>
    </row>
    <row r="894" spans="1:15" ht="21" customHeight="1" x14ac:dyDescent="0.2">
      <c r="A894" s="4"/>
      <c r="B894" s="4"/>
      <c r="C894" s="53"/>
      <c r="D894" s="53"/>
      <c r="E894" s="53"/>
      <c r="F894" s="53"/>
      <c r="I894" s="4"/>
      <c r="J894" s="4"/>
      <c r="K894" s="4"/>
      <c r="O894" s="4"/>
    </row>
    <row r="895" spans="1:15" ht="21" customHeight="1" x14ac:dyDescent="0.2">
      <c r="A895" s="4"/>
      <c r="B895" s="4"/>
      <c r="C895" s="53"/>
      <c r="D895" s="53"/>
      <c r="E895" s="53"/>
      <c r="F895" s="53"/>
      <c r="I895" s="4"/>
      <c r="J895" s="4"/>
      <c r="K895" s="4"/>
      <c r="O895" s="4"/>
    </row>
    <row r="896" spans="1:15" ht="21" customHeight="1" x14ac:dyDescent="0.2">
      <c r="A896" s="4"/>
      <c r="B896" s="4"/>
      <c r="C896" s="53"/>
      <c r="D896" s="53"/>
      <c r="E896" s="53"/>
      <c r="F896" s="53"/>
      <c r="I896" s="4"/>
      <c r="J896" s="4"/>
      <c r="K896" s="4"/>
      <c r="O896" s="4"/>
    </row>
    <row r="897" spans="1:15" ht="21" customHeight="1" x14ac:dyDescent="0.2">
      <c r="A897" s="4"/>
      <c r="B897" s="4"/>
      <c r="C897" s="53"/>
      <c r="D897" s="53"/>
      <c r="E897" s="53"/>
      <c r="F897" s="53"/>
      <c r="I897" s="4"/>
      <c r="J897" s="4"/>
      <c r="K897" s="4"/>
      <c r="O897" s="4"/>
    </row>
    <row r="898" spans="1:15" ht="21" customHeight="1" x14ac:dyDescent="0.2">
      <c r="A898" s="4"/>
      <c r="B898" s="4"/>
      <c r="C898" s="53"/>
      <c r="D898" s="53"/>
      <c r="E898" s="53"/>
      <c r="F898" s="53"/>
      <c r="I898" s="4"/>
      <c r="J898" s="4"/>
      <c r="K898" s="4"/>
      <c r="O898" s="4"/>
    </row>
    <row r="899" spans="1:15" ht="21" customHeight="1" x14ac:dyDescent="0.2">
      <c r="A899" s="4"/>
      <c r="B899" s="4"/>
      <c r="C899" s="53"/>
      <c r="D899" s="53"/>
      <c r="E899" s="53"/>
      <c r="F899" s="53"/>
      <c r="I899" s="4"/>
      <c r="J899" s="4"/>
      <c r="K899" s="4"/>
      <c r="O899" s="4"/>
    </row>
    <row r="900" spans="1:15" ht="21" customHeight="1" x14ac:dyDescent="0.2">
      <c r="A900" s="4"/>
      <c r="B900" s="4"/>
      <c r="C900" s="53"/>
      <c r="D900" s="53"/>
      <c r="E900" s="53"/>
      <c r="F900" s="53"/>
      <c r="I900" s="4"/>
      <c r="J900" s="4"/>
      <c r="K900" s="4"/>
      <c r="O900" s="4"/>
    </row>
    <row r="901" spans="1:15" ht="21" customHeight="1" x14ac:dyDescent="0.2">
      <c r="A901" s="4"/>
      <c r="B901" s="4"/>
      <c r="C901" s="53"/>
      <c r="D901" s="53"/>
      <c r="E901" s="53"/>
      <c r="F901" s="53"/>
      <c r="I901" s="4"/>
      <c r="J901" s="4"/>
      <c r="K901" s="4"/>
      <c r="O901" s="4"/>
    </row>
    <row r="902" spans="1:15" ht="21" customHeight="1" x14ac:dyDescent="0.2">
      <c r="A902" s="4"/>
      <c r="B902" s="4"/>
      <c r="C902" s="53"/>
      <c r="D902" s="53"/>
      <c r="E902" s="53"/>
      <c r="F902" s="53"/>
      <c r="I902" s="4"/>
      <c r="J902" s="4"/>
      <c r="K902" s="4"/>
      <c r="O902" s="4"/>
    </row>
    <row r="903" spans="1:15" ht="21" customHeight="1" x14ac:dyDescent="0.2">
      <c r="A903" s="4"/>
      <c r="B903" s="4"/>
      <c r="C903" s="53"/>
      <c r="D903" s="53"/>
      <c r="E903" s="53"/>
      <c r="F903" s="53"/>
      <c r="I903" s="4"/>
      <c r="J903" s="4"/>
      <c r="K903" s="4"/>
      <c r="O903" s="4"/>
    </row>
    <row r="904" spans="1:15" ht="21" customHeight="1" x14ac:dyDescent="0.2">
      <c r="A904" s="4"/>
      <c r="B904" s="4"/>
      <c r="C904" s="53"/>
      <c r="D904" s="53"/>
      <c r="E904" s="53"/>
      <c r="F904" s="53"/>
      <c r="I904" s="4"/>
      <c r="J904" s="4"/>
      <c r="K904" s="4"/>
      <c r="O904" s="4"/>
    </row>
    <row r="905" spans="1:15" ht="21" customHeight="1" x14ac:dyDescent="0.2">
      <c r="A905" s="4"/>
      <c r="B905" s="4"/>
      <c r="C905" s="53"/>
      <c r="D905" s="53"/>
      <c r="E905" s="53"/>
      <c r="F905" s="53"/>
      <c r="I905" s="4"/>
      <c r="J905" s="4"/>
      <c r="K905" s="4"/>
      <c r="O905" s="4"/>
    </row>
    <row r="906" spans="1:15" ht="21" customHeight="1" x14ac:dyDescent="0.2">
      <c r="A906" s="4"/>
      <c r="B906" s="4"/>
      <c r="C906" s="53"/>
      <c r="D906" s="53"/>
      <c r="E906" s="53"/>
      <c r="F906" s="53"/>
      <c r="I906" s="4"/>
      <c r="J906" s="4"/>
      <c r="K906" s="4"/>
      <c r="O906" s="4"/>
    </row>
    <row r="907" spans="1:15" ht="21" customHeight="1" x14ac:dyDescent="0.2">
      <c r="A907" s="4"/>
      <c r="B907" s="4"/>
      <c r="C907" s="53"/>
      <c r="D907" s="53"/>
      <c r="E907" s="53"/>
      <c r="F907" s="53"/>
      <c r="I907" s="4"/>
      <c r="J907" s="4"/>
      <c r="K907" s="4"/>
      <c r="O907" s="4"/>
    </row>
    <row r="908" spans="1:15" ht="21" customHeight="1" x14ac:dyDescent="0.2">
      <c r="A908" s="4"/>
      <c r="B908" s="4"/>
      <c r="C908" s="53"/>
      <c r="D908" s="53"/>
      <c r="E908" s="53"/>
      <c r="F908" s="53"/>
      <c r="I908" s="4"/>
      <c r="J908" s="4"/>
      <c r="K908" s="4"/>
      <c r="O908" s="4"/>
    </row>
    <row r="909" spans="1:15" ht="21" customHeight="1" x14ac:dyDescent="0.2">
      <c r="A909" s="4"/>
      <c r="B909" s="4"/>
      <c r="C909" s="53"/>
      <c r="D909" s="53"/>
      <c r="E909" s="53"/>
      <c r="F909" s="53"/>
      <c r="I909" s="4"/>
      <c r="J909" s="4"/>
      <c r="K909" s="4"/>
      <c r="O909" s="4"/>
    </row>
    <row r="910" spans="1:15" ht="21" customHeight="1" x14ac:dyDescent="0.2">
      <c r="A910" s="4"/>
      <c r="B910" s="4"/>
      <c r="C910" s="53"/>
      <c r="D910" s="53"/>
      <c r="E910" s="53"/>
      <c r="F910" s="53"/>
      <c r="I910" s="4"/>
      <c r="J910" s="4"/>
      <c r="K910" s="4"/>
      <c r="O910" s="4"/>
    </row>
    <row r="911" spans="1:15" ht="21" customHeight="1" x14ac:dyDescent="0.2">
      <c r="A911" s="4"/>
      <c r="B911" s="4"/>
      <c r="C911" s="53"/>
      <c r="D911" s="53"/>
      <c r="E911" s="53"/>
      <c r="F911" s="53"/>
      <c r="I911" s="4"/>
      <c r="J911" s="4"/>
      <c r="K911" s="4"/>
      <c r="O911" s="4"/>
    </row>
    <row r="912" spans="1:15" ht="21" customHeight="1" x14ac:dyDescent="0.2">
      <c r="A912" s="4"/>
      <c r="B912" s="4"/>
      <c r="C912" s="53"/>
      <c r="D912" s="53"/>
      <c r="E912" s="53"/>
      <c r="F912" s="53"/>
      <c r="I912" s="4"/>
      <c r="J912" s="4"/>
      <c r="K912" s="4"/>
      <c r="O912" s="4"/>
    </row>
    <row r="913" spans="1:15" ht="21" customHeight="1" x14ac:dyDescent="0.2">
      <c r="A913" s="4"/>
      <c r="B913" s="4"/>
      <c r="C913" s="53"/>
      <c r="D913" s="53"/>
      <c r="E913" s="53"/>
      <c r="F913" s="53"/>
      <c r="I913" s="4"/>
      <c r="J913" s="4"/>
      <c r="K913" s="4"/>
      <c r="O913" s="4"/>
    </row>
    <row r="914" spans="1:15" ht="21" customHeight="1" x14ac:dyDescent="0.2">
      <c r="A914" s="4"/>
      <c r="B914" s="4"/>
      <c r="C914" s="53"/>
      <c r="D914" s="53"/>
      <c r="E914" s="53"/>
      <c r="F914" s="53"/>
      <c r="I914" s="4"/>
      <c r="J914" s="4"/>
      <c r="K914" s="4"/>
      <c r="O914" s="4"/>
    </row>
    <row r="915" spans="1:15" ht="21" customHeight="1" x14ac:dyDescent="0.2">
      <c r="A915" s="4"/>
      <c r="B915" s="4"/>
      <c r="C915" s="53"/>
      <c r="D915" s="53"/>
      <c r="E915" s="53"/>
      <c r="F915" s="53"/>
      <c r="I915" s="4"/>
      <c r="J915" s="4"/>
      <c r="K915" s="4"/>
      <c r="O915" s="4"/>
    </row>
    <row r="916" spans="1:15" ht="21" customHeight="1" x14ac:dyDescent="0.2">
      <c r="A916" s="4"/>
      <c r="B916" s="4"/>
      <c r="C916" s="53"/>
      <c r="D916" s="53"/>
      <c r="E916" s="53"/>
      <c r="F916" s="53"/>
      <c r="I916" s="4"/>
      <c r="J916" s="4"/>
      <c r="K916" s="4"/>
      <c r="O916" s="4"/>
    </row>
    <row r="917" spans="1:15" ht="21" customHeight="1" x14ac:dyDescent="0.2">
      <c r="A917" s="4"/>
      <c r="B917" s="4"/>
      <c r="C917" s="53"/>
      <c r="D917" s="53"/>
      <c r="E917" s="53"/>
      <c r="F917" s="53"/>
      <c r="I917" s="4"/>
      <c r="J917" s="4"/>
      <c r="K917" s="4"/>
      <c r="O917" s="4"/>
    </row>
    <row r="918" spans="1:15" ht="21" customHeight="1" x14ac:dyDescent="0.2">
      <c r="A918" s="4"/>
      <c r="B918" s="4"/>
      <c r="C918" s="53"/>
      <c r="D918" s="53"/>
      <c r="E918" s="53"/>
      <c r="F918" s="53"/>
      <c r="I918" s="4"/>
      <c r="J918" s="4"/>
      <c r="K918" s="4"/>
      <c r="O918" s="4"/>
    </row>
    <row r="919" spans="1:15" ht="21" customHeight="1" x14ac:dyDescent="0.2">
      <c r="A919" s="4"/>
      <c r="B919" s="4"/>
      <c r="C919" s="53"/>
      <c r="D919" s="53"/>
      <c r="E919" s="53"/>
      <c r="F919" s="53"/>
      <c r="I919" s="4"/>
      <c r="J919" s="4"/>
      <c r="K919" s="4"/>
      <c r="O919" s="4"/>
    </row>
    <row r="920" spans="1:15" ht="21" customHeight="1" x14ac:dyDescent="0.2">
      <c r="A920" s="4"/>
      <c r="B920" s="4"/>
      <c r="C920" s="53"/>
      <c r="D920" s="53"/>
      <c r="E920" s="53"/>
      <c r="F920" s="53"/>
      <c r="I920" s="4"/>
      <c r="J920" s="4"/>
      <c r="K920" s="4"/>
      <c r="O920" s="4"/>
    </row>
    <row r="921" spans="1:15" ht="21" customHeight="1" x14ac:dyDescent="0.2">
      <c r="A921" s="4"/>
      <c r="B921" s="4"/>
      <c r="C921" s="53"/>
      <c r="D921" s="53"/>
      <c r="E921" s="53"/>
      <c r="F921" s="53"/>
      <c r="I921" s="4"/>
      <c r="J921" s="4"/>
      <c r="K921" s="4"/>
      <c r="O921" s="4"/>
    </row>
    <row r="922" spans="1:15" ht="21" customHeight="1" x14ac:dyDescent="0.2">
      <c r="A922" s="4"/>
      <c r="B922" s="4"/>
      <c r="C922" s="53"/>
      <c r="D922" s="53"/>
      <c r="E922" s="53"/>
      <c r="F922" s="53"/>
      <c r="I922" s="4"/>
      <c r="J922" s="4"/>
      <c r="K922" s="4"/>
      <c r="O922" s="4"/>
    </row>
    <row r="923" spans="1:15" ht="21" customHeight="1" x14ac:dyDescent="0.2">
      <c r="A923" s="4"/>
      <c r="B923" s="4"/>
      <c r="C923" s="53"/>
      <c r="D923" s="53"/>
      <c r="E923" s="53"/>
      <c r="F923" s="53"/>
      <c r="I923" s="4"/>
      <c r="J923" s="4"/>
      <c r="K923" s="4"/>
      <c r="O923" s="4"/>
    </row>
    <row r="924" spans="1:15" ht="21" customHeight="1" x14ac:dyDescent="0.2">
      <c r="A924" s="4"/>
      <c r="B924" s="4"/>
      <c r="C924" s="53"/>
      <c r="D924" s="53"/>
      <c r="E924" s="53"/>
      <c r="F924" s="53"/>
      <c r="I924" s="4"/>
      <c r="J924" s="4"/>
      <c r="K924" s="4"/>
      <c r="O924" s="4"/>
    </row>
    <row r="925" spans="1:15" ht="21" customHeight="1" x14ac:dyDescent="0.2">
      <c r="A925" s="4"/>
      <c r="B925" s="4"/>
      <c r="C925" s="53"/>
      <c r="D925" s="53"/>
      <c r="E925" s="53"/>
      <c r="F925" s="53"/>
      <c r="I925" s="4"/>
      <c r="J925" s="4"/>
      <c r="K925" s="4"/>
      <c r="O925" s="4"/>
    </row>
    <row r="926" spans="1:15" ht="21" customHeight="1" x14ac:dyDescent="0.2">
      <c r="A926" s="4"/>
      <c r="B926" s="4"/>
      <c r="C926" s="53"/>
      <c r="D926" s="53"/>
      <c r="E926" s="53"/>
      <c r="F926" s="53"/>
      <c r="I926" s="4"/>
      <c r="J926" s="4"/>
      <c r="K926" s="4"/>
      <c r="O926" s="4"/>
    </row>
    <row r="927" spans="1:15" ht="21" customHeight="1" x14ac:dyDescent="0.2">
      <c r="A927" s="4"/>
      <c r="B927" s="4"/>
      <c r="C927" s="53"/>
      <c r="D927" s="53"/>
      <c r="E927" s="53"/>
      <c r="F927" s="53"/>
      <c r="I927" s="4"/>
      <c r="J927" s="4"/>
      <c r="K927" s="4"/>
      <c r="O927" s="4"/>
    </row>
    <row r="928" spans="1:15" ht="21" customHeight="1" x14ac:dyDescent="0.2">
      <c r="A928" s="4"/>
      <c r="B928" s="4"/>
      <c r="C928" s="53"/>
      <c r="D928" s="53"/>
      <c r="E928" s="53"/>
      <c r="F928" s="53"/>
      <c r="I928" s="4"/>
      <c r="J928" s="4"/>
      <c r="K928" s="4"/>
      <c r="O928" s="4"/>
    </row>
    <row r="929" spans="1:15" ht="21" customHeight="1" x14ac:dyDescent="0.2">
      <c r="A929" s="4"/>
      <c r="B929" s="4"/>
      <c r="C929" s="53"/>
      <c r="D929" s="53"/>
      <c r="E929" s="53"/>
      <c r="F929" s="53"/>
      <c r="I929" s="4"/>
      <c r="J929" s="4"/>
      <c r="K929" s="4"/>
      <c r="O929" s="4"/>
    </row>
    <row r="930" spans="1:15" ht="21" customHeight="1" x14ac:dyDescent="0.2">
      <c r="A930" s="4"/>
      <c r="B930" s="4"/>
      <c r="C930" s="53"/>
      <c r="D930" s="53"/>
      <c r="E930" s="53"/>
      <c r="F930" s="53"/>
      <c r="I930" s="4"/>
      <c r="J930" s="4"/>
      <c r="K930" s="4"/>
      <c r="O930" s="4"/>
    </row>
    <row r="931" spans="1:15" ht="21" customHeight="1" x14ac:dyDescent="0.2">
      <c r="A931" s="4"/>
      <c r="B931" s="4"/>
      <c r="C931" s="53"/>
      <c r="D931" s="53"/>
      <c r="E931" s="53"/>
      <c r="F931" s="53"/>
      <c r="I931" s="4"/>
      <c r="J931" s="4"/>
      <c r="K931" s="4"/>
      <c r="O931" s="4"/>
    </row>
    <row r="932" spans="1:15" ht="21" customHeight="1" x14ac:dyDescent="0.2">
      <c r="A932" s="4"/>
      <c r="B932" s="4"/>
      <c r="C932" s="53"/>
      <c r="D932" s="53"/>
      <c r="E932" s="53"/>
      <c r="F932" s="53"/>
      <c r="I932" s="4"/>
      <c r="J932" s="4"/>
      <c r="K932" s="4"/>
      <c r="O932" s="4"/>
    </row>
    <row r="933" spans="1:15" ht="21" customHeight="1" x14ac:dyDescent="0.2">
      <c r="A933" s="4"/>
      <c r="B933" s="4"/>
      <c r="C933" s="53"/>
      <c r="D933" s="53"/>
      <c r="E933" s="53"/>
      <c r="F933" s="53"/>
      <c r="I933" s="4"/>
      <c r="J933" s="4"/>
      <c r="K933" s="4"/>
      <c r="O933" s="4"/>
    </row>
    <row r="934" spans="1:15" ht="21" customHeight="1" x14ac:dyDescent="0.2">
      <c r="A934" s="4"/>
      <c r="B934" s="4"/>
      <c r="C934" s="53"/>
      <c r="D934" s="53"/>
      <c r="E934" s="53"/>
      <c r="F934" s="53"/>
      <c r="I934" s="4"/>
      <c r="J934" s="4"/>
      <c r="K934" s="4"/>
      <c r="O934" s="4"/>
    </row>
    <row r="935" spans="1:15" ht="21" customHeight="1" x14ac:dyDescent="0.2">
      <c r="A935" s="4"/>
      <c r="B935" s="4"/>
      <c r="C935" s="53"/>
      <c r="D935" s="53"/>
      <c r="E935" s="53"/>
      <c r="F935" s="53"/>
      <c r="I935" s="4"/>
      <c r="J935" s="4"/>
      <c r="K935" s="4"/>
      <c r="O935" s="4"/>
    </row>
    <row r="936" spans="1:15" ht="21" customHeight="1" x14ac:dyDescent="0.2">
      <c r="A936" s="4"/>
      <c r="B936" s="4"/>
      <c r="C936" s="53"/>
      <c r="D936" s="53"/>
      <c r="E936" s="53"/>
      <c r="F936" s="53"/>
      <c r="I936" s="4"/>
      <c r="J936" s="4"/>
      <c r="K936" s="4"/>
      <c r="O936" s="4"/>
    </row>
    <row r="937" spans="1:15" ht="21" customHeight="1" x14ac:dyDescent="0.2">
      <c r="A937" s="4"/>
      <c r="B937" s="4"/>
      <c r="C937" s="53"/>
      <c r="D937" s="53"/>
      <c r="E937" s="53"/>
      <c r="F937" s="53"/>
      <c r="I937" s="4"/>
      <c r="J937" s="4"/>
      <c r="K937" s="4"/>
      <c r="O937" s="4"/>
    </row>
    <row r="938" spans="1:15" ht="21" customHeight="1" x14ac:dyDescent="0.2">
      <c r="A938" s="4"/>
      <c r="B938" s="4"/>
      <c r="C938" s="53"/>
      <c r="D938" s="53"/>
      <c r="E938" s="53"/>
      <c r="F938" s="53"/>
      <c r="I938" s="4"/>
      <c r="J938" s="4"/>
      <c r="K938" s="4"/>
      <c r="O938" s="4"/>
    </row>
    <row r="939" spans="1:15" ht="21" customHeight="1" x14ac:dyDescent="0.2">
      <c r="A939" s="4"/>
      <c r="B939" s="4"/>
      <c r="C939" s="53"/>
      <c r="D939" s="53"/>
      <c r="E939" s="53"/>
      <c r="F939" s="53"/>
      <c r="I939" s="4"/>
      <c r="J939" s="4"/>
      <c r="K939" s="4"/>
      <c r="O939" s="4"/>
    </row>
    <row r="940" spans="1:15" ht="21" customHeight="1" x14ac:dyDescent="0.2">
      <c r="A940" s="4"/>
      <c r="B940" s="4"/>
      <c r="C940" s="53"/>
      <c r="D940" s="53"/>
      <c r="E940" s="53"/>
      <c r="F940" s="53"/>
      <c r="I940" s="4"/>
      <c r="J940" s="4"/>
      <c r="K940" s="4"/>
      <c r="O940" s="4"/>
    </row>
    <row r="941" spans="1:15" ht="21" customHeight="1" x14ac:dyDescent="0.2">
      <c r="A941" s="4"/>
      <c r="B941" s="4"/>
      <c r="C941" s="53"/>
      <c r="D941" s="53"/>
      <c r="E941" s="53"/>
      <c r="F941" s="53"/>
      <c r="I941" s="4"/>
      <c r="J941" s="4"/>
      <c r="K941" s="4"/>
      <c r="O941" s="4"/>
    </row>
    <row r="942" spans="1:15" ht="21" customHeight="1" x14ac:dyDescent="0.2">
      <c r="A942" s="4"/>
      <c r="B942" s="4"/>
      <c r="C942" s="53"/>
      <c r="D942" s="53"/>
      <c r="E942" s="53"/>
      <c r="F942" s="53"/>
      <c r="I942" s="4"/>
      <c r="J942" s="4"/>
      <c r="K942" s="4"/>
      <c r="O942" s="4"/>
    </row>
    <row r="943" spans="1:15" ht="21" customHeight="1" x14ac:dyDescent="0.2">
      <c r="A943" s="4"/>
      <c r="B943" s="4"/>
      <c r="C943" s="53"/>
      <c r="D943" s="53"/>
      <c r="E943" s="53"/>
      <c r="F943" s="53"/>
      <c r="I943" s="4"/>
      <c r="J943" s="4"/>
      <c r="K943" s="4"/>
      <c r="O943" s="4"/>
    </row>
    <row r="944" spans="1:15" ht="21" customHeight="1" x14ac:dyDescent="0.2">
      <c r="A944" s="4"/>
      <c r="B944" s="4"/>
      <c r="C944" s="53"/>
      <c r="D944" s="53"/>
      <c r="E944" s="53"/>
      <c r="F944" s="53"/>
      <c r="I944" s="4"/>
      <c r="J944" s="4"/>
      <c r="K944" s="4"/>
      <c r="O944" s="4"/>
    </row>
    <row r="945" spans="1:15" ht="21" customHeight="1" x14ac:dyDescent="0.2">
      <c r="A945" s="4"/>
      <c r="B945" s="4"/>
      <c r="C945" s="53"/>
      <c r="D945" s="53"/>
      <c r="E945" s="53"/>
      <c r="F945" s="53"/>
      <c r="I945" s="4"/>
      <c r="J945" s="4"/>
      <c r="K945" s="4"/>
      <c r="O945" s="4"/>
    </row>
    <row r="946" spans="1:15" ht="21" customHeight="1" x14ac:dyDescent="0.2">
      <c r="A946" s="4"/>
      <c r="B946" s="4"/>
      <c r="C946" s="53"/>
      <c r="D946" s="53"/>
      <c r="E946" s="53"/>
      <c r="F946" s="53"/>
      <c r="I946" s="4"/>
      <c r="J946" s="4"/>
      <c r="K946" s="4"/>
      <c r="O946" s="4"/>
    </row>
    <row r="947" spans="1:15" ht="21" customHeight="1" x14ac:dyDescent="0.2">
      <c r="A947" s="4"/>
      <c r="B947" s="4"/>
      <c r="C947" s="53"/>
      <c r="D947" s="53"/>
      <c r="E947" s="53"/>
      <c r="F947" s="53"/>
      <c r="I947" s="4"/>
      <c r="J947" s="4"/>
      <c r="K947" s="4"/>
      <c r="O947" s="4"/>
    </row>
    <row r="948" spans="1:15" ht="21" customHeight="1" x14ac:dyDescent="0.2">
      <c r="A948" s="4"/>
      <c r="B948" s="4"/>
      <c r="C948" s="53"/>
      <c r="D948" s="53"/>
      <c r="E948" s="53"/>
      <c r="F948" s="53"/>
      <c r="I948" s="4"/>
      <c r="J948" s="4"/>
      <c r="K948" s="4"/>
      <c r="O948" s="4"/>
    </row>
    <row r="949" spans="1:15" ht="21" customHeight="1" x14ac:dyDescent="0.2">
      <c r="A949" s="4"/>
      <c r="B949" s="4"/>
      <c r="C949" s="53"/>
      <c r="D949" s="53"/>
      <c r="E949" s="53"/>
      <c r="F949" s="53"/>
      <c r="I949" s="4"/>
      <c r="J949" s="4"/>
      <c r="K949" s="4"/>
      <c r="O949" s="4"/>
    </row>
    <row r="950" spans="1:15" ht="21" customHeight="1" x14ac:dyDescent="0.2">
      <c r="A950" s="4"/>
      <c r="B950" s="4"/>
      <c r="C950" s="53"/>
      <c r="D950" s="53"/>
      <c r="E950" s="53"/>
      <c r="F950" s="53"/>
      <c r="I950" s="4"/>
      <c r="J950" s="4"/>
      <c r="K950" s="4"/>
      <c r="O950" s="4"/>
    </row>
    <row r="951" spans="1:15" ht="21" customHeight="1" x14ac:dyDescent="0.2">
      <c r="A951" s="4"/>
      <c r="B951" s="4"/>
      <c r="C951" s="53"/>
      <c r="D951" s="53"/>
      <c r="E951" s="53"/>
      <c r="F951" s="53"/>
      <c r="I951" s="4"/>
      <c r="J951" s="4"/>
      <c r="K951" s="4"/>
      <c r="O951" s="4"/>
    </row>
    <row r="952" spans="1:15" ht="21" customHeight="1" x14ac:dyDescent="0.2">
      <c r="A952" s="4"/>
      <c r="B952" s="4"/>
      <c r="C952" s="53"/>
      <c r="D952" s="53"/>
      <c r="E952" s="53"/>
      <c r="F952" s="53"/>
      <c r="I952" s="4"/>
      <c r="J952" s="4"/>
      <c r="K952" s="4"/>
      <c r="O952" s="4"/>
    </row>
    <row r="953" spans="1:15" ht="21" customHeight="1" x14ac:dyDescent="0.2">
      <c r="A953" s="4"/>
      <c r="B953" s="4"/>
      <c r="C953" s="53"/>
      <c r="D953" s="53"/>
      <c r="E953" s="53"/>
      <c r="F953" s="53"/>
      <c r="I953" s="4"/>
      <c r="J953" s="4"/>
      <c r="K953" s="4"/>
      <c r="O953" s="4"/>
    </row>
    <row r="954" spans="1:15" ht="21" customHeight="1" x14ac:dyDescent="0.2">
      <c r="A954" s="4"/>
      <c r="B954" s="4"/>
      <c r="C954" s="53"/>
      <c r="D954" s="53"/>
      <c r="E954" s="53"/>
      <c r="F954" s="53"/>
      <c r="I954" s="4"/>
      <c r="J954" s="4"/>
      <c r="K954" s="4"/>
      <c r="O954" s="4"/>
    </row>
    <row r="955" spans="1:15" ht="21" customHeight="1" x14ac:dyDescent="0.2">
      <c r="A955" s="4"/>
      <c r="B955" s="4"/>
      <c r="C955" s="53"/>
      <c r="D955" s="53"/>
      <c r="E955" s="53"/>
      <c r="F955" s="53"/>
      <c r="I955" s="4"/>
      <c r="J955" s="4"/>
      <c r="K955" s="4"/>
      <c r="O955" s="4"/>
    </row>
    <row r="956" spans="1:15" ht="21" customHeight="1" x14ac:dyDescent="0.2">
      <c r="A956" s="4"/>
      <c r="B956" s="4"/>
      <c r="C956" s="53"/>
      <c r="D956" s="53"/>
      <c r="E956" s="53"/>
      <c r="F956" s="53"/>
      <c r="I956" s="4"/>
      <c r="J956" s="4"/>
      <c r="K956" s="4"/>
      <c r="O956" s="4"/>
    </row>
    <row r="957" spans="1:15" ht="21" customHeight="1" x14ac:dyDescent="0.2">
      <c r="A957" s="4"/>
      <c r="B957" s="4"/>
      <c r="C957" s="53"/>
      <c r="D957" s="53"/>
      <c r="E957" s="53"/>
      <c r="F957" s="53"/>
      <c r="I957" s="4"/>
      <c r="J957" s="4"/>
      <c r="K957" s="4"/>
      <c r="O957" s="4"/>
    </row>
    <row r="958" spans="1:15" ht="21" customHeight="1" x14ac:dyDescent="0.2">
      <c r="A958" s="4"/>
      <c r="B958" s="4"/>
      <c r="C958" s="53"/>
      <c r="D958" s="53"/>
      <c r="E958" s="53"/>
      <c r="F958" s="53"/>
      <c r="I958" s="4"/>
      <c r="J958" s="4"/>
      <c r="K958" s="4"/>
      <c r="O958" s="4"/>
    </row>
    <row r="959" spans="1:15" ht="21" customHeight="1" x14ac:dyDescent="0.2">
      <c r="A959" s="4"/>
      <c r="B959" s="4"/>
      <c r="C959" s="53"/>
      <c r="D959" s="53"/>
      <c r="E959" s="53"/>
      <c r="F959" s="53"/>
      <c r="I959" s="4"/>
      <c r="J959" s="4"/>
      <c r="K959" s="4"/>
      <c r="O959" s="4"/>
    </row>
    <row r="960" spans="1:15" ht="21" customHeight="1" x14ac:dyDescent="0.2">
      <c r="A960" s="4"/>
      <c r="B960" s="4"/>
      <c r="C960" s="53"/>
      <c r="D960" s="53"/>
      <c r="E960" s="53"/>
      <c r="F960" s="53"/>
      <c r="I960" s="4"/>
      <c r="J960" s="4"/>
      <c r="K960" s="4"/>
      <c r="O960" s="4"/>
    </row>
    <row r="961" spans="1:15" ht="21" customHeight="1" x14ac:dyDescent="0.2">
      <c r="A961" s="4"/>
      <c r="B961" s="4"/>
      <c r="C961" s="53"/>
      <c r="D961" s="53"/>
      <c r="E961" s="53"/>
      <c r="F961" s="53"/>
      <c r="I961" s="4"/>
      <c r="J961" s="4"/>
      <c r="K961" s="4"/>
      <c r="O961" s="4"/>
    </row>
    <row r="962" spans="1:15" ht="21" customHeight="1" x14ac:dyDescent="0.2">
      <c r="A962" s="4"/>
      <c r="B962" s="4"/>
      <c r="C962" s="53"/>
      <c r="D962" s="53"/>
      <c r="E962" s="53"/>
      <c r="F962" s="53"/>
      <c r="I962" s="4"/>
      <c r="J962" s="4"/>
      <c r="K962" s="4"/>
      <c r="O962" s="4"/>
    </row>
    <row r="963" spans="1:15" ht="21" customHeight="1" x14ac:dyDescent="0.2">
      <c r="A963" s="4"/>
      <c r="B963" s="4"/>
      <c r="C963" s="53"/>
      <c r="D963" s="53"/>
      <c r="E963" s="53"/>
      <c r="F963" s="53"/>
      <c r="I963" s="4"/>
      <c r="J963" s="4"/>
      <c r="K963" s="4"/>
      <c r="O963" s="4"/>
    </row>
    <row r="964" spans="1:15" ht="21" customHeight="1" x14ac:dyDescent="0.2">
      <c r="A964" s="4"/>
      <c r="B964" s="4"/>
      <c r="C964" s="53"/>
      <c r="D964" s="53"/>
      <c r="E964" s="53"/>
      <c r="F964" s="53"/>
      <c r="I964" s="4"/>
      <c r="J964" s="4"/>
      <c r="K964" s="4"/>
      <c r="O964" s="4"/>
    </row>
    <row r="965" spans="1:15" ht="21" customHeight="1" x14ac:dyDescent="0.2">
      <c r="A965" s="4"/>
      <c r="B965" s="4"/>
      <c r="C965" s="53"/>
      <c r="D965" s="53"/>
      <c r="E965" s="53"/>
      <c r="F965" s="53"/>
      <c r="I965" s="4"/>
      <c r="J965" s="4"/>
      <c r="K965" s="4"/>
      <c r="O965" s="4"/>
    </row>
    <row r="966" spans="1:15" ht="21" customHeight="1" x14ac:dyDescent="0.2">
      <c r="A966" s="4"/>
      <c r="B966" s="4"/>
      <c r="C966" s="53"/>
      <c r="D966" s="53"/>
      <c r="E966" s="53"/>
      <c r="F966" s="53"/>
      <c r="I966" s="4"/>
      <c r="J966" s="4"/>
      <c r="K966" s="4"/>
      <c r="O966" s="4"/>
    </row>
    <row r="967" spans="1:15" ht="21" customHeight="1" x14ac:dyDescent="0.2">
      <c r="A967" s="4"/>
      <c r="B967" s="4"/>
      <c r="C967" s="53"/>
      <c r="D967" s="53"/>
      <c r="E967" s="53"/>
      <c r="F967" s="53"/>
      <c r="I967" s="4"/>
      <c r="J967" s="4"/>
      <c r="K967" s="4"/>
      <c r="O967" s="4"/>
    </row>
    <row r="968" spans="1:15" ht="21" customHeight="1" x14ac:dyDescent="0.2">
      <c r="A968" s="4"/>
      <c r="B968" s="4"/>
      <c r="C968" s="53"/>
      <c r="D968" s="53"/>
      <c r="E968" s="53"/>
      <c r="F968" s="53"/>
      <c r="I968" s="4"/>
      <c r="J968" s="4"/>
      <c r="K968" s="4"/>
      <c r="O968" s="4"/>
    </row>
    <row r="969" spans="1:15" ht="21" customHeight="1" x14ac:dyDescent="0.2">
      <c r="A969" s="4"/>
      <c r="B969" s="4"/>
      <c r="C969" s="53"/>
      <c r="D969" s="53"/>
      <c r="E969" s="53"/>
      <c r="F969" s="53"/>
      <c r="I969" s="4"/>
      <c r="J969" s="4"/>
      <c r="K969" s="4"/>
      <c r="O969" s="4"/>
    </row>
    <row r="970" spans="1:15" ht="21" customHeight="1" x14ac:dyDescent="0.2">
      <c r="A970" s="4"/>
      <c r="B970" s="4"/>
      <c r="C970" s="53"/>
      <c r="D970" s="53"/>
      <c r="E970" s="53"/>
      <c r="F970" s="53"/>
      <c r="I970" s="4"/>
      <c r="J970" s="4"/>
      <c r="K970" s="4"/>
      <c r="O970" s="4"/>
    </row>
    <row r="971" spans="1:15" ht="21" customHeight="1" x14ac:dyDescent="0.2">
      <c r="A971" s="4"/>
      <c r="B971" s="4"/>
      <c r="C971" s="53"/>
      <c r="D971" s="53"/>
      <c r="E971" s="53"/>
      <c r="F971" s="53"/>
      <c r="I971" s="4"/>
      <c r="J971" s="4"/>
      <c r="K971" s="4"/>
      <c r="O971" s="4"/>
    </row>
    <row r="972" spans="1:15" ht="21" customHeight="1" x14ac:dyDescent="0.2">
      <c r="A972" s="4"/>
      <c r="B972" s="4"/>
      <c r="C972" s="53"/>
      <c r="D972" s="53"/>
      <c r="E972" s="53"/>
      <c r="F972" s="53"/>
      <c r="I972" s="4"/>
      <c r="J972" s="4"/>
      <c r="K972" s="4"/>
      <c r="O972" s="4"/>
    </row>
    <row r="973" spans="1:15" ht="21" customHeight="1" x14ac:dyDescent="0.2">
      <c r="A973" s="4"/>
      <c r="B973" s="4"/>
      <c r="C973" s="53"/>
      <c r="D973" s="53"/>
      <c r="E973" s="53"/>
      <c r="F973" s="53"/>
      <c r="I973" s="4"/>
      <c r="J973" s="4"/>
      <c r="K973" s="4"/>
      <c r="O973" s="4"/>
    </row>
    <row r="974" spans="1:15" ht="21" customHeight="1" x14ac:dyDescent="0.2">
      <c r="A974" s="4"/>
      <c r="B974" s="4"/>
      <c r="C974" s="53"/>
      <c r="D974" s="53"/>
      <c r="E974" s="53"/>
      <c r="F974" s="53"/>
      <c r="I974" s="4"/>
      <c r="J974" s="4"/>
      <c r="K974" s="4"/>
      <c r="O974" s="4"/>
    </row>
    <row r="975" spans="1:15" ht="21" customHeight="1" x14ac:dyDescent="0.2">
      <c r="A975" s="4"/>
      <c r="B975" s="4"/>
      <c r="C975" s="53"/>
      <c r="D975" s="53"/>
      <c r="E975" s="53"/>
      <c r="F975" s="53"/>
      <c r="I975" s="4"/>
      <c r="J975" s="4"/>
      <c r="K975" s="4"/>
      <c r="O975" s="4"/>
    </row>
    <row r="976" spans="1:15" ht="21" customHeight="1" x14ac:dyDescent="0.2">
      <c r="A976" s="4"/>
      <c r="B976" s="4"/>
      <c r="C976" s="53"/>
      <c r="D976" s="53"/>
      <c r="E976" s="53"/>
      <c r="F976" s="53"/>
      <c r="I976" s="4"/>
      <c r="J976" s="4"/>
      <c r="K976" s="4"/>
      <c r="O976" s="4"/>
    </row>
    <row r="977" spans="1:15" ht="21" customHeight="1" x14ac:dyDescent="0.2">
      <c r="A977" s="4"/>
      <c r="B977" s="4"/>
      <c r="C977" s="53"/>
      <c r="D977" s="53"/>
      <c r="E977" s="53"/>
      <c r="F977" s="53"/>
      <c r="I977" s="4"/>
      <c r="J977" s="4"/>
      <c r="K977" s="4"/>
      <c r="O977" s="4"/>
    </row>
    <row r="978" spans="1:15" ht="21" customHeight="1" x14ac:dyDescent="0.2">
      <c r="A978" s="4"/>
      <c r="B978" s="4"/>
      <c r="C978" s="53"/>
      <c r="D978" s="53"/>
      <c r="E978" s="53"/>
      <c r="F978" s="53"/>
      <c r="I978" s="4"/>
      <c r="J978" s="4"/>
      <c r="K978" s="4"/>
      <c r="O978" s="4"/>
    </row>
    <row r="979" spans="1:15" ht="21" customHeight="1" x14ac:dyDescent="0.2">
      <c r="A979" s="4"/>
      <c r="B979" s="4"/>
      <c r="C979" s="53"/>
      <c r="D979" s="53"/>
      <c r="E979" s="53"/>
      <c r="F979" s="53"/>
      <c r="I979" s="4"/>
      <c r="J979" s="4"/>
      <c r="K979" s="4"/>
      <c r="O979" s="4"/>
    </row>
    <row r="980" spans="1:15" ht="21" customHeight="1" x14ac:dyDescent="0.2">
      <c r="A980" s="4"/>
      <c r="B980" s="4"/>
      <c r="C980" s="53"/>
      <c r="D980" s="53"/>
      <c r="E980" s="53"/>
      <c r="F980" s="53"/>
      <c r="I980" s="4"/>
      <c r="J980" s="4"/>
      <c r="K980" s="4"/>
      <c r="O980" s="4"/>
    </row>
    <row r="981" spans="1:15" ht="21" customHeight="1" x14ac:dyDescent="0.2">
      <c r="A981" s="4"/>
      <c r="B981" s="4"/>
      <c r="C981" s="53"/>
      <c r="D981" s="53"/>
      <c r="E981" s="53"/>
      <c r="F981" s="53"/>
      <c r="I981" s="4"/>
      <c r="J981" s="4"/>
      <c r="K981" s="4"/>
      <c r="O981" s="4"/>
    </row>
    <row r="982" spans="1:15" ht="21" customHeight="1" x14ac:dyDescent="0.2">
      <c r="A982" s="4"/>
      <c r="B982" s="4"/>
      <c r="C982" s="53"/>
      <c r="D982" s="53"/>
      <c r="E982" s="53"/>
      <c r="F982" s="53"/>
      <c r="I982" s="4"/>
      <c r="J982" s="4"/>
      <c r="K982" s="4"/>
      <c r="O982" s="4"/>
    </row>
    <row r="983" spans="1:15" ht="21" customHeight="1" x14ac:dyDescent="0.2">
      <c r="A983" s="4"/>
      <c r="B983" s="4"/>
      <c r="C983" s="53"/>
      <c r="D983" s="53"/>
      <c r="E983" s="53"/>
      <c r="F983" s="53"/>
      <c r="I983" s="4"/>
      <c r="J983" s="4"/>
      <c r="K983" s="4"/>
      <c r="O983" s="4"/>
    </row>
    <row r="984" spans="1:15" ht="21" customHeight="1" x14ac:dyDescent="0.2">
      <c r="A984" s="4"/>
      <c r="B984" s="4"/>
      <c r="C984" s="53"/>
      <c r="D984" s="53"/>
      <c r="E984" s="53"/>
      <c r="F984" s="53"/>
      <c r="I984" s="4"/>
      <c r="J984" s="4"/>
      <c r="K984" s="4"/>
      <c r="O984" s="4"/>
    </row>
    <row r="985" spans="1:15" ht="21" customHeight="1" x14ac:dyDescent="0.2">
      <c r="A985" s="4"/>
      <c r="B985" s="4"/>
      <c r="C985" s="53"/>
      <c r="D985" s="53"/>
      <c r="E985" s="53"/>
      <c r="F985" s="53"/>
      <c r="I985" s="4"/>
      <c r="J985" s="4"/>
      <c r="K985" s="4"/>
      <c r="O985" s="4"/>
    </row>
    <row r="986" spans="1:15" ht="21" customHeight="1" x14ac:dyDescent="0.2">
      <c r="A986" s="4"/>
      <c r="B986" s="4"/>
      <c r="C986" s="53"/>
      <c r="D986" s="53"/>
      <c r="E986" s="53"/>
      <c r="F986" s="53"/>
      <c r="I986" s="4"/>
      <c r="J986" s="4"/>
      <c r="K986" s="4"/>
      <c r="O986" s="4"/>
    </row>
    <row r="987" spans="1:15" ht="21" customHeight="1" x14ac:dyDescent="0.2">
      <c r="A987" s="4"/>
      <c r="B987" s="4"/>
      <c r="C987" s="53"/>
      <c r="D987" s="53"/>
      <c r="E987" s="53"/>
      <c r="F987" s="53"/>
      <c r="I987" s="4"/>
      <c r="J987" s="4"/>
      <c r="K987" s="4"/>
      <c r="O987" s="4"/>
    </row>
    <row r="988" spans="1:15" ht="21" customHeight="1" x14ac:dyDescent="0.2">
      <c r="A988" s="4"/>
      <c r="B988" s="4"/>
      <c r="C988" s="53"/>
      <c r="D988" s="53"/>
      <c r="E988" s="53"/>
      <c r="F988" s="53"/>
      <c r="I988" s="4"/>
      <c r="J988" s="4"/>
      <c r="K988" s="4"/>
      <c r="O988" s="4"/>
    </row>
    <row r="989" spans="1:15" ht="21" customHeight="1" x14ac:dyDescent="0.2">
      <c r="A989" s="4"/>
      <c r="B989" s="4"/>
      <c r="C989" s="53"/>
      <c r="D989" s="53"/>
      <c r="E989" s="53"/>
      <c r="F989" s="53"/>
      <c r="I989" s="4"/>
      <c r="J989" s="4"/>
      <c r="K989" s="4"/>
      <c r="O989" s="4"/>
    </row>
    <row r="990" spans="1:15" ht="21" customHeight="1" x14ac:dyDescent="0.2">
      <c r="A990" s="4"/>
      <c r="B990" s="4"/>
      <c r="C990" s="53"/>
      <c r="D990" s="53"/>
      <c r="E990" s="53"/>
      <c r="F990" s="53"/>
      <c r="I990" s="4"/>
      <c r="J990" s="4"/>
      <c r="K990" s="4"/>
      <c r="O990" s="4"/>
    </row>
    <row r="991" spans="1:15" ht="21" customHeight="1" x14ac:dyDescent="0.2">
      <c r="A991" s="4"/>
      <c r="B991" s="4"/>
      <c r="C991" s="53"/>
      <c r="D991" s="53"/>
      <c r="E991" s="53"/>
      <c r="F991" s="53"/>
      <c r="I991" s="4"/>
      <c r="J991" s="4"/>
      <c r="K991" s="4"/>
      <c r="O991" s="4"/>
    </row>
    <row r="992" spans="1:15" ht="21" customHeight="1" x14ac:dyDescent="0.2">
      <c r="A992" s="4"/>
      <c r="B992" s="4"/>
      <c r="C992" s="53"/>
      <c r="D992" s="53"/>
      <c r="E992" s="53"/>
      <c r="F992" s="53"/>
      <c r="I992" s="4"/>
      <c r="J992" s="4"/>
      <c r="K992" s="4"/>
      <c r="O992" s="4"/>
    </row>
    <row r="993" spans="1:15" ht="21" customHeight="1" x14ac:dyDescent="0.2">
      <c r="A993" s="4"/>
      <c r="B993" s="4"/>
      <c r="C993" s="53"/>
      <c r="D993" s="53"/>
      <c r="E993" s="53"/>
      <c r="F993" s="53"/>
      <c r="I993" s="4"/>
      <c r="J993" s="4"/>
      <c r="K993" s="4"/>
      <c r="O993" s="4"/>
    </row>
    <row r="994" spans="1:15" ht="21" customHeight="1" x14ac:dyDescent="0.2">
      <c r="A994" s="4"/>
      <c r="B994" s="4"/>
      <c r="C994" s="53"/>
      <c r="D994" s="53"/>
      <c r="E994" s="53"/>
      <c r="F994" s="53"/>
      <c r="I994" s="4"/>
      <c r="J994" s="4"/>
      <c r="K994" s="4"/>
      <c r="O994" s="4"/>
    </row>
    <row r="995" spans="1:15" ht="21" customHeight="1" x14ac:dyDescent="0.2">
      <c r="A995" s="4"/>
      <c r="B995" s="4"/>
      <c r="C995" s="53"/>
      <c r="D995" s="53"/>
      <c r="E995" s="53"/>
      <c r="F995" s="53"/>
      <c r="I995" s="4"/>
      <c r="J995" s="4"/>
      <c r="K995" s="4"/>
      <c r="O995" s="4"/>
    </row>
    <row r="996" spans="1:15" ht="21" customHeight="1" x14ac:dyDescent="0.2">
      <c r="A996" s="4"/>
      <c r="B996" s="4"/>
      <c r="C996" s="53"/>
      <c r="D996" s="53"/>
      <c r="E996" s="53"/>
      <c r="F996" s="53"/>
      <c r="I996" s="4"/>
      <c r="J996" s="4"/>
      <c r="K996" s="4"/>
      <c r="O996" s="4"/>
    </row>
    <row r="997" spans="1:15" ht="21" customHeight="1" x14ac:dyDescent="0.2">
      <c r="A997" s="4"/>
      <c r="B997" s="4"/>
      <c r="C997" s="53"/>
      <c r="D997" s="53"/>
      <c r="E997" s="53"/>
      <c r="F997" s="53"/>
      <c r="I997" s="4"/>
      <c r="J997" s="4"/>
      <c r="K997" s="4"/>
      <c r="O997" s="4"/>
    </row>
    <row r="998" spans="1:15" ht="21" customHeight="1" x14ac:dyDescent="0.2">
      <c r="A998" s="4"/>
      <c r="B998" s="4"/>
      <c r="C998" s="53"/>
      <c r="D998" s="53"/>
      <c r="E998" s="53"/>
      <c r="F998" s="53"/>
      <c r="I998" s="4"/>
      <c r="J998" s="4"/>
      <c r="K998" s="4"/>
      <c r="O998" s="4"/>
    </row>
    <row r="999" spans="1:15" ht="21" customHeight="1" x14ac:dyDescent="0.2">
      <c r="A999" s="4"/>
      <c r="B999" s="4"/>
      <c r="C999" s="53"/>
      <c r="D999" s="53"/>
      <c r="E999" s="53"/>
      <c r="F999" s="53"/>
      <c r="I999" s="4"/>
      <c r="J999" s="4"/>
      <c r="K999" s="4"/>
      <c r="O999" s="4"/>
    </row>
  </sheetData>
  <sortState xmlns:xlrd2="http://schemas.microsoft.com/office/spreadsheetml/2017/richdata2" ref="A2:X355">
    <sortCondition ref="B2:B355"/>
  </sortState>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88</vt:i4>
      </vt:variant>
    </vt:vector>
  </HeadingPairs>
  <TitlesOfParts>
    <vt:vector size="95" baseType="lpstr">
      <vt:lpstr>DESCRIPTION</vt:lpstr>
      <vt:lpstr>FCID linkages</vt:lpstr>
      <vt:lpstr>literature entries</vt:lpstr>
      <vt:lpstr>Pivot Table_GHG</vt:lpstr>
      <vt:lpstr>Pivot Table_CED</vt:lpstr>
      <vt:lpstr>PROXY def'ns</vt:lpstr>
      <vt:lpstr>MassConv</vt:lpstr>
      <vt:lpstr>all_brassica</vt:lpstr>
      <vt:lpstr>all_fish</vt:lpstr>
      <vt:lpstr>almond</vt:lpstr>
      <vt:lpstr>apple</vt:lpstr>
      <vt:lpstr>apricot</vt:lpstr>
      <vt:lpstr>artichoke_globe</vt:lpstr>
      <vt:lpstr>asparagus</vt:lpstr>
      <vt:lpstr>banana</vt:lpstr>
      <vt:lpstr>bean_dry</vt:lpstr>
      <vt:lpstr>bean_snap_succulent</vt:lpstr>
      <vt:lpstr>beer</vt:lpstr>
      <vt:lpstr>berry</vt:lpstr>
      <vt:lpstr>brass_grns_E</vt:lpstr>
      <vt:lpstr>brass_grns_GHG</vt:lpstr>
      <vt:lpstr>brassica</vt:lpstr>
      <vt:lpstr>brassica_greens</vt:lpstr>
      <vt:lpstr>brassica_roots</vt:lpstr>
      <vt:lpstr>broccoli</vt:lpstr>
      <vt:lpstr>carrot</vt:lpstr>
      <vt:lpstr>cassava</vt:lpstr>
      <vt:lpstr>celery</vt:lpstr>
      <vt:lpstr>cherry</vt:lpstr>
      <vt:lpstr>Chicken</vt:lpstr>
      <vt:lpstr>choc_coffee_tea</vt:lpstr>
      <vt:lpstr>citrus</vt:lpstr>
      <vt:lpstr>clover_seed</vt:lpstr>
      <vt:lpstr>coconut_meat</vt:lpstr>
      <vt:lpstr>coconut_oil</vt:lpstr>
      <vt:lpstr>corn_flour</vt:lpstr>
      <vt:lpstr>corn_starch</vt:lpstr>
      <vt:lpstr>cucumber</vt:lpstr>
      <vt:lpstr>cucurbits</vt:lpstr>
      <vt:lpstr>dried_herbs</vt:lpstr>
      <vt:lpstr>endive</vt:lpstr>
      <vt:lpstr>Escarole</vt:lpstr>
      <vt:lpstr>flours</vt:lpstr>
      <vt:lpstr>Fluid_milk_cow</vt:lpstr>
      <vt:lpstr>fresh_herbs</vt:lpstr>
      <vt:lpstr>ginger</vt:lpstr>
      <vt:lpstr>grains</vt:lpstr>
      <vt:lpstr>grape</vt:lpstr>
      <vt:lpstr>grape_raisin</vt:lpstr>
      <vt:lpstr>greens</vt:lpstr>
      <vt:lpstr>honey</vt:lpstr>
      <vt:lpstr>legume_seed</vt:lpstr>
      <vt:lpstr>lentil_seed</vt:lpstr>
      <vt:lpstr>Maple_syrup</vt:lpstr>
      <vt:lpstr>melon</vt:lpstr>
      <vt:lpstr>nightshades</vt:lpstr>
      <vt:lpstr>nonruminant_meat</vt:lpstr>
      <vt:lpstr>nut</vt:lpstr>
      <vt:lpstr>oat_flour</vt:lpstr>
      <vt:lpstr>oils</vt:lpstr>
      <vt:lpstr>oilseed_oil</vt:lpstr>
      <vt:lpstr>onion_bulb</vt:lpstr>
      <vt:lpstr>orange</vt:lpstr>
      <vt:lpstr>papaya</vt:lpstr>
      <vt:lpstr>Pea_pigeon_seed</vt:lpstr>
      <vt:lpstr>peach</vt:lpstr>
      <vt:lpstr>pear</vt:lpstr>
      <vt:lpstr>pepper_bell</vt:lpstr>
      <vt:lpstr>pineapple</vt:lpstr>
      <vt:lpstr>plum</vt:lpstr>
      <vt:lpstr>potato</vt:lpstr>
      <vt:lpstr>processed_tomato</vt:lpstr>
      <vt:lpstr>rice</vt:lpstr>
      <vt:lpstr>rice_bran</vt:lpstr>
      <vt:lpstr>roots</vt:lpstr>
      <vt:lpstr>ruminant_meat</vt:lpstr>
      <vt:lpstr>saltwater_finfish</vt:lpstr>
      <vt:lpstr>saltwater_fish</vt:lpstr>
      <vt:lpstr>Sheep</vt:lpstr>
      <vt:lpstr>soybean_meal</vt:lpstr>
      <vt:lpstr>spices</vt:lpstr>
      <vt:lpstr>spinach</vt:lpstr>
      <vt:lpstr>squash</vt:lpstr>
      <vt:lpstr>strawberry</vt:lpstr>
      <vt:lpstr>sugarcane_molasses</vt:lpstr>
      <vt:lpstr>sweeteners</vt:lpstr>
      <vt:lpstr>tea</vt:lpstr>
      <vt:lpstr>tomato</vt:lpstr>
      <vt:lpstr>tree_fruit</vt:lpstr>
      <vt:lpstr>tropical_citrus</vt:lpstr>
      <vt:lpstr>tropical_citus</vt:lpstr>
      <vt:lpstr>tropical_fruit</vt:lpstr>
      <vt:lpstr>vegetables</vt:lpstr>
      <vt:lpstr>wheat_flour</vt:lpstr>
      <vt:lpstr>zucchini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Team Meyer</dc:creator>
  <cp:lastModifiedBy>Bell, Brooke Marie</cp:lastModifiedBy>
  <cp:lastPrinted>2016-03-17T20:08:23Z</cp:lastPrinted>
  <dcterms:created xsi:type="dcterms:W3CDTF">2016-02-08T18:23:00Z</dcterms:created>
  <dcterms:modified xsi:type="dcterms:W3CDTF">2023-12-07T20:23:23Z</dcterms:modified>
</cp:coreProperties>
</file>